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315" windowWidth="14805" windowHeight="7800" tabRatio="907"/>
  </bookViews>
  <sheets>
    <sheet name="方案战报" sheetId="1" r:id="rId1"/>
    <sheet name="上半场实时战况" sheetId="10" r:id="rId2"/>
    <sheet name="守门员守球" sheetId="11" r:id="rId3"/>
    <sheet name="【五月】红队" sheetId="2" r:id="rId4"/>
    <sheet name="【六月】红队" sheetId="3" r:id="rId5"/>
    <sheet name="【七月】红队" sheetId="4" r:id="rId6"/>
    <sheet name="【五月】蓝队" sheetId="5" r:id="rId7"/>
    <sheet name="【六月】蓝队" sheetId="6" r:id="rId8"/>
    <sheet name="【七月】蓝队" sheetId="7" r:id="rId9"/>
    <sheet name="【个险】个人篇" sheetId="12" r:id="rId10"/>
    <sheet name="【银险】个人篇" sheetId="13" r:id="rId11"/>
    <sheet name="价值球员机构占比" sheetId="14" r:id="rId12"/>
    <sheet name="团队继续率" sheetId="15" r:id="rId13"/>
    <sheet name="Sheet2" sheetId="16" r:id="rId14"/>
  </sheets>
  <externalReferences>
    <externalReference r:id="rId15"/>
    <externalReference r:id="rId16"/>
    <externalReference r:id="rId17"/>
  </externalReferences>
  <definedNames>
    <definedName name="_xlnm._FilterDatabase" localSheetId="9" hidden="1">【个险】个人篇!$A$2:$AZ$60</definedName>
    <definedName name="_xlnm._FilterDatabase" localSheetId="10" hidden="1">【银险】个人篇!$A$2:$AZ$19</definedName>
  </definedNames>
  <calcPr calcId="144525"/>
</workbook>
</file>

<file path=xl/calcChain.xml><?xml version="1.0" encoding="utf-8"?>
<calcChain xmlns="http://schemas.openxmlformats.org/spreadsheetml/2006/main">
  <c r="E5" i="11" l="1"/>
  <c r="Q5" i="11"/>
  <c r="T5" i="11"/>
  <c r="H5" i="11"/>
  <c r="W29" i="12" l="1"/>
  <c r="Y29" i="12" s="1"/>
  <c r="AA29" i="12" s="1"/>
  <c r="V29" i="12"/>
  <c r="S29" i="12"/>
  <c r="P29" i="12"/>
  <c r="D29" i="12" s="1"/>
  <c r="E29" i="12" s="1"/>
  <c r="N29" i="12"/>
  <c r="X29" i="12" l="1"/>
  <c r="U5" i="11"/>
  <c r="R5" i="11"/>
  <c r="R4" i="2"/>
  <c r="R5" i="2"/>
  <c r="R7" i="2"/>
  <c r="R6" i="2"/>
  <c r="R3" i="2"/>
  <c r="J4" i="2"/>
  <c r="J5" i="2"/>
  <c r="J7" i="2"/>
  <c r="J6" i="2"/>
  <c r="J3" i="2"/>
  <c r="N4" i="2"/>
  <c r="N5" i="2"/>
  <c r="N7" i="2"/>
  <c r="N6" i="2"/>
  <c r="N3" i="2"/>
  <c r="F4" i="2"/>
  <c r="F5" i="2"/>
  <c r="F7" i="2"/>
  <c r="F6" i="2"/>
  <c r="F3" i="2"/>
  <c r="R4" i="5" l="1"/>
  <c r="R5" i="5"/>
  <c r="R7" i="5"/>
  <c r="R6" i="5"/>
  <c r="R3" i="5"/>
  <c r="J4" i="5"/>
  <c r="J5" i="5"/>
  <c r="J7" i="5"/>
  <c r="J6" i="5"/>
  <c r="J3" i="5"/>
  <c r="N4" i="5"/>
  <c r="N5" i="5"/>
  <c r="N7" i="5"/>
  <c r="N6" i="5"/>
  <c r="N3" i="5"/>
  <c r="F4" i="5"/>
  <c r="F5" i="5"/>
  <c r="F7" i="5"/>
  <c r="F6" i="5"/>
  <c r="F3" i="5"/>
  <c r="W4" i="13" l="1"/>
  <c r="X4" i="13" s="1"/>
  <c r="W5" i="13"/>
  <c r="Y5" i="13" s="1"/>
  <c r="AA5" i="13" s="1"/>
  <c r="W6" i="13"/>
  <c r="X6" i="13" s="1"/>
  <c r="W7" i="13"/>
  <c r="Y7" i="13" s="1"/>
  <c r="AA7" i="13" s="1"/>
  <c r="W8" i="13"/>
  <c r="X8" i="13" s="1"/>
  <c r="W9" i="13"/>
  <c r="Y9" i="13" s="1"/>
  <c r="AA9" i="13" s="1"/>
  <c r="W10" i="13"/>
  <c r="X10" i="13" s="1"/>
  <c r="W11" i="13"/>
  <c r="Y11" i="13" s="1"/>
  <c r="AA11" i="13" s="1"/>
  <c r="W12" i="13"/>
  <c r="X12" i="13" s="1"/>
  <c r="W13" i="13"/>
  <c r="Y13" i="13" s="1"/>
  <c r="AA13" i="13" s="1"/>
  <c r="W14" i="13"/>
  <c r="X14" i="13" s="1"/>
  <c r="W15" i="13"/>
  <c r="Y15" i="13" s="1"/>
  <c r="AA15" i="13" s="1"/>
  <c r="W16" i="13"/>
  <c r="X16" i="13" s="1"/>
  <c r="W17" i="13"/>
  <c r="Y17" i="13" s="1"/>
  <c r="AA17" i="13" s="1"/>
  <c r="W18" i="13"/>
  <c r="X18" i="13" s="1"/>
  <c r="W19" i="13"/>
  <c r="Y19" i="13" s="1"/>
  <c r="AA19" i="13" s="1"/>
  <c r="W3" i="13"/>
  <c r="X3" i="13" s="1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N12" i="13"/>
  <c r="N13" i="13"/>
  <c r="N4" i="13"/>
  <c r="W4" i="12"/>
  <c r="W5" i="12"/>
  <c r="W6" i="12"/>
  <c r="W7" i="12"/>
  <c r="Y7" i="12" s="1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3" i="12"/>
  <c r="Y3" i="12" s="1"/>
  <c r="AA3" i="12" s="1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3" i="12"/>
  <c r="D19" i="13" l="1"/>
  <c r="D17" i="13"/>
  <c r="D15" i="13"/>
  <c r="D13" i="13"/>
  <c r="D11" i="13"/>
  <c r="D9" i="13"/>
  <c r="D7" i="13"/>
  <c r="D5" i="13"/>
  <c r="X19" i="13"/>
  <c r="X17" i="13"/>
  <c r="X15" i="13"/>
  <c r="X13" i="13"/>
  <c r="X11" i="13"/>
  <c r="X9" i="13"/>
  <c r="X7" i="13"/>
  <c r="X5" i="13"/>
  <c r="Y3" i="13"/>
  <c r="AA3" i="13" s="1"/>
  <c r="D3" i="13" s="1"/>
  <c r="Y18" i="13"/>
  <c r="AA18" i="13" s="1"/>
  <c r="D18" i="13" s="1"/>
  <c r="Y16" i="13"/>
  <c r="AA16" i="13" s="1"/>
  <c r="D16" i="13" s="1"/>
  <c r="Y14" i="13"/>
  <c r="AA14" i="13" s="1"/>
  <c r="D14" i="13" s="1"/>
  <c r="Y12" i="13"/>
  <c r="AA12" i="13" s="1"/>
  <c r="D12" i="13" s="1"/>
  <c r="Y10" i="13"/>
  <c r="AA10" i="13" s="1"/>
  <c r="D10" i="13" s="1"/>
  <c r="Y8" i="13"/>
  <c r="AA8" i="13" s="1"/>
  <c r="D8" i="13" s="1"/>
  <c r="Y6" i="13"/>
  <c r="AA6" i="13" s="1"/>
  <c r="D6" i="13" s="1"/>
  <c r="Y4" i="13"/>
  <c r="AA4" i="13" s="1"/>
  <c r="D4" i="13" s="1"/>
  <c r="X59" i="12"/>
  <c r="Y59" i="12"/>
  <c r="AA59" i="12" s="1"/>
  <c r="X57" i="12"/>
  <c r="Y57" i="12"/>
  <c r="AA57" i="12" s="1"/>
  <c r="X55" i="12"/>
  <c r="Y55" i="12"/>
  <c r="AA55" i="12" s="1"/>
  <c r="X53" i="12"/>
  <c r="Y53" i="12"/>
  <c r="AA53" i="12" s="1"/>
  <c r="X51" i="12"/>
  <c r="Y51" i="12"/>
  <c r="AA51" i="12" s="1"/>
  <c r="X49" i="12"/>
  <c r="Y49" i="12"/>
  <c r="AA49" i="12" s="1"/>
  <c r="X47" i="12"/>
  <c r="Y47" i="12"/>
  <c r="AA47" i="12" s="1"/>
  <c r="X45" i="12"/>
  <c r="Y45" i="12"/>
  <c r="AA45" i="12" s="1"/>
  <c r="X43" i="12"/>
  <c r="Y43" i="12"/>
  <c r="AA43" i="12" s="1"/>
  <c r="X41" i="12"/>
  <c r="Y41" i="12"/>
  <c r="AA41" i="12" s="1"/>
  <c r="X39" i="12"/>
  <c r="Y39" i="12"/>
  <c r="AA39" i="12" s="1"/>
  <c r="X37" i="12"/>
  <c r="Y37" i="12"/>
  <c r="AA37" i="12" s="1"/>
  <c r="X35" i="12"/>
  <c r="Y35" i="12"/>
  <c r="AA35" i="12" s="1"/>
  <c r="X33" i="12"/>
  <c r="Y33" i="12"/>
  <c r="AA33" i="12" s="1"/>
  <c r="X31" i="12"/>
  <c r="Y31" i="12"/>
  <c r="AA31" i="12" s="1"/>
  <c r="X28" i="12"/>
  <c r="Y28" i="12"/>
  <c r="AA28" i="12" s="1"/>
  <c r="X26" i="12"/>
  <c r="Y26" i="12"/>
  <c r="AA26" i="12" s="1"/>
  <c r="X24" i="12"/>
  <c r="Y24" i="12"/>
  <c r="AA24" i="12" s="1"/>
  <c r="X22" i="12"/>
  <c r="Y22" i="12"/>
  <c r="AA22" i="12" s="1"/>
  <c r="X20" i="12"/>
  <c r="Y20" i="12"/>
  <c r="AA20" i="12" s="1"/>
  <c r="X18" i="12"/>
  <c r="Y18" i="12"/>
  <c r="AA18" i="12" s="1"/>
  <c r="X16" i="12"/>
  <c r="Y16" i="12"/>
  <c r="AA16" i="12" s="1"/>
  <c r="X14" i="12"/>
  <c r="Y14" i="12"/>
  <c r="AA14" i="12" s="1"/>
  <c r="X12" i="12"/>
  <c r="Y12" i="12"/>
  <c r="AA12" i="12" s="1"/>
  <c r="X10" i="12"/>
  <c r="Y10" i="12"/>
  <c r="AA10" i="12" s="1"/>
  <c r="X8" i="12"/>
  <c r="Y8" i="12"/>
  <c r="AA8" i="12" s="1"/>
  <c r="X6" i="12"/>
  <c r="Y6" i="12"/>
  <c r="AA6" i="12" s="1"/>
  <c r="X4" i="12"/>
  <c r="Y4" i="12"/>
  <c r="AA4" i="12" s="1"/>
  <c r="Y60" i="12"/>
  <c r="AA60" i="12" s="1"/>
  <c r="X60" i="12"/>
  <c r="Y58" i="12"/>
  <c r="AA58" i="12" s="1"/>
  <c r="X58" i="12"/>
  <c r="Y56" i="12"/>
  <c r="AA56" i="12" s="1"/>
  <c r="X56" i="12"/>
  <c r="Y54" i="12"/>
  <c r="AA54" i="12" s="1"/>
  <c r="X54" i="12"/>
  <c r="Y52" i="12"/>
  <c r="AA52" i="12" s="1"/>
  <c r="X52" i="12"/>
  <c r="Y50" i="12"/>
  <c r="AA50" i="12" s="1"/>
  <c r="X50" i="12"/>
  <c r="Y48" i="12"/>
  <c r="AA48" i="12" s="1"/>
  <c r="X48" i="12"/>
  <c r="Y46" i="12"/>
  <c r="AA46" i="12" s="1"/>
  <c r="X46" i="12"/>
  <c r="Y44" i="12"/>
  <c r="AA44" i="12" s="1"/>
  <c r="X44" i="12"/>
  <c r="Y42" i="12"/>
  <c r="AA42" i="12" s="1"/>
  <c r="X42" i="12"/>
  <c r="Y40" i="12"/>
  <c r="AA40" i="12" s="1"/>
  <c r="X40" i="12"/>
  <c r="Y38" i="12"/>
  <c r="AA38" i="12" s="1"/>
  <c r="X38" i="12"/>
  <c r="Y36" i="12"/>
  <c r="AA36" i="12" s="1"/>
  <c r="X36" i="12"/>
  <c r="Y34" i="12"/>
  <c r="AA34" i="12" s="1"/>
  <c r="X34" i="12"/>
  <c r="Y32" i="12"/>
  <c r="AA32" i="12" s="1"/>
  <c r="X32" i="12"/>
  <c r="Y30" i="12"/>
  <c r="AA30" i="12" s="1"/>
  <c r="X30" i="12"/>
  <c r="Y27" i="12"/>
  <c r="AA27" i="12" s="1"/>
  <c r="X27" i="12"/>
  <c r="Y25" i="12"/>
  <c r="AA25" i="12" s="1"/>
  <c r="X25" i="12"/>
  <c r="Y23" i="12"/>
  <c r="AA23" i="12" s="1"/>
  <c r="X23" i="12"/>
  <c r="Y21" i="12"/>
  <c r="AA21" i="12" s="1"/>
  <c r="X21" i="12"/>
  <c r="Y19" i="12"/>
  <c r="AA19" i="12" s="1"/>
  <c r="X19" i="12"/>
  <c r="Y17" i="12"/>
  <c r="AA17" i="12" s="1"/>
  <c r="X17" i="12"/>
  <c r="Y15" i="12"/>
  <c r="AA15" i="12" s="1"/>
  <c r="X15" i="12"/>
  <c r="Y13" i="12"/>
  <c r="AA13" i="12" s="1"/>
  <c r="X13" i="12"/>
  <c r="Y11" i="12"/>
  <c r="AA11" i="12" s="1"/>
  <c r="X11" i="12"/>
  <c r="Y9" i="12"/>
  <c r="AA9" i="12" s="1"/>
  <c r="X9" i="12"/>
  <c r="AA7" i="12"/>
  <c r="X7" i="12"/>
  <c r="Y5" i="12"/>
  <c r="AA5" i="12" s="1"/>
  <c r="X5" i="12"/>
  <c r="X3" i="12"/>
  <c r="E4" i="13" l="1"/>
  <c r="E8" i="13"/>
  <c r="E12" i="13"/>
  <c r="E16" i="13"/>
  <c r="E3" i="13"/>
  <c r="E7" i="13"/>
  <c r="E11" i="13"/>
  <c r="E15" i="13"/>
  <c r="E19" i="13"/>
  <c r="E6" i="13"/>
  <c r="E10" i="13"/>
  <c r="E14" i="13"/>
  <c r="E18" i="13"/>
  <c r="E5" i="13"/>
  <c r="E9" i="13"/>
  <c r="E13" i="13"/>
  <c r="E17" i="13"/>
  <c r="O4" i="5"/>
  <c r="O5" i="5"/>
  <c r="O7" i="5"/>
  <c r="O6" i="5"/>
  <c r="O3" i="5"/>
  <c r="M5" i="14" l="1"/>
  <c r="M6" i="14"/>
  <c r="M7" i="14"/>
  <c r="M8" i="14"/>
  <c r="M9" i="14"/>
  <c r="M10" i="14"/>
  <c r="M11" i="14"/>
  <c r="M12" i="14"/>
  <c r="M13" i="14"/>
  <c r="M14" i="14"/>
  <c r="M4" i="14"/>
  <c r="J6" i="13"/>
  <c r="J7" i="13"/>
  <c r="J8" i="13"/>
  <c r="J9" i="13"/>
  <c r="J10" i="13"/>
  <c r="J14" i="13"/>
  <c r="J16" i="13"/>
  <c r="J17" i="13"/>
  <c r="J18" i="13"/>
  <c r="J19" i="13"/>
  <c r="J3" i="13"/>
  <c r="G6" i="13"/>
  <c r="G7" i="13"/>
  <c r="G8" i="13"/>
  <c r="G9" i="13"/>
  <c r="G10" i="13"/>
  <c r="G14" i="13"/>
  <c r="G16" i="13"/>
  <c r="G17" i="13"/>
  <c r="G18" i="13"/>
  <c r="G19" i="13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3" i="12"/>
  <c r="J24" i="12"/>
  <c r="J25" i="12"/>
  <c r="J26" i="12"/>
  <c r="J27" i="12"/>
  <c r="J28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3" i="12"/>
  <c r="G24" i="12"/>
  <c r="G25" i="12"/>
  <c r="G26" i="12"/>
  <c r="G27" i="12"/>
  <c r="G28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3" i="12"/>
  <c r="G3" i="13"/>
  <c r="C8" i="16" l="1"/>
  <c r="C7" i="16"/>
  <c r="K14" i="15"/>
  <c r="G6" i="16"/>
  <c r="F6" i="16"/>
  <c r="C6" i="16"/>
  <c r="B6" i="16"/>
  <c r="R7" i="15"/>
  <c r="Q7" i="15"/>
  <c r="R5" i="15"/>
  <c r="Q5" i="15"/>
  <c r="R6" i="15"/>
  <c r="Q6" i="15"/>
  <c r="R4" i="15"/>
  <c r="R8" i="15" s="1"/>
  <c r="Q4" i="15"/>
  <c r="Q8" i="15" s="1"/>
  <c r="S8" i="15" l="1"/>
  <c r="S5" i="15"/>
  <c r="D6" i="16"/>
  <c r="H6" i="16"/>
  <c r="S6" i="15"/>
  <c r="S7" i="15"/>
  <c r="S4" i="15"/>
  <c r="N7" i="15"/>
  <c r="M7" i="15"/>
  <c r="N5" i="15"/>
  <c r="M5" i="15"/>
  <c r="N6" i="15"/>
  <c r="M6" i="15"/>
  <c r="N4" i="15"/>
  <c r="N8" i="15" s="1"/>
  <c r="M4" i="15"/>
  <c r="M8" i="15" l="1"/>
  <c r="O8" i="15" s="1"/>
  <c r="O4" i="15"/>
  <c r="O6" i="15"/>
  <c r="O5" i="15"/>
  <c r="O7" i="15"/>
  <c r="L5" i="13" l="1"/>
  <c r="N5" i="13" s="1"/>
  <c r="L6" i="13"/>
  <c r="N6" i="13" s="1"/>
  <c r="L7" i="13"/>
  <c r="N7" i="13" s="1"/>
  <c r="L8" i="13"/>
  <c r="N8" i="13" s="1"/>
  <c r="L9" i="13"/>
  <c r="N9" i="13" s="1"/>
  <c r="L10" i="13"/>
  <c r="N10" i="13" s="1"/>
  <c r="L11" i="13"/>
  <c r="N11" i="13" s="1"/>
  <c r="L14" i="13"/>
  <c r="N14" i="13" s="1"/>
  <c r="L15" i="13"/>
  <c r="N15" i="13" s="1"/>
  <c r="L16" i="13"/>
  <c r="N16" i="13" s="1"/>
  <c r="L17" i="13"/>
  <c r="N17" i="13" s="1"/>
  <c r="L18" i="13"/>
  <c r="N18" i="13" s="1"/>
  <c r="L19" i="13"/>
  <c r="N19" i="13" s="1"/>
  <c r="L3" i="13"/>
  <c r="N3" i="13" s="1"/>
  <c r="P3" i="13" s="1"/>
  <c r="K5" i="13"/>
  <c r="K6" i="13"/>
  <c r="K7" i="13"/>
  <c r="K8" i="13"/>
  <c r="K9" i="13"/>
  <c r="K10" i="13"/>
  <c r="K11" i="13"/>
  <c r="K14" i="13"/>
  <c r="K15" i="13"/>
  <c r="K16" i="13"/>
  <c r="K17" i="13"/>
  <c r="K18" i="13"/>
  <c r="K19" i="13"/>
  <c r="K3" i="13"/>
  <c r="H5" i="13"/>
  <c r="H6" i="13"/>
  <c r="H7" i="13"/>
  <c r="H8" i="13"/>
  <c r="H9" i="13"/>
  <c r="H10" i="13"/>
  <c r="H11" i="13"/>
  <c r="H14" i="13"/>
  <c r="H15" i="13"/>
  <c r="H16" i="13"/>
  <c r="H17" i="13"/>
  <c r="H18" i="13"/>
  <c r="H19" i="13"/>
  <c r="H3" i="13"/>
  <c r="L4" i="12"/>
  <c r="N4" i="12" s="1"/>
  <c r="P4" i="12" s="1"/>
  <c r="D4" i="12" s="1"/>
  <c r="L5" i="12"/>
  <c r="M5" i="12" s="1"/>
  <c r="L6" i="12"/>
  <c r="N6" i="12" s="1"/>
  <c r="P6" i="12" s="1"/>
  <c r="D6" i="12" s="1"/>
  <c r="L7" i="12"/>
  <c r="M7" i="12" s="1"/>
  <c r="L8" i="12"/>
  <c r="N8" i="12" s="1"/>
  <c r="P8" i="12" s="1"/>
  <c r="D8" i="12" s="1"/>
  <c r="L9" i="12"/>
  <c r="M9" i="12" s="1"/>
  <c r="L10" i="12"/>
  <c r="N10" i="12" s="1"/>
  <c r="P10" i="12" s="1"/>
  <c r="D10" i="12" s="1"/>
  <c r="L11" i="12"/>
  <c r="M11" i="12" s="1"/>
  <c r="L12" i="12"/>
  <c r="N12" i="12" s="1"/>
  <c r="P12" i="12" s="1"/>
  <c r="D12" i="12" s="1"/>
  <c r="L13" i="12"/>
  <c r="M13" i="12" s="1"/>
  <c r="L14" i="12"/>
  <c r="N14" i="12" s="1"/>
  <c r="P14" i="12" s="1"/>
  <c r="D14" i="12" s="1"/>
  <c r="L15" i="12"/>
  <c r="M15" i="12" s="1"/>
  <c r="L16" i="12"/>
  <c r="N16" i="12" s="1"/>
  <c r="P16" i="12" s="1"/>
  <c r="D16" i="12" s="1"/>
  <c r="L17" i="12"/>
  <c r="M17" i="12" s="1"/>
  <c r="L18" i="12"/>
  <c r="N18" i="12" s="1"/>
  <c r="P18" i="12" s="1"/>
  <c r="D18" i="12" s="1"/>
  <c r="L19" i="12"/>
  <c r="M19" i="12" s="1"/>
  <c r="L20" i="12"/>
  <c r="M20" i="12" s="1"/>
  <c r="L21" i="12"/>
  <c r="N21" i="12" s="1"/>
  <c r="P21" i="12" s="1"/>
  <c r="D21" i="12" s="1"/>
  <c r="L22" i="12"/>
  <c r="M22" i="12" s="1"/>
  <c r="L23" i="12"/>
  <c r="N23" i="12" s="1"/>
  <c r="P23" i="12" s="1"/>
  <c r="D23" i="12" s="1"/>
  <c r="L24" i="12"/>
  <c r="M24" i="12" s="1"/>
  <c r="L25" i="12"/>
  <c r="N25" i="12" s="1"/>
  <c r="P25" i="12" s="1"/>
  <c r="D25" i="12" s="1"/>
  <c r="L26" i="12"/>
  <c r="M26" i="12" s="1"/>
  <c r="L27" i="12"/>
  <c r="N27" i="12" s="1"/>
  <c r="P27" i="12" s="1"/>
  <c r="D27" i="12" s="1"/>
  <c r="L28" i="12"/>
  <c r="M28" i="12" s="1"/>
  <c r="L30" i="12"/>
  <c r="N30" i="12" s="1"/>
  <c r="P30" i="12" s="1"/>
  <c r="D30" i="12" s="1"/>
  <c r="L31" i="12"/>
  <c r="N31" i="12" s="1"/>
  <c r="P31" i="12" s="1"/>
  <c r="D31" i="12" s="1"/>
  <c r="L32" i="12"/>
  <c r="M32" i="12" s="1"/>
  <c r="L33" i="12"/>
  <c r="N33" i="12" s="1"/>
  <c r="P33" i="12" s="1"/>
  <c r="D33" i="12" s="1"/>
  <c r="L34" i="12"/>
  <c r="M34" i="12" s="1"/>
  <c r="L35" i="12"/>
  <c r="N35" i="12" s="1"/>
  <c r="P35" i="12" s="1"/>
  <c r="D35" i="12" s="1"/>
  <c r="L36" i="12"/>
  <c r="M36" i="12" s="1"/>
  <c r="L37" i="12"/>
  <c r="N37" i="12" s="1"/>
  <c r="P37" i="12" s="1"/>
  <c r="D37" i="12" s="1"/>
  <c r="L38" i="12"/>
  <c r="M38" i="12" s="1"/>
  <c r="L39" i="12"/>
  <c r="N39" i="12" s="1"/>
  <c r="P39" i="12" s="1"/>
  <c r="D39" i="12" s="1"/>
  <c r="L40" i="12"/>
  <c r="M40" i="12" s="1"/>
  <c r="L41" i="12"/>
  <c r="N41" i="12" s="1"/>
  <c r="P41" i="12" s="1"/>
  <c r="D41" i="12" s="1"/>
  <c r="L42" i="12"/>
  <c r="M42" i="12" s="1"/>
  <c r="L43" i="12"/>
  <c r="N43" i="12" s="1"/>
  <c r="P43" i="12" s="1"/>
  <c r="D43" i="12" s="1"/>
  <c r="L44" i="12"/>
  <c r="M44" i="12" s="1"/>
  <c r="L45" i="12"/>
  <c r="N45" i="12" s="1"/>
  <c r="P45" i="12" s="1"/>
  <c r="D45" i="12" s="1"/>
  <c r="L46" i="12"/>
  <c r="M46" i="12" s="1"/>
  <c r="L47" i="12"/>
  <c r="N47" i="12" s="1"/>
  <c r="P47" i="12" s="1"/>
  <c r="D47" i="12" s="1"/>
  <c r="L48" i="12"/>
  <c r="M48" i="12" s="1"/>
  <c r="L49" i="12"/>
  <c r="N49" i="12" s="1"/>
  <c r="P49" i="12" s="1"/>
  <c r="D49" i="12" s="1"/>
  <c r="L50" i="12"/>
  <c r="M50" i="12" s="1"/>
  <c r="L51" i="12"/>
  <c r="N51" i="12" s="1"/>
  <c r="P51" i="12" s="1"/>
  <c r="D51" i="12" s="1"/>
  <c r="L52" i="12"/>
  <c r="M52" i="12" s="1"/>
  <c r="L53" i="12"/>
  <c r="N53" i="12" s="1"/>
  <c r="P53" i="12" s="1"/>
  <c r="D53" i="12" s="1"/>
  <c r="L54" i="12"/>
  <c r="M54" i="12" s="1"/>
  <c r="L55" i="12"/>
  <c r="N55" i="12" s="1"/>
  <c r="P55" i="12" s="1"/>
  <c r="D55" i="12" s="1"/>
  <c r="L56" i="12"/>
  <c r="M56" i="12" s="1"/>
  <c r="L57" i="12"/>
  <c r="N57" i="12" s="1"/>
  <c r="P57" i="12" s="1"/>
  <c r="D57" i="12" s="1"/>
  <c r="L58" i="12"/>
  <c r="M58" i="12" s="1"/>
  <c r="L59" i="12"/>
  <c r="N59" i="12" s="1"/>
  <c r="P59" i="12" s="1"/>
  <c r="D59" i="12" s="1"/>
  <c r="L60" i="12"/>
  <c r="M60" i="12" s="1"/>
  <c r="L3" i="12"/>
  <c r="N3" i="12" s="1"/>
  <c r="P3" i="12" s="1"/>
  <c r="D3" i="12" s="1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3" i="12"/>
  <c r="M3" i="13" l="1"/>
  <c r="M18" i="13"/>
  <c r="M16" i="13"/>
  <c r="M14" i="13"/>
  <c r="M10" i="13"/>
  <c r="M8" i="13"/>
  <c r="M6" i="13"/>
  <c r="M19" i="13"/>
  <c r="M17" i="13"/>
  <c r="M15" i="13"/>
  <c r="M11" i="13"/>
  <c r="M9" i="13"/>
  <c r="M7" i="13"/>
  <c r="M5" i="13"/>
  <c r="M3" i="12"/>
  <c r="M59" i="12"/>
  <c r="M57" i="12"/>
  <c r="M55" i="12"/>
  <c r="M53" i="12"/>
  <c r="M51" i="12"/>
  <c r="M49" i="12"/>
  <c r="M47" i="12"/>
  <c r="M45" i="12"/>
  <c r="M43" i="12"/>
  <c r="M41" i="12"/>
  <c r="M39" i="12"/>
  <c r="M37" i="12"/>
  <c r="M35" i="12"/>
  <c r="M33" i="12"/>
  <c r="M31" i="12"/>
  <c r="M30" i="12"/>
  <c r="M27" i="12"/>
  <c r="M25" i="12"/>
  <c r="M23" i="12"/>
  <c r="M21" i="12"/>
  <c r="M18" i="12"/>
  <c r="M16" i="12"/>
  <c r="M14" i="12"/>
  <c r="M12" i="12"/>
  <c r="M10" i="12"/>
  <c r="M8" i="12"/>
  <c r="M6" i="12"/>
  <c r="M4" i="12"/>
  <c r="N60" i="12"/>
  <c r="P60" i="12" s="1"/>
  <c r="D60" i="12" s="1"/>
  <c r="N58" i="12"/>
  <c r="P58" i="12" s="1"/>
  <c r="D58" i="12" s="1"/>
  <c r="N56" i="12"/>
  <c r="P56" i="12" s="1"/>
  <c r="D56" i="12" s="1"/>
  <c r="N54" i="12"/>
  <c r="P54" i="12" s="1"/>
  <c r="D54" i="12" s="1"/>
  <c r="N52" i="12"/>
  <c r="P52" i="12" s="1"/>
  <c r="D52" i="12" s="1"/>
  <c r="N50" i="12"/>
  <c r="P50" i="12" s="1"/>
  <c r="D50" i="12" s="1"/>
  <c r="N48" i="12"/>
  <c r="P48" i="12" s="1"/>
  <c r="D48" i="12" s="1"/>
  <c r="N46" i="12"/>
  <c r="P46" i="12" s="1"/>
  <c r="D46" i="12" s="1"/>
  <c r="N44" i="12"/>
  <c r="P44" i="12" s="1"/>
  <c r="D44" i="12" s="1"/>
  <c r="N42" i="12"/>
  <c r="P42" i="12" s="1"/>
  <c r="D42" i="12" s="1"/>
  <c r="N40" i="12"/>
  <c r="P40" i="12" s="1"/>
  <c r="D40" i="12" s="1"/>
  <c r="N38" i="12"/>
  <c r="P38" i="12" s="1"/>
  <c r="D38" i="12" s="1"/>
  <c r="N36" i="12"/>
  <c r="P36" i="12" s="1"/>
  <c r="D36" i="12" s="1"/>
  <c r="N34" i="12"/>
  <c r="P34" i="12" s="1"/>
  <c r="D34" i="12" s="1"/>
  <c r="N32" i="12"/>
  <c r="P32" i="12" s="1"/>
  <c r="D32" i="12" s="1"/>
  <c r="N28" i="12"/>
  <c r="P28" i="12" s="1"/>
  <c r="D28" i="12" s="1"/>
  <c r="N26" i="12"/>
  <c r="P26" i="12" s="1"/>
  <c r="D26" i="12" s="1"/>
  <c r="N24" i="12"/>
  <c r="P24" i="12" s="1"/>
  <c r="D24" i="12" s="1"/>
  <c r="N22" i="12"/>
  <c r="P22" i="12" s="1"/>
  <c r="D22" i="12" s="1"/>
  <c r="N20" i="12"/>
  <c r="P20" i="12" s="1"/>
  <c r="D20" i="12" s="1"/>
  <c r="N19" i="12"/>
  <c r="P19" i="12" s="1"/>
  <c r="D19" i="12" s="1"/>
  <c r="N17" i="12"/>
  <c r="P17" i="12" s="1"/>
  <c r="D17" i="12" s="1"/>
  <c r="N15" i="12"/>
  <c r="P15" i="12" s="1"/>
  <c r="D15" i="12" s="1"/>
  <c r="N13" i="12"/>
  <c r="P13" i="12" s="1"/>
  <c r="D13" i="12" s="1"/>
  <c r="N11" i="12"/>
  <c r="P11" i="12" s="1"/>
  <c r="D11" i="12" s="1"/>
  <c r="N9" i="12"/>
  <c r="P9" i="12" s="1"/>
  <c r="D9" i="12" s="1"/>
  <c r="N7" i="12"/>
  <c r="P7" i="12" s="1"/>
  <c r="D7" i="12" s="1"/>
  <c r="N5" i="12"/>
  <c r="P5" i="12" s="1"/>
  <c r="D5" i="12" s="1"/>
  <c r="E5" i="12" s="1"/>
  <c r="V5" i="11"/>
  <c r="Y3" i="5" s="1"/>
  <c r="V3" i="5"/>
  <c r="U7" i="5"/>
  <c r="V7" i="5"/>
  <c r="U6" i="5"/>
  <c r="V6" i="5"/>
  <c r="V5" i="5"/>
  <c r="U5" i="5"/>
  <c r="T6" i="5"/>
  <c r="S6" i="5"/>
  <c r="P3" i="5"/>
  <c r="P4" i="5"/>
  <c r="P7" i="5"/>
  <c r="P6" i="5"/>
  <c r="P5" i="5"/>
  <c r="L3" i="5"/>
  <c r="L4" i="5"/>
  <c r="L7" i="5"/>
  <c r="L6" i="5"/>
  <c r="L5" i="5"/>
  <c r="K3" i="5"/>
  <c r="K4" i="5"/>
  <c r="K7" i="5"/>
  <c r="K6" i="5"/>
  <c r="K5" i="5"/>
  <c r="H3" i="5"/>
  <c r="H4" i="5"/>
  <c r="H7" i="5"/>
  <c r="H6" i="5"/>
  <c r="H5" i="5"/>
  <c r="G3" i="5"/>
  <c r="G4" i="5"/>
  <c r="G7" i="5"/>
  <c r="G6" i="5"/>
  <c r="G5" i="5"/>
  <c r="V3" i="2"/>
  <c r="V4" i="2"/>
  <c r="V7" i="2"/>
  <c r="V6" i="2"/>
  <c r="U7" i="2"/>
  <c r="U6" i="2"/>
  <c r="U3" i="2"/>
  <c r="S6" i="2"/>
  <c r="T6" i="2"/>
  <c r="T3" i="2"/>
  <c r="S3" i="2"/>
  <c r="K4" i="2"/>
  <c r="L4" i="2"/>
  <c r="K5" i="2"/>
  <c r="L5" i="2"/>
  <c r="K7" i="2"/>
  <c r="L7" i="2"/>
  <c r="K6" i="2"/>
  <c r="L6" i="2"/>
  <c r="L3" i="2"/>
  <c r="K3" i="2"/>
  <c r="P4" i="2"/>
  <c r="P7" i="2"/>
  <c r="P6" i="2"/>
  <c r="O4" i="2"/>
  <c r="O7" i="2"/>
  <c r="O6" i="2"/>
  <c r="H4" i="2"/>
  <c r="H7" i="2"/>
  <c r="H6" i="2"/>
  <c r="H3" i="2"/>
  <c r="G4" i="2"/>
  <c r="G7" i="2"/>
  <c r="G6" i="2"/>
  <c r="G3" i="2"/>
  <c r="E7" i="12" l="1"/>
  <c r="E11" i="12"/>
  <c r="E15" i="12"/>
  <c r="E19" i="12"/>
  <c r="E26" i="12"/>
  <c r="E32" i="12"/>
  <c r="E36" i="12"/>
  <c r="E40" i="12"/>
  <c r="E44" i="12"/>
  <c r="E48" i="12"/>
  <c r="E52" i="12"/>
  <c r="E56" i="12"/>
  <c r="E60" i="12"/>
  <c r="E4" i="12"/>
  <c r="E8" i="12"/>
  <c r="E12" i="12"/>
  <c r="E16" i="12"/>
  <c r="E31" i="12"/>
  <c r="E35" i="12"/>
  <c r="E41" i="12"/>
  <c r="E47" i="12"/>
  <c r="E55" i="12"/>
  <c r="E3" i="12"/>
  <c r="E23" i="12"/>
  <c r="E27" i="12"/>
  <c r="E39" i="12"/>
  <c r="E49" i="12"/>
  <c r="E57" i="12"/>
  <c r="E9" i="12"/>
  <c r="E13" i="12"/>
  <c r="E17" i="12"/>
  <c r="E20" i="12"/>
  <c r="E24" i="12"/>
  <c r="E28" i="12"/>
  <c r="E34" i="12"/>
  <c r="E38" i="12"/>
  <c r="E42" i="12"/>
  <c r="E46" i="12"/>
  <c r="E50" i="12"/>
  <c r="E54" i="12"/>
  <c r="E58" i="12"/>
  <c r="E6" i="12"/>
  <c r="E10" i="12"/>
  <c r="E14" i="12"/>
  <c r="E18" i="12"/>
  <c r="E33" i="12"/>
  <c r="E37" i="12"/>
  <c r="E45" i="12"/>
  <c r="E51" i="12"/>
  <c r="E22" i="12"/>
  <c r="E21" i="12"/>
  <c r="E25" i="12"/>
  <c r="E30" i="12"/>
  <c r="E43" i="12"/>
  <c r="E53" i="12"/>
  <c r="E59" i="12"/>
  <c r="Y3" i="2"/>
  <c r="Y7" i="2"/>
  <c r="Z7" i="2" s="1"/>
  <c r="Y4" i="2"/>
  <c r="Z3" i="5"/>
  <c r="P4" i="10" s="1"/>
  <c r="W4" i="10" s="1"/>
  <c r="Y6" i="5"/>
  <c r="Y4" i="5"/>
  <c r="Z4" i="5" s="1"/>
  <c r="P5" i="10" s="1"/>
  <c r="W5" i="10" s="1"/>
  <c r="Y6" i="2"/>
  <c r="Y5" i="2"/>
  <c r="Z5" i="2" s="1"/>
  <c r="Z6" i="5"/>
  <c r="P7" i="10" s="1"/>
  <c r="W7" i="10" s="1"/>
  <c r="Y5" i="5"/>
  <c r="Z5" i="5" s="1"/>
  <c r="Y7" i="5"/>
  <c r="Z3" i="2"/>
  <c r="C4" i="10" s="1"/>
  <c r="J4" i="10" s="1"/>
  <c r="Z4" i="2"/>
  <c r="Z6" i="2"/>
  <c r="Z7" i="5"/>
  <c r="P8" i="10" s="1"/>
  <c r="W8" i="10" s="1"/>
  <c r="I5" i="11"/>
  <c r="F5" i="11"/>
  <c r="C6" i="10" l="1"/>
  <c r="J6" i="10" s="1"/>
  <c r="C8" i="10"/>
  <c r="J8" i="10" s="1"/>
  <c r="C7" i="10"/>
  <c r="J7" i="10" s="1"/>
  <c r="C5" i="10"/>
  <c r="J5" i="10" s="1"/>
  <c r="P6" i="10"/>
  <c r="C9" i="10"/>
  <c r="J9" i="10" s="1"/>
  <c r="P9" i="10" l="1"/>
  <c r="W9" i="10" s="1"/>
  <c r="W6" i="10"/>
</calcChain>
</file>

<file path=xl/sharedStrings.xml><?xml version="1.0" encoding="utf-8"?>
<sst xmlns="http://schemas.openxmlformats.org/spreadsheetml/2006/main" count="995" uniqueCount="238">
  <si>
    <t>机构</t>
  </si>
  <si>
    <t>机构</t>
    <phoneticPr fontId="1" type="noConversion"/>
  </si>
  <si>
    <t>长沙</t>
  </si>
  <si>
    <t>株洲</t>
  </si>
  <si>
    <t>湘潭</t>
  </si>
  <si>
    <t>邵阳</t>
  </si>
  <si>
    <t>衡阳</t>
  </si>
  <si>
    <t>月度个险宽末二次标杆（93%）</t>
    <phoneticPr fontId="1" type="noConversion"/>
  </si>
  <si>
    <t>月度个险宽末三次标杆（97%）</t>
    <phoneticPr fontId="1" type="noConversion"/>
  </si>
  <si>
    <t>月度银行险宽末二次标杆（98.5%）</t>
    <phoneticPr fontId="1" type="noConversion"/>
  </si>
  <si>
    <t>月度银行险宽末三次标杆（99.5%）</t>
    <phoneticPr fontId="1" type="noConversion"/>
  </si>
  <si>
    <t>连续三个月四九</t>
    <phoneticPr fontId="1" type="noConversion"/>
  </si>
  <si>
    <t>五月合计进球数</t>
    <phoneticPr fontId="1" type="noConversion"/>
  </si>
  <si>
    <t>位置</t>
    <phoneticPr fontId="1" type="noConversion"/>
  </si>
  <si>
    <t>位置</t>
    <phoneticPr fontId="1" type="noConversion"/>
  </si>
  <si>
    <t>前锋</t>
    <phoneticPr fontId="1" type="noConversion"/>
  </si>
  <si>
    <t>中锋</t>
    <phoneticPr fontId="1" type="noConversion"/>
  </si>
  <si>
    <t>后卫</t>
    <phoneticPr fontId="1" type="noConversion"/>
  </si>
  <si>
    <r>
      <t>价值球员机构占比</t>
    </r>
    <r>
      <rPr>
        <b/>
        <sz val="10"/>
        <color theme="0"/>
        <rFont val="微软雅黑"/>
        <family val="2"/>
        <charset val="134"/>
      </rPr>
      <t>（前锋70%、中锋75%、后卫80%）</t>
    </r>
    <phoneticPr fontId="1" type="noConversion"/>
  </si>
  <si>
    <t>差距保费</t>
    <phoneticPr fontId="1" type="noConversion"/>
  </si>
  <si>
    <t>进球数</t>
    <phoneticPr fontId="1" type="noConversion"/>
  </si>
  <si>
    <t>六月合计进球数</t>
    <phoneticPr fontId="1" type="noConversion"/>
  </si>
  <si>
    <t>七月合计进球数</t>
    <phoneticPr fontId="1" type="noConversion"/>
  </si>
  <si>
    <r>
      <t>月度四项达标</t>
    </r>
    <r>
      <rPr>
        <b/>
        <sz val="10"/>
        <color theme="0"/>
        <rFont val="微软雅黑"/>
        <family val="2"/>
        <charset val="134"/>
      </rPr>
      <t>（85%、93%、91%、93%）</t>
    </r>
    <phoneticPr fontId="1" type="noConversion"/>
  </si>
  <si>
    <r>
      <t>月度宽末四九</t>
    </r>
    <r>
      <rPr>
        <b/>
        <sz val="10"/>
        <color theme="0"/>
        <rFont val="微软雅黑"/>
        <family val="2"/>
        <charset val="134"/>
      </rPr>
      <t>（91%、94%、94%、94%）</t>
    </r>
    <phoneticPr fontId="1" type="noConversion"/>
  </si>
  <si>
    <t>备注：两队球员中在每月15号前达成进球标准时，达成的该项进球数按1.5倍计算；15号后达成进球标准，该项进球数仍按原对应进球数统计。</t>
    <phoneticPr fontId="1" type="noConversion"/>
  </si>
  <si>
    <t>机构</t>
    <phoneticPr fontId="1" type="noConversion"/>
  </si>
  <si>
    <t>五月进球数</t>
    <phoneticPr fontId="1" type="noConversion"/>
  </si>
  <si>
    <t>六月进球数</t>
    <phoneticPr fontId="1" type="noConversion"/>
  </si>
  <si>
    <t>七月进球数</t>
    <phoneticPr fontId="1" type="noConversion"/>
  </si>
  <si>
    <t>上半场合计</t>
    <phoneticPr fontId="1" type="noConversion"/>
  </si>
  <si>
    <t>常德</t>
  </si>
  <si>
    <t>益阳</t>
  </si>
  <si>
    <t>岳阳</t>
  </si>
  <si>
    <t>娄底</t>
  </si>
  <si>
    <t>郴州</t>
  </si>
  <si>
    <t>合计进球数</t>
    <phoneticPr fontId="1" type="noConversion"/>
  </si>
  <si>
    <t>机构</t>
    <phoneticPr fontId="1" type="noConversion"/>
  </si>
  <si>
    <t>守门员</t>
    <phoneticPr fontId="1" type="noConversion"/>
  </si>
  <si>
    <t>怀化</t>
    <phoneticPr fontId="1" type="noConversion"/>
  </si>
  <si>
    <t>月度宽末四项达标</t>
    <phoneticPr fontId="1" type="noConversion"/>
  </si>
  <si>
    <t>指标</t>
    <phoneticPr fontId="1" type="noConversion"/>
  </si>
  <si>
    <t>差距保费</t>
    <phoneticPr fontId="1" type="noConversion"/>
  </si>
  <si>
    <t>当月</t>
    <phoneticPr fontId="1" type="noConversion"/>
  </si>
  <si>
    <t>个险13J（78%）</t>
    <phoneticPr fontId="1" type="noConversion"/>
  </si>
  <si>
    <t>个险25J（82%）</t>
    <phoneticPr fontId="1" type="noConversion"/>
  </si>
  <si>
    <t>个险13J（85%）</t>
    <phoneticPr fontId="1" type="noConversion"/>
  </si>
  <si>
    <t>个险25J（93%）</t>
    <phoneticPr fontId="1" type="noConversion"/>
  </si>
  <si>
    <t>银险13J（91%）</t>
    <phoneticPr fontId="1" type="noConversion"/>
  </si>
  <si>
    <t>银险25J（93%）</t>
    <phoneticPr fontId="1" type="noConversion"/>
  </si>
  <si>
    <t>守球数</t>
    <phoneticPr fontId="1" type="noConversion"/>
  </si>
  <si>
    <t>六月</t>
    <phoneticPr fontId="1" type="noConversion"/>
  </si>
  <si>
    <t>七月</t>
    <phoneticPr fontId="1" type="noConversion"/>
  </si>
  <si>
    <t>五月守球</t>
    <phoneticPr fontId="1" type="noConversion"/>
  </si>
  <si>
    <t>六月守球</t>
    <phoneticPr fontId="1" type="noConversion"/>
  </si>
  <si>
    <t>七月守球</t>
    <phoneticPr fontId="1" type="noConversion"/>
  </si>
  <si>
    <t>月度考核线红牌制</t>
    <phoneticPr fontId="1" type="noConversion"/>
  </si>
  <si>
    <t>五月</t>
    <phoneticPr fontId="1" type="noConversion"/>
  </si>
  <si>
    <t>人员姓名</t>
  </si>
  <si>
    <t>达成率</t>
  </si>
  <si>
    <t>综合达成</t>
    <phoneticPr fontId="1" type="noConversion"/>
  </si>
  <si>
    <t>达标差距</t>
  </si>
  <si>
    <t>是否达标</t>
  </si>
  <si>
    <t>积分奖励</t>
  </si>
  <si>
    <t>是否黄牌</t>
    <phoneticPr fontId="1" type="noConversion"/>
  </si>
  <si>
    <t>5月二次应收</t>
    <phoneticPr fontId="1" type="noConversion"/>
  </si>
  <si>
    <t>5月二次实收</t>
    <phoneticPr fontId="1" type="noConversion"/>
  </si>
  <si>
    <t>5月三次应收</t>
    <phoneticPr fontId="1" type="noConversion"/>
  </si>
  <si>
    <t>5月三次实收</t>
    <phoneticPr fontId="1" type="noConversion"/>
  </si>
  <si>
    <t>6月二次应收</t>
    <phoneticPr fontId="1" type="noConversion"/>
  </si>
  <si>
    <t>6月二次实收</t>
    <phoneticPr fontId="1" type="noConversion"/>
  </si>
  <si>
    <t>1-3月积分合计</t>
    <phoneticPr fontId="1" type="noConversion"/>
  </si>
  <si>
    <t>1-7月积分合计</t>
    <phoneticPr fontId="1" type="noConversion"/>
  </si>
  <si>
    <t>总积分排名</t>
    <phoneticPr fontId="1" type="noConversion"/>
  </si>
  <si>
    <t>4-7月合计积分</t>
    <phoneticPr fontId="1" type="noConversion"/>
  </si>
  <si>
    <t>6月三次应收</t>
    <phoneticPr fontId="1" type="noConversion"/>
  </si>
  <si>
    <t>6月三次实收</t>
    <phoneticPr fontId="1" type="noConversion"/>
  </si>
  <si>
    <t>7月二次应收</t>
    <phoneticPr fontId="1" type="noConversion"/>
  </si>
  <si>
    <t>7月二次实收</t>
    <phoneticPr fontId="1" type="noConversion"/>
  </si>
  <si>
    <t>7月三次应收</t>
    <phoneticPr fontId="1" type="noConversion"/>
  </si>
  <si>
    <t>7月三次实收</t>
    <phoneticPr fontId="1" type="noConversion"/>
  </si>
  <si>
    <t>上半场是否红牌</t>
    <phoneticPr fontId="1" type="noConversion"/>
  </si>
  <si>
    <t>MVP（最有价值球员）</t>
    <phoneticPr fontId="1" type="noConversion"/>
  </si>
  <si>
    <t>VP（价值球员）</t>
    <phoneticPr fontId="1" type="noConversion"/>
  </si>
  <si>
    <t>月度是否拿到黄牌</t>
    <phoneticPr fontId="1" type="noConversion"/>
  </si>
  <si>
    <t>机构外勤总人数</t>
    <phoneticPr fontId="1" type="noConversion"/>
  </si>
  <si>
    <t>价值球员机构占比</t>
    <phoneticPr fontId="1" type="noConversion"/>
  </si>
  <si>
    <t>占比</t>
    <phoneticPr fontId="1" type="noConversion"/>
  </si>
  <si>
    <t>价值球员人数</t>
    <phoneticPr fontId="1" type="noConversion"/>
  </si>
  <si>
    <t>守球规则
加减球</t>
    <phoneticPr fontId="1" type="noConversion"/>
  </si>
  <si>
    <r>
      <t>4月</t>
    </r>
    <r>
      <rPr>
        <b/>
        <sz val="11"/>
        <color theme="0"/>
        <rFont val="微软雅黑"/>
        <family val="2"/>
        <charset val="134"/>
      </rPr>
      <t>二次应收</t>
    </r>
    <phoneticPr fontId="1" type="noConversion"/>
  </si>
  <si>
    <r>
      <t>4月</t>
    </r>
    <r>
      <rPr>
        <b/>
        <sz val="11"/>
        <color theme="0"/>
        <rFont val="微软雅黑"/>
        <family val="2"/>
        <charset val="134"/>
      </rPr>
      <t>二次实收</t>
    </r>
    <phoneticPr fontId="1" type="noConversion"/>
  </si>
  <si>
    <r>
      <t>4月</t>
    </r>
    <r>
      <rPr>
        <b/>
        <sz val="11"/>
        <color theme="0"/>
        <rFont val="微软雅黑"/>
        <family val="2"/>
        <charset val="134"/>
      </rPr>
      <t>三次应收</t>
    </r>
    <phoneticPr fontId="1" type="noConversion"/>
  </si>
  <si>
    <r>
      <t>4月</t>
    </r>
    <r>
      <rPr>
        <b/>
        <sz val="11"/>
        <color theme="0"/>
        <rFont val="微软雅黑"/>
        <family val="2"/>
        <charset val="134"/>
      </rPr>
      <t>三次实收</t>
    </r>
    <phoneticPr fontId="1" type="noConversion"/>
  </si>
  <si>
    <t>应收</t>
    <phoneticPr fontId="1" type="noConversion"/>
  </si>
  <si>
    <t>继续率</t>
    <phoneticPr fontId="1" type="noConversion"/>
  </si>
  <si>
    <t>郴州</t>
    <phoneticPr fontId="1" type="noConversion"/>
  </si>
  <si>
    <t>娄底</t>
    <phoneticPr fontId="1" type="noConversion"/>
  </si>
  <si>
    <t>益阳</t>
    <phoneticPr fontId="1" type="noConversion"/>
  </si>
  <si>
    <t>中锋</t>
    <phoneticPr fontId="1" type="noConversion"/>
  </si>
  <si>
    <t>岳阳</t>
    <phoneticPr fontId="1" type="noConversion"/>
  </si>
  <si>
    <t>前锋</t>
    <phoneticPr fontId="1" type="noConversion"/>
  </si>
  <si>
    <t>常德</t>
    <phoneticPr fontId="1" type="noConversion"/>
  </si>
  <si>
    <t>1-7月积分合计</t>
    <phoneticPr fontId="1" type="noConversion"/>
  </si>
  <si>
    <t>陈华</t>
  </si>
  <si>
    <t>常德本部</t>
  </si>
  <si>
    <t>陈文辉</t>
  </si>
  <si>
    <t>陈瑶</t>
  </si>
  <si>
    <t>仇丹</t>
  </si>
  <si>
    <t>邓银芳</t>
  </si>
  <si>
    <t>范情辉</t>
  </si>
  <si>
    <t>高桂云</t>
  </si>
  <si>
    <t>郭堂青</t>
  </si>
  <si>
    <t>郭文娟</t>
  </si>
  <si>
    <t>何凤雨</t>
  </si>
  <si>
    <t>何建滨</t>
  </si>
  <si>
    <t>何文红</t>
  </si>
  <si>
    <t>常德石门</t>
  </si>
  <si>
    <t>胡腊英</t>
  </si>
  <si>
    <t>胡素娟</t>
  </si>
  <si>
    <t>胡伟</t>
  </si>
  <si>
    <t>胡亚进</t>
  </si>
  <si>
    <t>黄桔香</t>
  </si>
  <si>
    <t>怀化</t>
  </si>
  <si>
    <t>李文云</t>
  </si>
  <si>
    <t>李艳平</t>
  </si>
  <si>
    <t>刘峰</t>
  </si>
  <si>
    <t>刘桂青</t>
  </si>
  <si>
    <t>刘菊</t>
  </si>
  <si>
    <t>刘菊英</t>
  </si>
  <si>
    <t>刘军连</t>
  </si>
  <si>
    <t>刘兰妹</t>
  </si>
  <si>
    <t>刘念</t>
  </si>
  <si>
    <t>刘颖</t>
  </si>
  <si>
    <t>马利芝</t>
  </si>
  <si>
    <t>欧阳兆慧</t>
  </si>
  <si>
    <t>彭运清</t>
  </si>
  <si>
    <t>饶泽梅</t>
  </si>
  <si>
    <t>谭金玉</t>
  </si>
  <si>
    <t>唐朝霞</t>
  </si>
  <si>
    <t>王灿</t>
  </si>
  <si>
    <t>王敏</t>
  </si>
  <si>
    <t>王晓娟</t>
  </si>
  <si>
    <t>王银平</t>
  </si>
  <si>
    <t>文庆元</t>
  </si>
  <si>
    <t>吴银花</t>
  </si>
  <si>
    <t>吴雨珅</t>
  </si>
  <si>
    <t>肖玲林</t>
  </si>
  <si>
    <t>谢宇兰</t>
  </si>
  <si>
    <t>熊灿</t>
  </si>
  <si>
    <t>熊伟</t>
  </si>
  <si>
    <t>熊运芝</t>
  </si>
  <si>
    <t>徐美群</t>
  </si>
  <si>
    <t>阳利</t>
  </si>
  <si>
    <t>杨冬香</t>
  </si>
  <si>
    <t>杨芳</t>
  </si>
  <si>
    <t>杨华</t>
  </si>
  <si>
    <t>易跃辉</t>
  </si>
  <si>
    <t>曾柳英</t>
  </si>
  <si>
    <t>曾勇</t>
  </si>
  <si>
    <t>张秦</t>
  </si>
  <si>
    <t>周爱芝</t>
  </si>
  <si>
    <t>朱姗</t>
  </si>
  <si>
    <t>朱永霞</t>
  </si>
  <si>
    <t>陈靖华</t>
  </si>
  <si>
    <t>胡青梅</t>
  </si>
  <si>
    <t>李佳毅</t>
  </si>
  <si>
    <t>李祺宇</t>
  </si>
  <si>
    <t>廖艳</t>
  </si>
  <si>
    <t>罗静</t>
  </si>
  <si>
    <t>杨柯</t>
  </si>
  <si>
    <t>余建辉</t>
  </si>
  <si>
    <t>张彩红</t>
  </si>
  <si>
    <t>周丽</t>
  </si>
  <si>
    <t>达标差距（86%）</t>
    <phoneticPr fontId="1" type="noConversion"/>
  </si>
  <si>
    <t>-2</t>
  </si>
  <si>
    <t>达标差距(94%)</t>
    <phoneticPr fontId="1" type="noConversion"/>
  </si>
  <si>
    <t>娄底</t>
    <phoneticPr fontId="1" type="noConversion"/>
  </si>
  <si>
    <t>郴州</t>
    <phoneticPr fontId="1" type="noConversion"/>
  </si>
  <si>
    <t>衡阳</t>
    <phoneticPr fontId="1" type="noConversion"/>
  </si>
  <si>
    <t>邵阳</t>
    <phoneticPr fontId="1" type="noConversion"/>
  </si>
  <si>
    <t>三级机构宽一13月继续率</t>
  </si>
  <si>
    <t>渠道</t>
  </si>
  <si>
    <t>分公司</t>
  </si>
  <si>
    <t>二级代码</t>
  </si>
  <si>
    <t>中支机构</t>
  </si>
  <si>
    <t>三级代码</t>
  </si>
  <si>
    <t>总量件数</t>
  </si>
  <si>
    <t>实收件数</t>
  </si>
  <si>
    <t>总量保费</t>
  </si>
  <si>
    <t>实收保费</t>
  </si>
  <si>
    <t>继续率</t>
  </si>
  <si>
    <t>个险</t>
  </si>
  <si>
    <t>湖南</t>
  </si>
  <si>
    <t>8643</t>
  </si>
  <si>
    <t>湖南分公司本部</t>
  </si>
  <si>
    <t>864300</t>
  </si>
  <si>
    <t>株洲中心支公司</t>
  </si>
  <si>
    <t>864302</t>
  </si>
  <si>
    <t>湘潭中心支公司</t>
  </si>
  <si>
    <t>864303</t>
  </si>
  <si>
    <t>衡阳中心支公司</t>
  </si>
  <si>
    <t>864304</t>
  </si>
  <si>
    <t>邵阳中心支公司</t>
  </si>
  <si>
    <t>864305</t>
  </si>
  <si>
    <t>岳阳中心支公司</t>
  </si>
  <si>
    <t>864306</t>
  </si>
  <si>
    <t>常德中心支公司</t>
  </si>
  <si>
    <t>864307</t>
  </si>
  <si>
    <t>益阳中心支公司</t>
  </si>
  <si>
    <t>864309</t>
  </si>
  <si>
    <t>郴州中心支公司</t>
  </si>
  <si>
    <t>864310</t>
  </si>
  <si>
    <t>娄底中心支公司</t>
  </si>
  <si>
    <t>864313</t>
  </si>
  <si>
    <t>合计</t>
  </si>
  <si>
    <t>银险</t>
  </si>
  <si>
    <t>怀化中心支公司</t>
  </si>
  <si>
    <t>864312</t>
  </si>
  <si>
    <t>三级机构宽一25月继续率</t>
  </si>
  <si>
    <t>指标</t>
  </si>
  <si>
    <t>应收</t>
  </si>
  <si>
    <t>实收</t>
  </si>
  <si>
    <t>明阳队</t>
    <phoneticPr fontId="1" type="noConversion"/>
  </si>
  <si>
    <t>湘永队</t>
    <phoneticPr fontId="1" type="noConversion"/>
  </si>
  <si>
    <t>怀化</t>
    <phoneticPr fontId="1" type="noConversion"/>
  </si>
  <si>
    <t>娄底</t>
    <phoneticPr fontId="1" type="noConversion"/>
  </si>
  <si>
    <t>郭堂青</t>
    <phoneticPr fontId="1" type="noConversion"/>
  </si>
  <si>
    <t>邵阳</t>
    <phoneticPr fontId="1" type="noConversion"/>
  </si>
  <si>
    <t>刘双云</t>
    <phoneticPr fontId="1" type="noConversion"/>
  </si>
  <si>
    <t>湘潭</t>
    <phoneticPr fontId="1" type="noConversion"/>
  </si>
  <si>
    <t>刘颖</t>
    <phoneticPr fontId="1" type="noConversion"/>
  </si>
  <si>
    <t>代码</t>
    <phoneticPr fontId="1" type="noConversion"/>
  </si>
  <si>
    <t>邵阳</t>
    <phoneticPr fontId="1" type="noConversion"/>
  </si>
  <si>
    <t>刘双云</t>
    <phoneticPr fontId="1" type="noConversion"/>
  </si>
  <si>
    <t>代码</t>
    <phoneticPr fontId="1" type="noConversion"/>
  </si>
  <si>
    <t>红</t>
    <phoneticPr fontId="1" type="noConversion"/>
  </si>
  <si>
    <t>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</si>
</sst>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rgb="FFFFFF0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1"/>
      <color rgb="FF0070C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2"/>
      <color theme="0"/>
      <name val="华康俪金黑W8(P)"/>
      <family val="2"/>
      <charset val="134"/>
    </font>
    <font>
      <sz val="12"/>
      <color rgb="FFFFFF00"/>
      <name val="华康俪金黑W8(P)"/>
      <family val="2"/>
      <charset val="134"/>
    </font>
    <font>
      <b/>
      <sz val="14"/>
      <color rgb="FFC00000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sz val="14"/>
      <color rgb="FFFF0000"/>
      <name val="华康俪金黑W8"/>
      <family val="3"/>
      <charset val="134"/>
    </font>
    <font>
      <b/>
      <sz val="10"/>
      <color rgb="FFFF0000"/>
      <name val="微软雅黑"/>
      <family val="2"/>
      <charset val="134"/>
    </font>
    <font>
      <sz val="12"/>
      <color theme="1"/>
      <name val="华康俪金黑W8"/>
      <family val="3"/>
      <charset val="134"/>
    </font>
    <font>
      <sz val="12"/>
      <color rgb="FFC00000"/>
      <name val="华康俪金黑W8"/>
      <family val="3"/>
      <charset val="134"/>
    </font>
    <font>
      <sz val="12"/>
      <color rgb="FF0070C0"/>
      <name val="华康俪金黑W8"/>
      <family val="3"/>
      <charset val="134"/>
    </font>
    <font>
      <sz val="10"/>
      <color theme="0"/>
      <name val="华康俪金黑W8"/>
      <family val="3"/>
      <charset val="134"/>
    </font>
    <font>
      <sz val="10"/>
      <color rgb="FFC00000"/>
      <name val="华康俪金黑W8"/>
      <family val="3"/>
      <charset val="134"/>
    </font>
    <font>
      <sz val="10"/>
      <color rgb="FF0070C0"/>
      <name val="华康俪金黑W8"/>
      <family val="3"/>
      <charset val="134"/>
    </font>
    <font>
      <sz val="11"/>
      <color rgb="FFC00000"/>
      <name val="华康俪金黑W8"/>
      <family val="3"/>
      <charset val="134"/>
    </font>
    <font>
      <sz val="11"/>
      <color rgb="FF0070C0"/>
      <name val="华康俪金黑W8"/>
      <family val="3"/>
      <charset val="134"/>
    </font>
    <font>
      <sz val="11"/>
      <color theme="1"/>
      <name val="宋体"/>
      <family val="2"/>
      <scheme val="minor"/>
    </font>
    <font>
      <sz val="18"/>
      <color theme="0"/>
      <name val="华康俪金黑W8"/>
      <family val="3"/>
      <charset val="134"/>
    </font>
    <font>
      <sz val="10"/>
      <name val="方正粗宋_GBK"/>
      <family val="4"/>
      <charset val="134"/>
    </font>
    <font>
      <sz val="10"/>
      <color theme="1"/>
      <name val="方正粗宋_GBK"/>
      <family val="4"/>
      <charset val="134"/>
    </font>
    <font>
      <sz val="22"/>
      <color theme="0"/>
      <name val="华康俪金黑W8"/>
      <family val="3"/>
      <charset val="134"/>
    </font>
    <font>
      <sz val="16"/>
      <color theme="0"/>
      <name val="华康俪金黑W8"/>
      <family val="3"/>
      <charset val="134"/>
    </font>
    <font>
      <b/>
      <sz val="11"/>
      <color theme="1"/>
      <name val="华文细黑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/>
      <diagonal/>
    </border>
    <border>
      <left/>
      <right/>
      <top/>
      <bottom style="medium">
        <color rgb="FFC00000"/>
      </bottom>
      <diagonal/>
    </border>
    <border>
      <left/>
      <right/>
      <top/>
      <bottom style="medium">
        <color rgb="FF0070C0"/>
      </bottom>
      <diagonal/>
    </border>
  </borders>
  <cellStyleXfs count="2">
    <xf numFmtId="0" fontId="0" fillId="0" borderId="0"/>
    <xf numFmtId="9" fontId="27" fillId="0" borderId="0" applyFont="0" applyFill="0" applyBorder="0" applyAlignment="0" applyProtection="0">
      <alignment vertical="center"/>
    </xf>
  </cellStyleXfs>
  <cellXfs count="16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3" fillId="3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10" fontId="18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5" fillId="4" borderId="0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3" fillId="0" borderId="1" xfId="0" applyNumberFormat="1" applyFont="1" applyBorder="1" applyAlignment="1">
      <alignment horizontal="center" vertical="center" wrapText="1"/>
    </xf>
    <xf numFmtId="10" fontId="3" fillId="0" borderId="1" xfId="1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" fontId="12" fillId="0" borderId="2" xfId="0" applyNumberFormat="1" applyFont="1" applyBorder="1" applyAlignment="1">
      <alignment horizontal="center" vertical="center"/>
    </xf>
    <xf numFmtId="0" fontId="29" fillId="6" borderId="10" xfId="0" applyFont="1" applyFill="1" applyBorder="1" applyAlignment="1">
      <alignment horizontal="center" vertical="center" wrapText="1" readingOrder="1"/>
    </xf>
    <xf numFmtId="0" fontId="29" fillId="6" borderId="12" xfId="0" applyFont="1" applyFill="1" applyBorder="1" applyAlignment="1">
      <alignment horizontal="center" vertical="center" wrapText="1" readingOrder="1"/>
    </xf>
    <xf numFmtId="0" fontId="29" fillId="6" borderId="13" xfId="0" applyFont="1" applyFill="1" applyBorder="1" applyAlignment="1">
      <alignment horizontal="center" vertical="center" wrapText="1" readingOrder="1"/>
    </xf>
    <xf numFmtId="0" fontId="29" fillId="6" borderId="14" xfId="0" applyFont="1" applyFill="1" applyBorder="1" applyAlignment="1">
      <alignment horizontal="center" vertical="center" wrapText="1" readingOrder="1"/>
    </xf>
    <xf numFmtId="0" fontId="29" fillId="6" borderId="11" xfId="0" applyFont="1" applyFill="1" applyBorder="1" applyAlignment="1">
      <alignment horizontal="center" vertical="center" wrapText="1" readingOrder="1"/>
    </xf>
    <xf numFmtId="0" fontId="0" fillId="0" borderId="0" xfId="0" applyAlignment="1">
      <alignment horizontal="center" readingOrder="1"/>
    </xf>
    <xf numFmtId="10" fontId="29" fillId="6" borderId="13" xfId="0" applyNumberFormat="1" applyFont="1" applyFill="1" applyBorder="1" applyAlignment="1">
      <alignment horizontal="center" vertical="center" wrapText="1" readingOrder="1"/>
    </xf>
    <xf numFmtId="0" fontId="29" fillId="6" borderId="15" xfId="0" applyFont="1" applyFill="1" applyBorder="1" applyAlignment="1">
      <alignment horizontal="center" vertical="center" wrapText="1" readingOrder="1"/>
    </xf>
    <xf numFmtId="10" fontId="29" fillId="6" borderId="15" xfId="0" applyNumberFormat="1" applyFont="1" applyFill="1" applyBorder="1" applyAlignment="1">
      <alignment horizontal="center" vertical="center" wrapText="1" readingOrder="1"/>
    </xf>
    <xf numFmtId="0" fontId="30" fillId="0" borderId="0" xfId="0" applyFont="1" applyAlignment="1">
      <alignment horizontal="center" readingOrder="1"/>
    </xf>
    <xf numFmtId="10" fontId="30" fillId="0" borderId="0" xfId="1" applyNumberFormat="1" applyFont="1" applyAlignment="1">
      <alignment horizontal="center" readingOrder="1"/>
    </xf>
    <xf numFmtId="0" fontId="12" fillId="0" borderId="1" xfId="0" applyFont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9" fontId="3" fillId="0" borderId="0" xfId="1" applyNumberFormat="1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7" borderId="1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0" fontId="12" fillId="5" borderId="1" xfId="0" applyNumberFormat="1" applyFont="1" applyFill="1" applyBorder="1" applyAlignment="1">
      <alignment horizontal="center" vertical="center"/>
    </xf>
    <xf numFmtId="10" fontId="12" fillId="9" borderId="1" xfId="0" applyNumberFormat="1" applyFont="1" applyFill="1" applyBorder="1" applyAlignment="1">
      <alignment horizontal="center" vertical="center"/>
    </xf>
    <xf numFmtId="10" fontId="12" fillId="10" borderId="1" xfId="0" applyNumberFormat="1" applyFont="1" applyFill="1" applyBorder="1" applyAlignment="1">
      <alignment horizontal="center" vertical="center"/>
    </xf>
    <xf numFmtId="10" fontId="12" fillId="9" borderId="1" xfId="1" applyNumberFormat="1" applyFont="1" applyFill="1" applyBorder="1" applyAlignment="1">
      <alignment horizontal="center" vertical="center"/>
    </xf>
    <xf numFmtId="0" fontId="0" fillId="0" borderId="0" xfId="0" applyFill="1"/>
    <xf numFmtId="0" fontId="0" fillId="8" borderId="0" xfId="0" applyFill="1"/>
    <xf numFmtId="0" fontId="0" fillId="11" borderId="0" xfId="0" applyFill="1"/>
    <xf numFmtId="0" fontId="12" fillId="8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 wrapText="1"/>
    </xf>
    <xf numFmtId="0" fontId="22" fillId="3" borderId="4" xfId="0" applyFont="1" applyFill="1" applyBorder="1" applyAlignment="1">
      <alignment horizontal="center" vertical="center"/>
    </xf>
    <xf numFmtId="0" fontId="22" fillId="3" borderId="5" xfId="0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center" vertical="center" wrapText="1"/>
    </xf>
    <xf numFmtId="0" fontId="22" fillId="3" borderId="2" xfId="0" applyFont="1" applyFill="1" applyBorder="1" applyAlignment="1">
      <alignment horizontal="center" vertical="center"/>
    </xf>
    <xf numFmtId="0" fontId="22" fillId="3" borderId="8" xfId="0" applyFont="1" applyFill="1" applyBorder="1" applyAlignment="1">
      <alignment horizontal="center" vertical="center"/>
    </xf>
    <xf numFmtId="0" fontId="22" fillId="3" borderId="3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2" fillId="2" borderId="3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top"/>
    </xf>
    <xf numFmtId="0" fontId="28" fillId="2" borderId="8" xfId="0" applyFont="1" applyFill="1" applyBorder="1" applyAlignment="1">
      <alignment horizontal="center" vertical="top"/>
    </xf>
    <xf numFmtId="0" fontId="28" fillId="2" borderId="3" xfId="0" applyFont="1" applyFill="1" applyBorder="1" applyAlignment="1">
      <alignment horizontal="center" vertical="top"/>
    </xf>
    <xf numFmtId="0" fontId="31" fillId="3" borderId="2" xfId="0" applyFont="1" applyFill="1" applyBorder="1" applyAlignment="1">
      <alignment horizontal="center" vertical="top"/>
    </xf>
    <xf numFmtId="0" fontId="28" fillId="3" borderId="8" xfId="0" applyFont="1" applyFill="1" applyBorder="1" applyAlignment="1">
      <alignment horizontal="center" vertical="top"/>
    </xf>
    <xf numFmtId="0" fontId="28" fillId="3" borderId="3" xfId="0" applyFont="1" applyFill="1" applyBorder="1" applyAlignment="1">
      <alignment horizontal="center" vertical="top"/>
    </xf>
    <xf numFmtId="0" fontId="12" fillId="0" borderId="2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17" fillId="0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33" fillId="0" borderId="16" xfId="0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 readingOrder="1"/>
    </xf>
    <xf numFmtId="10" fontId="30" fillId="0" borderId="0" xfId="1" applyNumberFormat="1" applyFont="1" applyAlignment="1">
      <alignment horizontal="center" vertical="center" readingOrder="1"/>
    </xf>
    <xf numFmtId="1" fontId="18" fillId="0" borderId="1" xfId="0" applyNumberFormat="1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FF99"/>
      <color rgb="FFFFFF66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#&#12304;&#20116;&#26376;&#12305;&#34013;&#38431;!A1"/><Relationship Id="rId18" Type="http://schemas.openxmlformats.org/officeDocument/2006/relationships/image" Target="../media/image12.png"/><Relationship Id="rId26" Type="http://schemas.openxmlformats.org/officeDocument/2006/relationships/image" Target="../media/image16.png"/><Relationship Id="rId3" Type="http://schemas.openxmlformats.org/officeDocument/2006/relationships/image" Target="../media/image3.png"/><Relationship Id="rId21" Type="http://schemas.openxmlformats.org/officeDocument/2006/relationships/hyperlink" Target="#&#12304;&#20010;&#38505;&#12305;&#20010;&#20154;&#31687;!A1"/><Relationship Id="rId7" Type="http://schemas.openxmlformats.org/officeDocument/2006/relationships/hyperlink" Target="#&#12304;&#20116;&#26376;&#12305;&#32418;&#38431;!A1"/><Relationship Id="rId12" Type="http://schemas.openxmlformats.org/officeDocument/2006/relationships/image" Target="../media/image9.png"/><Relationship Id="rId17" Type="http://schemas.openxmlformats.org/officeDocument/2006/relationships/hyperlink" Target="#&#12304;&#19971;&#26376;&#12305;&#34013;&#38431;!A1"/><Relationship Id="rId25" Type="http://schemas.openxmlformats.org/officeDocument/2006/relationships/hyperlink" Target="#&#19978;&#21322;&#22330;&#23454;&#26102;&#25112;&#20917;!A1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20" Type="http://schemas.openxmlformats.org/officeDocument/2006/relationships/image" Target="../media/image13.png"/><Relationship Id="rId29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hyperlink" Target="#&#12304;&#19971;&#26376;&#12305;&#32418;&#38431;!A1"/><Relationship Id="rId24" Type="http://schemas.openxmlformats.org/officeDocument/2006/relationships/image" Target="../media/image15.png"/><Relationship Id="rId5" Type="http://schemas.openxmlformats.org/officeDocument/2006/relationships/image" Target="../media/image5.png"/><Relationship Id="rId15" Type="http://schemas.openxmlformats.org/officeDocument/2006/relationships/hyperlink" Target="#&#12304;&#20845;&#26376;&#12305;&#34013;&#38431;!A1"/><Relationship Id="rId23" Type="http://schemas.openxmlformats.org/officeDocument/2006/relationships/hyperlink" Target="#&#12304;&#38134;&#38505;&#12305;&#20010;&#20154;&#31687;!A1"/><Relationship Id="rId28" Type="http://schemas.openxmlformats.org/officeDocument/2006/relationships/image" Target="../media/image18.PNG"/><Relationship Id="rId10" Type="http://schemas.openxmlformats.org/officeDocument/2006/relationships/image" Target="../media/image8.png"/><Relationship Id="rId19" Type="http://schemas.openxmlformats.org/officeDocument/2006/relationships/hyperlink" Target="#&#23432;&#38376;&#21592;&#23432;&#29699;!A1"/><Relationship Id="rId4" Type="http://schemas.openxmlformats.org/officeDocument/2006/relationships/image" Target="../media/image4.png"/><Relationship Id="rId9" Type="http://schemas.openxmlformats.org/officeDocument/2006/relationships/hyperlink" Target="#&#12304;&#20845;&#26376;&#12305;&#32418;&#38431;!A1"/><Relationship Id="rId14" Type="http://schemas.openxmlformats.org/officeDocument/2006/relationships/image" Target="../media/image10.png"/><Relationship Id="rId22" Type="http://schemas.openxmlformats.org/officeDocument/2006/relationships/image" Target="../media/image14.png"/><Relationship Id="rId27" Type="http://schemas.openxmlformats.org/officeDocument/2006/relationships/image" Target="../media/image17.PNG"/><Relationship Id="rId30" Type="http://schemas.openxmlformats.org/officeDocument/2006/relationships/image" Target="../media/image2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4.PNG"/><Relationship Id="rId7" Type="http://schemas.openxmlformats.org/officeDocument/2006/relationships/image" Target="../media/image27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5" Type="http://schemas.openxmlformats.org/officeDocument/2006/relationships/hyperlink" Target="#&#26041;&#26696;&#25112;&#25253;!A1"/><Relationship Id="rId10" Type="http://schemas.openxmlformats.org/officeDocument/2006/relationships/image" Target="../media/image30.png"/><Relationship Id="rId4" Type="http://schemas.openxmlformats.org/officeDocument/2006/relationships/image" Target="../media/image25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&#26041;&#26696;&#25112;&#25253;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hyperlink" Target="#&#26041;&#26696;&#25112;&#25253;!A1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&#26041;&#26696;&#25112;&#25253;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&#26041;&#26696;&#25112;&#25253;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hyperlink" Target="#&#26041;&#26696;&#25112;&#25253;!A1"/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&#26041;&#26696;&#25112;&#25253;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&#26041;&#26696;&#25112;&#25253;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26041;&#26696;&#25112;&#25253;!A1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26041;&#26696;&#25112;&#25253;!A1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&#26041;&#26696;&#25112;&#25253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19</xdr:col>
      <xdr:colOff>161925</xdr:colOff>
      <xdr:row>39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13192124" cy="6734175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0</xdr:row>
      <xdr:rowOff>0</xdr:rowOff>
    </xdr:from>
    <xdr:to>
      <xdr:col>14</xdr:col>
      <xdr:colOff>435429</xdr:colOff>
      <xdr:row>9</xdr:row>
      <xdr:rowOff>104892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35" t="13198"/>
        <a:stretch/>
      </xdr:blipFill>
      <xdr:spPr>
        <a:xfrm>
          <a:off x="3755572" y="0"/>
          <a:ext cx="6204857" cy="1696928"/>
        </a:xfrm>
        <a:prstGeom prst="rect">
          <a:avLst/>
        </a:prstGeom>
      </xdr:spPr>
    </xdr:pic>
    <xdr:clientData/>
  </xdr:twoCellAnchor>
  <xdr:twoCellAnchor editAs="oneCell">
    <xdr:from>
      <xdr:col>7</xdr:col>
      <xdr:colOff>78621</xdr:colOff>
      <xdr:row>9</xdr:row>
      <xdr:rowOff>146886</xdr:rowOff>
    </xdr:from>
    <xdr:to>
      <xdr:col>11</xdr:col>
      <xdr:colOff>417287</xdr:colOff>
      <xdr:row>13</xdr:row>
      <xdr:rowOff>84668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3" t="6593" r="5641" b="24726"/>
        <a:stretch/>
      </xdr:blipFill>
      <xdr:spPr>
        <a:xfrm>
          <a:off x="4841121" y="1738922"/>
          <a:ext cx="3060095" cy="645353"/>
        </a:xfrm>
        <a:prstGeom prst="rect">
          <a:avLst/>
        </a:prstGeom>
      </xdr:spPr>
    </xdr:pic>
    <xdr:clientData/>
  </xdr:twoCellAnchor>
  <xdr:twoCellAnchor editAs="oneCell">
    <xdr:from>
      <xdr:col>4</xdr:col>
      <xdr:colOff>445294</xdr:colOff>
      <xdr:row>13</xdr:row>
      <xdr:rowOff>174799</xdr:rowOff>
    </xdr:from>
    <xdr:to>
      <xdr:col>7</xdr:col>
      <xdr:colOff>369093</xdr:colOff>
      <xdr:row>17</xdr:row>
      <xdr:rowOff>138202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723" y="2474406"/>
          <a:ext cx="1964870" cy="670975"/>
        </a:xfrm>
        <a:prstGeom prst="rect">
          <a:avLst/>
        </a:prstGeom>
      </xdr:spPr>
    </xdr:pic>
    <xdr:clientData/>
  </xdr:twoCellAnchor>
  <xdr:twoCellAnchor editAs="oneCell">
    <xdr:from>
      <xdr:col>4</xdr:col>
      <xdr:colOff>88106</xdr:colOff>
      <xdr:row>14</xdr:row>
      <xdr:rowOff>57437</xdr:rowOff>
    </xdr:from>
    <xdr:to>
      <xdr:col>4</xdr:col>
      <xdr:colOff>488901</xdr:colOff>
      <xdr:row>16</xdr:row>
      <xdr:rowOff>135062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screen"/>
        <a:stretch>
          <a:fillRect/>
        </a:stretch>
      </xdr:blipFill>
      <xdr:spPr>
        <a:xfrm>
          <a:off x="2809535" y="2533937"/>
          <a:ext cx="400795" cy="431411"/>
        </a:xfrm>
        <a:prstGeom prst="rect">
          <a:avLst/>
        </a:prstGeom>
      </xdr:spPr>
    </xdr:pic>
    <xdr:clientData/>
  </xdr:twoCellAnchor>
  <xdr:twoCellAnchor editAs="oneCell">
    <xdr:from>
      <xdr:col>10</xdr:col>
      <xdr:colOff>517073</xdr:colOff>
      <xdr:row>13</xdr:row>
      <xdr:rowOff>136075</xdr:rowOff>
    </xdr:from>
    <xdr:to>
      <xdr:col>14</xdr:col>
      <xdr:colOff>22864</xdr:colOff>
      <xdr:row>18</xdr:row>
      <xdr:rowOff>7574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644" y="2435682"/>
          <a:ext cx="2227220" cy="755963"/>
        </a:xfrm>
        <a:prstGeom prst="rect">
          <a:avLst/>
        </a:prstGeom>
      </xdr:spPr>
    </xdr:pic>
    <xdr:clientData/>
  </xdr:twoCellAnchor>
  <xdr:twoCellAnchor editAs="oneCell">
    <xdr:from>
      <xdr:col>10</xdr:col>
      <xdr:colOff>128927</xdr:colOff>
      <xdr:row>14</xdr:row>
      <xdr:rowOff>71725</xdr:rowOff>
    </xdr:from>
    <xdr:to>
      <xdr:col>10</xdr:col>
      <xdr:colOff>529722</xdr:colOff>
      <xdr:row>16</xdr:row>
      <xdr:rowOff>158875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 cstate="screen"/>
        <a:stretch>
          <a:fillRect/>
        </a:stretch>
      </xdr:blipFill>
      <xdr:spPr>
        <a:xfrm>
          <a:off x="6932498" y="2548225"/>
          <a:ext cx="400795" cy="440936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17</xdr:row>
      <xdr:rowOff>86150</xdr:rowOff>
    </xdr:from>
    <xdr:to>
      <xdr:col>14</xdr:col>
      <xdr:colOff>108214</xdr:colOff>
      <xdr:row>19</xdr:row>
      <xdr:rowOff>108860</xdr:rowOff>
    </xdr:to>
    <xdr:pic>
      <xdr:nvPicPr>
        <xdr:cNvPr id="12" name="图片 11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599"/>
        <a:stretch/>
      </xdr:blipFill>
      <xdr:spPr>
        <a:xfrm>
          <a:off x="7184571" y="3093329"/>
          <a:ext cx="2448643" cy="376495"/>
        </a:xfrm>
        <a:prstGeom prst="rect">
          <a:avLst/>
        </a:prstGeom>
      </xdr:spPr>
    </xdr:pic>
    <xdr:clientData/>
  </xdr:twoCellAnchor>
  <xdr:twoCellAnchor editAs="oneCell">
    <xdr:from>
      <xdr:col>10</xdr:col>
      <xdr:colOff>367716</xdr:colOff>
      <xdr:row>22</xdr:row>
      <xdr:rowOff>72866</xdr:rowOff>
    </xdr:from>
    <xdr:to>
      <xdr:col>14</xdr:col>
      <xdr:colOff>94930</xdr:colOff>
      <xdr:row>24</xdr:row>
      <xdr:rowOff>108860</xdr:rowOff>
    </xdr:to>
    <xdr:pic>
      <xdr:nvPicPr>
        <xdr:cNvPr id="13" name="图片 12">
          <a:hlinkClick xmlns:r="http://schemas.openxmlformats.org/officeDocument/2006/relationships" r:id="rId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974"/>
        <a:stretch/>
      </xdr:blipFill>
      <xdr:spPr>
        <a:xfrm>
          <a:off x="7171287" y="3964509"/>
          <a:ext cx="2448643" cy="389780"/>
        </a:xfrm>
        <a:prstGeom prst="rect">
          <a:avLst/>
        </a:prstGeom>
      </xdr:spPr>
    </xdr:pic>
    <xdr:clientData/>
  </xdr:twoCellAnchor>
  <xdr:twoCellAnchor editAs="oneCell">
    <xdr:from>
      <xdr:col>10</xdr:col>
      <xdr:colOff>354430</xdr:colOff>
      <xdr:row>27</xdr:row>
      <xdr:rowOff>32365</xdr:rowOff>
    </xdr:from>
    <xdr:to>
      <xdr:col>14</xdr:col>
      <xdr:colOff>81644</xdr:colOff>
      <xdr:row>29</xdr:row>
      <xdr:rowOff>68038</xdr:rowOff>
    </xdr:to>
    <xdr:pic>
      <xdr:nvPicPr>
        <xdr:cNvPr id="14" name="图片 13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037"/>
        <a:stretch/>
      </xdr:blipFill>
      <xdr:spPr>
        <a:xfrm>
          <a:off x="7158001" y="4808472"/>
          <a:ext cx="2448643" cy="389459"/>
        </a:xfrm>
        <a:prstGeom prst="rect">
          <a:avLst/>
        </a:prstGeom>
      </xdr:spPr>
    </xdr:pic>
    <xdr:clientData/>
  </xdr:twoCellAnchor>
  <xdr:twoCellAnchor editAs="oneCell">
    <xdr:from>
      <xdr:col>10</xdr:col>
      <xdr:colOff>367395</xdr:colOff>
      <xdr:row>19</xdr:row>
      <xdr:rowOff>162037</xdr:rowOff>
    </xdr:from>
    <xdr:to>
      <xdr:col>14</xdr:col>
      <xdr:colOff>122466</xdr:colOff>
      <xdr:row>22</xdr:row>
      <xdr:rowOff>40824</xdr:rowOff>
    </xdr:to>
    <xdr:pic>
      <xdr:nvPicPr>
        <xdr:cNvPr id="15" name="图片 14">
          <a:hlinkClick xmlns:r="http://schemas.openxmlformats.org/officeDocument/2006/relationships" r:id="rId1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994"/>
        <a:stretch/>
      </xdr:blipFill>
      <xdr:spPr>
        <a:xfrm>
          <a:off x="7170966" y="3523001"/>
          <a:ext cx="2476500" cy="409466"/>
        </a:xfrm>
        <a:prstGeom prst="rect">
          <a:avLst/>
        </a:prstGeom>
      </xdr:spPr>
    </xdr:pic>
    <xdr:clientData/>
  </xdr:twoCellAnchor>
  <xdr:twoCellAnchor editAs="oneCell">
    <xdr:from>
      <xdr:col>10</xdr:col>
      <xdr:colOff>354109</xdr:colOff>
      <xdr:row>24</xdr:row>
      <xdr:rowOff>165237</xdr:rowOff>
    </xdr:from>
    <xdr:to>
      <xdr:col>14</xdr:col>
      <xdr:colOff>95251</xdr:colOff>
      <xdr:row>27</xdr:row>
      <xdr:rowOff>40825</xdr:rowOff>
    </xdr:to>
    <xdr:pic>
      <xdr:nvPicPr>
        <xdr:cNvPr id="16" name="图片 15">
          <a:hlinkClick xmlns:r="http://schemas.openxmlformats.org/officeDocument/2006/relationships" r:id="rId1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170"/>
        <a:stretch/>
      </xdr:blipFill>
      <xdr:spPr>
        <a:xfrm>
          <a:off x="7157680" y="4410666"/>
          <a:ext cx="2462571" cy="406266"/>
        </a:xfrm>
        <a:prstGeom prst="rect">
          <a:avLst/>
        </a:prstGeom>
      </xdr:spPr>
    </xdr:pic>
    <xdr:clientData/>
  </xdr:twoCellAnchor>
  <xdr:twoCellAnchor editAs="oneCell">
    <xdr:from>
      <xdr:col>10</xdr:col>
      <xdr:colOff>354430</xdr:colOff>
      <xdr:row>29</xdr:row>
      <xdr:rowOff>103110</xdr:rowOff>
    </xdr:from>
    <xdr:to>
      <xdr:col>14</xdr:col>
      <xdr:colOff>27217</xdr:colOff>
      <xdr:row>31</xdr:row>
      <xdr:rowOff>149681</xdr:rowOff>
    </xdr:to>
    <xdr:pic>
      <xdr:nvPicPr>
        <xdr:cNvPr id="17" name="图片 16">
          <a:hlinkClick xmlns:r="http://schemas.openxmlformats.org/officeDocument/2006/relationships" r:id="rId1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458"/>
        <a:stretch/>
      </xdr:blipFill>
      <xdr:spPr>
        <a:xfrm>
          <a:off x="7158001" y="5233003"/>
          <a:ext cx="2394216" cy="40035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36</xdr:row>
      <xdr:rowOff>66675</xdr:rowOff>
    </xdr:from>
    <xdr:to>
      <xdr:col>10</xdr:col>
      <xdr:colOff>257770</xdr:colOff>
      <xdr:row>38</xdr:row>
      <xdr:rowOff>161925</xdr:rowOff>
    </xdr:to>
    <xdr:pic>
      <xdr:nvPicPr>
        <xdr:cNvPr id="19" name="图片 18">
          <a:hlinkClick xmlns:r="http://schemas.openxmlformats.org/officeDocument/2006/relationships" r:id="rId1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30895"/>
        <a:stretch/>
      </xdr:blipFill>
      <xdr:spPr>
        <a:xfrm>
          <a:off x="4895851" y="6238875"/>
          <a:ext cx="2219919" cy="438150"/>
        </a:xfrm>
        <a:prstGeom prst="rect">
          <a:avLst/>
        </a:prstGeom>
      </xdr:spPr>
    </xdr:pic>
    <xdr:clientData/>
  </xdr:twoCellAnchor>
  <xdr:twoCellAnchor editAs="oneCell">
    <xdr:from>
      <xdr:col>4</xdr:col>
      <xdr:colOff>312966</xdr:colOff>
      <xdr:row>20</xdr:row>
      <xdr:rowOff>13607</xdr:rowOff>
    </xdr:from>
    <xdr:to>
      <xdr:col>7</xdr:col>
      <xdr:colOff>124717</xdr:colOff>
      <xdr:row>23</xdr:row>
      <xdr:rowOff>34291</xdr:rowOff>
    </xdr:to>
    <xdr:pic>
      <xdr:nvPicPr>
        <xdr:cNvPr id="20" name="图片 19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395" y="3551464"/>
          <a:ext cx="1852822" cy="551363"/>
        </a:xfrm>
        <a:prstGeom prst="rect">
          <a:avLst/>
        </a:prstGeom>
      </xdr:spPr>
    </xdr:pic>
    <xdr:clientData/>
  </xdr:twoCellAnchor>
  <xdr:twoCellAnchor editAs="oneCell">
    <xdr:from>
      <xdr:col>4</xdr:col>
      <xdr:colOff>326893</xdr:colOff>
      <xdr:row>23</xdr:row>
      <xdr:rowOff>119067</xdr:rowOff>
    </xdr:from>
    <xdr:to>
      <xdr:col>7</xdr:col>
      <xdr:colOff>136071</xdr:colOff>
      <xdr:row>26</xdr:row>
      <xdr:rowOff>129863</xdr:rowOff>
    </xdr:to>
    <xdr:pic>
      <xdr:nvPicPr>
        <xdr:cNvPr id="21" name="图片 20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322" y="4187603"/>
          <a:ext cx="1850249" cy="541474"/>
        </a:xfrm>
        <a:prstGeom prst="rect">
          <a:avLst/>
        </a:prstGeom>
      </xdr:spPr>
    </xdr:pic>
    <xdr:clientData/>
  </xdr:twoCellAnchor>
  <xdr:twoCellAnchor editAs="oneCell">
    <xdr:from>
      <xdr:col>6</xdr:col>
      <xdr:colOff>202407</xdr:colOff>
      <xdr:row>33</xdr:row>
      <xdr:rowOff>104774</xdr:rowOff>
    </xdr:from>
    <xdr:to>
      <xdr:col>11</xdr:col>
      <xdr:colOff>120764</xdr:colOff>
      <xdr:row>36</xdr:row>
      <xdr:rowOff>66675</xdr:rowOff>
    </xdr:to>
    <xdr:pic>
      <xdr:nvPicPr>
        <xdr:cNvPr id="22" name="图片 21">
          <a:hlinkClick xmlns:r="http://schemas.openxmlformats.org/officeDocument/2006/relationships" r:id="rId2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42" b="31715"/>
        <a:stretch/>
      </xdr:blipFill>
      <xdr:spPr>
        <a:xfrm>
          <a:off x="4317207" y="5762624"/>
          <a:ext cx="3347357" cy="4762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38100</xdr:rowOff>
    </xdr:from>
    <xdr:to>
      <xdr:col>9</xdr:col>
      <xdr:colOff>381000</xdr:colOff>
      <xdr:row>60</xdr:row>
      <xdr:rowOff>123824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724650"/>
          <a:ext cx="6553199" cy="3686174"/>
        </a:xfrm>
        <a:prstGeom prst="rect">
          <a:avLst/>
        </a:prstGeom>
      </xdr:spPr>
    </xdr:pic>
    <xdr:clientData/>
  </xdr:twoCellAnchor>
  <xdr:twoCellAnchor editAs="oneCell">
    <xdr:from>
      <xdr:col>9</xdr:col>
      <xdr:colOff>350024</xdr:colOff>
      <xdr:row>39</xdr:row>
      <xdr:rowOff>45223</xdr:rowOff>
    </xdr:from>
    <xdr:to>
      <xdr:col>19</xdr:col>
      <xdr:colOff>49496</xdr:colOff>
      <xdr:row>60</xdr:row>
      <xdr:rowOff>133350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2224" y="6731773"/>
          <a:ext cx="6557472" cy="3688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26194</xdr:rowOff>
    </xdr:from>
    <xdr:to>
      <xdr:col>19</xdr:col>
      <xdr:colOff>161924</xdr:colOff>
      <xdr:row>78</xdr:row>
      <xdr:rowOff>69057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27007"/>
          <a:ext cx="13282612" cy="6543675"/>
        </a:xfrm>
        <a:prstGeom prst="rect">
          <a:avLst/>
        </a:prstGeom>
      </xdr:spPr>
    </xdr:pic>
    <xdr:clientData/>
  </xdr:twoCellAnchor>
  <xdr:twoCellAnchor editAs="oneCell">
    <xdr:from>
      <xdr:col>6</xdr:col>
      <xdr:colOff>28919</xdr:colOff>
      <xdr:row>39</xdr:row>
      <xdr:rowOff>72547</xdr:rowOff>
    </xdr:from>
    <xdr:to>
      <xdr:col>13</xdr:col>
      <xdr:colOff>226218</xdr:colOff>
      <xdr:row>47</xdr:row>
      <xdr:rowOff>21549</xdr:rowOff>
    </xdr:to>
    <xdr:pic>
      <xdr:nvPicPr>
        <xdr:cNvPr id="27" name="图片 2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35" t="13198"/>
        <a:stretch/>
      </xdr:blipFill>
      <xdr:spPr>
        <a:xfrm>
          <a:off x="4172294" y="6573360"/>
          <a:ext cx="5031237" cy="1282502"/>
        </a:xfrm>
        <a:prstGeom prst="rect">
          <a:avLst/>
        </a:prstGeom>
      </xdr:spPr>
    </xdr:pic>
    <xdr:clientData/>
  </xdr:twoCellAnchor>
  <xdr:twoCellAnchor editAs="oneCell">
    <xdr:from>
      <xdr:col>6</xdr:col>
      <xdr:colOff>226219</xdr:colOff>
      <xdr:row>68</xdr:row>
      <xdr:rowOff>154781</xdr:rowOff>
    </xdr:from>
    <xdr:to>
      <xdr:col>13</xdr:col>
      <xdr:colOff>396684</xdr:colOff>
      <xdr:row>71</xdr:row>
      <xdr:rowOff>130167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9594" y="11489531"/>
          <a:ext cx="5004403" cy="475449"/>
        </a:xfrm>
        <a:prstGeom prst="rect">
          <a:avLst/>
        </a:prstGeom>
      </xdr:spPr>
    </xdr:pic>
    <xdr:clientData/>
  </xdr:twoCellAnchor>
  <xdr:twoCellAnchor>
    <xdr:from>
      <xdr:col>7</xdr:col>
      <xdr:colOff>559592</xdr:colOff>
      <xdr:row>47</xdr:row>
      <xdr:rowOff>59530</xdr:rowOff>
    </xdr:from>
    <xdr:to>
      <xdr:col>11</xdr:col>
      <xdr:colOff>642937</xdr:colOff>
      <xdr:row>49</xdr:row>
      <xdr:rowOff>83343</xdr:rowOff>
    </xdr:to>
    <xdr:sp macro="" textlink="">
      <xdr:nvSpPr>
        <xdr:cNvPr id="28" name="TextBox 27"/>
        <xdr:cNvSpPr txBox="1"/>
      </xdr:nvSpPr>
      <xdr:spPr>
        <a:xfrm>
          <a:off x="5393530" y="7893843"/>
          <a:ext cx="2845595" cy="3571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latin typeface="方正粗宋_GBK" pitchFamily="65" charset="-122"/>
              <a:ea typeface="方正粗宋_GBK" pitchFamily="65" charset="-122"/>
            </a:rPr>
            <a:t>【</a:t>
          </a:r>
          <a:r>
            <a:rPr lang="zh-CN" altLang="en-US" sz="2000">
              <a:latin typeface="方正粗宋_GBK" pitchFamily="65" charset="-122"/>
              <a:ea typeface="方正粗宋_GBK" pitchFamily="65" charset="-122"/>
            </a:rPr>
            <a:t>五月进球快讯</a:t>
          </a:r>
          <a:r>
            <a:rPr lang="en-US" altLang="zh-CN" sz="2000">
              <a:latin typeface="方正粗宋_GBK" pitchFamily="65" charset="-122"/>
              <a:ea typeface="方正粗宋_GBK" pitchFamily="65" charset="-122"/>
            </a:rPr>
            <a:t>】</a:t>
          </a:r>
          <a:endParaRPr lang="zh-CN" altLang="en-US" sz="2000">
            <a:latin typeface="方正粗宋_GBK" pitchFamily="65" charset="-122"/>
            <a:ea typeface="方正粗宋_GBK" pitchFamily="65" charset="-122"/>
          </a:endParaRPr>
        </a:p>
      </xdr:txBody>
    </xdr:sp>
    <xdr:clientData/>
  </xdr:twoCellAnchor>
  <xdr:twoCellAnchor editAs="oneCell">
    <xdr:from>
      <xdr:col>3</xdr:col>
      <xdr:colOff>535781</xdr:colOff>
      <xdr:row>47</xdr:row>
      <xdr:rowOff>47625</xdr:rowOff>
    </xdr:from>
    <xdr:to>
      <xdr:col>15</xdr:col>
      <xdr:colOff>651343</xdr:colOff>
      <xdr:row>70</xdr:row>
      <xdr:rowOff>123345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7469" y="7881938"/>
          <a:ext cx="8402312" cy="39095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695325</xdr:colOff>
      <xdr:row>3</xdr:row>
      <xdr:rowOff>361165</xdr:rowOff>
    </xdr:from>
    <xdr:to>
      <xdr:col>13</xdr:col>
      <xdr:colOff>47625</xdr:colOff>
      <xdr:row>5</xdr:row>
      <xdr:rowOff>334439</xdr:rowOff>
    </xdr:to>
    <xdr:pic>
      <xdr:nvPicPr>
        <xdr:cNvPr id="4" name="Picture 2" descr="D:\资料备份\D盘\企划\设计库\艺术字\46ba02050cbf2f2ced538bc1aef3fea4.pn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34025" y="1608940"/>
          <a:ext cx="1123950" cy="849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123825</xdr:rowOff>
    </xdr:from>
    <xdr:to>
      <xdr:col>9</xdr:col>
      <xdr:colOff>638175</xdr:colOff>
      <xdr:row>23</xdr:row>
      <xdr:rowOff>118468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24450"/>
          <a:ext cx="5476875" cy="3080743"/>
        </a:xfrm>
        <a:prstGeom prst="rect">
          <a:avLst/>
        </a:prstGeom>
      </xdr:spPr>
    </xdr:pic>
    <xdr:clientData/>
  </xdr:twoCellAnchor>
  <xdr:twoCellAnchor editAs="oneCell">
    <xdr:from>
      <xdr:col>12</xdr:col>
      <xdr:colOff>330976</xdr:colOff>
      <xdr:row>14</xdr:row>
      <xdr:rowOff>136903</xdr:rowOff>
    </xdr:from>
    <xdr:to>
      <xdr:col>22</xdr:col>
      <xdr:colOff>685800</xdr:colOff>
      <xdr:row>23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126" y="5137528"/>
          <a:ext cx="5660249" cy="3092072"/>
        </a:xfrm>
        <a:prstGeom prst="rect">
          <a:avLst/>
        </a:prstGeom>
      </xdr:spPr>
    </xdr:pic>
    <xdr:clientData/>
  </xdr:twoCellAnchor>
  <xdr:twoCellAnchor editAs="oneCell">
    <xdr:from>
      <xdr:col>5</xdr:col>
      <xdr:colOff>404776</xdr:colOff>
      <xdr:row>23</xdr:row>
      <xdr:rowOff>119025</xdr:rowOff>
    </xdr:from>
    <xdr:to>
      <xdr:col>17</xdr:col>
      <xdr:colOff>390525</xdr:colOff>
      <xdr:row>33</xdr:row>
      <xdr:rowOff>19926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901" y="8205750"/>
          <a:ext cx="5919824" cy="3329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257175</xdr:rowOff>
    </xdr:from>
    <xdr:to>
      <xdr:col>2</xdr:col>
      <xdr:colOff>361950</xdr:colOff>
      <xdr:row>11</xdr:row>
      <xdr:rowOff>65139</xdr:rowOff>
    </xdr:to>
    <xdr:pic>
      <xdr:nvPicPr>
        <xdr:cNvPr id="2" name="图片 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0500"/>
          <a:ext cx="1219200" cy="493764"/>
        </a:xfrm>
        <a:prstGeom prst="rect">
          <a:avLst/>
        </a:prstGeom>
      </xdr:spPr>
    </xdr:pic>
    <xdr:clientData/>
  </xdr:twoCellAnchor>
  <xdr:twoCellAnchor editAs="oneCell">
    <xdr:from>
      <xdr:col>9</xdr:col>
      <xdr:colOff>752475</xdr:colOff>
      <xdr:row>6</xdr:row>
      <xdr:rowOff>123121</xdr:rowOff>
    </xdr:from>
    <xdr:to>
      <xdr:col>13</xdr:col>
      <xdr:colOff>57150</xdr:colOff>
      <xdr:row>8</xdr:row>
      <xdr:rowOff>314324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02" t="11551" r="6271" b="8581"/>
        <a:stretch/>
      </xdr:blipFill>
      <xdr:spPr>
        <a:xfrm>
          <a:off x="5591175" y="2685346"/>
          <a:ext cx="1076325" cy="106750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0</xdr:row>
      <xdr:rowOff>322183</xdr:rowOff>
    </xdr:from>
    <xdr:to>
      <xdr:col>7</xdr:col>
      <xdr:colOff>247651</xdr:colOff>
      <xdr:row>0</xdr:row>
      <xdr:rowOff>742950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639"/>
        <a:stretch/>
      </xdr:blipFill>
      <xdr:spPr>
        <a:xfrm>
          <a:off x="1562101" y="322183"/>
          <a:ext cx="2686050" cy="420767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0</xdr:row>
      <xdr:rowOff>314325</xdr:rowOff>
    </xdr:from>
    <xdr:to>
      <xdr:col>20</xdr:col>
      <xdr:colOff>180975</xdr:colOff>
      <xdr:row>0</xdr:row>
      <xdr:rowOff>685800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0261"/>
        <a:stretch/>
      </xdr:blipFill>
      <xdr:spPr>
        <a:xfrm>
          <a:off x="8382000" y="314325"/>
          <a:ext cx="2409825" cy="37147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762000</xdr:colOff>
      <xdr:row>0</xdr:row>
      <xdr:rowOff>288518</xdr:rowOff>
    </xdr:from>
    <xdr:to>
      <xdr:col>13</xdr:col>
      <xdr:colOff>25807</xdr:colOff>
      <xdr:row>3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88518"/>
          <a:ext cx="1035457" cy="10354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295275</xdr:rowOff>
    </xdr:from>
    <xdr:to>
      <xdr:col>3</xdr:col>
      <xdr:colOff>466725</xdr:colOff>
      <xdr:row>6</xdr:row>
      <xdr:rowOff>303740</xdr:rowOff>
    </xdr:to>
    <xdr:pic>
      <xdr:nvPicPr>
        <xdr:cNvPr id="2" name="图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1314450" cy="532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314325</xdr:rowOff>
    </xdr:from>
    <xdr:to>
      <xdr:col>20</xdr:col>
      <xdr:colOff>36958</xdr:colOff>
      <xdr:row>24</xdr:row>
      <xdr:rowOff>380357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81550"/>
          <a:ext cx="914285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381000</xdr:rowOff>
    </xdr:from>
    <xdr:to>
      <xdr:col>3</xdr:col>
      <xdr:colOff>523875</xdr:colOff>
      <xdr:row>11</xdr:row>
      <xdr:rowOff>132290</xdr:rowOff>
    </xdr:to>
    <xdr:pic>
      <xdr:nvPicPr>
        <xdr:cNvPr id="3" name="图片 2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7175"/>
          <a:ext cx="1314450" cy="5323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257175</xdr:colOff>
      <xdr:row>6</xdr:row>
      <xdr:rowOff>342900</xdr:rowOff>
    </xdr:from>
    <xdr:to>
      <xdr:col>17</xdr:col>
      <xdr:colOff>123825</xdr:colOff>
      <xdr:row>8</xdr:row>
      <xdr:rowOff>208490</xdr:rowOff>
    </xdr:to>
    <xdr:pic>
      <xdr:nvPicPr>
        <xdr:cNvPr id="2" name="图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2825" y="2943225"/>
          <a:ext cx="1314450" cy="5323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238125</xdr:colOff>
      <xdr:row>6</xdr:row>
      <xdr:rowOff>352425</xdr:rowOff>
    </xdr:from>
    <xdr:to>
      <xdr:col>17</xdr:col>
      <xdr:colOff>104775</xdr:colOff>
      <xdr:row>8</xdr:row>
      <xdr:rowOff>227540</xdr:rowOff>
    </xdr:to>
    <xdr:pic>
      <xdr:nvPicPr>
        <xdr:cNvPr id="2" name="图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2952750"/>
          <a:ext cx="1314450" cy="5323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352425</xdr:rowOff>
    </xdr:from>
    <xdr:to>
      <xdr:col>20</xdr:col>
      <xdr:colOff>57150</xdr:colOff>
      <xdr:row>25</xdr:row>
      <xdr:rowOff>27932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9175"/>
          <a:ext cx="9134475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371475</xdr:rowOff>
    </xdr:from>
    <xdr:to>
      <xdr:col>3</xdr:col>
      <xdr:colOff>438150</xdr:colOff>
      <xdr:row>11</xdr:row>
      <xdr:rowOff>122765</xdr:rowOff>
    </xdr:to>
    <xdr:pic>
      <xdr:nvPicPr>
        <xdr:cNvPr id="3" name="图片 2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7175"/>
          <a:ext cx="1314450" cy="5323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152400</xdr:colOff>
      <xdr:row>6</xdr:row>
      <xdr:rowOff>342900</xdr:rowOff>
    </xdr:from>
    <xdr:to>
      <xdr:col>17</xdr:col>
      <xdr:colOff>104775</xdr:colOff>
      <xdr:row>8</xdr:row>
      <xdr:rowOff>256115</xdr:rowOff>
    </xdr:to>
    <xdr:pic>
      <xdr:nvPicPr>
        <xdr:cNvPr id="2" name="图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2943225"/>
          <a:ext cx="1314450" cy="5323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152400</xdr:colOff>
      <xdr:row>6</xdr:row>
      <xdr:rowOff>342900</xdr:rowOff>
    </xdr:from>
    <xdr:to>
      <xdr:col>17</xdr:col>
      <xdr:colOff>114300</xdr:colOff>
      <xdr:row>8</xdr:row>
      <xdr:rowOff>256115</xdr:rowOff>
    </xdr:to>
    <xdr:pic>
      <xdr:nvPicPr>
        <xdr:cNvPr id="2" name="图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2350" y="2943225"/>
          <a:ext cx="1314450" cy="5323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9525</xdr:rowOff>
    </xdr:from>
    <xdr:to>
      <xdr:col>10</xdr:col>
      <xdr:colOff>381000</xdr:colOff>
      <xdr:row>83</xdr:row>
      <xdr:rowOff>57745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77975"/>
          <a:ext cx="6486525" cy="3648670"/>
        </a:xfrm>
        <a:prstGeom prst="rect">
          <a:avLst/>
        </a:prstGeom>
      </xdr:spPr>
    </xdr:pic>
    <xdr:clientData/>
  </xdr:twoCellAnchor>
  <xdr:twoCellAnchor editAs="oneCell">
    <xdr:from>
      <xdr:col>10</xdr:col>
      <xdr:colOff>378480</xdr:colOff>
      <xdr:row>61</xdr:row>
      <xdr:rowOff>152400</xdr:rowOff>
    </xdr:from>
    <xdr:to>
      <xdr:col>22</xdr:col>
      <xdr:colOff>131892</xdr:colOff>
      <xdr:row>83</xdr:row>
      <xdr:rowOff>19051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005" y="14249400"/>
          <a:ext cx="6468537" cy="3638551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0</xdr:row>
      <xdr:rowOff>0</xdr:rowOff>
    </xdr:from>
    <xdr:to>
      <xdr:col>7</xdr:col>
      <xdr:colOff>9525</xdr:colOff>
      <xdr:row>1</xdr:row>
      <xdr:rowOff>94190</xdr:rowOff>
    </xdr:to>
    <xdr:pic>
      <xdr:nvPicPr>
        <xdr:cNvPr id="6" name="图片 5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0"/>
          <a:ext cx="1314450" cy="5323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9525</xdr:rowOff>
    </xdr:from>
    <xdr:to>
      <xdr:col>10</xdr:col>
      <xdr:colOff>257175</xdr:colOff>
      <xdr:row>42</xdr:row>
      <xdr:rowOff>57745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43375"/>
          <a:ext cx="6486525" cy="3648670"/>
        </a:xfrm>
        <a:prstGeom prst="rect">
          <a:avLst/>
        </a:prstGeom>
      </xdr:spPr>
    </xdr:pic>
    <xdr:clientData/>
  </xdr:twoCellAnchor>
  <xdr:twoCellAnchor editAs="oneCell">
    <xdr:from>
      <xdr:col>10</xdr:col>
      <xdr:colOff>226080</xdr:colOff>
      <xdr:row>21</xdr:row>
      <xdr:rowOff>16649</xdr:rowOff>
    </xdr:from>
    <xdr:to>
      <xdr:col>21</xdr:col>
      <xdr:colOff>684342</xdr:colOff>
      <xdr:row>42</xdr:row>
      <xdr:rowOff>54750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5430" y="4541024"/>
          <a:ext cx="6468537" cy="3638551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0</xdr:row>
      <xdr:rowOff>0</xdr:rowOff>
    </xdr:from>
    <xdr:to>
      <xdr:col>6</xdr:col>
      <xdr:colOff>428625</xdr:colOff>
      <xdr:row>1</xdr:row>
      <xdr:rowOff>65615</xdr:rowOff>
    </xdr:to>
    <xdr:pic>
      <xdr:nvPicPr>
        <xdr:cNvPr id="4" name="图片 3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" y="0"/>
          <a:ext cx="1314450" cy="5323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981075</xdr:colOff>
      <xdr:row>0</xdr:row>
      <xdr:rowOff>0</xdr:rowOff>
    </xdr:from>
    <xdr:to>
      <xdr:col>10</xdr:col>
      <xdr:colOff>628650</xdr:colOff>
      <xdr:row>1</xdr:row>
      <xdr:rowOff>227540</xdr:rowOff>
    </xdr:to>
    <xdr:pic>
      <xdr:nvPicPr>
        <xdr:cNvPr id="2" name="图片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825" y="0"/>
          <a:ext cx="1314450" cy="53234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&#28246;&#21335;&#20998;&#20844;&#21496;5&#26376;&#32487;&#32493;&#29575;&#25351;&#26631;&#36861;&#3639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iong.tan001/AppData/Local/Microsoft/Windows/Temporary%20Internet%20Files/Content.IE5/NOIZPR6X/&#36798;&#25104;&#29575;&#32467;&#26524;&#28165;&#2133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iong.tan001/Downloads/&#36798;&#25104;&#29575;&#32467;&#26524;&#28165;&#21333;yx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指标_tmp"/>
      <sheetName val="目录"/>
      <sheetName val="备用目录项"/>
      <sheetName val="三级累计13月"/>
      <sheetName val="三级累计25月"/>
      <sheetName val="三级累计37月"/>
      <sheetName val="三级宽末13月"/>
      <sheetName val="三级宽末25月"/>
      <sheetName val="三级宽末37月"/>
      <sheetName val="三级宽一13月"/>
      <sheetName val="三级宽一25月"/>
      <sheetName val="三级宽一37月"/>
      <sheetName val="三级当月13月"/>
      <sheetName val="三级当月25月"/>
      <sheetName val="三级当月37月"/>
      <sheetName val="四级累计13月"/>
      <sheetName val="四级累计25月"/>
      <sheetName val="四级累计37月"/>
      <sheetName val="四级宽末13月"/>
      <sheetName val="四级宽末25月"/>
      <sheetName val="四级宽末37月"/>
      <sheetName val="四级宽一13月"/>
      <sheetName val="四级宽一25月"/>
      <sheetName val="四级宽一37月"/>
      <sheetName val="四级当月13月"/>
      <sheetName val="四级当月25月"/>
      <sheetName val="四级当月37月"/>
      <sheetName val="险种累计13月"/>
      <sheetName val="险种累计25月"/>
      <sheetName val="险种宽末13月"/>
      <sheetName val="险种宽末25月"/>
      <sheetName val="险种宽一13月"/>
      <sheetName val="险种宽一25月"/>
      <sheetName val="险种当月13月"/>
      <sheetName val="险种当月25月"/>
      <sheetName val="三级累计达成率"/>
      <sheetName val="三级宽末达成率"/>
      <sheetName val="三级宽一达成率"/>
      <sheetName val="三级当月达成率"/>
      <sheetName val="四级累计达成率"/>
      <sheetName val="四级宽末达成率"/>
      <sheetName val="四级宽一达成率"/>
      <sheetName val="四级当月达成率"/>
      <sheetName val="实收保费"/>
      <sheetName val="昨日实收明细"/>
      <sheetName val="月度实收明细"/>
      <sheetName val="累计实收明细"/>
      <sheetName val="三级银行渠道"/>
      <sheetName val="四级银行网点"/>
      <sheetName val="日增量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E3" t="str">
            <v>864300</v>
          </cell>
          <cell r="F3">
            <v>673</v>
          </cell>
          <cell r="G3">
            <v>609</v>
          </cell>
          <cell r="H3">
            <v>3775377</v>
          </cell>
          <cell r="I3">
            <v>3446456</v>
          </cell>
          <cell r="J3">
            <v>0.91290000000000004</v>
          </cell>
        </row>
        <row r="4">
          <cell r="E4" t="str">
            <v>864302</v>
          </cell>
          <cell r="F4">
            <v>106</v>
          </cell>
          <cell r="G4">
            <v>88</v>
          </cell>
          <cell r="H4">
            <v>675369</v>
          </cell>
          <cell r="I4">
            <v>584858</v>
          </cell>
          <cell r="J4">
            <v>0.86599999999999999</v>
          </cell>
        </row>
        <row r="5">
          <cell r="E5" t="str">
            <v>864303</v>
          </cell>
          <cell r="F5">
            <v>164</v>
          </cell>
          <cell r="G5">
            <v>152</v>
          </cell>
          <cell r="H5">
            <v>1245279</v>
          </cell>
          <cell r="I5">
            <v>1179243</v>
          </cell>
          <cell r="J5">
            <v>0.94699999999999995</v>
          </cell>
        </row>
        <row r="6">
          <cell r="E6" t="str">
            <v>864304</v>
          </cell>
          <cell r="F6">
            <v>65</v>
          </cell>
          <cell r="G6">
            <v>54</v>
          </cell>
          <cell r="H6">
            <v>247467</v>
          </cell>
          <cell r="I6">
            <v>196662</v>
          </cell>
          <cell r="J6">
            <v>0.79469999999999996</v>
          </cell>
        </row>
        <row r="7">
          <cell r="E7" t="str">
            <v>864305</v>
          </cell>
          <cell r="F7">
            <v>206</v>
          </cell>
          <cell r="G7">
            <v>171</v>
          </cell>
          <cell r="H7">
            <v>1004240</v>
          </cell>
          <cell r="I7">
            <v>846157</v>
          </cell>
          <cell r="J7">
            <v>0.84260000000000002</v>
          </cell>
        </row>
        <row r="8">
          <cell r="E8" t="str">
            <v>864306</v>
          </cell>
          <cell r="F8">
            <v>297</v>
          </cell>
          <cell r="G8">
            <v>265</v>
          </cell>
          <cell r="H8">
            <v>1244271</v>
          </cell>
          <cell r="I8">
            <v>1105853</v>
          </cell>
          <cell r="J8">
            <v>0.88880000000000003</v>
          </cell>
        </row>
        <row r="9">
          <cell r="E9" t="str">
            <v>864307</v>
          </cell>
          <cell r="F9">
            <v>488</v>
          </cell>
          <cell r="G9">
            <v>445</v>
          </cell>
          <cell r="H9">
            <v>2428569</v>
          </cell>
          <cell r="I9">
            <v>2204135</v>
          </cell>
          <cell r="J9">
            <v>0.90759999999999996</v>
          </cell>
        </row>
        <row r="10">
          <cell r="E10" t="str">
            <v>864309</v>
          </cell>
          <cell r="F10">
            <v>404</v>
          </cell>
          <cell r="G10">
            <v>367</v>
          </cell>
          <cell r="H10">
            <v>1768228</v>
          </cell>
          <cell r="I10">
            <v>1631339</v>
          </cell>
          <cell r="J10">
            <v>0.92259999999999998</v>
          </cell>
        </row>
        <row r="11">
          <cell r="E11" t="str">
            <v>864310</v>
          </cell>
          <cell r="F11">
            <v>111</v>
          </cell>
          <cell r="G11">
            <v>93</v>
          </cell>
          <cell r="H11">
            <v>523636</v>
          </cell>
          <cell r="I11">
            <v>431218</v>
          </cell>
          <cell r="J11">
            <v>0.82350000000000001</v>
          </cell>
        </row>
        <row r="12">
          <cell r="E12" t="str">
            <v>864312</v>
          </cell>
          <cell r="F12">
            <v>190</v>
          </cell>
          <cell r="G12">
            <v>139</v>
          </cell>
          <cell r="H12">
            <v>833053</v>
          </cell>
          <cell r="I12">
            <v>635408</v>
          </cell>
          <cell r="J12">
            <v>0.76270000000000004</v>
          </cell>
        </row>
        <row r="13">
          <cell r="E13" t="str">
            <v>864313</v>
          </cell>
          <cell r="F13">
            <v>250</v>
          </cell>
          <cell r="G13">
            <v>222</v>
          </cell>
          <cell r="H13">
            <v>1077517</v>
          </cell>
          <cell r="I13">
            <v>922120</v>
          </cell>
          <cell r="J13">
            <v>0.85580000000000001</v>
          </cell>
        </row>
        <row r="15">
          <cell r="E15" t="str">
            <v>864300</v>
          </cell>
          <cell r="F15">
            <v>69</v>
          </cell>
          <cell r="G15">
            <v>68</v>
          </cell>
          <cell r="H15">
            <v>3276000</v>
          </cell>
          <cell r="I15">
            <v>3266000</v>
          </cell>
          <cell r="J15">
            <v>0.99690000000000001</v>
          </cell>
        </row>
        <row r="16">
          <cell r="E16" t="str">
            <v>864302</v>
          </cell>
          <cell r="F16">
            <v>169</v>
          </cell>
          <cell r="G16">
            <v>158</v>
          </cell>
          <cell r="H16">
            <v>3706000</v>
          </cell>
          <cell r="I16">
            <v>3416000</v>
          </cell>
          <cell r="J16">
            <v>0.92169999999999996</v>
          </cell>
        </row>
        <row r="17">
          <cell r="E17" t="str">
            <v>864303</v>
          </cell>
          <cell r="F17">
            <v>78</v>
          </cell>
          <cell r="G17">
            <v>78</v>
          </cell>
          <cell r="H17">
            <v>1137000</v>
          </cell>
          <cell r="I17">
            <v>1137000</v>
          </cell>
          <cell r="J17">
            <v>1</v>
          </cell>
        </row>
        <row r="18">
          <cell r="E18" t="str">
            <v>864304</v>
          </cell>
          <cell r="F18">
            <v>105</v>
          </cell>
          <cell r="G18">
            <v>102</v>
          </cell>
          <cell r="H18">
            <v>2614000</v>
          </cell>
          <cell r="I18">
            <v>2574000</v>
          </cell>
          <cell r="J18">
            <v>0.98470000000000002</v>
          </cell>
        </row>
        <row r="19">
          <cell r="E19" t="str">
            <v>864305</v>
          </cell>
          <cell r="F19">
            <v>98</v>
          </cell>
          <cell r="G19">
            <v>94</v>
          </cell>
          <cell r="H19">
            <v>1660000</v>
          </cell>
          <cell r="I19">
            <v>1475000</v>
          </cell>
          <cell r="J19">
            <v>0.88859999999999995</v>
          </cell>
        </row>
        <row r="20">
          <cell r="E20" t="str">
            <v>864306</v>
          </cell>
          <cell r="F20">
            <v>91</v>
          </cell>
          <cell r="G20">
            <v>89</v>
          </cell>
          <cell r="H20">
            <v>1314000</v>
          </cell>
          <cell r="I20">
            <v>1294000</v>
          </cell>
          <cell r="J20">
            <v>0.98480000000000001</v>
          </cell>
        </row>
        <row r="21">
          <cell r="E21" t="str">
            <v>864307</v>
          </cell>
          <cell r="F21">
            <v>98</v>
          </cell>
          <cell r="G21">
            <v>96</v>
          </cell>
          <cell r="H21">
            <v>1587000</v>
          </cell>
          <cell r="I21">
            <v>1487000</v>
          </cell>
          <cell r="J21">
            <v>0.93700000000000006</v>
          </cell>
        </row>
        <row r="22">
          <cell r="E22" t="str">
            <v>864309</v>
          </cell>
          <cell r="F22">
            <v>65</v>
          </cell>
          <cell r="G22">
            <v>63</v>
          </cell>
          <cell r="H22">
            <v>1120000</v>
          </cell>
          <cell r="I22">
            <v>1080000</v>
          </cell>
          <cell r="J22">
            <v>0.96430000000000005</v>
          </cell>
        </row>
        <row r="23">
          <cell r="E23" t="str">
            <v>864310</v>
          </cell>
          <cell r="F23">
            <v>189</v>
          </cell>
          <cell r="G23">
            <v>184</v>
          </cell>
          <cell r="H23">
            <v>3215000</v>
          </cell>
          <cell r="I23">
            <v>3150000</v>
          </cell>
          <cell r="J23">
            <v>0.9798</v>
          </cell>
        </row>
        <row r="24">
          <cell r="E24" t="str">
            <v>864312</v>
          </cell>
          <cell r="F24">
            <v>16</v>
          </cell>
          <cell r="G24">
            <v>16</v>
          </cell>
          <cell r="H24">
            <v>310000</v>
          </cell>
          <cell r="I24">
            <v>310000</v>
          </cell>
          <cell r="J24">
            <v>1</v>
          </cell>
        </row>
        <row r="25">
          <cell r="E25" t="str">
            <v>864313</v>
          </cell>
          <cell r="F25">
            <v>62</v>
          </cell>
          <cell r="G25">
            <v>59</v>
          </cell>
          <cell r="H25">
            <v>923000</v>
          </cell>
          <cell r="I25">
            <v>891000</v>
          </cell>
          <cell r="J25">
            <v>0.96530000000000005</v>
          </cell>
        </row>
      </sheetData>
      <sheetData sheetId="8">
        <row r="3">
          <cell r="E3" t="str">
            <v>864300</v>
          </cell>
          <cell r="F3">
            <v>351</v>
          </cell>
          <cell r="G3">
            <v>320</v>
          </cell>
          <cell r="H3">
            <v>1806114</v>
          </cell>
          <cell r="I3">
            <v>1641063</v>
          </cell>
          <cell r="J3">
            <v>0.90859999999999996</v>
          </cell>
        </row>
        <row r="4">
          <cell r="E4" t="str">
            <v>864302</v>
          </cell>
          <cell r="F4">
            <v>110</v>
          </cell>
          <cell r="G4">
            <v>102</v>
          </cell>
          <cell r="H4">
            <v>754845</v>
          </cell>
          <cell r="I4">
            <v>721696</v>
          </cell>
          <cell r="J4">
            <v>0.95609999999999995</v>
          </cell>
        </row>
        <row r="5">
          <cell r="E5" t="str">
            <v>864303</v>
          </cell>
          <cell r="F5">
            <v>163</v>
          </cell>
          <cell r="G5">
            <v>156</v>
          </cell>
          <cell r="H5">
            <v>705637</v>
          </cell>
          <cell r="I5">
            <v>681239</v>
          </cell>
          <cell r="J5">
            <v>0.96540000000000004</v>
          </cell>
        </row>
        <row r="6">
          <cell r="E6" t="str">
            <v>864304</v>
          </cell>
          <cell r="F6">
            <v>89</v>
          </cell>
          <cell r="G6">
            <v>80</v>
          </cell>
          <cell r="H6">
            <v>428876</v>
          </cell>
          <cell r="I6">
            <v>390044</v>
          </cell>
          <cell r="J6">
            <v>0.90949999999999998</v>
          </cell>
        </row>
        <row r="7">
          <cell r="E7" t="str">
            <v>864305</v>
          </cell>
          <cell r="F7">
            <v>89</v>
          </cell>
          <cell r="G7">
            <v>69</v>
          </cell>
          <cell r="H7">
            <v>469601</v>
          </cell>
          <cell r="I7">
            <v>356301</v>
          </cell>
          <cell r="J7">
            <v>0.75870000000000004</v>
          </cell>
        </row>
        <row r="8">
          <cell r="E8" t="str">
            <v>864306</v>
          </cell>
          <cell r="F8">
            <v>144</v>
          </cell>
          <cell r="G8">
            <v>133</v>
          </cell>
          <cell r="H8">
            <v>668554</v>
          </cell>
          <cell r="I8">
            <v>613404</v>
          </cell>
          <cell r="J8">
            <v>0.91749999999999998</v>
          </cell>
        </row>
        <row r="9">
          <cell r="E9" t="str">
            <v>864307</v>
          </cell>
          <cell r="F9">
            <v>289</v>
          </cell>
          <cell r="G9">
            <v>276</v>
          </cell>
          <cell r="H9">
            <v>1447141</v>
          </cell>
          <cell r="I9">
            <v>1373039</v>
          </cell>
          <cell r="J9">
            <v>0.94879999999999998</v>
          </cell>
        </row>
        <row r="10">
          <cell r="E10" t="str">
            <v>864309</v>
          </cell>
          <cell r="F10">
            <v>222</v>
          </cell>
          <cell r="G10">
            <v>215</v>
          </cell>
          <cell r="H10">
            <v>1086345</v>
          </cell>
          <cell r="I10">
            <v>1053343</v>
          </cell>
          <cell r="J10">
            <v>0.96960000000000002</v>
          </cell>
        </row>
        <row r="11">
          <cell r="E11" t="str">
            <v>864310</v>
          </cell>
          <cell r="F11">
            <v>146</v>
          </cell>
          <cell r="G11">
            <v>128</v>
          </cell>
          <cell r="H11">
            <v>834607</v>
          </cell>
          <cell r="I11">
            <v>741377</v>
          </cell>
          <cell r="J11">
            <v>0.88829999999999998</v>
          </cell>
        </row>
        <row r="12">
          <cell r="E12" t="str">
            <v>864312</v>
          </cell>
          <cell r="F12">
            <v>169</v>
          </cell>
          <cell r="G12">
            <v>148</v>
          </cell>
          <cell r="H12">
            <v>732311</v>
          </cell>
          <cell r="I12">
            <v>646912</v>
          </cell>
          <cell r="J12">
            <v>0.88339999999999996</v>
          </cell>
        </row>
        <row r="13">
          <cell r="E13" t="str">
            <v>864313</v>
          </cell>
          <cell r="F13">
            <v>129</v>
          </cell>
          <cell r="G13">
            <v>112</v>
          </cell>
          <cell r="H13">
            <v>548972</v>
          </cell>
          <cell r="I13">
            <v>469022</v>
          </cell>
          <cell r="J13">
            <v>0.85440000000000005</v>
          </cell>
        </row>
        <row r="15">
          <cell r="E15" t="str">
            <v>864300</v>
          </cell>
          <cell r="F15">
            <v>28</v>
          </cell>
          <cell r="G15">
            <v>26</v>
          </cell>
          <cell r="H15">
            <v>625000</v>
          </cell>
          <cell r="I15">
            <v>600000</v>
          </cell>
          <cell r="J15">
            <v>0.96</v>
          </cell>
        </row>
        <row r="16">
          <cell r="E16" t="str">
            <v>864302</v>
          </cell>
          <cell r="F16">
            <v>79</v>
          </cell>
          <cell r="G16">
            <v>79</v>
          </cell>
          <cell r="H16">
            <v>2300000</v>
          </cell>
          <cell r="I16">
            <v>2300000</v>
          </cell>
          <cell r="J16">
            <v>1</v>
          </cell>
        </row>
        <row r="17">
          <cell r="E17" t="str">
            <v>864303</v>
          </cell>
          <cell r="F17">
            <v>14</v>
          </cell>
          <cell r="G17">
            <v>14</v>
          </cell>
          <cell r="H17">
            <v>264000</v>
          </cell>
          <cell r="I17">
            <v>264000</v>
          </cell>
          <cell r="J17">
            <v>1</v>
          </cell>
        </row>
        <row r="18">
          <cell r="E18" t="str">
            <v>864304</v>
          </cell>
          <cell r="F18">
            <v>115</v>
          </cell>
          <cell r="G18">
            <v>114</v>
          </cell>
          <cell r="H18">
            <v>1855000</v>
          </cell>
          <cell r="I18">
            <v>1850000</v>
          </cell>
          <cell r="J18">
            <v>0.99729999999999996</v>
          </cell>
        </row>
        <row r="19">
          <cell r="E19" t="str">
            <v>864305</v>
          </cell>
          <cell r="F19">
            <v>51</v>
          </cell>
          <cell r="G19">
            <v>48</v>
          </cell>
          <cell r="H19">
            <v>804000</v>
          </cell>
          <cell r="I19">
            <v>684000</v>
          </cell>
          <cell r="J19">
            <v>0.85070000000000001</v>
          </cell>
        </row>
        <row r="20">
          <cell r="E20" t="str">
            <v>864306</v>
          </cell>
          <cell r="F20">
            <v>22</v>
          </cell>
          <cell r="G20">
            <v>22</v>
          </cell>
          <cell r="H20">
            <v>218000</v>
          </cell>
          <cell r="I20">
            <v>218000</v>
          </cell>
          <cell r="J20">
            <v>1</v>
          </cell>
        </row>
        <row r="21">
          <cell r="E21" t="str">
            <v>864307</v>
          </cell>
          <cell r="F21">
            <v>68</v>
          </cell>
          <cell r="G21">
            <v>68</v>
          </cell>
          <cell r="H21">
            <v>910000</v>
          </cell>
          <cell r="I21">
            <v>910000</v>
          </cell>
          <cell r="J21">
            <v>1</v>
          </cell>
        </row>
        <row r="22">
          <cell r="E22" t="str">
            <v>864309</v>
          </cell>
          <cell r="F22">
            <v>12</v>
          </cell>
          <cell r="G22">
            <v>12</v>
          </cell>
          <cell r="H22">
            <v>131000</v>
          </cell>
          <cell r="I22">
            <v>131000</v>
          </cell>
          <cell r="J22">
            <v>1</v>
          </cell>
        </row>
        <row r="23">
          <cell r="E23" t="str">
            <v>864310</v>
          </cell>
          <cell r="F23">
            <v>34</v>
          </cell>
          <cell r="G23">
            <v>34</v>
          </cell>
          <cell r="H23">
            <v>410000</v>
          </cell>
          <cell r="I23">
            <v>410000</v>
          </cell>
          <cell r="J23">
            <v>1</v>
          </cell>
        </row>
        <row r="24">
          <cell r="E24" t="str">
            <v>864312</v>
          </cell>
          <cell r="F24">
            <v>38</v>
          </cell>
          <cell r="G24">
            <v>39</v>
          </cell>
          <cell r="H24">
            <v>617000</v>
          </cell>
          <cell r="I24">
            <v>637000</v>
          </cell>
          <cell r="J24">
            <v>1.0324</v>
          </cell>
        </row>
        <row r="25">
          <cell r="E25" t="str">
            <v>864313</v>
          </cell>
          <cell r="F25">
            <v>66</v>
          </cell>
          <cell r="G25">
            <v>64</v>
          </cell>
          <cell r="H25">
            <v>889000</v>
          </cell>
          <cell r="I25">
            <v>859000</v>
          </cell>
          <cell r="J25">
            <v>0.96630000000000005</v>
          </cell>
        </row>
      </sheetData>
      <sheetData sheetId="9"/>
      <sheetData sheetId="10"/>
      <sheetData sheetId="11"/>
      <sheetData sheetId="12"/>
      <sheetData sheetId="13">
        <row r="12">
          <cell r="E12" t="str">
            <v>864312</v>
          </cell>
          <cell r="F12">
            <v>164</v>
          </cell>
          <cell r="G12">
            <v>22</v>
          </cell>
          <cell r="H12">
            <v>625303</v>
          </cell>
          <cell r="I12">
            <v>67114</v>
          </cell>
          <cell r="J12">
            <v>0.10730000000000001</v>
          </cell>
        </row>
      </sheetData>
      <sheetData sheetId="14">
        <row r="12">
          <cell r="E12" t="str">
            <v>864312</v>
          </cell>
          <cell r="F12">
            <v>103</v>
          </cell>
          <cell r="G12">
            <v>30</v>
          </cell>
          <cell r="H12">
            <v>1241998</v>
          </cell>
          <cell r="I12">
            <v>361724</v>
          </cell>
          <cell r="J12">
            <v>0.29120000000000001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C2" t="str">
            <v>朱永霞</v>
          </cell>
          <cell r="D2" t="str">
            <v>常德中心支公司</v>
          </cell>
          <cell r="E2" t="str">
            <v>续收专员</v>
          </cell>
          <cell r="F2" t="str">
            <v>个险</v>
          </cell>
          <cell r="G2" t="str">
            <v>当月</v>
          </cell>
          <cell r="H2" t="str">
            <v>201704</v>
          </cell>
          <cell r="I2">
            <v>21</v>
          </cell>
          <cell r="J2">
            <v>19</v>
          </cell>
          <cell r="K2">
            <v>82714</v>
          </cell>
          <cell r="L2">
            <v>79879</v>
          </cell>
          <cell r="M2">
            <v>0.93520000000000003</v>
          </cell>
          <cell r="N2">
            <v>17</v>
          </cell>
          <cell r="O2">
            <v>16</v>
          </cell>
          <cell r="P2">
            <v>41406</v>
          </cell>
          <cell r="Q2">
            <v>39699</v>
          </cell>
        </row>
        <row r="3">
          <cell r="C3" t="str">
            <v>曾柳英</v>
          </cell>
          <cell r="D3" t="str">
            <v>岳阳中心支公司</v>
          </cell>
          <cell r="E3" t="str">
            <v>续收专员</v>
          </cell>
          <cell r="F3" t="str">
            <v>个险</v>
          </cell>
          <cell r="G3" t="str">
            <v>当月</v>
          </cell>
          <cell r="H3" t="str">
            <v>201704</v>
          </cell>
          <cell r="I3">
            <v>17</v>
          </cell>
          <cell r="J3">
            <v>13</v>
          </cell>
          <cell r="K3">
            <v>70034</v>
          </cell>
          <cell r="L3">
            <v>57895</v>
          </cell>
          <cell r="M3">
            <v>0.79569999999999996</v>
          </cell>
          <cell r="N3">
            <v>2</v>
          </cell>
          <cell r="O3">
            <v>2</v>
          </cell>
          <cell r="P3">
            <v>12416</v>
          </cell>
          <cell r="Q3">
            <v>12416</v>
          </cell>
        </row>
        <row r="4">
          <cell r="C4" t="str">
            <v>王敏</v>
          </cell>
          <cell r="D4" t="str">
            <v>常德中心支公司</v>
          </cell>
          <cell r="E4" t="str">
            <v>续收专员</v>
          </cell>
          <cell r="F4" t="str">
            <v>个险</v>
          </cell>
          <cell r="G4" t="str">
            <v>当月</v>
          </cell>
          <cell r="H4" t="str">
            <v>201704</v>
          </cell>
          <cell r="I4">
            <v>11</v>
          </cell>
          <cell r="J4">
            <v>11</v>
          </cell>
          <cell r="K4">
            <v>42089</v>
          </cell>
          <cell r="L4">
            <v>42089</v>
          </cell>
          <cell r="M4">
            <v>1</v>
          </cell>
          <cell r="N4">
            <v>7</v>
          </cell>
          <cell r="O4">
            <v>7</v>
          </cell>
          <cell r="P4">
            <v>20841</v>
          </cell>
          <cell r="Q4">
            <v>20841</v>
          </cell>
        </row>
        <row r="5">
          <cell r="C5" t="str">
            <v>李艳平</v>
          </cell>
          <cell r="D5" t="str">
            <v>岳阳中心支公司</v>
          </cell>
          <cell r="E5" t="str">
            <v>续收专员</v>
          </cell>
          <cell r="F5" t="str">
            <v>个险</v>
          </cell>
          <cell r="G5" t="str">
            <v>当月</v>
          </cell>
          <cell r="H5" t="str">
            <v>201704</v>
          </cell>
          <cell r="I5">
            <v>48</v>
          </cell>
          <cell r="J5">
            <v>39</v>
          </cell>
          <cell r="K5">
            <v>186354</v>
          </cell>
          <cell r="L5">
            <v>147712</v>
          </cell>
          <cell r="M5">
            <v>0.80259999999999998</v>
          </cell>
          <cell r="N5">
            <v>20</v>
          </cell>
          <cell r="O5">
            <v>19</v>
          </cell>
          <cell r="P5">
            <v>79082</v>
          </cell>
          <cell r="Q5">
            <v>76761</v>
          </cell>
        </row>
        <row r="6">
          <cell r="C6" t="str">
            <v>曾勇</v>
          </cell>
          <cell r="D6" t="str">
            <v>益阳中心支公司</v>
          </cell>
          <cell r="E6" t="str">
            <v>续收专员</v>
          </cell>
          <cell r="F6" t="str">
            <v>个险</v>
          </cell>
          <cell r="G6" t="str">
            <v>当月</v>
          </cell>
          <cell r="H6" t="str">
            <v>201704</v>
          </cell>
          <cell r="I6">
            <v>58</v>
          </cell>
          <cell r="J6">
            <v>49</v>
          </cell>
          <cell r="K6">
            <v>281004</v>
          </cell>
          <cell r="L6">
            <v>238461</v>
          </cell>
          <cell r="M6">
            <v>0.84670000000000001</v>
          </cell>
          <cell r="N6">
            <v>25</v>
          </cell>
          <cell r="O6">
            <v>24</v>
          </cell>
          <cell r="P6">
            <v>96656</v>
          </cell>
          <cell r="Q6">
            <v>86821</v>
          </cell>
        </row>
        <row r="7">
          <cell r="C7" t="str">
            <v>刘念</v>
          </cell>
          <cell r="D7" t="str">
            <v>长沙中心支公司</v>
          </cell>
          <cell r="E7" t="str">
            <v>续收专员</v>
          </cell>
          <cell r="F7" t="str">
            <v>个险</v>
          </cell>
          <cell r="G7" t="str">
            <v>当月</v>
          </cell>
          <cell r="H7" t="str">
            <v>201704</v>
          </cell>
          <cell r="I7">
            <v>74</v>
          </cell>
          <cell r="J7">
            <v>64</v>
          </cell>
          <cell r="K7">
            <v>351325</v>
          </cell>
          <cell r="L7">
            <v>306022</v>
          </cell>
          <cell r="M7">
            <v>0.86799999999999999</v>
          </cell>
          <cell r="N7">
            <v>39</v>
          </cell>
          <cell r="O7">
            <v>33</v>
          </cell>
          <cell r="P7">
            <v>128334</v>
          </cell>
          <cell r="Q7">
            <v>105029</v>
          </cell>
        </row>
        <row r="8">
          <cell r="C8" t="str">
            <v>杨芳</v>
          </cell>
          <cell r="D8" t="str">
            <v>湘潭中心支公司</v>
          </cell>
          <cell r="E8" t="str">
            <v>续收专员</v>
          </cell>
          <cell r="F8" t="str">
            <v>个险</v>
          </cell>
          <cell r="G8" t="str">
            <v>当月</v>
          </cell>
          <cell r="H8" t="str">
            <v>201704</v>
          </cell>
          <cell r="I8">
            <v>37</v>
          </cell>
          <cell r="J8">
            <v>36</v>
          </cell>
          <cell r="K8">
            <v>145717</v>
          </cell>
          <cell r="L8">
            <v>139958</v>
          </cell>
          <cell r="M8">
            <v>0.9667</v>
          </cell>
          <cell r="N8">
            <v>14</v>
          </cell>
          <cell r="O8">
            <v>14</v>
          </cell>
          <cell r="P8">
            <v>50246</v>
          </cell>
          <cell r="Q8">
            <v>50246</v>
          </cell>
        </row>
        <row r="9">
          <cell r="C9" t="str">
            <v>郭堂青</v>
          </cell>
          <cell r="D9" t="str">
            <v>娄底中心支公司</v>
          </cell>
          <cell r="E9" t="str">
            <v>续收专员</v>
          </cell>
          <cell r="F9" t="str">
            <v>个险</v>
          </cell>
          <cell r="G9" t="str">
            <v>当月</v>
          </cell>
          <cell r="H9" t="str">
            <v>201704</v>
          </cell>
          <cell r="I9">
            <v>73</v>
          </cell>
          <cell r="J9">
            <v>59</v>
          </cell>
          <cell r="K9">
            <v>339085</v>
          </cell>
          <cell r="L9">
            <v>264965</v>
          </cell>
          <cell r="M9">
            <v>0.79479999999999995</v>
          </cell>
          <cell r="N9">
            <v>8</v>
          </cell>
          <cell r="O9">
            <v>8</v>
          </cell>
          <cell r="P9">
            <v>29967</v>
          </cell>
          <cell r="Q9">
            <v>29691</v>
          </cell>
        </row>
        <row r="10">
          <cell r="C10" t="str">
            <v>刘军连</v>
          </cell>
          <cell r="D10" t="str">
            <v>娄底中心支公司</v>
          </cell>
          <cell r="E10" t="str">
            <v>续收专员</v>
          </cell>
          <cell r="F10" t="str">
            <v>个险</v>
          </cell>
          <cell r="G10" t="str">
            <v>当月</v>
          </cell>
          <cell r="H10" t="str">
            <v>201704</v>
          </cell>
          <cell r="I10">
            <v>67</v>
          </cell>
          <cell r="J10">
            <v>63</v>
          </cell>
          <cell r="K10">
            <v>272470</v>
          </cell>
          <cell r="L10">
            <v>253582</v>
          </cell>
          <cell r="M10">
            <v>0.9355</v>
          </cell>
          <cell r="N10">
            <v>16</v>
          </cell>
          <cell r="O10">
            <v>15</v>
          </cell>
          <cell r="P10">
            <v>67680</v>
          </cell>
          <cell r="Q10">
            <v>60157</v>
          </cell>
        </row>
        <row r="11">
          <cell r="C11" t="str">
            <v>吴雨珅</v>
          </cell>
          <cell r="D11" t="str">
            <v>怀化中心支公司</v>
          </cell>
          <cell r="E11" t="str">
            <v>续收专员</v>
          </cell>
          <cell r="F11" t="str">
            <v>个险</v>
          </cell>
          <cell r="G11" t="str">
            <v>当月</v>
          </cell>
          <cell r="H11" t="str">
            <v>201704</v>
          </cell>
          <cell r="I11">
            <v>44</v>
          </cell>
          <cell r="J11">
            <v>29</v>
          </cell>
          <cell r="K11">
            <v>163562</v>
          </cell>
          <cell r="L11">
            <v>119794</v>
          </cell>
          <cell r="M11">
            <v>0.69569999999999999</v>
          </cell>
          <cell r="N11">
            <v>33</v>
          </cell>
          <cell r="O11">
            <v>26</v>
          </cell>
          <cell r="P11">
            <v>76566</v>
          </cell>
          <cell r="Q11">
            <v>58008</v>
          </cell>
        </row>
        <row r="12">
          <cell r="C12" t="str">
            <v>胡亚进</v>
          </cell>
          <cell r="D12" t="str">
            <v>郴州中心支公司</v>
          </cell>
          <cell r="E12" t="str">
            <v>续收专员</v>
          </cell>
          <cell r="F12" t="str">
            <v>个险</v>
          </cell>
          <cell r="G12" t="str">
            <v>当月</v>
          </cell>
          <cell r="H12" t="str">
            <v>201704</v>
          </cell>
          <cell r="I12">
            <v>17</v>
          </cell>
          <cell r="J12">
            <v>13</v>
          </cell>
          <cell r="K12">
            <v>86705</v>
          </cell>
          <cell r="L12">
            <v>71173</v>
          </cell>
          <cell r="M12">
            <v>0.79279999999999995</v>
          </cell>
          <cell r="N12">
            <v>20</v>
          </cell>
          <cell r="O12">
            <v>16</v>
          </cell>
          <cell r="P12">
            <v>93755</v>
          </cell>
          <cell r="Q12">
            <v>72053</v>
          </cell>
        </row>
        <row r="13">
          <cell r="C13" t="str">
            <v>黄桔香</v>
          </cell>
          <cell r="D13" t="str">
            <v>湘潭中心支公司</v>
          </cell>
          <cell r="E13" t="str">
            <v>续收专员</v>
          </cell>
          <cell r="F13" t="str">
            <v>个险</v>
          </cell>
          <cell r="G13" t="str">
            <v>当月</v>
          </cell>
          <cell r="H13" t="str">
            <v>201704</v>
          </cell>
          <cell r="I13">
            <v>6</v>
          </cell>
          <cell r="J13">
            <v>4</v>
          </cell>
          <cell r="K13">
            <v>48394</v>
          </cell>
          <cell r="L13">
            <v>42965</v>
          </cell>
          <cell r="M13">
            <v>0.7772</v>
          </cell>
          <cell r="N13">
            <v>14</v>
          </cell>
          <cell r="O13">
            <v>12</v>
          </cell>
          <cell r="P13">
            <v>63753</v>
          </cell>
          <cell r="Q13">
            <v>53696</v>
          </cell>
        </row>
        <row r="14">
          <cell r="C14" t="str">
            <v>范情辉</v>
          </cell>
          <cell r="D14" t="str">
            <v>长沙中心支公司</v>
          </cell>
          <cell r="E14" t="str">
            <v>续收专员</v>
          </cell>
          <cell r="F14" t="str">
            <v>个险</v>
          </cell>
          <cell r="G14" t="str">
            <v>当月</v>
          </cell>
          <cell r="H14" t="str">
            <v>201704</v>
          </cell>
          <cell r="I14">
            <v>42</v>
          </cell>
          <cell r="J14">
            <v>38</v>
          </cell>
          <cell r="K14">
            <v>226444</v>
          </cell>
          <cell r="L14">
            <v>206055</v>
          </cell>
          <cell r="M14">
            <v>0.90739999999999998</v>
          </cell>
          <cell r="N14">
            <v>13</v>
          </cell>
          <cell r="O14">
            <v>7</v>
          </cell>
          <cell r="P14">
            <v>35865</v>
          </cell>
          <cell r="Q14">
            <v>24900</v>
          </cell>
        </row>
        <row r="15">
          <cell r="C15" t="str">
            <v>唐朝霞</v>
          </cell>
          <cell r="D15" t="str">
            <v>长沙中心支公司</v>
          </cell>
          <cell r="E15" t="str">
            <v>续收专员</v>
          </cell>
          <cell r="F15" t="str">
            <v>个险</v>
          </cell>
          <cell r="G15" t="str">
            <v>当月</v>
          </cell>
          <cell r="H15" t="str">
            <v>201704</v>
          </cell>
          <cell r="I15">
            <v>49</v>
          </cell>
          <cell r="J15">
            <v>40</v>
          </cell>
          <cell r="K15">
            <v>228696</v>
          </cell>
          <cell r="L15">
            <v>183619</v>
          </cell>
          <cell r="M15">
            <v>0.80959999999999999</v>
          </cell>
          <cell r="N15">
            <v>13</v>
          </cell>
          <cell r="O15">
            <v>11</v>
          </cell>
          <cell r="P15">
            <v>52582</v>
          </cell>
          <cell r="Q15">
            <v>42680</v>
          </cell>
        </row>
        <row r="16">
          <cell r="C16" t="str">
            <v>刘菊</v>
          </cell>
          <cell r="D16" t="str">
            <v>邵阳中心支公司</v>
          </cell>
          <cell r="E16" t="str">
            <v>续收专员</v>
          </cell>
          <cell r="F16" t="str">
            <v>个险</v>
          </cell>
          <cell r="G16" t="str">
            <v>当月</v>
          </cell>
          <cell r="H16" t="str">
            <v>201704</v>
          </cell>
          <cell r="I16">
            <v>58</v>
          </cell>
          <cell r="J16">
            <v>36</v>
          </cell>
          <cell r="K16">
            <v>305402</v>
          </cell>
          <cell r="L16">
            <v>199240</v>
          </cell>
          <cell r="M16">
            <v>0.63649999999999995</v>
          </cell>
          <cell r="N16">
            <v>21</v>
          </cell>
          <cell r="O16">
            <v>14</v>
          </cell>
          <cell r="P16">
            <v>111345</v>
          </cell>
          <cell r="Q16">
            <v>74682</v>
          </cell>
        </row>
        <row r="17">
          <cell r="C17" t="str">
            <v>朱姗</v>
          </cell>
          <cell r="D17" t="str">
            <v>湘潭中心支公司</v>
          </cell>
          <cell r="E17" t="str">
            <v>续收专员</v>
          </cell>
          <cell r="F17" t="str">
            <v>个险</v>
          </cell>
          <cell r="G17" t="str">
            <v>当月</v>
          </cell>
          <cell r="H17" t="str">
            <v>201704</v>
          </cell>
          <cell r="I17">
            <v>15</v>
          </cell>
          <cell r="J17">
            <v>8</v>
          </cell>
          <cell r="K17">
            <v>81301</v>
          </cell>
          <cell r="L17">
            <v>31124</v>
          </cell>
          <cell r="M17">
            <v>0.45810000000000001</v>
          </cell>
          <cell r="N17">
            <v>2</v>
          </cell>
          <cell r="O17">
            <v>2</v>
          </cell>
          <cell r="P17">
            <v>4873</v>
          </cell>
          <cell r="Q17">
            <v>4873</v>
          </cell>
        </row>
        <row r="18">
          <cell r="C18" t="str">
            <v>郭文娟</v>
          </cell>
          <cell r="D18" t="str">
            <v>益阳中心支公司</v>
          </cell>
          <cell r="E18" t="str">
            <v>续收专员</v>
          </cell>
          <cell r="F18" t="str">
            <v>个险</v>
          </cell>
          <cell r="G18" t="str">
            <v>当月</v>
          </cell>
          <cell r="H18" t="str">
            <v>201704</v>
          </cell>
          <cell r="I18">
            <v>27</v>
          </cell>
          <cell r="J18">
            <v>22</v>
          </cell>
          <cell r="K18">
            <v>129608</v>
          </cell>
          <cell r="L18">
            <v>107616</v>
          </cell>
          <cell r="M18">
            <v>0.8226</v>
          </cell>
          <cell r="N18">
            <v>10</v>
          </cell>
          <cell r="O18">
            <v>10</v>
          </cell>
          <cell r="P18">
            <v>35129</v>
          </cell>
          <cell r="Q18">
            <v>35129</v>
          </cell>
        </row>
        <row r="19">
          <cell r="C19" t="str">
            <v>熊伟</v>
          </cell>
          <cell r="D19" t="str">
            <v>岳阳中心支公司</v>
          </cell>
          <cell r="E19" t="str">
            <v>续收专员</v>
          </cell>
          <cell r="F19" t="str">
            <v>个险</v>
          </cell>
          <cell r="G19" t="str">
            <v>当月</v>
          </cell>
          <cell r="H19" t="str">
            <v>201704</v>
          </cell>
          <cell r="I19">
            <v>22</v>
          </cell>
          <cell r="J19">
            <v>19</v>
          </cell>
          <cell r="K19">
            <v>97607</v>
          </cell>
          <cell r="L19">
            <v>84899</v>
          </cell>
          <cell r="M19">
            <v>0.86670000000000003</v>
          </cell>
          <cell r="N19">
            <v>18</v>
          </cell>
          <cell r="O19">
            <v>15</v>
          </cell>
          <cell r="P19">
            <v>60920</v>
          </cell>
          <cell r="Q19">
            <v>43243</v>
          </cell>
        </row>
        <row r="20">
          <cell r="C20" t="str">
            <v>陈文辉</v>
          </cell>
          <cell r="D20" t="str">
            <v>常德中心支公司</v>
          </cell>
          <cell r="E20" t="str">
            <v>续收专员</v>
          </cell>
          <cell r="F20" t="str">
            <v>个险</v>
          </cell>
          <cell r="G20" t="str">
            <v>当月</v>
          </cell>
          <cell r="H20" t="str">
            <v>201704</v>
          </cell>
          <cell r="I20">
            <v>16</v>
          </cell>
          <cell r="J20">
            <v>11</v>
          </cell>
          <cell r="K20">
            <v>90839</v>
          </cell>
          <cell r="L20">
            <v>66687</v>
          </cell>
          <cell r="M20">
            <v>0.71079999999999999</v>
          </cell>
          <cell r="N20">
            <v>8</v>
          </cell>
          <cell r="O20">
            <v>6</v>
          </cell>
          <cell r="P20">
            <v>25179</v>
          </cell>
          <cell r="Q20">
            <v>12138</v>
          </cell>
        </row>
        <row r="21">
          <cell r="C21" t="str">
            <v>何凤雨</v>
          </cell>
          <cell r="D21" t="str">
            <v>株洲中心支公司</v>
          </cell>
          <cell r="E21" t="str">
            <v>续收专员</v>
          </cell>
          <cell r="F21" t="str">
            <v>个险</v>
          </cell>
          <cell r="G21" t="str">
            <v>当月</v>
          </cell>
          <cell r="H21" t="str">
            <v>201704</v>
          </cell>
          <cell r="I21">
            <v>22</v>
          </cell>
          <cell r="J21">
            <v>19</v>
          </cell>
          <cell r="K21">
            <v>146814</v>
          </cell>
          <cell r="L21">
            <v>124001</v>
          </cell>
          <cell r="M21">
            <v>0.85409999999999997</v>
          </cell>
          <cell r="N21">
            <v>13</v>
          </cell>
          <cell r="O21">
            <v>10</v>
          </cell>
          <cell r="P21">
            <v>36768</v>
          </cell>
          <cell r="Q21">
            <v>30937</v>
          </cell>
        </row>
        <row r="22">
          <cell r="C22" t="str">
            <v>何建滨</v>
          </cell>
          <cell r="D22" t="str">
            <v>益阳中心支公司</v>
          </cell>
          <cell r="E22" t="str">
            <v>续收专员</v>
          </cell>
          <cell r="F22" t="str">
            <v>个险</v>
          </cell>
          <cell r="G22" t="str">
            <v>当月</v>
          </cell>
          <cell r="H22" t="str">
            <v>201704</v>
          </cell>
          <cell r="I22">
            <v>27</v>
          </cell>
          <cell r="J22">
            <v>23</v>
          </cell>
          <cell r="K22">
            <v>118032</v>
          </cell>
          <cell r="L22">
            <v>103215</v>
          </cell>
          <cell r="M22">
            <v>0.86319999999999997</v>
          </cell>
          <cell r="N22">
            <v>9</v>
          </cell>
          <cell r="O22">
            <v>9</v>
          </cell>
          <cell r="P22">
            <v>25936</v>
          </cell>
          <cell r="Q22">
            <v>25936</v>
          </cell>
        </row>
        <row r="23">
          <cell r="C23" t="str">
            <v>李文云</v>
          </cell>
          <cell r="D23" t="str">
            <v>怀化中心支公司</v>
          </cell>
          <cell r="E23" t="str">
            <v>续收专员</v>
          </cell>
          <cell r="F23" t="str">
            <v>个险</v>
          </cell>
          <cell r="G23" t="str">
            <v>当月</v>
          </cell>
          <cell r="H23" t="str">
            <v>201704</v>
          </cell>
          <cell r="I23">
            <v>118</v>
          </cell>
          <cell r="J23">
            <v>78</v>
          </cell>
          <cell r="K23">
            <v>426535</v>
          </cell>
          <cell r="L23">
            <v>275565</v>
          </cell>
          <cell r="M23">
            <v>0.65349999999999997</v>
          </cell>
          <cell r="N23">
            <v>31</v>
          </cell>
          <cell r="O23">
            <v>27</v>
          </cell>
          <cell r="P23">
            <v>77183</v>
          </cell>
          <cell r="Q23">
            <v>63451</v>
          </cell>
        </row>
        <row r="24">
          <cell r="C24" t="str">
            <v>陈华</v>
          </cell>
          <cell r="D24" t="str">
            <v>长沙中心支公司</v>
          </cell>
          <cell r="E24" t="str">
            <v>续收专员</v>
          </cell>
          <cell r="F24" t="str">
            <v>个险</v>
          </cell>
          <cell r="G24" t="str">
            <v>当月</v>
          </cell>
          <cell r="H24" t="str">
            <v>201704</v>
          </cell>
          <cell r="I24">
            <v>57</v>
          </cell>
          <cell r="J24">
            <v>50</v>
          </cell>
          <cell r="K24">
            <v>268622</v>
          </cell>
          <cell r="L24">
            <v>224101</v>
          </cell>
          <cell r="M24">
            <v>0.85570000000000002</v>
          </cell>
          <cell r="N24">
            <v>5</v>
          </cell>
          <cell r="O24">
            <v>5</v>
          </cell>
          <cell r="P24">
            <v>20567</v>
          </cell>
          <cell r="Q24">
            <v>20567</v>
          </cell>
        </row>
        <row r="25">
          <cell r="C25" t="str">
            <v>仇丹</v>
          </cell>
          <cell r="D25" t="str">
            <v>岳阳中心支公司</v>
          </cell>
          <cell r="E25" t="str">
            <v>续收专员</v>
          </cell>
          <cell r="F25" t="str">
            <v>个险</v>
          </cell>
          <cell r="G25" t="str">
            <v>当月</v>
          </cell>
          <cell r="H25" t="str">
            <v>201704</v>
          </cell>
          <cell r="I25">
            <v>105</v>
          </cell>
          <cell r="J25">
            <v>85</v>
          </cell>
          <cell r="K25">
            <v>443248</v>
          </cell>
          <cell r="L25">
            <v>358598</v>
          </cell>
          <cell r="M25">
            <v>0.80930000000000002</v>
          </cell>
          <cell r="N25">
            <v>13</v>
          </cell>
          <cell r="O25">
            <v>12</v>
          </cell>
          <cell r="P25">
            <v>43206</v>
          </cell>
          <cell r="Q25">
            <v>40943</v>
          </cell>
        </row>
        <row r="26">
          <cell r="C26" t="str">
            <v>欧阳兆慧</v>
          </cell>
          <cell r="D26" t="str">
            <v>长沙中心支公司</v>
          </cell>
          <cell r="E26" t="str">
            <v>续收专员</v>
          </cell>
          <cell r="F26" t="str">
            <v>个险</v>
          </cell>
          <cell r="G26" t="str">
            <v>当月</v>
          </cell>
          <cell r="H26" t="str">
            <v>201704</v>
          </cell>
          <cell r="I26">
            <v>53</v>
          </cell>
          <cell r="J26">
            <v>48</v>
          </cell>
          <cell r="K26">
            <v>316235</v>
          </cell>
          <cell r="L26">
            <v>283487</v>
          </cell>
          <cell r="M26">
            <v>0.90110000000000001</v>
          </cell>
          <cell r="N26">
            <v>7</v>
          </cell>
          <cell r="O26">
            <v>6</v>
          </cell>
          <cell r="P26">
            <v>21546</v>
          </cell>
          <cell r="Q26">
            <v>19804</v>
          </cell>
        </row>
        <row r="27">
          <cell r="C27" t="str">
            <v>王灿</v>
          </cell>
          <cell r="D27" t="str">
            <v>岳阳中心支公司</v>
          </cell>
          <cell r="E27" t="str">
            <v>续收专员</v>
          </cell>
          <cell r="F27" t="str">
            <v>个险</v>
          </cell>
          <cell r="G27" t="str">
            <v>当月</v>
          </cell>
          <cell r="H27" t="str">
            <v>201704</v>
          </cell>
          <cell r="I27">
            <v>17</v>
          </cell>
          <cell r="J27">
            <v>15</v>
          </cell>
          <cell r="K27">
            <v>80195</v>
          </cell>
          <cell r="L27">
            <v>65009</v>
          </cell>
          <cell r="M27">
            <v>0.84650000000000003</v>
          </cell>
          <cell r="N27">
            <v>5</v>
          </cell>
          <cell r="O27">
            <v>5</v>
          </cell>
          <cell r="P27">
            <v>16517</v>
          </cell>
          <cell r="Q27">
            <v>16517</v>
          </cell>
        </row>
        <row r="28">
          <cell r="C28" t="str">
            <v>陈瑶</v>
          </cell>
          <cell r="D28" t="str">
            <v>长沙中心支公司</v>
          </cell>
          <cell r="E28" t="str">
            <v>续收专员</v>
          </cell>
          <cell r="F28" t="str">
            <v>个险</v>
          </cell>
          <cell r="G28" t="str">
            <v>当月</v>
          </cell>
          <cell r="H28" t="str">
            <v>201704</v>
          </cell>
          <cell r="I28">
            <v>92</v>
          </cell>
          <cell r="J28">
            <v>77</v>
          </cell>
          <cell r="K28">
            <v>372273</v>
          </cell>
          <cell r="L28">
            <v>322368</v>
          </cell>
          <cell r="M28">
            <v>0.85150000000000003</v>
          </cell>
          <cell r="N28">
            <v>32</v>
          </cell>
          <cell r="O28">
            <v>31</v>
          </cell>
          <cell r="P28">
            <v>90288</v>
          </cell>
          <cell r="Q28">
            <v>88602</v>
          </cell>
        </row>
        <row r="29">
          <cell r="C29" t="str">
            <v>胡素娟</v>
          </cell>
          <cell r="D29" t="str">
            <v>郴州中心支公司</v>
          </cell>
          <cell r="E29" t="str">
            <v>续收专员</v>
          </cell>
          <cell r="F29" t="str">
            <v>个险</v>
          </cell>
          <cell r="G29" t="str">
            <v>当月</v>
          </cell>
          <cell r="H29" t="str">
            <v>201704</v>
          </cell>
          <cell r="I29">
            <v>13</v>
          </cell>
          <cell r="J29">
            <v>12</v>
          </cell>
          <cell r="K29">
            <v>78095</v>
          </cell>
          <cell r="L29">
            <v>71957</v>
          </cell>
          <cell r="M29">
            <v>0.92220000000000002</v>
          </cell>
          <cell r="N29">
            <v>14</v>
          </cell>
          <cell r="O29">
            <v>12</v>
          </cell>
          <cell r="P29">
            <v>69025</v>
          </cell>
          <cell r="Q29">
            <v>60321</v>
          </cell>
        </row>
        <row r="30">
          <cell r="C30" t="str">
            <v>谢迎春</v>
          </cell>
          <cell r="D30" t="str">
            <v>邵阳中心支公司</v>
          </cell>
          <cell r="E30" t="str">
            <v>续收专员</v>
          </cell>
          <cell r="F30" t="str">
            <v>个险</v>
          </cell>
          <cell r="G30" t="str">
            <v>当月</v>
          </cell>
          <cell r="H30" t="str">
            <v>201704</v>
          </cell>
          <cell r="I30">
            <v>29</v>
          </cell>
          <cell r="J30">
            <v>13</v>
          </cell>
          <cell r="K30">
            <v>125563</v>
          </cell>
          <cell r="L30">
            <v>66902</v>
          </cell>
          <cell r="M30">
            <v>0.49049999999999999</v>
          </cell>
          <cell r="N30">
            <v>9</v>
          </cell>
          <cell r="O30">
            <v>4</v>
          </cell>
          <cell r="P30">
            <v>24740</v>
          </cell>
          <cell r="Q30">
            <v>11600</v>
          </cell>
        </row>
        <row r="31">
          <cell r="C31" t="str">
            <v>龙以辉</v>
          </cell>
          <cell r="D31" t="str">
            <v>娄底中心支公司</v>
          </cell>
          <cell r="E31" t="str">
            <v>续收专员</v>
          </cell>
          <cell r="F31" t="str">
            <v>个险</v>
          </cell>
          <cell r="G31" t="str">
            <v>当月</v>
          </cell>
          <cell r="H31" t="str">
            <v>201704</v>
          </cell>
          <cell r="I31">
            <v>28</v>
          </cell>
          <cell r="J31">
            <v>10</v>
          </cell>
          <cell r="K31">
            <v>128018</v>
          </cell>
          <cell r="L31">
            <v>42536</v>
          </cell>
          <cell r="M31">
            <v>0.34470000000000001</v>
          </cell>
          <cell r="N31">
            <v>3</v>
          </cell>
          <cell r="O31">
            <v>0</v>
          </cell>
          <cell r="P31">
            <v>13426</v>
          </cell>
          <cell r="Q31">
            <v>0</v>
          </cell>
        </row>
        <row r="32">
          <cell r="C32" t="str">
            <v>熊灿</v>
          </cell>
          <cell r="D32" t="str">
            <v>长沙中心支公司</v>
          </cell>
          <cell r="E32" t="str">
            <v>续收专员</v>
          </cell>
          <cell r="F32" t="str">
            <v>个险</v>
          </cell>
          <cell r="G32" t="str">
            <v>当月</v>
          </cell>
          <cell r="H32" t="str">
            <v>201704</v>
          </cell>
          <cell r="I32">
            <v>74</v>
          </cell>
          <cell r="J32">
            <v>51</v>
          </cell>
          <cell r="K32">
            <v>304418</v>
          </cell>
          <cell r="L32">
            <v>201335</v>
          </cell>
          <cell r="M32">
            <v>0.67530000000000001</v>
          </cell>
          <cell r="N32">
            <v>1</v>
          </cell>
          <cell r="O32">
            <v>1</v>
          </cell>
          <cell r="P32">
            <v>1230</v>
          </cell>
          <cell r="Q32">
            <v>1230</v>
          </cell>
        </row>
        <row r="33">
          <cell r="C33" t="str">
            <v>易跃辉</v>
          </cell>
          <cell r="D33" t="str">
            <v>邵阳中心支公司</v>
          </cell>
          <cell r="E33" t="str">
            <v>续收专员</v>
          </cell>
          <cell r="F33" t="str">
            <v>个险</v>
          </cell>
          <cell r="G33" t="str">
            <v>当月</v>
          </cell>
          <cell r="H33" t="str">
            <v>201704</v>
          </cell>
          <cell r="I33">
            <v>45</v>
          </cell>
          <cell r="J33">
            <v>42</v>
          </cell>
          <cell r="K33">
            <v>177077</v>
          </cell>
          <cell r="L33">
            <v>159725</v>
          </cell>
          <cell r="M33">
            <v>0.91769999999999996</v>
          </cell>
          <cell r="N33">
            <v>1</v>
          </cell>
          <cell r="O33">
            <v>0</v>
          </cell>
          <cell r="P33">
            <v>5256</v>
          </cell>
          <cell r="Q33">
            <v>0</v>
          </cell>
        </row>
        <row r="34">
          <cell r="C34" t="str">
            <v>徐美群</v>
          </cell>
          <cell r="D34" t="str">
            <v>邵阳中心支公司</v>
          </cell>
          <cell r="E34" t="str">
            <v>续收专员</v>
          </cell>
          <cell r="F34" t="str">
            <v>个险</v>
          </cell>
          <cell r="G34" t="str">
            <v>当月</v>
          </cell>
          <cell r="H34" t="str">
            <v>201704</v>
          </cell>
          <cell r="I34">
            <v>17</v>
          </cell>
          <cell r="J34">
            <v>10</v>
          </cell>
          <cell r="K34">
            <v>73137</v>
          </cell>
          <cell r="L34">
            <v>39332</v>
          </cell>
          <cell r="M34">
            <v>0.56299999999999994</v>
          </cell>
          <cell r="N34">
            <v>14</v>
          </cell>
          <cell r="O34">
            <v>13</v>
          </cell>
          <cell r="P34">
            <v>64916</v>
          </cell>
          <cell r="Q34">
            <v>53826</v>
          </cell>
        </row>
        <row r="35">
          <cell r="C35" t="str">
            <v>杨华</v>
          </cell>
          <cell r="D35" t="str">
            <v>怀化中心支公司</v>
          </cell>
          <cell r="E35" t="str">
            <v>续收专员</v>
          </cell>
          <cell r="F35" t="str">
            <v>个险</v>
          </cell>
          <cell r="G35" t="str">
            <v>当月</v>
          </cell>
          <cell r="H35" t="str">
            <v>201704</v>
          </cell>
          <cell r="I35">
            <v>14</v>
          </cell>
          <cell r="J35">
            <v>13</v>
          </cell>
          <cell r="K35">
            <v>56945</v>
          </cell>
          <cell r="L35">
            <v>51680</v>
          </cell>
          <cell r="M35">
            <v>0.91810000000000003</v>
          </cell>
          <cell r="N35">
            <v>5</v>
          </cell>
          <cell r="O35">
            <v>5</v>
          </cell>
          <cell r="P35">
            <v>12341</v>
          </cell>
          <cell r="Q35">
            <v>12341</v>
          </cell>
        </row>
        <row r="36">
          <cell r="C36" t="str">
            <v>高磊</v>
          </cell>
          <cell r="D36" t="str">
            <v>益阳中心支公司</v>
          </cell>
          <cell r="E36" t="str">
            <v>续收专员</v>
          </cell>
          <cell r="F36" t="str">
            <v>个险</v>
          </cell>
          <cell r="G36" t="str">
            <v>当月</v>
          </cell>
          <cell r="H36" t="str">
            <v>201704</v>
          </cell>
          <cell r="I36">
            <v>1</v>
          </cell>
          <cell r="J36">
            <v>1</v>
          </cell>
          <cell r="K36">
            <v>3862</v>
          </cell>
          <cell r="L36">
            <v>3862</v>
          </cell>
          <cell r="M36">
            <v>1</v>
          </cell>
          <cell r="N36">
            <v>1</v>
          </cell>
          <cell r="O36">
            <v>1</v>
          </cell>
          <cell r="P36">
            <v>2307</v>
          </cell>
          <cell r="Q36">
            <v>2307</v>
          </cell>
        </row>
        <row r="37">
          <cell r="C37" t="str">
            <v>胡伟</v>
          </cell>
          <cell r="D37" t="str">
            <v>长沙中心支公司</v>
          </cell>
          <cell r="E37" t="str">
            <v>续收专员</v>
          </cell>
          <cell r="F37" t="str">
            <v>个险</v>
          </cell>
          <cell r="G37" t="str">
            <v>当月</v>
          </cell>
          <cell r="H37" t="str">
            <v>201704</v>
          </cell>
          <cell r="I37">
            <v>69</v>
          </cell>
          <cell r="J37">
            <v>61</v>
          </cell>
          <cell r="K37">
            <v>318896</v>
          </cell>
          <cell r="L37">
            <v>278026</v>
          </cell>
          <cell r="M37">
            <v>0.87790000000000001</v>
          </cell>
          <cell r="N37">
            <v>23</v>
          </cell>
          <cell r="O37">
            <v>22</v>
          </cell>
          <cell r="P37">
            <v>82136</v>
          </cell>
          <cell r="Q37">
            <v>77616</v>
          </cell>
        </row>
        <row r="38">
          <cell r="C38" t="str">
            <v>刘桂青</v>
          </cell>
          <cell r="D38" t="str">
            <v>长沙中心支公司</v>
          </cell>
          <cell r="E38" t="str">
            <v>续收专员</v>
          </cell>
          <cell r="F38" t="str">
            <v>个险</v>
          </cell>
          <cell r="G38" t="str">
            <v>当月</v>
          </cell>
          <cell r="H38" t="str">
            <v>201704</v>
          </cell>
          <cell r="I38">
            <v>45</v>
          </cell>
          <cell r="J38">
            <v>41</v>
          </cell>
          <cell r="K38">
            <v>226571</v>
          </cell>
          <cell r="L38">
            <v>202891</v>
          </cell>
          <cell r="M38">
            <v>0.90329999999999999</v>
          </cell>
          <cell r="N38">
            <v>27</v>
          </cell>
          <cell r="O38">
            <v>24</v>
          </cell>
          <cell r="P38">
            <v>97335</v>
          </cell>
          <cell r="Q38">
            <v>82432</v>
          </cell>
        </row>
        <row r="39">
          <cell r="C39" t="str">
            <v>马利芝</v>
          </cell>
          <cell r="D39" t="str">
            <v>株洲中心支公司</v>
          </cell>
          <cell r="E39" t="str">
            <v>续收专员</v>
          </cell>
          <cell r="F39" t="str">
            <v>个险</v>
          </cell>
          <cell r="G39" t="str">
            <v>当月</v>
          </cell>
          <cell r="H39" t="str">
            <v>201704</v>
          </cell>
          <cell r="I39">
            <v>22</v>
          </cell>
          <cell r="J39">
            <v>16</v>
          </cell>
          <cell r="K39">
            <v>147772</v>
          </cell>
          <cell r="L39">
            <v>117639</v>
          </cell>
          <cell r="M39">
            <v>0.76170000000000004</v>
          </cell>
          <cell r="N39">
            <v>14</v>
          </cell>
          <cell r="O39">
            <v>10</v>
          </cell>
          <cell r="P39">
            <v>33715</v>
          </cell>
          <cell r="Q39">
            <v>24817</v>
          </cell>
        </row>
        <row r="40">
          <cell r="C40" t="str">
            <v>周爱芝</v>
          </cell>
          <cell r="D40" t="str">
            <v>株洲中心支公司</v>
          </cell>
          <cell r="E40" t="str">
            <v>续收专员</v>
          </cell>
          <cell r="F40" t="str">
            <v>个险</v>
          </cell>
          <cell r="G40" t="str">
            <v>当月</v>
          </cell>
          <cell r="H40" t="str">
            <v>201704</v>
          </cell>
          <cell r="I40">
            <v>22</v>
          </cell>
          <cell r="J40">
            <v>15</v>
          </cell>
          <cell r="K40">
            <v>158661</v>
          </cell>
          <cell r="L40">
            <v>97676</v>
          </cell>
          <cell r="M40">
            <v>0.64870000000000005</v>
          </cell>
          <cell r="N40">
            <v>18</v>
          </cell>
          <cell r="O40">
            <v>17</v>
          </cell>
          <cell r="P40">
            <v>33488</v>
          </cell>
          <cell r="Q40">
            <v>32388</v>
          </cell>
        </row>
        <row r="41">
          <cell r="C41" t="str">
            <v>谢宇兰</v>
          </cell>
          <cell r="D41" t="str">
            <v>株洲中心支公司</v>
          </cell>
          <cell r="E41" t="str">
            <v>续收专员</v>
          </cell>
          <cell r="F41" t="str">
            <v>个险</v>
          </cell>
          <cell r="G41" t="str">
            <v>当月</v>
          </cell>
          <cell r="H41" t="str">
            <v>201704</v>
          </cell>
          <cell r="I41">
            <v>7</v>
          </cell>
          <cell r="J41">
            <v>7</v>
          </cell>
          <cell r="K41">
            <v>16189</v>
          </cell>
          <cell r="L41">
            <v>16189</v>
          </cell>
          <cell r="M41">
            <v>1</v>
          </cell>
          <cell r="N41">
            <v>3</v>
          </cell>
          <cell r="O41">
            <v>2</v>
          </cell>
          <cell r="P41">
            <v>8997</v>
          </cell>
          <cell r="Q41">
            <v>4124</v>
          </cell>
        </row>
        <row r="42">
          <cell r="C42" t="str">
            <v>刘颖</v>
          </cell>
          <cell r="D42" t="str">
            <v>湘潭中心支公司</v>
          </cell>
          <cell r="E42" t="str">
            <v>续收专员</v>
          </cell>
          <cell r="F42" t="str">
            <v>个险</v>
          </cell>
          <cell r="G42" t="str">
            <v>当月</v>
          </cell>
          <cell r="H42" t="str">
            <v>201704</v>
          </cell>
          <cell r="I42">
            <v>20</v>
          </cell>
          <cell r="J42">
            <v>20</v>
          </cell>
          <cell r="K42">
            <v>108059</v>
          </cell>
          <cell r="L42">
            <v>108059</v>
          </cell>
          <cell r="M42">
            <v>1</v>
          </cell>
          <cell r="N42">
            <v>18</v>
          </cell>
          <cell r="O42">
            <v>17</v>
          </cell>
          <cell r="P42">
            <v>70820</v>
          </cell>
          <cell r="Q42">
            <v>69143</v>
          </cell>
        </row>
        <row r="43">
          <cell r="C43" t="str">
            <v>阳利</v>
          </cell>
          <cell r="D43" t="str">
            <v>湘潭中心支公司</v>
          </cell>
          <cell r="E43" t="str">
            <v>续收专员</v>
          </cell>
          <cell r="F43" t="str">
            <v>个险</v>
          </cell>
          <cell r="G43" t="str">
            <v>当月</v>
          </cell>
          <cell r="H43" t="str">
            <v>201704</v>
          </cell>
          <cell r="I43">
            <v>35</v>
          </cell>
          <cell r="J43">
            <v>28</v>
          </cell>
          <cell r="K43">
            <v>166525</v>
          </cell>
          <cell r="L43">
            <v>132389</v>
          </cell>
          <cell r="M43">
            <v>0.79749999999999999</v>
          </cell>
          <cell r="N43">
            <v>5</v>
          </cell>
          <cell r="O43">
            <v>5</v>
          </cell>
          <cell r="P43">
            <v>22641</v>
          </cell>
          <cell r="Q43">
            <v>22641</v>
          </cell>
        </row>
        <row r="44">
          <cell r="C44" t="str">
            <v>谭金玉</v>
          </cell>
          <cell r="D44" t="str">
            <v>衡阳中心支公司</v>
          </cell>
          <cell r="E44" t="str">
            <v>续收专员</v>
          </cell>
          <cell r="F44" t="str">
            <v>个险</v>
          </cell>
          <cell r="G44" t="str">
            <v>当月</v>
          </cell>
          <cell r="H44" t="str">
            <v>201704</v>
          </cell>
          <cell r="I44">
            <v>16</v>
          </cell>
          <cell r="J44">
            <v>11</v>
          </cell>
          <cell r="K44">
            <v>69119</v>
          </cell>
          <cell r="L44">
            <v>54662</v>
          </cell>
          <cell r="M44">
            <v>0.73919999999999997</v>
          </cell>
          <cell r="N44">
            <v>17</v>
          </cell>
          <cell r="O44">
            <v>16</v>
          </cell>
          <cell r="P44">
            <v>96927</v>
          </cell>
          <cell r="Q44">
            <v>91857</v>
          </cell>
        </row>
        <row r="45">
          <cell r="C45" t="str">
            <v>刘兰妹</v>
          </cell>
          <cell r="D45" t="str">
            <v>衡阳中心支公司</v>
          </cell>
          <cell r="E45" t="str">
            <v>续收专员</v>
          </cell>
          <cell r="F45" t="str">
            <v>个险</v>
          </cell>
          <cell r="G45" t="str">
            <v>当月</v>
          </cell>
          <cell r="H45" t="str">
            <v>201704</v>
          </cell>
          <cell r="I45">
            <v>18</v>
          </cell>
          <cell r="J45">
            <v>15</v>
          </cell>
          <cell r="K45">
            <v>69135</v>
          </cell>
          <cell r="L45">
            <v>62406</v>
          </cell>
          <cell r="M45">
            <v>0.86799999999999999</v>
          </cell>
          <cell r="N45">
            <v>17</v>
          </cell>
          <cell r="O45">
            <v>14</v>
          </cell>
          <cell r="P45">
            <v>59893</v>
          </cell>
          <cell r="Q45">
            <v>42512</v>
          </cell>
        </row>
        <row r="46">
          <cell r="C46" t="str">
            <v>肖玲林</v>
          </cell>
          <cell r="D46" t="str">
            <v>常德中心支公司</v>
          </cell>
          <cell r="E46" t="str">
            <v>续收专员</v>
          </cell>
          <cell r="F46" t="str">
            <v>个险</v>
          </cell>
          <cell r="G46" t="str">
            <v>当月</v>
          </cell>
          <cell r="H46" t="str">
            <v>201704</v>
          </cell>
          <cell r="I46">
            <v>47</v>
          </cell>
          <cell r="J46">
            <v>44</v>
          </cell>
          <cell r="K46">
            <v>201986</v>
          </cell>
          <cell r="L46">
            <v>196529</v>
          </cell>
          <cell r="M46">
            <v>0.9546</v>
          </cell>
          <cell r="N46">
            <v>12</v>
          </cell>
          <cell r="O46">
            <v>10</v>
          </cell>
          <cell r="P46">
            <v>58826</v>
          </cell>
          <cell r="Q46">
            <v>52504</v>
          </cell>
        </row>
        <row r="47">
          <cell r="C47" t="str">
            <v>胡腊英</v>
          </cell>
          <cell r="D47" t="str">
            <v>常德中心支公司</v>
          </cell>
          <cell r="E47" t="str">
            <v>续收专员</v>
          </cell>
          <cell r="F47" t="str">
            <v>个险</v>
          </cell>
          <cell r="G47" t="str">
            <v>当月</v>
          </cell>
          <cell r="H47" t="str">
            <v>201704</v>
          </cell>
          <cell r="I47">
            <v>32</v>
          </cell>
          <cell r="J47">
            <v>28</v>
          </cell>
          <cell r="K47">
            <v>134422</v>
          </cell>
          <cell r="L47">
            <v>116822</v>
          </cell>
          <cell r="M47">
            <v>0.872</v>
          </cell>
          <cell r="N47">
            <v>12</v>
          </cell>
          <cell r="O47">
            <v>11</v>
          </cell>
          <cell r="P47">
            <v>52170</v>
          </cell>
          <cell r="Q47">
            <v>39420</v>
          </cell>
        </row>
        <row r="48">
          <cell r="C48" t="str">
            <v>王银平</v>
          </cell>
          <cell r="D48" t="str">
            <v>常德中心支公司</v>
          </cell>
          <cell r="E48" t="str">
            <v>续收专员</v>
          </cell>
          <cell r="F48" t="str">
            <v>个险</v>
          </cell>
          <cell r="G48" t="str">
            <v>当月</v>
          </cell>
          <cell r="H48" t="str">
            <v>201704</v>
          </cell>
          <cell r="I48">
            <v>48</v>
          </cell>
          <cell r="J48">
            <v>43</v>
          </cell>
          <cell r="K48">
            <v>202602</v>
          </cell>
          <cell r="L48">
            <v>173094</v>
          </cell>
          <cell r="M48">
            <v>0.87509999999999999</v>
          </cell>
          <cell r="N48">
            <v>23</v>
          </cell>
          <cell r="O48">
            <v>22</v>
          </cell>
          <cell r="P48">
            <v>64653</v>
          </cell>
          <cell r="Q48">
            <v>59628</v>
          </cell>
        </row>
        <row r="49">
          <cell r="C49" t="str">
            <v>饶泽梅</v>
          </cell>
          <cell r="D49" t="str">
            <v>常德中心支公司</v>
          </cell>
          <cell r="E49" t="str">
            <v>续收专员</v>
          </cell>
          <cell r="F49" t="str">
            <v>个险</v>
          </cell>
          <cell r="G49" t="str">
            <v>当月</v>
          </cell>
          <cell r="H49" t="str">
            <v>201704</v>
          </cell>
          <cell r="I49">
            <v>50</v>
          </cell>
          <cell r="J49">
            <v>47</v>
          </cell>
          <cell r="K49">
            <v>227129</v>
          </cell>
          <cell r="L49">
            <v>213899</v>
          </cell>
          <cell r="M49">
            <v>0.94089999999999996</v>
          </cell>
          <cell r="N49">
            <v>4</v>
          </cell>
          <cell r="O49">
            <v>3</v>
          </cell>
          <cell r="P49">
            <v>19280</v>
          </cell>
          <cell r="Q49">
            <v>16236</v>
          </cell>
        </row>
        <row r="50">
          <cell r="C50" t="str">
            <v>文庆元</v>
          </cell>
          <cell r="D50" t="str">
            <v>常德中心支公司</v>
          </cell>
          <cell r="E50" t="str">
            <v>续收专员</v>
          </cell>
          <cell r="F50" t="str">
            <v>个险</v>
          </cell>
          <cell r="G50" t="str">
            <v>当月</v>
          </cell>
          <cell r="H50" t="str">
            <v>201704</v>
          </cell>
          <cell r="I50">
            <v>37</v>
          </cell>
          <cell r="J50">
            <v>32</v>
          </cell>
          <cell r="K50">
            <v>166732</v>
          </cell>
          <cell r="L50">
            <v>134043</v>
          </cell>
          <cell r="M50">
            <v>0.83440000000000003</v>
          </cell>
          <cell r="N50">
            <v>10</v>
          </cell>
          <cell r="O50">
            <v>10</v>
          </cell>
          <cell r="P50">
            <v>43534</v>
          </cell>
          <cell r="Q50">
            <v>43534</v>
          </cell>
        </row>
        <row r="51">
          <cell r="C51" t="str">
            <v>王晓娟</v>
          </cell>
          <cell r="D51" t="str">
            <v>常德中心支公司</v>
          </cell>
          <cell r="E51" t="str">
            <v>续收专员</v>
          </cell>
          <cell r="F51" t="str">
            <v>个险</v>
          </cell>
          <cell r="G51" t="str">
            <v>当月</v>
          </cell>
          <cell r="H51" t="str">
            <v>201704</v>
          </cell>
          <cell r="I51">
            <v>28</v>
          </cell>
          <cell r="J51">
            <v>23</v>
          </cell>
          <cell r="K51">
            <v>147254</v>
          </cell>
          <cell r="L51">
            <v>103477</v>
          </cell>
          <cell r="M51">
            <v>0.7621</v>
          </cell>
          <cell r="N51">
            <v>11</v>
          </cell>
          <cell r="O51">
            <v>11</v>
          </cell>
          <cell r="P51">
            <v>43600</v>
          </cell>
          <cell r="Q51">
            <v>43600</v>
          </cell>
        </row>
        <row r="52">
          <cell r="C52" t="str">
            <v>刘菊英</v>
          </cell>
          <cell r="D52" t="str">
            <v>常德中心支公司</v>
          </cell>
          <cell r="E52" t="str">
            <v>续收专员</v>
          </cell>
          <cell r="F52" t="str">
            <v>个险</v>
          </cell>
          <cell r="G52" t="str">
            <v>当月</v>
          </cell>
          <cell r="H52" t="str">
            <v>201704</v>
          </cell>
          <cell r="I52">
            <v>24</v>
          </cell>
          <cell r="J52">
            <v>21</v>
          </cell>
          <cell r="K52">
            <v>112737</v>
          </cell>
          <cell r="L52">
            <v>98513</v>
          </cell>
          <cell r="M52">
            <v>0.87439999999999996</v>
          </cell>
          <cell r="N52">
            <v>10</v>
          </cell>
          <cell r="O52">
            <v>9</v>
          </cell>
          <cell r="P52">
            <v>25396</v>
          </cell>
          <cell r="Q52">
            <v>25089</v>
          </cell>
        </row>
        <row r="53">
          <cell r="C53" t="str">
            <v>吴银花</v>
          </cell>
          <cell r="D53" t="str">
            <v>常德中心支公司</v>
          </cell>
          <cell r="E53" t="str">
            <v>续收专员</v>
          </cell>
          <cell r="F53" t="str">
            <v>个险</v>
          </cell>
          <cell r="G53" t="str">
            <v>当月</v>
          </cell>
          <cell r="H53" t="str">
            <v>201704</v>
          </cell>
          <cell r="I53">
            <v>10</v>
          </cell>
          <cell r="J53">
            <v>10</v>
          </cell>
          <cell r="K53">
            <v>40653</v>
          </cell>
          <cell r="L53">
            <v>40653</v>
          </cell>
          <cell r="M53">
            <v>1</v>
          </cell>
          <cell r="N53">
            <v>11</v>
          </cell>
          <cell r="O53">
            <v>8</v>
          </cell>
          <cell r="P53">
            <v>26040</v>
          </cell>
          <cell r="Q53">
            <v>19147</v>
          </cell>
        </row>
        <row r="54">
          <cell r="C54" t="str">
            <v>高桂云</v>
          </cell>
          <cell r="D54" t="str">
            <v>益阳中心支公司</v>
          </cell>
          <cell r="E54" t="str">
            <v>续收专员</v>
          </cell>
          <cell r="F54" t="str">
            <v>个险</v>
          </cell>
          <cell r="G54" t="str">
            <v>当月</v>
          </cell>
          <cell r="H54" t="str">
            <v>201704</v>
          </cell>
          <cell r="I54">
            <v>53</v>
          </cell>
          <cell r="J54">
            <v>43</v>
          </cell>
          <cell r="K54">
            <v>237873</v>
          </cell>
          <cell r="L54">
            <v>203582</v>
          </cell>
          <cell r="M54">
            <v>0.83360000000000001</v>
          </cell>
          <cell r="N54">
            <v>21</v>
          </cell>
          <cell r="O54">
            <v>20</v>
          </cell>
          <cell r="P54">
            <v>95934</v>
          </cell>
          <cell r="Q54">
            <v>92899</v>
          </cell>
        </row>
        <row r="55">
          <cell r="C55" t="str">
            <v>熊运芝</v>
          </cell>
          <cell r="D55" t="str">
            <v>益阳中心支公司</v>
          </cell>
          <cell r="E55" t="str">
            <v>续收专员</v>
          </cell>
          <cell r="F55" t="str">
            <v>个险</v>
          </cell>
          <cell r="G55" t="str">
            <v>当月</v>
          </cell>
          <cell r="H55" t="str">
            <v>201704</v>
          </cell>
          <cell r="I55">
            <v>12</v>
          </cell>
          <cell r="J55">
            <v>12</v>
          </cell>
          <cell r="K55">
            <v>37404</v>
          </cell>
          <cell r="L55">
            <v>37404</v>
          </cell>
          <cell r="M55">
            <v>1</v>
          </cell>
          <cell r="N55">
            <v>2</v>
          </cell>
          <cell r="O55">
            <v>2</v>
          </cell>
          <cell r="P55">
            <v>6709</v>
          </cell>
          <cell r="Q55">
            <v>6709</v>
          </cell>
        </row>
        <row r="56">
          <cell r="C56" t="str">
            <v>彭运清</v>
          </cell>
          <cell r="D56" t="str">
            <v>益阳中心支公司</v>
          </cell>
          <cell r="E56" t="str">
            <v>续收专员</v>
          </cell>
          <cell r="F56" t="str">
            <v>个险</v>
          </cell>
          <cell r="G56" t="str">
            <v>当月</v>
          </cell>
          <cell r="H56" t="str">
            <v>201704</v>
          </cell>
          <cell r="I56">
            <v>40</v>
          </cell>
          <cell r="J56">
            <v>35</v>
          </cell>
          <cell r="K56">
            <v>137922</v>
          </cell>
          <cell r="L56">
            <v>120228</v>
          </cell>
          <cell r="M56">
            <v>0.87339999999999995</v>
          </cell>
          <cell r="N56">
            <v>10</v>
          </cell>
          <cell r="O56">
            <v>10</v>
          </cell>
          <cell r="P56">
            <v>36370</v>
          </cell>
          <cell r="Q56">
            <v>36370</v>
          </cell>
        </row>
        <row r="57">
          <cell r="C57" t="str">
            <v>杨冬香</v>
          </cell>
          <cell r="D57" t="str">
            <v>益阳中心支公司</v>
          </cell>
          <cell r="E57" t="str">
            <v>续收专员</v>
          </cell>
          <cell r="F57" t="str">
            <v>个险</v>
          </cell>
          <cell r="G57" t="str">
            <v>当月</v>
          </cell>
          <cell r="H57" t="str">
            <v>201704</v>
          </cell>
          <cell r="I57">
            <v>63</v>
          </cell>
          <cell r="J57">
            <v>54</v>
          </cell>
          <cell r="K57">
            <v>292609</v>
          </cell>
          <cell r="L57">
            <v>256741</v>
          </cell>
          <cell r="M57">
            <v>0.86729999999999996</v>
          </cell>
          <cell r="N57">
            <v>31</v>
          </cell>
          <cell r="O57">
            <v>28</v>
          </cell>
          <cell r="P57">
            <v>97437</v>
          </cell>
          <cell r="Q57">
            <v>90773</v>
          </cell>
        </row>
        <row r="58">
          <cell r="C58" t="str">
            <v>张秦</v>
          </cell>
          <cell r="D58" t="str">
            <v>益阳中心支公司</v>
          </cell>
          <cell r="E58" t="str">
            <v>续收专员</v>
          </cell>
          <cell r="F58" t="str">
            <v>个险</v>
          </cell>
          <cell r="G58" t="str">
            <v>当月</v>
          </cell>
          <cell r="H58" t="str">
            <v>201704</v>
          </cell>
          <cell r="I58">
            <v>21</v>
          </cell>
          <cell r="J58">
            <v>18</v>
          </cell>
          <cell r="K58">
            <v>90204</v>
          </cell>
          <cell r="L58">
            <v>78819</v>
          </cell>
          <cell r="M58">
            <v>0.86550000000000005</v>
          </cell>
          <cell r="N58">
            <v>10</v>
          </cell>
          <cell r="O58">
            <v>10</v>
          </cell>
          <cell r="P58">
            <v>37985</v>
          </cell>
          <cell r="Q58">
            <v>37985</v>
          </cell>
        </row>
        <row r="59">
          <cell r="C59" t="str">
            <v>邓银芳</v>
          </cell>
          <cell r="D59" t="str">
            <v>郴州中心支公司</v>
          </cell>
          <cell r="E59" t="str">
            <v>续收专员</v>
          </cell>
          <cell r="F59" t="str">
            <v>个险</v>
          </cell>
          <cell r="G59" t="str">
            <v>当月</v>
          </cell>
          <cell r="H59" t="str">
            <v>201704</v>
          </cell>
          <cell r="I59">
            <v>27</v>
          </cell>
          <cell r="J59">
            <v>19</v>
          </cell>
          <cell r="K59">
            <v>105024</v>
          </cell>
          <cell r="L59">
            <v>73341</v>
          </cell>
          <cell r="M59">
            <v>0.70099999999999996</v>
          </cell>
          <cell r="N59">
            <v>39</v>
          </cell>
          <cell r="O59">
            <v>32</v>
          </cell>
          <cell r="P59">
            <v>143975</v>
          </cell>
          <cell r="Q59">
            <v>105572</v>
          </cell>
        </row>
        <row r="60">
          <cell r="C60" t="str">
            <v>何文红</v>
          </cell>
          <cell r="D60" t="str">
            <v>郴州中心支公司</v>
          </cell>
          <cell r="E60" t="str">
            <v>续收专员</v>
          </cell>
          <cell r="F60" t="str">
            <v>个险</v>
          </cell>
          <cell r="G60" t="str">
            <v>当月</v>
          </cell>
          <cell r="H60" t="str">
            <v>201704</v>
          </cell>
          <cell r="I60">
            <v>21</v>
          </cell>
          <cell r="J60">
            <v>14</v>
          </cell>
          <cell r="K60">
            <v>104241</v>
          </cell>
          <cell r="L60">
            <v>73662</v>
          </cell>
          <cell r="M60">
            <v>0.68669999999999998</v>
          </cell>
          <cell r="N60">
            <v>42</v>
          </cell>
          <cell r="O60">
            <v>32</v>
          </cell>
          <cell r="P60">
            <v>122408</v>
          </cell>
          <cell r="Q60">
            <v>99590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C2" t="str">
            <v>陈靖华</v>
          </cell>
          <cell r="D2" t="str">
            <v>长沙中心支公司</v>
          </cell>
          <cell r="E2" t="str">
            <v>银代督导</v>
          </cell>
          <cell r="F2" t="str">
            <v>银代</v>
          </cell>
          <cell r="G2" t="str">
            <v>当月</v>
          </cell>
          <cell r="H2" t="str">
            <v>201704</v>
          </cell>
          <cell r="I2">
            <v>32</v>
          </cell>
          <cell r="J2">
            <v>29</v>
          </cell>
          <cell r="K2">
            <v>920000</v>
          </cell>
          <cell r="L2">
            <v>770000</v>
          </cell>
          <cell r="M2">
            <v>0.87160000000000004</v>
          </cell>
          <cell r="N2">
            <v>17</v>
          </cell>
          <cell r="O2">
            <v>17</v>
          </cell>
          <cell r="P2">
            <v>512000</v>
          </cell>
          <cell r="Q2">
            <v>512000</v>
          </cell>
        </row>
        <row r="3">
          <cell r="C3" t="str">
            <v>李佳毅</v>
          </cell>
          <cell r="D3" t="str">
            <v>株洲中心支公司</v>
          </cell>
          <cell r="E3" t="str">
            <v>银代督导</v>
          </cell>
          <cell r="F3" t="str">
            <v>银代</v>
          </cell>
          <cell r="G3" t="str">
            <v>当月</v>
          </cell>
          <cell r="H3" t="str">
            <v>201704</v>
          </cell>
          <cell r="I3">
            <v>76</v>
          </cell>
          <cell r="J3">
            <v>71</v>
          </cell>
          <cell r="K3">
            <v>2616000</v>
          </cell>
          <cell r="L3">
            <v>2366000</v>
          </cell>
          <cell r="M3">
            <v>0.91930000000000001</v>
          </cell>
          <cell r="N3">
            <v>36</v>
          </cell>
          <cell r="O3">
            <v>36</v>
          </cell>
          <cell r="P3">
            <v>710000</v>
          </cell>
          <cell r="Q3">
            <v>710000</v>
          </cell>
        </row>
        <row r="4">
          <cell r="C4" t="str">
            <v>李祺宇</v>
          </cell>
          <cell r="D4" t="str">
            <v>株洲中心支公司</v>
          </cell>
          <cell r="E4" t="str">
            <v>银代督导</v>
          </cell>
          <cell r="F4" t="str">
            <v>银代</v>
          </cell>
          <cell r="G4" t="str">
            <v>当月</v>
          </cell>
          <cell r="H4" t="str">
            <v>201704</v>
          </cell>
          <cell r="I4">
            <v>53</v>
          </cell>
          <cell r="J4">
            <v>48</v>
          </cell>
          <cell r="K4">
            <v>1787000</v>
          </cell>
          <cell r="L4">
            <v>1677000</v>
          </cell>
          <cell r="M4">
            <v>0.92210000000000003</v>
          </cell>
          <cell r="N4">
            <v>25</v>
          </cell>
          <cell r="O4">
            <v>24</v>
          </cell>
          <cell r="P4">
            <v>468000</v>
          </cell>
          <cell r="Q4">
            <v>465000</v>
          </cell>
        </row>
        <row r="5">
          <cell r="C5" t="str">
            <v>罗静</v>
          </cell>
          <cell r="D5" t="str">
            <v>湘潭中心支公司</v>
          </cell>
          <cell r="E5" t="str">
            <v>银代督导</v>
          </cell>
          <cell r="F5" t="str">
            <v>银代</v>
          </cell>
          <cell r="G5" t="str">
            <v>当月</v>
          </cell>
          <cell r="H5" t="str">
            <v>201704</v>
          </cell>
          <cell r="I5">
            <v>85</v>
          </cell>
          <cell r="J5">
            <v>82</v>
          </cell>
          <cell r="K5">
            <v>1801000</v>
          </cell>
          <cell r="L5">
            <v>1731000</v>
          </cell>
          <cell r="M5">
            <v>0.96289999999999998</v>
          </cell>
          <cell r="N5">
            <v>13</v>
          </cell>
          <cell r="O5">
            <v>11</v>
          </cell>
          <cell r="P5">
            <v>153000</v>
          </cell>
          <cell r="Q5">
            <v>133000</v>
          </cell>
        </row>
        <row r="6">
          <cell r="C6" t="str">
            <v>张彩红</v>
          </cell>
          <cell r="D6" t="str">
            <v>衡阳中心支公司</v>
          </cell>
          <cell r="E6" t="str">
            <v>银代督导</v>
          </cell>
          <cell r="F6" t="str">
            <v>银代</v>
          </cell>
          <cell r="G6" t="str">
            <v>当月</v>
          </cell>
          <cell r="H6" t="str">
            <v>201704</v>
          </cell>
          <cell r="I6">
            <v>81</v>
          </cell>
          <cell r="J6">
            <v>73</v>
          </cell>
          <cell r="K6">
            <v>1961000</v>
          </cell>
          <cell r="L6">
            <v>1769000</v>
          </cell>
          <cell r="M6">
            <v>0.90169999999999995</v>
          </cell>
          <cell r="N6">
            <v>57</v>
          </cell>
          <cell r="O6">
            <v>57</v>
          </cell>
          <cell r="P6">
            <v>835000</v>
          </cell>
          <cell r="Q6">
            <v>835000</v>
          </cell>
        </row>
        <row r="7">
          <cell r="C7" t="str">
            <v>杨柯</v>
          </cell>
          <cell r="D7" t="str">
            <v>衡阳中心支公司</v>
          </cell>
          <cell r="E7" t="str">
            <v>银代督导</v>
          </cell>
          <cell r="F7" t="str">
            <v>银代</v>
          </cell>
          <cell r="G7" t="str">
            <v>当月</v>
          </cell>
          <cell r="H7" t="str">
            <v>201704</v>
          </cell>
          <cell r="I7">
            <v>82</v>
          </cell>
          <cell r="J7">
            <v>78</v>
          </cell>
          <cell r="K7">
            <v>1714000</v>
          </cell>
          <cell r="L7">
            <v>1630000</v>
          </cell>
          <cell r="M7">
            <v>0.95109999999999995</v>
          </cell>
          <cell r="N7">
            <v>53</v>
          </cell>
          <cell r="O7">
            <v>48</v>
          </cell>
          <cell r="P7">
            <v>1017000</v>
          </cell>
          <cell r="Q7">
            <v>837000</v>
          </cell>
        </row>
        <row r="8">
          <cell r="C8" t="str">
            <v>胡青梅</v>
          </cell>
          <cell r="D8" t="str">
            <v>岳阳中心支公司</v>
          </cell>
          <cell r="E8" t="str">
            <v>银代督导</v>
          </cell>
          <cell r="F8" t="str">
            <v>银代</v>
          </cell>
          <cell r="G8" t="str">
            <v>当月</v>
          </cell>
          <cell r="H8" t="str">
            <v>201704</v>
          </cell>
          <cell r="I8">
            <v>164</v>
          </cell>
          <cell r="J8">
            <v>155</v>
          </cell>
          <cell r="K8">
            <v>2276000</v>
          </cell>
          <cell r="L8">
            <v>2161000</v>
          </cell>
          <cell r="M8">
            <v>0.94730000000000003</v>
          </cell>
          <cell r="N8">
            <v>16</v>
          </cell>
          <cell r="O8">
            <v>15</v>
          </cell>
          <cell r="P8">
            <v>156000</v>
          </cell>
          <cell r="Q8">
            <v>146000</v>
          </cell>
        </row>
        <row r="9">
          <cell r="C9" t="str">
            <v>余建辉</v>
          </cell>
          <cell r="D9" t="str">
            <v>常德中心支公司</v>
          </cell>
          <cell r="E9" t="str">
            <v>银代督导</v>
          </cell>
          <cell r="F9" t="str">
            <v>银代</v>
          </cell>
          <cell r="G9" t="str">
            <v>当月</v>
          </cell>
          <cell r="H9" t="str">
            <v>201704</v>
          </cell>
          <cell r="I9">
            <v>44</v>
          </cell>
          <cell r="J9">
            <v>42</v>
          </cell>
          <cell r="K9">
            <v>687000</v>
          </cell>
          <cell r="L9">
            <v>657000</v>
          </cell>
          <cell r="M9">
            <v>0.95540000000000003</v>
          </cell>
          <cell r="N9">
            <v>19</v>
          </cell>
          <cell r="O9">
            <v>16</v>
          </cell>
          <cell r="P9">
            <v>222000</v>
          </cell>
          <cell r="Q9">
            <v>192000</v>
          </cell>
        </row>
        <row r="10">
          <cell r="C10" t="str">
            <v>廖艳</v>
          </cell>
          <cell r="D10" t="str">
            <v>常德中心支公司</v>
          </cell>
          <cell r="E10" t="str">
            <v>银代督导</v>
          </cell>
          <cell r="F10" t="str">
            <v>银代</v>
          </cell>
          <cell r="G10" t="str">
            <v>当月</v>
          </cell>
          <cell r="H10" t="str">
            <v>201704</v>
          </cell>
          <cell r="I10">
            <v>25</v>
          </cell>
          <cell r="J10">
            <v>25</v>
          </cell>
          <cell r="K10">
            <v>422000</v>
          </cell>
          <cell r="L10">
            <v>422000</v>
          </cell>
          <cell r="M10">
            <v>1</v>
          </cell>
          <cell r="N10">
            <v>21</v>
          </cell>
          <cell r="O10">
            <v>20</v>
          </cell>
          <cell r="P10">
            <v>250000</v>
          </cell>
          <cell r="Q10">
            <v>240000</v>
          </cell>
        </row>
        <row r="11">
          <cell r="C11" t="str">
            <v>刘峰</v>
          </cell>
          <cell r="D11" t="str">
            <v>益阳中心支公司</v>
          </cell>
          <cell r="E11" t="str">
            <v>银代督导</v>
          </cell>
          <cell r="F11" t="str">
            <v>银代</v>
          </cell>
          <cell r="G11" t="str">
            <v>当月</v>
          </cell>
          <cell r="H11" t="str">
            <v>201704</v>
          </cell>
          <cell r="I11">
            <v>31</v>
          </cell>
          <cell r="J11">
            <v>30</v>
          </cell>
          <cell r="K11">
            <v>509000</v>
          </cell>
          <cell r="L11">
            <v>499000</v>
          </cell>
          <cell r="M11">
            <v>0.97399999999999998</v>
          </cell>
          <cell r="N11">
            <v>13</v>
          </cell>
          <cell r="O11">
            <v>12</v>
          </cell>
          <cell r="P11">
            <v>130000</v>
          </cell>
          <cell r="Q11">
            <v>125000</v>
          </cell>
        </row>
        <row r="12">
          <cell r="C12" t="str">
            <v>周丽</v>
          </cell>
          <cell r="D12" t="str">
            <v>怀化中心支公司</v>
          </cell>
          <cell r="E12" t="str">
            <v>银代督导</v>
          </cell>
          <cell r="F12" t="str">
            <v>银代</v>
          </cell>
          <cell r="G12" t="str">
            <v>当月</v>
          </cell>
          <cell r="H12" t="str">
            <v>201704</v>
          </cell>
          <cell r="I12">
            <v>57</v>
          </cell>
          <cell r="J12">
            <v>52</v>
          </cell>
          <cell r="K12">
            <v>968000</v>
          </cell>
          <cell r="L12">
            <v>858000</v>
          </cell>
          <cell r="M12">
            <v>0.89929999999999999</v>
          </cell>
          <cell r="N12">
            <v>19</v>
          </cell>
          <cell r="O12">
            <v>18</v>
          </cell>
          <cell r="P12">
            <v>380000</v>
          </cell>
          <cell r="Q12">
            <v>340000</v>
          </cell>
        </row>
        <row r="13">
          <cell r="C13" t="str">
            <v>熊友玲</v>
          </cell>
          <cell r="D13" t="str">
            <v>娄底中心支公司</v>
          </cell>
          <cell r="E13" t="str">
            <v>银代督导</v>
          </cell>
          <cell r="F13" t="str">
            <v>银代</v>
          </cell>
          <cell r="G13" t="str">
            <v>当月</v>
          </cell>
          <cell r="H13" t="str">
            <v>201704</v>
          </cell>
          <cell r="I13">
            <v>3</v>
          </cell>
          <cell r="J13">
            <v>2</v>
          </cell>
          <cell r="K13">
            <v>35000</v>
          </cell>
          <cell r="L13">
            <v>15000</v>
          </cell>
          <cell r="M13">
            <v>0.54759999999999998</v>
          </cell>
          <cell r="N13">
            <v>4</v>
          </cell>
          <cell r="O13">
            <v>4</v>
          </cell>
          <cell r="P13">
            <v>30000</v>
          </cell>
          <cell r="Q13">
            <v>30000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W9"/>
  <sheetViews>
    <sheetView zoomScaleNormal="100" workbookViewId="0">
      <selection activeCell="J9" sqref="J9"/>
    </sheetView>
  </sheetViews>
  <sheetFormatPr defaultRowHeight="27" customHeight="1" x14ac:dyDescent="0.15"/>
  <cols>
    <col min="1" max="1" width="5.5" style="11" customWidth="1"/>
    <col min="2" max="2" width="5.75" style="11" customWidth="1"/>
    <col min="3" max="3" width="8.25" style="11" customWidth="1"/>
    <col min="4" max="4" width="9.625" style="11" customWidth="1"/>
    <col min="5" max="5" width="9" style="11" customWidth="1"/>
    <col min="6" max="6" width="8.25" style="11" customWidth="1"/>
    <col min="7" max="7" width="6.125" style="11" customWidth="1"/>
    <col min="8" max="8" width="5.875" style="11" customWidth="1"/>
    <col min="9" max="9" width="5.125" style="11" customWidth="1"/>
    <col min="10" max="10" width="10.125" style="11" customWidth="1"/>
    <col min="11" max="13" width="4.375" style="11" customWidth="1"/>
    <col min="14" max="14" width="5.5" style="11" customWidth="1"/>
    <col min="15" max="15" width="6" style="11" customWidth="1"/>
    <col min="16" max="17" width="8.875" style="11" customWidth="1"/>
    <col min="18" max="18" width="9" style="11" customWidth="1"/>
    <col min="19" max="19" width="7.875" style="11" customWidth="1"/>
    <col min="20" max="22" width="6.375" style="11" customWidth="1"/>
    <col min="23" max="23" width="10.25" style="11" customWidth="1"/>
    <col min="24" max="16384" width="9" style="11"/>
  </cols>
  <sheetData>
    <row r="1" spans="1:23" ht="60.75" customHeight="1" x14ac:dyDescent="0.15">
      <c r="A1" s="109" t="s">
        <v>224</v>
      </c>
      <c r="B1" s="110"/>
      <c r="C1" s="110"/>
      <c r="D1" s="110"/>
      <c r="E1" s="110"/>
      <c r="F1" s="110"/>
      <c r="G1" s="110"/>
      <c r="H1" s="110"/>
      <c r="I1" s="110"/>
      <c r="J1" s="111"/>
      <c r="K1" s="100"/>
      <c r="L1" s="101"/>
      <c r="M1" s="101"/>
      <c r="N1" s="112" t="s">
        <v>223</v>
      </c>
      <c r="O1" s="113"/>
      <c r="P1" s="113"/>
      <c r="Q1" s="113"/>
      <c r="R1" s="113"/>
      <c r="S1" s="113"/>
      <c r="T1" s="113"/>
      <c r="U1" s="113"/>
      <c r="V1" s="113"/>
      <c r="W1" s="114"/>
    </row>
    <row r="2" spans="1:23" ht="21" customHeight="1" x14ac:dyDescent="0.15">
      <c r="A2" s="105" t="s">
        <v>13</v>
      </c>
      <c r="B2" s="105" t="s">
        <v>26</v>
      </c>
      <c r="C2" s="105" t="s">
        <v>27</v>
      </c>
      <c r="D2" s="105" t="s">
        <v>28</v>
      </c>
      <c r="E2" s="105" t="s">
        <v>29</v>
      </c>
      <c r="F2" s="107" t="s">
        <v>81</v>
      </c>
      <c r="G2" s="102" t="s">
        <v>56</v>
      </c>
      <c r="H2" s="103"/>
      <c r="I2" s="104"/>
      <c r="J2" s="105" t="s">
        <v>30</v>
      </c>
      <c r="K2" s="100"/>
      <c r="L2" s="101"/>
      <c r="M2" s="101"/>
      <c r="N2" s="91" t="s">
        <v>13</v>
      </c>
      <c r="O2" s="91" t="s">
        <v>26</v>
      </c>
      <c r="P2" s="91" t="s">
        <v>27</v>
      </c>
      <c r="Q2" s="91" t="s">
        <v>28</v>
      </c>
      <c r="R2" s="91" t="s">
        <v>29</v>
      </c>
      <c r="S2" s="93" t="s">
        <v>81</v>
      </c>
      <c r="T2" s="95" t="s">
        <v>56</v>
      </c>
      <c r="U2" s="96"/>
      <c r="V2" s="97"/>
      <c r="W2" s="91" t="s">
        <v>30</v>
      </c>
    </row>
    <row r="3" spans="1:23" ht="16.5" customHeight="1" x14ac:dyDescent="0.15">
      <c r="A3" s="106"/>
      <c r="B3" s="106"/>
      <c r="C3" s="106"/>
      <c r="D3" s="106"/>
      <c r="E3" s="106"/>
      <c r="F3" s="108"/>
      <c r="G3" s="36" t="s">
        <v>57</v>
      </c>
      <c r="H3" s="36" t="s">
        <v>51</v>
      </c>
      <c r="I3" s="36" t="s">
        <v>52</v>
      </c>
      <c r="J3" s="106"/>
      <c r="K3" s="100"/>
      <c r="L3" s="101"/>
      <c r="M3" s="101"/>
      <c r="N3" s="92"/>
      <c r="O3" s="92"/>
      <c r="P3" s="92"/>
      <c r="Q3" s="92"/>
      <c r="R3" s="92"/>
      <c r="S3" s="94"/>
      <c r="T3" s="37" t="s">
        <v>57</v>
      </c>
      <c r="U3" s="37" t="s">
        <v>51</v>
      </c>
      <c r="V3" s="37" t="s">
        <v>52</v>
      </c>
      <c r="W3" s="92"/>
    </row>
    <row r="4" spans="1:23" ht="34.5" customHeight="1" x14ac:dyDescent="0.15">
      <c r="A4" s="38" t="s">
        <v>15</v>
      </c>
      <c r="B4" s="42" t="s">
        <v>2</v>
      </c>
      <c r="C4" s="39">
        <f>【五月】红队!Z3</f>
        <v>0.5</v>
      </c>
      <c r="D4" s="34"/>
      <c r="E4" s="34"/>
      <c r="F4" s="34"/>
      <c r="G4" s="34"/>
      <c r="H4" s="34"/>
      <c r="I4" s="34"/>
      <c r="J4" s="34">
        <f>C4+D4+E4+G4+H4+I4</f>
        <v>0.5</v>
      </c>
      <c r="K4" s="100"/>
      <c r="L4" s="101"/>
      <c r="M4" s="101"/>
      <c r="N4" s="40" t="s">
        <v>15</v>
      </c>
      <c r="O4" s="43" t="s">
        <v>102</v>
      </c>
      <c r="P4" s="41">
        <f>【五月】蓝队!Z3</f>
        <v>2</v>
      </c>
      <c r="Q4" s="35"/>
      <c r="R4" s="35"/>
      <c r="S4" s="35"/>
      <c r="T4" s="35"/>
      <c r="U4" s="35"/>
      <c r="V4" s="35"/>
      <c r="W4" s="35">
        <f>P4+Q4+R4+T4+U4+V4</f>
        <v>2</v>
      </c>
    </row>
    <row r="5" spans="1:23" ht="34.5" customHeight="1" x14ac:dyDescent="0.15">
      <c r="A5" s="38" t="s">
        <v>16</v>
      </c>
      <c r="B5" s="42" t="s">
        <v>3</v>
      </c>
      <c r="C5" s="39">
        <f>【五月】红队!Z4</f>
        <v>2</v>
      </c>
      <c r="D5" s="34"/>
      <c r="E5" s="34"/>
      <c r="F5" s="34"/>
      <c r="G5" s="34"/>
      <c r="H5" s="34"/>
      <c r="I5" s="34"/>
      <c r="J5" s="34">
        <f t="shared" ref="J5:J8" si="0">C5+D5+E5+G5+H5+I5</f>
        <v>2</v>
      </c>
      <c r="K5" s="100"/>
      <c r="L5" s="101"/>
      <c r="M5" s="101"/>
      <c r="N5" s="40" t="s">
        <v>16</v>
      </c>
      <c r="O5" s="43" t="s">
        <v>98</v>
      </c>
      <c r="P5" s="41">
        <f>【五月】蓝队!Z4</f>
        <v>3.5</v>
      </c>
      <c r="Q5" s="35"/>
      <c r="R5" s="35"/>
      <c r="S5" s="35"/>
      <c r="T5" s="35"/>
      <c r="U5" s="35"/>
      <c r="V5" s="35"/>
      <c r="W5" s="35">
        <f t="shared" ref="W5:W9" si="1">P5+Q5+R5+T5+U5+V5</f>
        <v>3.5</v>
      </c>
    </row>
    <row r="6" spans="1:23" ht="34.5" customHeight="1" x14ac:dyDescent="0.15">
      <c r="A6" s="38" t="s">
        <v>16</v>
      </c>
      <c r="B6" s="42" t="s">
        <v>4</v>
      </c>
      <c r="C6" s="39">
        <f>【五月】红队!Z5</f>
        <v>6.5</v>
      </c>
      <c r="D6" s="34"/>
      <c r="E6" s="34"/>
      <c r="F6" s="34"/>
      <c r="G6" s="34"/>
      <c r="H6" s="34"/>
      <c r="I6" s="34"/>
      <c r="J6" s="34">
        <f t="shared" si="0"/>
        <v>6.5</v>
      </c>
      <c r="K6" s="100"/>
      <c r="L6" s="101"/>
      <c r="M6" s="101"/>
      <c r="N6" s="40" t="s">
        <v>16</v>
      </c>
      <c r="O6" s="43" t="s">
        <v>100</v>
      </c>
      <c r="P6" s="41">
        <f>【五月】蓝队!Z5</f>
        <v>0.5</v>
      </c>
      <c r="Q6" s="35"/>
      <c r="R6" s="35"/>
      <c r="S6" s="35"/>
      <c r="T6" s="35"/>
      <c r="U6" s="35"/>
      <c r="V6" s="35"/>
      <c r="W6" s="35">
        <f t="shared" si="1"/>
        <v>0.5</v>
      </c>
    </row>
    <row r="7" spans="1:23" ht="34.5" customHeight="1" x14ac:dyDescent="0.15">
      <c r="A7" s="38" t="s">
        <v>17</v>
      </c>
      <c r="B7" s="42" t="s">
        <v>5</v>
      </c>
      <c r="C7" s="39">
        <f>【五月】红队!Z6</f>
        <v>-1</v>
      </c>
      <c r="D7" s="34"/>
      <c r="E7" s="34"/>
      <c r="F7" s="34"/>
      <c r="G7" s="34"/>
      <c r="H7" s="34"/>
      <c r="I7" s="34"/>
      <c r="J7" s="34">
        <f t="shared" si="0"/>
        <v>-1</v>
      </c>
      <c r="K7" s="100"/>
      <c r="L7" s="101"/>
      <c r="M7" s="101"/>
      <c r="N7" s="40" t="s">
        <v>17</v>
      </c>
      <c r="O7" s="43" t="s">
        <v>177</v>
      </c>
      <c r="P7" s="41">
        <f>【五月】蓝队!Z6</f>
        <v>-1</v>
      </c>
      <c r="Q7" s="35"/>
      <c r="R7" s="35"/>
      <c r="S7" s="35"/>
      <c r="T7" s="35"/>
      <c r="U7" s="35"/>
      <c r="V7" s="35"/>
      <c r="W7" s="35">
        <f t="shared" si="1"/>
        <v>-1</v>
      </c>
    </row>
    <row r="8" spans="1:23" ht="34.5" customHeight="1" x14ac:dyDescent="0.15">
      <c r="A8" s="38" t="s">
        <v>17</v>
      </c>
      <c r="B8" s="42" t="s">
        <v>6</v>
      </c>
      <c r="C8" s="39">
        <f>【五月】红队!Z7</f>
        <v>0.5</v>
      </c>
      <c r="D8" s="34"/>
      <c r="E8" s="34"/>
      <c r="F8" s="34"/>
      <c r="G8" s="34"/>
      <c r="H8" s="34"/>
      <c r="I8" s="34"/>
      <c r="J8" s="34">
        <f t="shared" si="0"/>
        <v>0.5</v>
      </c>
      <c r="K8" s="100"/>
      <c r="L8" s="101"/>
      <c r="M8" s="101"/>
      <c r="N8" s="40" t="s">
        <v>17</v>
      </c>
      <c r="O8" s="43" t="s">
        <v>178</v>
      </c>
      <c r="P8" s="41">
        <f>【五月】蓝队!Z7</f>
        <v>0.5</v>
      </c>
      <c r="Q8" s="35"/>
      <c r="R8" s="35"/>
      <c r="S8" s="35"/>
      <c r="T8" s="35"/>
      <c r="U8" s="35"/>
      <c r="V8" s="35"/>
      <c r="W8" s="35">
        <f t="shared" si="1"/>
        <v>0.5</v>
      </c>
    </row>
    <row r="9" spans="1:23" ht="34.5" customHeight="1" x14ac:dyDescent="0.15">
      <c r="A9" s="98" t="s">
        <v>36</v>
      </c>
      <c r="B9" s="98"/>
      <c r="C9" s="34">
        <f>SUM(C4:C8)</f>
        <v>8.5</v>
      </c>
      <c r="D9" s="34"/>
      <c r="E9" s="34"/>
      <c r="F9" s="34"/>
      <c r="G9" s="34"/>
      <c r="H9" s="34"/>
      <c r="I9" s="34"/>
      <c r="J9" s="67">
        <f>C9+D9+E9+G9+H9+I9</f>
        <v>8.5</v>
      </c>
      <c r="K9" s="100"/>
      <c r="L9" s="101"/>
      <c r="M9" s="101"/>
      <c r="N9" s="99" t="s">
        <v>36</v>
      </c>
      <c r="O9" s="99"/>
      <c r="P9" s="41">
        <f>SUM(P4:P8)</f>
        <v>5.5</v>
      </c>
      <c r="Q9" s="35"/>
      <c r="R9" s="35"/>
      <c r="S9" s="35"/>
      <c r="T9" s="35"/>
      <c r="U9" s="35"/>
      <c r="V9" s="35"/>
      <c r="W9" s="68">
        <f t="shared" si="1"/>
        <v>5.5</v>
      </c>
    </row>
  </sheetData>
  <mergeCells count="21">
    <mergeCell ref="A9:B9"/>
    <mergeCell ref="N9:O9"/>
    <mergeCell ref="K1:M9"/>
    <mergeCell ref="G2:I2"/>
    <mergeCell ref="J2:J3"/>
    <mergeCell ref="F2:F3"/>
    <mergeCell ref="E2:E3"/>
    <mergeCell ref="D2:D3"/>
    <mergeCell ref="C2:C3"/>
    <mergeCell ref="A1:J1"/>
    <mergeCell ref="B2:B3"/>
    <mergeCell ref="A2:A3"/>
    <mergeCell ref="N1:W1"/>
    <mergeCell ref="N2:N3"/>
    <mergeCell ref="W2:W3"/>
    <mergeCell ref="O2:O3"/>
    <mergeCell ref="P2:P3"/>
    <mergeCell ref="Q2:Q3"/>
    <mergeCell ref="R2:R3"/>
    <mergeCell ref="S2:S3"/>
    <mergeCell ref="T2:V2"/>
  </mergeCells>
  <phoneticPr fontId="1" type="noConversion"/>
  <pageMargins left="0.7" right="0.7" top="0.75" bottom="0.75" header="0.3" footer="0.3"/>
  <pageSetup paperSize="9" orientation="portrait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W17"/>
  <sheetViews>
    <sheetView workbookViewId="0">
      <selection activeCell="H5" sqref="H5"/>
    </sheetView>
  </sheetViews>
  <sheetFormatPr defaultRowHeight="24" customHeight="1" x14ac:dyDescent="0.15"/>
  <cols>
    <col min="1" max="1" width="6.375" style="11" bestFit="1" customWidth="1"/>
    <col min="2" max="2" width="4.75" style="11" bestFit="1" customWidth="1"/>
    <col min="3" max="3" width="6.375" style="11" hidden="1" customWidth="1"/>
    <col min="4" max="4" width="9" style="11"/>
    <col min="5" max="5" width="8.125" style="11" customWidth="1"/>
    <col min="6" max="6" width="8.875" style="11" customWidth="1"/>
    <col min="7" max="7" width="7.375" style="11" customWidth="1"/>
    <col min="8" max="8" width="6.875" style="11" customWidth="1"/>
    <col min="9" max="9" width="9" style="11"/>
    <col min="10" max="10" width="7.75" style="11" customWidth="1"/>
    <col min="11" max="11" width="8.25" style="11" customWidth="1"/>
    <col min="12" max="12" width="8" style="11" customWidth="1"/>
    <col min="13" max="13" width="7.375" style="11" customWidth="1"/>
    <col min="14" max="14" width="8.5" style="11" bestFit="1" customWidth="1"/>
    <col min="15" max="15" width="9" style="11"/>
    <col min="16" max="17" width="8.25" style="11" customWidth="1"/>
    <col min="18" max="19" width="9" style="11"/>
    <col min="20" max="20" width="7.375" style="11" customWidth="1"/>
    <col min="21" max="16384" width="9" style="11"/>
  </cols>
  <sheetData>
    <row r="1" spans="1:23" ht="24" customHeight="1" x14ac:dyDescent="0.15">
      <c r="A1" s="121" t="s">
        <v>53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</row>
    <row r="2" spans="1:23" ht="24" customHeight="1" x14ac:dyDescent="0.15">
      <c r="A2" s="14" t="s">
        <v>13</v>
      </c>
      <c r="B2" s="14" t="s">
        <v>37</v>
      </c>
      <c r="C2" s="76"/>
      <c r="D2" s="115" t="s">
        <v>40</v>
      </c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7"/>
      <c r="P2" s="115" t="s">
        <v>43</v>
      </c>
      <c r="Q2" s="116"/>
      <c r="R2" s="116"/>
      <c r="S2" s="116"/>
      <c r="T2" s="116"/>
      <c r="U2" s="117"/>
      <c r="V2" s="122" t="s">
        <v>50</v>
      </c>
    </row>
    <row r="3" spans="1:23" ht="24" customHeight="1" x14ac:dyDescent="0.15">
      <c r="A3" s="125" t="s">
        <v>38</v>
      </c>
      <c r="B3" s="125" t="s">
        <v>39</v>
      </c>
      <c r="C3" s="122" t="s">
        <v>235</v>
      </c>
      <c r="D3" s="115" t="s">
        <v>46</v>
      </c>
      <c r="E3" s="116"/>
      <c r="F3" s="117"/>
      <c r="G3" s="115" t="s">
        <v>47</v>
      </c>
      <c r="H3" s="116"/>
      <c r="I3" s="117"/>
      <c r="J3" s="115" t="s">
        <v>48</v>
      </c>
      <c r="K3" s="116"/>
      <c r="L3" s="117"/>
      <c r="M3" s="115" t="s">
        <v>49</v>
      </c>
      <c r="N3" s="116"/>
      <c r="O3" s="117"/>
      <c r="P3" s="115" t="s">
        <v>44</v>
      </c>
      <c r="Q3" s="116"/>
      <c r="R3" s="117"/>
      <c r="S3" s="115" t="s">
        <v>45</v>
      </c>
      <c r="T3" s="116"/>
      <c r="U3" s="117"/>
      <c r="V3" s="123"/>
    </row>
    <row r="4" spans="1:23" ht="24" customHeight="1" x14ac:dyDescent="0.15">
      <c r="A4" s="125"/>
      <c r="B4" s="125"/>
      <c r="C4" s="124"/>
      <c r="D4" s="30" t="s">
        <v>94</v>
      </c>
      <c r="E4" s="14" t="s">
        <v>41</v>
      </c>
      <c r="F4" s="14" t="s">
        <v>42</v>
      </c>
      <c r="G4" s="30" t="s">
        <v>94</v>
      </c>
      <c r="H4" s="14" t="s">
        <v>41</v>
      </c>
      <c r="I4" s="14" t="s">
        <v>42</v>
      </c>
      <c r="J4" s="30" t="s">
        <v>94</v>
      </c>
      <c r="K4" s="14" t="s">
        <v>41</v>
      </c>
      <c r="L4" s="14" t="s">
        <v>42</v>
      </c>
      <c r="M4" s="30" t="s">
        <v>94</v>
      </c>
      <c r="N4" s="14" t="s">
        <v>41</v>
      </c>
      <c r="O4" s="14" t="s">
        <v>42</v>
      </c>
      <c r="P4" s="30" t="s">
        <v>94</v>
      </c>
      <c r="Q4" s="14" t="s">
        <v>41</v>
      </c>
      <c r="R4" s="14" t="s">
        <v>42</v>
      </c>
      <c r="S4" s="30" t="s">
        <v>94</v>
      </c>
      <c r="T4" s="14" t="s">
        <v>41</v>
      </c>
      <c r="U4" s="14" t="s">
        <v>42</v>
      </c>
      <c r="V4" s="124"/>
    </row>
    <row r="5" spans="1:23" ht="24" customHeight="1" x14ac:dyDescent="0.15">
      <c r="A5" s="125"/>
      <c r="B5" s="125"/>
      <c r="C5" s="77" t="s">
        <v>218</v>
      </c>
      <c r="D5" s="30">
        <v>833053</v>
      </c>
      <c r="E5" s="79">
        <f>VLOOKUP(C$5,[1]三级宽末13月!$E$12:$J$12,6,0)</f>
        <v>0.76270000000000004</v>
      </c>
      <c r="F5" s="53">
        <f>(85%-E5)*D5</f>
        <v>72725.526899999939</v>
      </c>
      <c r="G5" s="30">
        <v>732311</v>
      </c>
      <c r="H5" s="79">
        <f>VLOOKUP(C$5,[1]三级宽末25月!$E$12:$J$12,6,0)</f>
        <v>0.88339999999999996</v>
      </c>
      <c r="I5" s="53">
        <f>(93%-H5)*G5</f>
        <v>34125.69260000006</v>
      </c>
      <c r="J5" s="30">
        <v>310000</v>
      </c>
      <c r="K5" s="21">
        <v>1</v>
      </c>
      <c r="L5" s="14"/>
      <c r="M5" s="30">
        <v>617000</v>
      </c>
      <c r="N5" s="21">
        <v>1</v>
      </c>
      <c r="O5" s="14"/>
      <c r="P5" s="30">
        <v>625303</v>
      </c>
      <c r="Q5" s="79">
        <f>VLOOKUP(C$5,[1]三级当月13月!$E$12:$J$12,6,0)</f>
        <v>0.10730000000000001</v>
      </c>
      <c r="R5" s="53">
        <f>(78%-Q5)*P5</f>
        <v>420641.32810000004</v>
      </c>
      <c r="S5" s="30">
        <v>1241998</v>
      </c>
      <c r="T5" s="79">
        <f>VLOOKUP(C$5,[1]三级当月25月!$E$12:$J$12,6,0)</f>
        <v>0.29120000000000001</v>
      </c>
      <c r="U5" s="53">
        <f>(82%-T5)*S5</f>
        <v>656768.54239999992</v>
      </c>
      <c r="V5" s="14" t="str">
        <f>IF(AND(E5&gt;=85%,H5&gt;=93%,K5&gt;=91%,N5&gt;=93%,Q5&gt;=78%,T5&gt;=82%),"1","-1")</f>
        <v>-1</v>
      </c>
    </row>
    <row r="6" spans="1:23" ht="17.25" customHeight="1" x14ac:dyDescent="0.15">
      <c r="A6" s="118"/>
      <c r="B6" s="119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20"/>
    </row>
    <row r="7" spans="1:23" ht="24" customHeight="1" x14ac:dyDescent="0.15">
      <c r="A7" s="121" t="s">
        <v>54</v>
      </c>
      <c r="B7" s="121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</row>
    <row r="8" spans="1:23" ht="24" customHeight="1" x14ac:dyDescent="0.15">
      <c r="A8" s="14" t="s">
        <v>13</v>
      </c>
      <c r="B8" s="14" t="s">
        <v>37</v>
      </c>
      <c r="C8" s="76"/>
      <c r="D8" s="115" t="s">
        <v>40</v>
      </c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7"/>
      <c r="P8" s="115" t="s">
        <v>43</v>
      </c>
      <c r="Q8" s="116"/>
      <c r="R8" s="116"/>
      <c r="S8" s="116"/>
      <c r="T8" s="116"/>
      <c r="U8" s="117"/>
      <c r="V8" s="122" t="s">
        <v>50</v>
      </c>
    </row>
    <row r="9" spans="1:23" ht="24" customHeight="1" x14ac:dyDescent="0.15">
      <c r="A9" s="125" t="s">
        <v>38</v>
      </c>
      <c r="B9" s="125" t="s">
        <v>39</v>
      </c>
      <c r="C9" s="76"/>
      <c r="D9" s="115" t="s">
        <v>46</v>
      </c>
      <c r="E9" s="116"/>
      <c r="F9" s="117"/>
      <c r="G9" s="115" t="s">
        <v>47</v>
      </c>
      <c r="H9" s="116"/>
      <c r="I9" s="117"/>
      <c r="J9" s="115" t="s">
        <v>48</v>
      </c>
      <c r="K9" s="116"/>
      <c r="L9" s="117"/>
      <c r="M9" s="115" t="s">
        <v>49</v>
      </c>
      <c r="N9" s="116"/>
      <c r="O9" s="117"/>
      <c r="P9" s="115" t="s">
        <v>44</v>
      </c>
      <c r="Q9" s="116"/>
      <c r="R9" s="117"/>
      <c r="S9" s="115" t="s">
        <v>45</v>
      </c>
      <c r="T9" s="116"/>
      <c r="U9" s="117"/>
      <c r="V9" s="123"/>
    </row>
    <row r="10" spans="1:23" ht="24" customHeight="1" x14ac:dyDescent="0.15">
      <c r="A10" s="125"/>
      <c r="B10" s="125"/>
      <c r="C10" s="77"/>
      <c r="D10" s="30" t="s">
        <v>94</v>
      </c>
      <c r="E10" s="14" t="s">
        <v>41</v>
      </c>
      <c r="F10" s="14" t="s">
        <v>42</v>
      </c>
      <c r="G10" s="30" t="s">
        <v>94</v>
      </c>
      <c r="H10" s="14" t="s">
        <v>41</v>
      </c>
      <c r="I10" s="14" t="s">
        <v>42</v>
      </c>
      <c r="J10" s="30" t="s">
        <v>94</v>
      </c>
      <c r="K10" s="14" t="s">
        <v>41</v>
      </c>
      <c r="L10" s="14" t="s">
        <v>42</v>
      </c>
      <c r="M10" s="30" t="s">
        <v>94</v>
      </c>
      <c r="N10" s="14" t="s">
        <v>41</v>
      </c>
      <c r="O10" s="14" t="s">
        <v>42</v>
      </c>
      <c r="P10" s="30" t="s">
        <v>94</v>
      </c>
      <c r="Q10" s="14" t="s">
        <v>41</v>
      </c>
      <c r="R10" s="14" t="s">
        <v>42</v>
      </c>
      <c r="S10" s="30" t="s">
        <v>94</v>
      </c>
      <c r="T10" s="14" t="s">
        <v>41</v>
      </c>
      <c r="U10" s="14" t="s">
        <v>42</v>
      </c>
      <c r="V10" s="124"/>
    </row>
    <row r="11" spans="1:23" ht="24" customHeight="1" x14ac:dyDescent="0.15">
      <c r="A11" s="125"/>
      <c r="B11" s="125"/>
      <c r="C11" s="77"/>
      <c r="D11" s="30"/>
      <c r="E11" s="14"/>
      <c r="F11" s="14"/>
      <c r="G11" s="30"/>
      <c r="H11" s="14"/>
      <c r="I11" s="14"/>
      <c r="J11" s="30"/>
      <c r="K11" s="14"/>
      <c r="L11" s="14"/>
      <c r="M11" s="30"/>
      <c r="N11" s="14"/>
      <c r="O11" s="14"/>
      <c r="P11" s="30"/>
      <c r="Q11" s="14"/>
      <c r="R11" s="14"/>
      <c r="S11" s="30"/>
      <c r="T11" s="14"/>
      <c r="U11" s="14"/>
      <c r="V11" s="14"/>
    </row>
    <row r="12" spans="1:23" ht="15.75" customHeight="1" x14ac:dyDescent="0.15">
      <c r="A12" s="118"/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20"/>
    </row>
    <row r="13" spans="1:23" ht="24" customHeight="1" x14ac:dyDescent="0.15">
      <c r="A13" s="121" t="s">
        <v>55</v>
      </c>
      <c r="B13" s="121"/>
      <c r="C13" s="121"/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</row>
    <row r="14" spans="1:23" ht="24" customHeight="1" x14ac:dyDescent="0.15">
      <c r="A14" s="14" t="s">
        <v>13</v>
      </c>
      <c r="B14" s="14" t="s">
        <v>37</v>
      </c>
      <c r="C14" s="76"/>
      <c r="D14" s="115" t="s">
        <v>40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7"/>
      <c r="P14" s="115" t="s">
        <v>43</v>
      </c>
      <c r="Q14" s="116"/>
      <c r="R14" s="116"/>
      <c r="S14" s="116"/>
      <c r="T14" s="116"/>
      <c r="U14" s="117"/>
      <c r="V14" s="122" t="s">
        <v>50</v>
      </c>
      <c r="W14" s="15"/>
    </row>
    <row r="15" spans="1:23" ht="24" customHeight="1" x14ac:dyDescent="0.15">
      <c r="A15" s="125" t="s">
        <v>38</v>
      </c>
      <c r="B15" s="125" t="s">
        <v>39</v>
      </c>
      <c r="C15" s="76"/>
      <c r="D15" s="115" t="s">
        <v>46</v>
      </c>
      <c r="E15" s="116"/>
      <c r="F15" s="117"/>
      <c r="G15" s="115" t="s">
        <v>47</v>
      </c>
      <c r="H15" s="116"/>
      <c r="I15" s="117"/>
      <c r="J15" s="115" t="s">
        <v>48</v>
      </c>
      <c r="K15" s="116"/>
      <c r="L15" s="117"/>
      <c r="M15" s="115" t="s">
        <v>49</v>
      </c>
      <c r="N15" s="116"/>
      <c r="O15" s="117"/>
      <c r="P15" s="115" t="s">
        <v>44</v>
      </c>
      <c r="Q15" s="116"/>
      <c r="R15" s="117"/>
      <c r="S15" s="115" t="s">
        <v>45</v>
      </c>
      <c r="T15" s="116"/>
      <c r="U15" s="117"/>
      <c r="V15" s="123"/>
      <c r="W15" s="15"/>
    </row>
    <row r="16" spans="1:23" ht="24" customHeight="1" x14ac:dyDescent="0.15">
      <c r="A16" s="125"/>
      <c r="B16" s="125"/>
      <c r="C16" s="77"/>
      <c r="D16" s="30" t="s">
        <v>94</v>
      </c>
      <c r="E16" s="14" t="s">
        <v>41</v>
      </c>
      <c r="F16" s="14" t="s">
        <v>42</v>
      </c>
      <c r="G16" s="30" t="s">
        <v>94</v>
      </c>
      <c r="H16" s="14" t="s">
        <v>41</v>
      </c>
      <c r="I16" s="14" t="s">
        <v>42</v>
      </c>
      <c r="J16" s="30" t="s">
        <v>94</v>
      </c>
      <c r="K16" s="14" t="s">
        <v>41</v>
      </c>
      <c r="L16" s="14" t="s">
        <v>42</v>
      </c>
      <c r="M16" s="30" t="s">
        <v>94</v>
      </c>
      <c r="N16" s="14" t="s">
        <v>41</v>
      </c>
      <c r="O16" s="14" t="s">
        <v>42</v>
      </c>
      <c r="P16" s="30" t="s">
        <v>94</v>
      </c>
      <c r="Q16" s="14" t="s">
        <v>41</v>
      </c>
      <c r="R16" s="14" t="s">
        <v>42</v>
      </c>
      <c r="S16" s="30" t="s">
        <v>94</v>
      </c>
      <c r="T16" s="14" t="s">
        <v>41</v>
      </c>
      <c r="U16" s="14" t="s">
        <v>42</v>
      </c>
      <c r="V16" s="124"/>
      <c r="W16" s="15"/>
    </row>
    <row r="17" spans="1:23" ht="24" customHeight="1" x14ac:dyDescent="0.15">
      <c r="A17" s="125"/>
      <c r="B17" s="125"/>
      <c r="C17" s="77"/>
      <c r="D17" s="30"/>
      <c r="E17" s="14"/>
      <c r="F17" s="14"/>
      <c r="G17" s="30"/>
      <c r="H17" s="14"/>
      <c r="I17" s="14"/>
      <c r="J17" s="30"/>
      <c r="K17" s="14"/>
      <c r="L17" s="14"/>
      <c r="M17" s="30"/>
      <c r="N17" s="14"/>
      <c r="O17" s="14"/>
      <c r="P17" s="30"/>
      <c r="Q17" s="14"/>
      <c r="R17" s="14"/>
      <c r="S17" s="30"/>
      <c r="T17" s="14"/>
      <c r="U17" s="14"/>
      <c r="V17" s="14"/>
      <c r="W17" s="15"/>
    </row>
  </sheetData>
  <mergeCells count="39">
    <mergeCell ref="A1:V1"/>
    <mergeCell ref="A3:A5"/>
    <mergeCell ref="B3:B5"/>
    <mergeCell ref="V2:V4"/>
    <mergeCell ref="D2:O2"/>
    <mergeCell ref="D3:F3"/>
    <mergeCell ref="G3:I3"/>
    <mergeCell ref="J3:L3"/>
    <mergeCell ref="M3:O3"/>
    <mergeCell ref="P2:U2"/>
    <mergeCell ref="P3:R3"/>
    <mergeCell ref="S3:U3"/>
    <mergeCell ref="C3:C4"/>
    <mergeCell ref="D8:O8"/>
    <mergeCell ref="A6:V6"/>
    <mergeCell ref="A7:V7"/>
    <mergeCell ref="V8:V10"/>
    <mergeCell ref="A9:A11"/>
    <mergeCell ref="B9:B11"/>
    <mergeCell ref="D9:F9"/>
    <mergeCell ref="G9:I9"/>
    <mergeCell ref="J9:L9"/>
    <mergeCell ref="M9:O9"/>
    <mergeCell ref="P15:R15"/>
    <mergeCell ref="P14:U14"/>
    <mergeCell ref="P8:U8"/>
    <mergeCell ref="P9:R9"/>
    <mergeCell ref="S9:U9"/>
    <mergeCell ref="S15:U15"/>
    <mergeCell ref="A12:V12"/>
    <mergeCell ref="A13:V13"/>
    <mergeCell ref="V14:V16"/>
    <mergeCell ref="A15:A17"/>
    <mergeCell ref="B15:B17"/>
    <mergeCell ref="D14:O14"/>
    <mergeCell ref="D15:F15"/>
    <mergeCell ref="G15:I15"/>
    <mergeCell ref="J15:L15"/>
    <mergeCell ref="M15:O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Z10"/>
  <sheetViews>
    <sheetView workbookViewId="0">
      <selection activeCell="K6" sqref="K6"/>
    </sheetView>
  </sheetViews>
  <sheetFormatPr defaultRowHeight="30.75" customHeight="1" x14ac:dyDescent="0.15"/>
  <cols>
    <col min="1" max="1" width="5" style="2" customWidth="1"/>
    <col min="2" max="2" width="5.375" style="2" customWidth="1"/>
    <col min="3" max="3" width="8.5" style="2" hidden="1" customWidth="1"/>
    <col min="4" max="4" width="9.5" style="2" customWidth="1"/>
    <col min="5" max="5" width="9.625" style="2" hidden="1" customWidth="1"/>
    <col min="6" max="6" width="8.375" style="2" bestFit="1" customWidth="1"/>
    <col min="7" max="7" width="10" style="2" customWidth="1"/>
    <col min="8" max="8" width="6.5" style="2" customWidth="1"/>
    <col min="9" max="9" width="9.375" style="2" hidden="1" customWidth="1"/>
    <col min="10" max="10" width="8.125" style="2" customWidth="1"/>
    <col min="11" max="11" width="9.25" style="2" customWidth="1"/>
    <col min="12" max="12" width="6.625" style="2" customWidth="1"/>
    <col min="13" max="13" width="9.625" style="2" hidden="1" customWidth="1"/>
    <col min="14" max="14" width="9" style="2" customWidth="1"/>
    <col min="15" max="15" width="9.625" style="2" customWidth="1"/>
    <col min="16" max="16" width="6.5" style="2" customWidth="1"/>
    <col min="17" max="17" width="8.875" style="2" hidden="1" customWidth="1"/>
    <col min="18" max="18" width="8.875" style="2" customWidth="1"/>
    <col min="19" max="19" width="10.125" style="2" customWidth="1"/>
    <col min="20" max="20" width="6.625" style="2" customWidth="1"/>
    <col min="21" max="21" width="9.25" style="2" customWidth="1"/>
    <col min="22" max="22" width="8.625" style="2" customWidth="1"/>
    <col min="23" max="23" width="10.375" style="2" hidden="1" customWidth="1"/>
    <col min="24" max="24" width="8.875" style="2" customWidth="1"/>
    <col min="25" max="25" width="9.25" style="2" customWidth="1"/>
    <col min="26" max="26" width="8.5" style="2" customWidth="1"/>
    <col min="27" max="16384" width="9" style="2"/>
  </cols>
  <sheetData>
    <row r="1" spans="1:26" ht="90.75" customHeight="1" x14ac:dyDescent="0.15">
      <c r="A1" s="126" t="s">
        <v>14</v>
      </c>
      <c r="B1" s="126" t="s">
        <v>1</v>
      </c>
      <c r="C1" s="126" t="s">
        <v>232</v>
      </c>
      <c r="D1" s="3" t="s">
        <v>18</v>
      </c>
      <c r="E1" s="134" t="s">
        <v>7</v>
      </c>
      <c r="F1" s="135"/>
      <c r="G1" s="135"/>
      <c r="H1" s="136"/>
      <c r="I1" s="134" t="s">
        <v>8</v>
      </c>
      <c r="J1" s="135"/>
      <c r="K1" s="135"/>
      <c r="L1" s="136"/>
      <c r="M1" s="134" t="s">
        <v>9</v>
      </c>
      <c r="N1" s="135"/>
      <c r="O1" s="135"/>
      <c r="P1" s="136"/>
      <c r="Q1" s="134" t="s">
        <v>10</v>
      </c>
      <c r="R1" s="135"/>
      <c r="S1" s="135"/>
      <c r="T1" s="136"/>
      <c r="U1" s="6" t="s">
        <v>23</v>
      </c>
      <c r="V1" s="3" t="s">
        <v>24</v>
      </c>
      <c r="W1" s="131" t="s">
        <v>11</v>
      </c>
      <c r="X1" s="129" t="s">
        <v>84</v>
      </c>
      <c r="Y1" s="129" t="s">
        <v>89</v>
      </c>
      <c r="Z1" s="133" t="s">
        <v>12</v>
      </c>
    </row>
    <row r="2" spans="1:26" ht="32.25" customHeight="1" x14ac:dyDescent="0.15">
      <c r="A2" s="127"/>
      <c r="B2" s="127"/>
      <c r="C2" s="127"/>
      <c r="D2" s="5" t="s">
        <v>20</v>
      </c>
      <c r="E2" s="5" t="s">
        <v>94</v>
      </c>
      <c r="F2" s="5" t="s">
        <v>95</v>
      </c>
      <c r="G2" s="3" t="s">
        <v>19</v>
      </c>
      <c r="H2" s="5" t="s">
        <v>20</v>
      </c>
      <c r="I2" s="5" t="s">
        <v>94</v>
      </c>
      <c r="J2" s="5" t="s">
        <v>95</v>
      </c>
      <c r="K2" s="3" t="s">
        <v>19</v>
      </c>
      <c r="L2" s="5" t="s">
        <v>20</v>
      </c>
      <c r="M2" s="5" t="s">
        <v>94</v>
      </c>
      <c r="N2" s="5" t="s">
        <v>95</v>
      </c>
      <c r="O2" s="3" t="s">
        <v>19</v>
      </c>
      <c r="P2" s="5" t="s">
        <v>20</v>
      </c>
      <c r="Q2" s="5" t="s">
        <v>94</v>
      </c>
      <c r="R2" s="5" t="s">
        <v>95</v>
      </c>
      <c r="S2" s="3" t="s">
        <v>19</v>
      </c>
      <c r="T2" s="5" t="s">
        <v>20</v>
      </c>
      <c r="U2" s="5" t="s">
        <v>20</v>
      </c>
      <c r="V2" s="5" t="s">
        <v>20</v>
      </c>
      <c r="W2" s="132"/>
      <c r="X2" s="130"/>
      <c r="Y2" s="130"/>
      <c r="Z2" s="130"/>
    </row>
    <row r="3" spans="1:26" ht="30.75" customHeight="1" x14ac:dyDescent="0.15">
      <c r="A3" s="7" t="s">
        <v>15</v>
      </c>
      <c r="B3" s="8" t="s">
        <v>2</v>
      </c>
      <c r="C3" s="73" t="s">
        <v>196</v>
      </c>
      <c r="D3" s="1"/>
      <c r="E3" s="1">
        <v>3775377</v>
      </c>
      <c r="F3" s="81">
        <f>VLOOKUP(C$3:C$7,[1]三级宽末13月!$E$3:$J$7,6,0)</f>
        <v>0.91290000000000004</v>
      </c>
      <c r="G3" s="53">
        <f>(93%-F3)*E3</f>
        <v>64558.946700000015</v>
      </c>
      <c r="H3" s="52" t="str">
        <f>IF(F3&gt;=93%,"1","0")</f>
        <v>0</v>
      </c>
      <c r="I3" s="52">
        <v>1806114</v>
      </c>
      <c r="J3" s="81">
        <f>VLOOKUP(C$3:C$7,[1]三级宽末25月!$E$3:$J$7,6,0)</f>
        <v>0.90859999999999996</v>
      </c>
      <c r="K3" s="53">
        <f>(97%-J3)*I3</f>
        <v>110895.39960000002</v>
      </c>
      <c r="L3" s="52" t="str">
        <f>IF(J3&gt;=97%,"1","0")</f>
        <v>0</v>
      </c>
      <c r="M3" s="52">
        <v>3276000</v>
      </c>
      <c r="N3" s="81">
        <f>VLOOKUP(C$3:C$7,[1]三级宽末13月!$E$15:$J$19,6,0)</f>
        <v>0.99690000000000001</v>
      </c>
      <c r="O3" s="53"/>
      <c r="P3" s="52">
        <v>1.5</v>
      </c>
      <c r="Q3" s="52">
        <v>625000</v>
      </c>
      <c r="R3" s="81">
        <f>VLOOKUP(C$3:C$7,[1]三级宽末25月!$E$15:$J$19,6,0)</f>
        <v>0.96</v>
      </c>
      <c r="S3" s="53">
        <f>(99.5%-R3)*Q3</f>
        <v>21875.000000000018</v>
      </c>
      <c r="T3" s="52" t="str">
        <f>IF(R3&gt;=99.5%,"1","0")</f>
        <v>0</v>
      </c>
      <c r="U3" s="52" t="str">
        <f>IF(AND(F3&gt;=85%,J3&gt;=93%,N3&gt;=91%,R3&gt;=93%),"1","0")</f>
        <v>0</v>
      </c>
      <c r="V3" s="52" t="str">
        <f>IF(AND(F3&gt;=91%,J3&gt;=94%,N3&gt;=94%,R3&gt;=94%),"2","0")</f>
        <v>0</v>
      </c>
      <c r="W3" s="51"/>
      <c r="X3" s="51"/>
      <c r="Y3" s="51" t="str">
        <f>守门员守球!$V$5</f>
        <v>-1</v>
      </c>
      <c r="Z3" s="52">
        <f>D3+H3+L3+P3+T3+U3+V3+X3+Y3</f>
        <v>0.5</v>
      </c>
    </row>
    <row r="4" spans="1:26" ht="30.75" customHeight="1" x14ac:dyDescent="0.15">
      <c r="A4" s="7" t="s">
        <v>16</v>
      </c>
      <c r="B4" s="8" t="s">
        <v>3</v>
      </c>
      <c r="C4" s="73" t="s">
        <v>198</v>
      </c>
      <c r="D4" s="1"/>
      <c r="E4" s="1">
        <v>675369</v>
      </c>
      <c r="F4" s="81">
        <f>VLOOKUP(C$3:C$7,[1]三级宽末13月!$E$3:$J$7,6,0)</f>
        <v>0.86599999999999999</v>
      </c>
      <c r="G4" s="53">
        <f t="shared" ref="G4:G7" si="0">(93%-F4)*E4</f>
        <v>43223.616000000038</v>
      </c>
      <c r="H4" s="52" t="str">
        <f t="shared" ref="H4:H7" si="1">IF(F4&gt;=93%,"1","0")</f>
        <v>0</v>
      </c>
      <c r="I4" s="52">
        <v>754845</v>
      </c>
      <c r="J4" s="81">
        <f>VLOOKUP(C$3:C$7,[1]三级宽末25月!$E$3:$J$7,6,0)</f>
        <v>0.95609999999999995</v>
      </c>
      <c r="K4" s="53">
        <f t="shared" ref="K4:K7" si="2">(97%-J4)*I4</f>
        <v>10492.345500000018</v>
      </c>
      <c r="L4" s="52" t="str">
        <f t="shared" ref="L4:L7" si="3">IF(J4&gt;=97%,"1","0")</f>
        <v>0</v>
      </c>
      <c r="M4" s="52">
        <v>3706000</v>
      </c>
      <c r="N4" s="81">
        <f>VLOOKUP(C$3:C$7,[1]三级宽末13月!$E$15:$J$19,6,0)</f>
        <v>0.92169999999999996</v>
      </c>
      <c r="O4" s="53">
        <f t="shared" ref="O4:O7" si="4">(98.5%-N4)*M4</f>
        <v>234589.80000000008</v>
      </c>
      <c r="P4" s="52" t="str">
        <f t="shared" ref="P4:P7" si="5">IF(N4&gt;=98.5%,"1","0")</f>
        <v>0</v>
      </c>
      <c r="Q4" s="52">
        <v>2300000</v>
      </c>
      <c r="R4" s="81">
        <f>VLOOKUP(C$3:C$7,[1]三级宽末25月!$E$15:$J$19,6,0)</f>
        <v>1</v>
      </c>
      <c r="S4" s="53"/>
      <c r="T4" s="52">
        <v>1.5</v>
      </c>
      <c r="U4" s="52">
        <v>1.5</v>
      </c>
      <c r="V4" s="52" t="str">
        <f t="shared" ref="V4:V7" si="6">IF(AND(F4&gt;=91%,J4&gt;=94%,N4&gt;=94%,R4&gt;=94%),"1","0")</f>
        <v>0</v>
      </c>
      <c r="W4" s="51"/>
      <c r="X4" s="51"/>
      <c r="Y4" s="51" t="str">
        <f>守门员守球!$V$5</f>
        <v>-1</v>
      </c>
      <c r="Z4" s="52">
        <f t="shared" ref="Z4:Z7" si="7">D4+H4+L4+P4+T4+U4+V4+X4+Y4</f>
        <v>2</v>
      </c>
    </row>
    <row r="5" spans="1:26" ht="30.75" customHeight="1" x14ac:dyDescent="0.15">
      <c r="A5" s="7" t="s">
        <v>16</v>
      </c>
      <c r="B5" s="8" t="s">
        <v>4</v>
      </c>
      <c r="C5" s="73" t="s">
        <v>200</v>
      </c>
      <c r="D5" s="1"/>
      <c r="E5" s="1">
        <v>1245279</v>
      </c>
      <c r="F5" s="81">
        <f>VLOOKUP(C$3:C$7,[1]三级宽末13月!$E$3:$J$7,6,0)</f>
        <v>0.94699999999999995</v>
      </c>
      <c r="G5" s="53"/>
      <c r="H5" s="52">
        <v>1.5</v>
      </c>
      <c r="I5" s="52">
        <v>705637</v>
      </c>
      <c r="J5" s="81">
        <f>VLOOKUP(C$3:C$7,[1]三级宽末25月!$E$3:$J$7,6,0)</f>
        <v>0.96540000000000004</v>
      </c>
      <c r="K5" s="53">
        <f t="shared" si="2"/>
        <v>3245.9301999999557</v>
      </c>
      <c r="L5" s="52" t="str">
        <f t="shared" si="3"/>
        <v>0</v>
      </c>
      <c r="M5" s="52">
        <v>1137000</v>
      </c>
      <c r="N5" s="81">
        <f>VLOOKUP(C$3:C$7,[1]三级宽末13月!$E$15:$J$19,6,0)</f>
        <v>1</v>
      </c>
      <c r="O5" s="53"/>
      <c r="P5" s="52">
        <v>1.5</v>
      </c>
      <c r="Q5" s="52">
        <v>264000</v>
      </c>
      <c r="R5" s="81">
        <f>VLOOKUP(C$3:C$7,[1]三级宽末25月!$E$15:$J$19,6,0)</f>
        <v>1</v>
      </c>
      <c r="S5" s="53"/>
      <c r="T5" s="52">
        <v>1.5</v>
      </c>
      <c r="U5" s="52">
        <v>1.5</v>
      </c>
      <c r="V5" s="52">
        <v>1.5</v>
      </c>
      <c r="W5" s="51"/>
      <c r="X5" s="51"/>
      <c r="Y5" s="51" t="str">
        <f>守门员守球!$V$5</f>
        <v>-1</v>
      </c>
      <c r="Z5" s="52">
        <f t="shared" si="7"/>
        <v>6.5</v>
      </c>
    </row>
    <row r="6" spans="1:26" ht="30.75" customHeight="1" x14ac:dyDescent="0.15">
      <c r="A6" s="7" t="s">
        <v>17</v>
      </c>
      <c r="B6" s="8" t="s">
        <v>180</v>
      </c>
      <c r="C6" s="73" t="s">
        <v>204</v>
      </c>
      <c r="D6" s="1"/>
      <c r="E6" s="1">
        <v>1004240</v>
      </c>
      <c r="F6" s="81">
        <f>VLOOKUP(C$3:C$7,[1]三级宽末13月!$E$3:$J$7,6,0)</f>
        <v>0.84260000000000002</v>
      </c>
      <c r="G6" s="53">
        <f>(93%-F6)*E6</f>
        <v>87770.57600000003</v>
      </c>
      <c r="H6" s="52" t="str">
        <f>IF(F6&gt;=93%,"1","0")</f>
        <v>0</v>
      </c>
      <c r="I6" s="52">
        <v>469601</v>
      </c>
      <c r="J6" s="81">
        <f>VLOOKUP(C$3:C$7,[1]三级宽末25月!$E$3:$J$7,6,0)</f>
        <v>0.75870000000000004</v>
      </c>
      <c r="K6" s="53">
        <f>(97%-J6)*I6</f>
        <v>99226.691299999962</v>
      </c>
      <c r="L6" s="52" t="str">
        <f>IF(J6&gt;=97%,"1","0")</f>
        <v>0</v>
      </c>
      <c r="M6" s="52">
        <v>1660000</v>
      </c>
      <c r="N6" s="81">
        <f>VLOOKUP(C$3:C$7,[1]三级宽末13月!$E$15:$J$19,6,0)</f>
        <v>0.88859999999999995</v>
      </c>
      <c r="O6" s="53">
        <f>(98.5%-N6)*M6</f>
        <v>160024.00000000006</v>
      </c>
      <c r="P6" s="52" t="str">
        <f>IF(N6&gt;=98.5%,"1","0")</f>
        <v>0</v>
      </c>
      <c r="Q6" s="52">
        <v>804000</v>
      </c>
      <c r="R6" s="81">
        <f>VLOOKUP(C$3:C$7,[1]三级宽末25月!$E$15:$J$19,6,0)</f>
        <v>0.85070000000000001</v>
      </c>
      <c r="S6" s="53">
        <f>(99.5%-R6)*Q6</f>
        <v>116017.19999999998</v>
      </c>
      <c r="T6" s="52" t="str">
        <f>IF(R6&gt;=99.5%,"1","0")</f>
        <v>0</v>
      </c>
      <c r="U6" s="52" t="str">
        <f>IF(AND(F6&gt;=85%,J6&gt;=93%,N6&gt;=91%,R6&gt;=93%),"1","0")</f>
        <v>0</v>
      </c>
      <c r="V6" s="52" t="str">
        <f>IF(AND(F6&gt;=91%,J6&gt;=94%,N6&gt;=94%,R6&gt;=94%),"1","0")</f>
        <v>0</v>
      </c>
      <c r="W6" s="51"/>
      <c r="X6" s="51"/>
      <c r="Y6" s="51" t="str">
        <f>守门员守球!$V$5</f>
        <v>-1</v>
      </c>
      <c r="Z6" s="52">
        <f>D6+H6+L6+P6+T6+U6+V6+X6+Y6</f>
        <v>-1</v>
      </c>
    </row>
    <row r="7" spans="1:26" ht="30.75" customHeight="1" x14ac:dyDescent="0.15">
      <c r="A7" s="7" t="s">
        <v>17</v>
      </c>
      <c r="B7" s="8" t="s">
        <v>179</v>
      </c>
      <c r="C7" s="73" t="s">
        <v>202</v>
      </c>
      <c r="D7" s="1"/>
      <c r="E7" s="1">
        <v>247467</v>
      </c>
      <c r="F7" s="81">
        <f>VLOOKUP(C$3:C$7,[1]三级宽末13月!$E$3:$J$7,6,0)</f>
        <v>0.79469999999999996</v>
      </c>
      <c r="G7" s="53">
        <f t="shared" si="0"/>
        <v>33482.285100000023</v>
      </c>
      <c r="H7" s="52" t="str">
        <f t="shared" si="1"/>
        <v>0</v>
      </c>
      <c r="I7" s="52">
        <v>428876</v>
      </c>
      <c r="J7" s="81">
        <f>VLOOKUP(C$3:C$7,[1]三级宽末25月!$E$3:$J$7,6,0)</f>
        <v>0.90949999999999998</v>
      </c>
      <c r="K7" s="53">
        <f t="shared" si="2"/>
        <v>25946.998</v>
      </c>
      <c r="L7" s="52" t="str">
        <f t="shared" si="3"/>
        <v>0</v>
      </c>
      <c r="M7" s="52">
        <v>2614000</v>
      </c>
      <c r="N7" s="81">
        <f>VLOOKUP(C$3:C$7,[1]三级宽末13月!$E$15:$J$19,6,0)</f>
        <v>0.98470000000000002</v>
      </c>
      <c r="O7" s="53">
        <f t="shared" si="4"/>
        <v>784.19999999991364</v>
      </c>
      <c r="P7" s="52" t="str">
        <f t="shared" si="5"/>
        <v>0</v>
      </c>
      <c r="Q7" s="52">
        <v>1855000</v>
      </c>
      <c r="R7" s="81">
        <f>VLOOKUP(C$3:C$7,[1]三级宽末25月!$E$15:$J$19,6,0)</f>
        <v>0.99729999999999996</v>
      </c>
      <c r="S7" s="53"/>
      <c r="T7" s="89">
        <v>1.5</v>
      </c>
      <c r="U7" s="52" t="str">
        <f t="shared" ref="U7" si="8">IF(AND(F7&gt;=85%,J7&gt;=93%,N7&gt;=91%,R7&gt;=93%),"1","0")</f>
        <v>0</v>
      </c>
      <c r="V7" s="52" t="str">
        <f t="shared" si="6"/>
        <v>0</v>
      </c>
      <c r="W7" s="51"/>
      <c r="X7" s="51"/>
      <c r="Y7" s="51" t="str">
        <f>守门员守球!$V$5</f>
        <v>-1</v>
      </c>
      <c r="Z7" s="52">
        <f t="shared" si="7"/>
        <v>0.5</v>
      </c>
    </row>
    <row r="8" spans="1:26" ht="9" customHeight="1" x14ac:dyDescent="0.15"/>
    <row r="9" spans="1:26" ht="9" customHeight="1" x14ac:dyDescent="0.15"/>
    <row r="10" spans="1:26" ht="30.75" customHeight="1" x14ac:dyDescent="0.15">
      <c r="A10" s="128" t="s">
        <v>25</v>
      </c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</row>
  </sheetData>
  <mergeCells count="12">
    <mergeCell ref="A1:A2"/>
    <mergeCell ref="A10:Z10"/>
    <mergeCell ref="X1:X2"/>
    <mergeCell ref="Y1:Y2"/>
    <mergeCell ref="W1:W2"/>
    <mergeCell ref="Z1:Z2"/>
    <mergeCell ref="B1:B2"/>
    <mergeCell ref="E1:H1"/>
    <mergeCell ref="I1:L1"/>
    <mergeCell ref="M1:P1"/>
    <mergeCell ref="Q1:T1"/>
    <mergeCell ref="C1:C2"/>
  </mergeCells>
  <phoneticPr fontId="1" type="noConversion"/>
  <pageMargins left="0.7" right="0.7" top="0.75" bottom="0.75" header="0.3" footer="0.3"/>
  <pageSetup paperSize="9" orientation="portrait" r:id="rId1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Y9"/>
  <sheetViews>
    <sheetView workbookViewId="0">
      <selection activeCell="B6" sqref="B6:B7"/>
    </sheetView>
  </sheetViews>
  <sheetFormatPr defaultRowHeight="30.75" customHeight="1" x14ac:dyDescent="0.15"/>
  <cols>
    <col min="1" max="1" width="7.125" style="2" customWidth="1"/>
    <col min="2" max="2" width="6.5" style="2" customWidth="1"/>
    <col min="3" max="3" width="15.875" style="2" customWidth="1"/>
    <col min="4" max="4" width="10" style="2" customWidth="1"/>
    <col min="5" max="5" width="9.375" style="2" customWidth="1"/>
    <col min="6" max="6" width="9.25" style="2" customWidth="1"/>
    <col min="7" max="7" width="7.875" style="2" customWidth="1"/>
    <col min="8" max="8" width="9.625" style="2" customWidth="1"/>
    <col min="9" max="9" width="8.875" style="2" customWidth="1"/>
    <col min="10" max="11" width="9.625" style="2" customWidth="1"/>
    <col min="12" max="12" width="13.75" style="2" customWidth="1"/>
    <col min="13" max="13" width="15.375" style="2" customWidth="1"/>
    <col min="14" max="14" width="10.375" style="2" hidden="1" customWidth="1"/>
    <col min="15" max="16" width="10.375" style="2" customWidth="1"/>
    <col min="17" max="17" width="8.625" style="2" customWidth="1"/>
    <col min="18" max="21" width="9" style="2"/>
    <col min="22" max="22" width="0" style="2" hidden="1" customWidth="1"/>
    <col min="23" max="16384" width="9" style="2"/>
  </cols>
  <sheetData>
    <row r="1" spans="1:25" ht="56.25" customHeight="1" x14ac:dyDescent="0.15">
      <c r="A1" s="126" t="s">
        <v>13</v>
      </c>
      <c r="B1" s="126" t="s">
        <v>1</v>
      </c>
      <c r="C1" s="3" t="s">
        <v>18</v>
      </c>
      <c r="D1" s="134" t="s">
        <v>7</v>
      </c>
      <c r="E1" s="135"/>
      <c r="F1" s="135"/>
      <c r="G1" s="136"/>
      <c r="H1" s="134" t="s">
        <v>8</v>
      </c>
      <c r="I1" s="135"/>
      <c r="J1" s="135"/>
      <c r="K1" s="136"/>
      <c r="L1" s="134" t="s">
        <v>9</v>
      </c>
      <c r="M1" s="135"/>
      <c r="N1" s="135"/>
      <c r="O1" s="136"/>
      <c r="P1" s="134" t="s">
        <v>10</v>
      </c>
      <c r="Q1" s="135"/>
      <c r="R1" s="135"/>
      <c r="S1" s="136"/>
      <c r="T1" s="31" t="s">
        <v>23</v>
      </c>
      <c r="U1" s="3" t="s">
        <v>24</v>
      </c>
      <c r="V1" s="131" t="s">
        <v>11</v>
      </c>
      <c r="W1" s="129" t="s">
        <v>84</v>
      </c>
      <c r="X1" s="129" t="s">
        <v>89</v>
      </c>
      <c r="Y1" s="133" t="s">
        <v>21</v>
      </c>
    </row>
    <row r="2" spans="1:25" ht="25.5" customHeight="1" x14ac:dyDescent="0.15">
      <c r="A2" s="127"/>
      <c r="B2" s="127"/>
      <c r="C2" s="5" t="s">
        <v>20</v>
      </c>
      <c r="D2" s="5" t="s">
        <v>94</v>
      </c>
      <c r="E2" s="5" t="s">
        <v>95</v>
      </c>
      <c r="F2" s="3" t="s">
        <v>19</v>
      </c>
      <c r="G2" s="5" t="s">
        <v>20</v>
      </c>
      <c r="H2" s="5" t="s">
        <v>94</v>
      </c>
      <c r="I2" s="5" t="s">
        <v>95</v>
      </c>
      <c r="J2" s="3" t="s">
        <v>19</v>
      </c>
      <c r="K2" s="5" t="s">
        <v>20</v>
      </c>
      <c r="L2" s="5" t="s">
        <v>94</v>
      </c>
      <c r="M2" s="5" t="s">
        <v>95</v>
      </c>
      <c r="N2" s="3" t="s">
        <v>19</v>
      </c>
      <c r="O2" s="5" t="s">
        <v>20</v>
      </c>
      <c r="P2" s="5" t="s">
        <v>94</v>
      </c>
      <c r="Q2" s="5" t="s">
        <v>95</v>
      </c>
      <c r="R2" s="3" t="s">
        <v>19</v>
      </c>
      <c r="S2" s="5" t="s">
        <v>20</v>
      </c>
      <c r="T2" s="5" t="s">
        <v>20</v>
      </c>
      <c r="U2" s="5" t="s">
        <v>20</v>
      </c>
      <c r="V2" s="132"/>
      <c r="W2" s="130"/>
      <c r="X2" s="130"/>
      <c r="Y2" s="130"/>
    </row>
    <row r="3" spans="1:25" ht="30.75" customHeight="1" x14ac:dyDescent="0.15">
      <c r="A3" s="7" t="s">
        <v>15</v>
      </c>
      <c r="B3" s="8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4"/>
      <c r="O3" s="4"/>
      <c r="P3" s="4"/>
      <c r="Q3" s="1"/>
      <c r="R3" s="1"/>
      <c r="S3" s="1"/>
      <c r="T3" s="1"/>
      <c r="U3" s="1"/>
      <c r="V3" s="1"/>
      <c r="W3" s="1"/>
      <c r="X3" s="1"/>
      <c r="Y3" s="1"/>
    </row>
    <row r="4" spans="1:25" ht="30.75" customHeight="1" x14ac:dyDescent="0.15">
      <c r="A4" s="7" t="s">
        <v>16</v>
      </c>
      <c r="B4" s="8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4"/>
      <c r="O4" s="4"/>
      <c r="P4" s="4"/>
      <c r="Q4" s="1"/>
      <c r="R4" s="1"/>
      <c r="S4" s="1"/>
      <c r="T4" s="1"/>
      <c r="U4" s="1"/>
      <c r="V4" s="1"/>
      <c r="W4" s="1"/>
      <c r="X4" s="1"/>
      <c r="Y4" s="1"/>
    </row>
    <row r="5" spans="1:25" ht="30.75" customHeight="1" x14ac:dyDescent="0.15">
      <c r="A5" s="7" t="s">
        <v>16</v>
      </c>
      <c r="B5" s="8" t="s">
        <v>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4"/>
      <c r="O5" s="4"/>
      <c r="P5" s="4"/>
      <c r="Q5" s="1"/>
      <c r="R5" s="1"/>
      <c r="S5" s="1"/>
      <c r="T5" s="1"/>
      <c r="U5" s="1"/>
      <c r="V5" s="1"/>
      <c r="W5" s="1"/>
      <c r="X5" s="1"/>
      <c r="Y5" s="1"/>
    </row>
    <row r="6" spans="1:25" ht="30.75" customHeight="1" x14ac:dyDescent="0.15">
      <c r="A6" s="7" t="s">
        <v>17</v>
      </c>
      <c r="B6" s="78" t="s">
        <v>180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4"/>
      <c r="O6" s="4"/>
      <c r="P6" s="4"/>
      <c r="Q6" s="1"/>
      <c r="R6" s="1"/>
      <c r="S6" s="1"/>
      <c r="T6" s="1"/>
      <c r="U6" s="1"/>
      <c r="V6" s="1"/>
      <c r="W6" s="1"/>
      <c r="X6" s="1"/>
      <c r="Y6" s="1"/>
    </row>
    <row r="7" spans="1:25" ht="30.75" customHeight="1" x14ac:dyDescent="0.15">
      <c r="A7" s="7" t="s">
        <v>17</v>
      </c>
      <c r="B7" s="78" t="s">
        <v>179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4"/>
      <c r="O7" s="4"/>
      <c r="P7" s="4"/>
      <c r="Q7" s="1"/>
      <c r="R7" s="1"/>
      <c r="S7" s="1"/>
      <c r="T7" s="1"/>
      <c r="U7" s="1"/>
      <c r="V7" s="1"/>
      <c r="W7" s="1"/>
      <c r="X7" s="1"/>
      <c r="Y7" s="1"/>
    </row>
    <row r="8" spans="1:25" ht="21.75" customHeight="1" x14ac:dyDescent="0.15"/>
    <row r="9" spans="1:25" ht="30.75" customHeight="1" x14ac:dyDescent="0.15">
      <c r="A9" s="128" t="s">
        <v>25</v>
      </c>
      <c r="B9" s="128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</row>
  </sheetData>
  <mergeCells count="11">
    <mergeCell ref="V1:V2"/>
    <mergeCell ref="W1:W2"/>
    <mergeCell ref="X1:X2"/>
    <mergeCell ref="Y1:Y2"/>
    <mergeCell ref="A9:Q9"/>
    <mergeCell ref="A1:A2"/>
    <mergeCell ref="B1:B2"/>
    <mergeCell ref="D1:G1"/>
    <mergeCell ref="H1:K1"/>
    <mergeCell ref="L1:O1"/>
    <mergeCell ref="P1:S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Y9"/>
  <sheetViews>
    <sheetView workbookViewId="0">
      <selection activeCell="B6" sqref="B6"/>
    </sheetView>
  </sheetViews>
  <sheetFormatPr defaultRowHeight="30.75" customHeight="1" x14ac:dyDescent="0.15"/>
  <cols>
    <col min="1" max="1" width="6.125" style="2" customWidth="1"/>
    <col min="2" max="2" width="5.875" style="2" customWidth="1"/>
    <col min="3" max="3" width="15.875" style="2" customWidth="1"/>
    <col min="4" max="4" width="9.125" style="2" customWidth="1"/>
    <col min="5" max="5" width="7.375" style="2" customWidth="1"/>
    <col min="6" max="6" width="9.25" style="2" customWidth="1"/>
    <col min="7" max="7" width="7.5" style="2" customWidth="1"/>
    <col min="8" max="8" width="9.625" style="2" customWidth="1"/>
    <col min="9" max="9" width="8.25" style="2" customWidth="1"/>
    <col min="10" max="10" width="9.625" style="2" customWidth="1"/>
    <col min="11" max="11" width="9.25" style="2" customWidth="1"/>
    <col min="12" max="12" width="13.375" style="2" customWidth="1"/>
    <col min="13" max="13" width="14.875" style="2" customWidth="1"/>
    <col min="14" max="14" width="9.5" style="2" customWidth="1"/>
    <col min="15" max="15" width="9.125" style="2" customWidth="1"/>
    <col min="16" max="16" width="10.375" style="2" customWidth="1"/>
    <col min="17" max="17" width="8.625" style="2" customWidth="1"/>
    <col min="18" max="16384" width="9" style="2"/>
  </cols>
  <sheetData>
    <row r="1" spans="1:25" ht="56.25" customHeight="1" x14ac:dyDescent="0.15">
      <c r="A1" s="126" t="s">
        <v>13</v>
      </c>
      <c r="B1" s="126" t="s">
        <v>1</v>
      </c>
      <c r="C1" s="3" t="s">
        <v>18</v>
      </c>
      <c r="D1" s="134" t="s">
        <v>7</v>
      </c>
      <c r="E1" s="135"/>
      <c r="F1" s="135"/>
      <c r="G1" s="136"/>
      <c r="H1" s="134" t="s">
        <v>8</v>
      </c>
      <c r="I1" s="135"/>
      <c r="J1" s="135"/>
      <c r="K1" s="136"/>
      <c r="L1" s="134" t="s">
        <v>9</v>
      </c>
      <c r="M1" s="135"/>
      <c r="N1" s="135"/>
      <c r="O1" s="136"/>
      <c r="P1" s="134" t="s">
        <v>10</v>
      </c>
      <c r="Q1" s="135"/>
      <c r="R1" s="135"/>
      <c r="S1" s="136"/>
      <c r="T1" s="31" t="s">
        <v>23</v>
      </c>
      <c r="U1" s="3" t="s">
        <v>24</v>
      </c>
      <c r="V1" s="131" t="s">
        <v>11</v>
      </c>
      <c r="W1" s="129" t="s">
        <v>84</v>
      </c>
      <c r="X1" s="129" t="s">
        <v>89</v>
      </c>
      <c r="Y1" s="133" t="s">
        <v>22</v>
      </c>
    </row>
    <row r="2" spans="1:25" ht="25.5" customHeight="1" x14ac:dyDescent="0.15">
      <c r="A2" s="127"/>
      <c r="B2" s="127"/>
      <c r="C2" s="5" t="s">
        <v>20</v>
      </c>
      <c r="D2" s="5" t="s">
        <v>94</v>
      </c>
      <c r="E2" s="5" t="s">
        <v>95</v>
      </c>
      <c r="F2" s="3" t="s">
        <v>19</v>
      </c>
      <c r="G2" s="5" t="s">
        <v>20</v>
      </c>
      <c r="H2" s="5" t="s">
        <v>94</v>
      </c>
      <c r="I2" s="5" t="s">
        <v>95</v>
      </c>
      <c r="J2" s="3" t="s">
        <v>19</v>
      </c>
      <c r="K2" s="5" t="s">
        <v>20</v>
      </c>
      <c r="L2" s="5" t="s">
        <v>94</v>
      </c>
      <c r="M2" s="5" t="s">
        <v>95</v>
      </c>
      <c r="N2" s="3" t="s">
        <v>19</v>
      </c>
      <c r="O2" s="5" t="s">
        <v>20</v>
      </c>
      <c r="P2" s="5" t="s">
        <v>94</v>
      </c>
      <c r="Q2" s="5" t="s">
        <v>95</v>
      </c>
      <c r="R2" s="3" t="s">
        <v>19</v>
      </c>
      <c r="S2" s="5" t="s">
        <v>20</v>
      </c>
      <c r="T2" s="5" t="s">
        <v>20</v>
      </c>
      <c r="U2" s="5" t="s">
        <v>20</v>
      </c>
      <c r="V2" s="132"/>
      <c r="W2" s="130"/>
      <c r="X2" s="130"/>
      <c r="Y2" s="130"/>
    </row>
    <row r="3" spans="1:25" ht="30.75" customHeight="1" x14ac:dyDescent="0.15">
      <c r="A3" s="7" t="s">
        <v>15</v>
      </c>
      <c r="B3" s="8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4"/>
      <c r="O3" s="4"/>
      <c r="P3" s="4"/>
      <c r="Q3" s="1"/>
      <c r="R3" s="1"/>
      <c r="S3" s="1"/>
      <c r="T3" s="1"/>
      <c r="U3" s="1"/>
      <c r="V3" s="1"/>
      <c r="W3" s="1"/>
      <c r="X3" s="1"/>
      <c r="Y3" s="1"/>
    </row>
    <row r="4" spans="1:25" ht="30.75" customHeight="1" x14ac:dyDescent="0.15">
      <c r="A4" s="7" t="s">
        <v>16</v>
      </c>
      <c r="B4" s="8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4"/>
      <c r="O4" s="4"/>
      <c r="P4" s="4"/>
      <c r="Q4" s="1"/>
      <c r="R4" s="1"/>
      <c r="S4" s="1"/>
      <c r="T4" s="1"/>
      <c r="U4" s="1"/>
      <c r="V4" s="1"/>
      <c r="W4" s="1"/>
      <c r="X4" s="1"/>
      <c r="Y4" s="1"/>
    </row>
    <row r="5" spans="1:25" ht="30.75" customHeight="1" x14ac:dyDescent="0.15">
      <c r="A5" s="7" t="s">
        <v>16</v>
      </c>
      <c r="B5" s="8" t="s">
        <v>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4"/>
      <c r="O5" s="4"/>
      <c r="P5" s="4"/>
      <c r="Q5" s="1"/>
      <c r="R5" s="1"/>
      <c r="S5" s="1"/>
      <c r="T5" s="1"/>
      <c r="U5" s="1"/>
      <c r="V5" s="1"/>
      <c r="W5" s="1"/>
      <c r="X5" s="1"/>
      <c r="Y5" s="1"/>
    </row>
    <row r="6" spans="1:25" ht="30.75" customHeight="1" x14ac:dyDescent="0.15">
      <c r="A6" s="7" t="s">
        <v>17</v>
      </c>
      <c r="B6" s="78" t="s">
        <v>180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4"/>
      <c r="O6" s="4"/>
      <c r="P6" s="4"/>
      <c r="Q6" s="1"/>
      <c r="R6" s="1"/>
      <c r="S6" s="1"/>
      <c r="T6" s="1"/>
      <c r="U6" s="1"/>
      <c r="V6" s="1"/>
      <c r="W6" s="1"/>
      <c r="X6" s="1"/>
      <c r="Y6" s="1"/>
    </row>
    <row r="7" spans="1:25" ht="30.75" customHeight="1" x14ac:dyDescent="0.15">
      <c r="A7" s="7" t="s">
        <v>17</v>
      </c>
      <c r="B7" s="78" t="s">
        <v>179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4"/>
      <c r="O7" s="4"/>
      <c r="P7" s="4"/>
      <c r="Q7" s="1"/>
      <c r="R7" s="1"/>
      <c r="S7" s="1"/>
      <c r="T7" s="1"/>
      <c r="U7" s="1"/>
      <c r="V7" s="1"/>
      <c r="W7" s="1"/>
      <c r="X7" s="1"/>
      <c r="Y7" s="1"/>
    </row>
    <row r="8" spans="1:25" ht="21" customHeight="1" x14ac:dyDescent="0.15"/>
    <row r="9" spans="1:25" ht="30.75" customHeight="1" x14ac:dyDescent="0.15">
      <c r="A9" s="128" t="s">
        <v>25</v>
      </c>
      <c r="B9" s="128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</row>
  </sheetData>
  <mergeCells count="11">
    <mergeCell ref="V1:V2"/>
    <mergeCell ref="W1:W2"/>
    <mergeCell ref="X1:X2"/>
    <mergeCell ref="Y1:Y2"/>
    <mergeCell ref="A9:Q9"/>
    <mergeCell ref="A1:A2"/>
    <mergeCell ref="B1:B2"/>
    <mergeCell ref="D1:G1"/>
    <mergeCell ref="H1:K1"/>
    <mergeCell ref="L1:O1"/>
    <mergeCell ref="P1:S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Z10"/>
  <sheetViews>
    <sheetView workbookViewId="0">
      <selection activeCell="A10" sqref="A10:R10"/>
    </sheetView>
  </sheetViews>
  <sheetFormatPr defaultRowHeight="30.75" customHeight="1" x14ac:dyDescent="0.15"/>
  <cols>
    <col min="1" max="1" width="5.375" style="2" customWidth="1"/>
    <col min="2" max="2" width="6.125" style="2" customWidth="1"/>
    <col min="3" max="3" width="7.25" style="2" hidden="1" customWidth="1"/>
    <col min="4" max="4" width="11" style="2" customWidth="1"/>
    <col min="5" max="5" width="10" style="2" hidden="1" customWidth="1"/>
    <col min="6" max="6" width="8.5" style="2" customWidth="1"/>
    <col min="7" max="7" width="9" style="2" customWidth="1"/>
    <col min="8" max="8" width="6.625" style="2" customWidth="1"/>
    <col min="9" max="9" width="9.625" style="2" hidden="1" customWidth="1"/>
    <col min="10" max="10" width="8.875" style="2" customWidth="1"/>
    <col min="11" max="11" width="8.5" style="2" customWidth="1"/>
    <col min="12" max="12" width="6.875" style="2" customWidth="1"/>
    <col min="13" max="13" width="9.625" style="2" hidden="1" customWidth="1"/>
    <col min="14" max="14" width="8.25" style="2" customWidth="1"/>
    <col min="15" max="15" width="8.5" style="2" customWidth="1"/>
    <col min="16" max="16" width="7.125" style="2" customWidth="1"/>
    <col min="17" max="17" width="8.75" style="2" hidden="1" customWidth="1"/>
    <col min="18" max="18" width="8.625" style="2" customWidth="1"/>
    <col min="19" max="19" width="8.75" style="2" customWidth="1"/>
    <col min="20" max="20" width="7" style="2" customWidth="1"/>
    <col min="21" max="21" width="8.375" style="2" customWidth="1"/>
    <col min="22" max="22" width="9" style="2"/>
    <col min="23" max="23" width="0" style="2" hidden="1" customWidth="1"/>
    <col min="24" max="24" width="8.875" style="2" customWidth="1"/>
    <col min="25" max="16384" width="9" style="2"/>
  </cols>
  <sheetData>
    <row r="1" spans="1:26" ht="87" customHeight="1" x14ac:dyDescent="0.15">
      <c r="A1" s="143" t="s">
        <v>13</v>
      </c>
      <c r="B1" s="143" t="s">
        <v>1</v>
      </c>
      <c r="C1" s="143" t="s">
        <v>232</v>
      </c>
      <c r="D1" s="9" t="s">
        <v>18</v>
      </c>
      <c r="E1" s="145" t="s">
        <v>7</v>
      </c>
      <c r="F1" s="146"/>
      <c r="G1" s="146"/>
      <c r="H1" s="147"/>
      <c r="I1" s="145" t="s">
        <v>8</v>
      </c>
      <c r="J1" s="146"/>
      <c r="K1" s="146"/>
      <c r="L1" s="147"/>
      <c r="M1" s="145" t="s">
        <v>9</v>
      </c>
      <c r="N1" s="146"/>
      <c r="O1" s="146"/>
      <c r="P1" s="147"/>
      <c r="Q1" s="145" t="s">
        <v>10</v>
      </c>
      <c r="R1" s="146"/>
      <c r="S1" s="146"/>
      <c r="T1" s="147"/>
      <c r="U1" s="32" t="s">
        <v>23</v>
      </c>
      <c r="V1" s="9" t="s">
        <v>24</v>
      </c>
      <c r="W1" s="137" t="s">
        <v>11</v>
      </c>
      <c r="X1" s="139" t="s">
        <v>84</v>
      </c>
      <c r="Y1" s="139" t="s">
        <v>89</v>
      </c>
      <c r="Z1" s="141" t="s">
        <v>12</v>
      </c>
    </row>
    <row r="2" spans="1:26" ht="36.75" customHeight="1" x14ac:dyDescent="0.15">
      <c r="A2" s="144"/>
      <c r="B2" s="144"/>
      <c r="C2" s="144"/>
      <c r="D2" s="10" t="s">
        <v>20</v>
      </c>
      <c r="E2" s="10" t="s">
        <v>94</v>
      </c>
      <c r="F2" s="10" t="s">
        <v>95</v>
      </c>
      <c r="G2" s="9" t="s">
        <v>19</v>
      </c>
      <c r="H2" s="10" t="s">
        <v>20</v>
      </c>
      <c r="I2" s="10" t="s">
        <v>94</v>
      </c>
      <c r="J2" s="10" t="s">
        <v>95</v>
      </c>
      <c r="K2" s="9" t="s">
        <v>19</v>
      </c>
      <c r="L2" s="10" t="s">
        <v>20</v>
      </c>
      <c r="M2" s="10" t="s">
        <v>94</v>
      </c>
      <c r="N2" s="10" t="s">
        <v>95</v>
      </c>
      <c r="O2" s="9" t="s">
        <v>19</v>
      </c>
      <c r="P2" s="10" t="s">
        <v>20</v>
      </c>
      <c r="Q2" s="10" t="s">
        <v>94</v>
      </c>
      <c r="R2" s="10" t="s">
        <v>95</v>
      </c>
      <c r="S2" s="9" t="s">
        <v>19</v>
      </c>
      <c r="T2" s="10" t="s">
        <v>20</v>
      </c>
      <c r="U2" s="10" t="s">
        <v>20</v>
      </c>
      <c r="V2" s="10" t="s">
        <v>20</v>
      </c>
      <c r="W2" s="138"/>
      <c r="X2" s="140"/>
      <c r="Y2" s="140"/>
      <c r="Z2" s="140"/>
    </row>
    <row r="3" spans="1:26" ht="30.75" customHeight="1" x14ac:dyDescent="0.15">
      <c r="A3" s="7" t="s">
        <v>101</v>
      </c>
      <c r="B3" s="8" t="s">
        <v>102</v>
      </c>
      <c r="C3" s="72" t="s">
        <v>208</v>
      </c>
      <c r="D3" s="13"/>
      <c r="E3" s="1">
        <v>2428569</v>
      </c>
      <c r="F3" s="80">
        <f>VLOOKUP(C$3:C$7,[1]三级宽末13月!$E$8:$J$13,6,0)</f>
        <v>0.90759999999999996</v>
      </c>
      <c r="G3" s="53">
        <f>(93%-F3)*E3</f>
        <v>54399.94560000021</v>
      </c>
      <c r="H3" s="52" t="str">
        <f>IF(F3&gt;=93%,"1","0")</f>
        <v>0</v>
      </c>
      <c r="I3" s="52">
        <v>1447141</v>
      </c>
      <c r="J3" s="82">
        <f>VLOOKUP(C$3:C$7,[1]三级宽末25月!$E$8:$J$13,6,0)</f>
        <v>0.94879999999999998</v>
      </c>
      <c r="K3" s="53">
        <f>(97%-J3)*I3</f>
        <v>30679.389199999994</v>
      </c>
      <c r="L3" s="52" t="str">
        <f>IF(J3&gt;=97%,"1","0")</f>
        <v>0</v>
      </c>
      <c r="M3" s="52">
        <v>1587000</v>
      </c>
      <c r="N3" s="80">
        <f>VLOOKUP(C$3:C$7,[1]三级宽末13月!$E$20:$J$25,6,0)</f>
        <v>0.93700000000000006</v>
      </c>
      <c r="O3" s="74">
        <f>(98.5%-N3)*M3</f>
        <v>76175.999999999898</v>
      </c>
      <c r="P3" s="75" t="str">
        <f>IF(N3&gt;=98.5%,"1","0")</f>
        <v>0</v>
      </c>
      <c r="Q3" s="52">
        <v>910000</v>
      </c>
      <c r="R3" s="80">
        <f>VLOOKUP(C$3:C$7,[1]三级宽末25月!$E$15:$J$25,6,0)</f>
        <v>1</v>
      </c>
      <c r="S3" s="54"/>
      <c r="T3" s="52">
        <v>1.5</v>
      </c>
      <c r="U3" s="52">
        <v>1.5</v>
      </c>
      <c r="V3" s="52" t="str">
        <f>IF(AND(F3&gt;=91%,J3&gt;=94%,N3&gt;=94%,R3&gt;=94%),"2","0")</f>
        <v>0</v>
      </c>
      <c r="W3" s="52"/>
      <c r="X3" s="52"/>
      <c r="Y3" s="52" t="str">
        <f>守门员守球!$V$5</f>
        <v>-1</v>
      </c>
      <c r="Z3" s="52">
        <f>D3+H3+L3+P3+T3+U3+V3+W3+X3+Y3</f>
        <v>2</v>
      </c>
    </row>
    <row r="4" spans="1:26" ht="30.75" customHeight="1" x14ac:dyDescent="0.15">
      <c r="A4" s="7" t="s">
        <v>16</v>
      </c>
      <c r="B4" s="8" t="s">
        <v>98</v>
      </c>
      <c r="C4" s="72" t="s">
        <v>210</v>
      </c>
      <c r="D4" s="13"/>
      <c r="E4" s="1">
        <v>1768228</v>
      </c>
      <c r="F4" s="80">
        <f>VLOOKUP(C$3:C$7,[1]三级宽末13月!$E$8:$J$13,6,0)</f>
        <v>0.92259999999999998</v>
      </c>
      <c r="G4" s="53">
        <f>(93%-F4)*E4</f>
        <v>13084.88720000013</v>
      </c>
      <c r="H4" s="52" t="str">
        <f>IF(F4&gt;=93%,"1","0")</f>
        <v>0</v>
      </c>
      <c r="I4" s="52">
        <v>1086345</v>
      </c>
      <c r="J4" s="82">
        <f>VLOOKUP(C$3:C$7,[1]三级宽末25月!$E$8:$J$13,6,0)</f>
        <v>0.96960000000000002</v>
      </c>
      <c r="K4" s="53">
        <f>(97%-J4)*I4</f>
        <v>434.53799999995215</v>
      </c>
      <c r="L4" s="52" t="str">
        <f>IF(J4&gt;=97%,"1","0")</f>
        <v>0</v>
      </c>
      <c r="M4" s="52">
        <v>1120000</v>
      </c>
      <c r="N4" s="80">
        <f>VLOOKUP(C$3:C$7,[1]三级宽末13月!$E$20:$J$25,6,0)</f>
        <v>0.96430000000000005</v>
      </c>
      <c r="O4" s="53">
        <f t="shared" ref="O4:O5" si="0">(98.5%-N4)*M4</f>
        <v>23183.999999999935</v>
      </c>
      <c r="P4" s="52" t="str">
        <f>IF(N4&gt;=98.5%,"1","0")</f>
        <v>0</v>
      </c>
      <c r="Q4" s="52">
        <v>131000</v>
      </c>
      <c r="R4" s="80">
        <f>VLOOKUP(C$3:C$7,[1]三级宽末25月!$E$15:$J$25,6,0)</f>
        <v>1</v>
      </c>
      <c r="S4" s="54"/>
      <c r="T4" s="52">
        <v>1.5</v>
      </c>
      <c r="U4" s="52">
        <v>1.5</v>
      </c>
      <c r="V4" s="52">
        <v>1.5</v>
      </c>
      <c r="W4" s="52"/>
      <c r="X4" s="52"/>
      <c r="Y4" s="52" t="str">
        <f>守门员守球!$V$5</f>
        <v>-1</v>
      </c>
      <c r="Z4" s="52">
        <f>D4+H4+L4+P4+T4+U4+V4+W4+X4+Y4</f>
        <v>3.5</v>
      </c>
    </row>
    <row r="5" spans="1:26" ht="30.75" customHeight="1" x14ac:dyDescent="0.15">
      <c r="A5" s="7" t="s">
        <v>99</v>
      </c>
      <c r="B5" s="8" t="s">
        <v>100</v>
      </c>
      <c r="C5" s="72" t="s">
        <v>206</v>
      </c>
      <c r="D5" s="13"/>
      <c r="E5" s="1">
        <v>1244271</v>
      </c>
      <c r="F5" s="80">
        <f>VLOOKUP(C$3:C$7,[1]三级宽末13月!$E$8:$J$13,6,0)</f>
        <v>0.88880000000000003</v>
      </c>
      <c r="G5" s="53">
        <f>(93%-F5)*E5</f>
        <v>51263.965200000021</v>
      </c>
      <c r="H5" s="52" t="str">
        <f>IF(F5&gt;=93%,"1","0")</f>
        <v>0</v>
      </c>
      <c r="I5" s="52">
        <v>668554</v>
      </c>
      <c r="J5" s="82">
        <f>VLOOKUP(C$3:C$7,[1]三级宽末25月!$E$8:$J$13,6,0)</f>
        <v>0.91749999999999998</v>
      </c>
      <c r="K5" s="53">
        <f>(97%-J5)*I5</f>
        <v>35099.084999999992</v>
      </c>
      <c r="L5" s="52" t="str">
        <f>IF(J5&gt;=97%,"1","0")</f>
        <v>0</v>
      </c>
      <c r="M5" s="52">
        <v>1314000</v>
      </c>
      <c r="N5" s="80">
        <f>VLOOKUP(C$3:C$7,[1]三级宽末13月!$E$20:$J$25,6,0)</f>
        <v>0.98480000000000001</v>
      </c>
      <c r="O5" s="53">
        <f t="shared" si="0"/>
        <v>262.79999999997108</v>
      </c>
      <c r="P5" s="52" t="str">
        <f>IF(N5&gt;=98.5%,"1","0")</f>
        <v>0</v>
      </c>
      <c r="Q5" s="52">
        <v>218000</v>
      </c>
      <c r="R5" s="80">
        <f>VLOOKUP(C$3:C$7,[1]三级宽末25月!$E$15:$J$25,6,0)</f>
        <v>1</v>
      </c>
      <c r="S5" s="54"/>
      <c r="T5" s="52">
        <v>1.5</v>
      </c>
      <c r="U5" s="52" t="str">
        <f>IF(AND(F5&gt;=85%,J5&gt;=93%,N5&gt;=91%,R5&gt;=93%),"1","0")</f>
        <v>0</v>
      </c>
      <c r="V5" s="52" t="str">
        <f>IF(AND(F5&gt;=91%,J5&gt;=94%,N5&gt;=94%,R5&gt;=94%),"1","0")</f>
        <v>0</v>
      </c>
      <c r="W5" s="52"/>
      <c r="X5" s="52"/>
      <c r="Y5" s="52" t="str">
        <f>守门员守球!$V$5</f>
        <v>-1</v>
      </c>
      <c r="Z5" s="52">
        <f>D5+H5+L5+P5+T5+U5+V5+W5+X5+Y5</f>
        <v>0.5</v>
      </c>
    </row>
    <row r="6" spans="1:26" ht="30.75" customHeight="1" x14ac:dyDescent="0.15">
      <c r="A6" s="7" t="s">
        <v>17</v>
      </c>
      <c r="B6" s="8" t="s">
        <v>97</v>
      </c>
      <c r="C6" s="72" t="s">
        <v>214</v>
      </c>
      <c r="D6" s="13"/>
      <c r="E6" s="1">
        <v>1077517</v>
      </c>
      <c r="F6" s="80">
        <f>VLOOKUP(C$3:C$7,[1]三级宽末13月!$E$8:$J$13,6,0)</f>
        <v>0.85580000000000001</v>
      </c>
      <c r="G6" s="53">
        <f>(93%-F6)*E6</f>
        <v>79951.761400000047</v>
      </c>
      <c r="H6" s="52" t="str">
        <f>IF(F6&gt;=93%,"1","0")</f>
        <v>0</v>
      </c>
      <c r="I6" s="52">
        <v>548972</v>
      </c>
      <c r="J6" s="82">
        <f>VLOOKUP(C$3:C$7,[1]三级宽末25月!$E$8:$J$13,6,0)</f>
        <v>0.85440000000000005</v>
      </c>
      <c r="K6" s="53">
        <f>(97%-J6)*I6</f>
        <v>63461.163199999959</v>
      </c>
      <c r="L6" s="52" t="str">
        <f>IF(J6&gt;=97%,"1","0")</f>
        <v>0</v>
      </c>
      <c r="M6" s="52">
        <v>923000</v>
      </c>
      <c r="N6" s="80">
        <f>VLOOKUP(C$3:C$7,[1]三级宽末13月!$E$20:$J$25,6,0)</f>
        <v>0.96530000000000005</v>
      </c>
      <c r="O6" s="53">
        <f>(98.5%-N6)*M6</f>
        <v>18183.099999999944</v>
      </c>
      <c r="P6" s="52" t="str">
        <f>IF(N6&gt;=98.5%,"1","0")</f>
        <v>0</v>
      </c>
      <c r="Q6" s="52">
        <v>889000</v>
      </c>
      <c r="R6" s="80">
        <f>VLOOKUP(C$3:C$7,[1]三级宽末25月!$E$15:$J$25,6,0)</f>
        <v>0.96630000000000005</v>
      </c>
      <c r="S6" s="54">
        <f t="shared" ref="S6" si="1">(99.5%-R6)*Q6</f>
        <v>25514.299999999952</v>
      </c>
      <c r="T6" s="52" t="str">
        <f t="shared" ref="T6" si="2">IF(R6&gt;=99.5%,"1","0")</f>
        <v>0</v>
      </c>
      <c r="U6" s="52" t="str">
        <f>IF(AND(F6&gt;=85%,J6&gt;=93%,N6&gt;=91%,R6&gt;=93%),"1","0")</f>
        <v>0</v>
      </c>
      <c r="V6" s="52" t="str">
        <f>IF(AND(F6&gt;=91%,J6&gt;=94%,N6&gt;=94%,R6&gt;=94%),"1","0")</f>
        <v>0</v>
      </c>
      <c r="W6" s="52"/>
      <c r="X6" s="52"/>
      <c r="Y6" s="52" t="str">
        <f>守门员守球!$V$5</f>
        <v>-1</v>
      </c>
      <c r="Z6" s="52">
        <f>D6+H6+L6+P6+T6+U6+V6+W6+X6+Y6</f>
        <v>-1</v>
      </c>
    </row>
    <row r="7" spans="1:26" ht="30.75" customHeight="1" x14ac:dyDescent="0.15">
      <c r="A7" s="7" t="s">
        <v>17</v>
      </c>
      <c r="B7" s="8" t="s">
        <v>96</v>
      </c>
      <c r="C7" s="72" t="s">
        <v>212</v>
      </c>
      <c r="D7" s="13"/>
      <c r="E7" s="1">
        <v>523636</v>
      </c>
      <c r="F7" s="80">
        <f>VLOOKUP(C$3:C$7,[1]三级宽末13月!$E$8:$J$13,6,0)</f>
        <v>0.82350000000000001</v>
      </c>
      <c r="G7" s="53">
        <f t="shared" ref="G7" si="3">(93%-F7)*E7</f>
        <v>55767.234000000019</v>
      </c>
      <c r="H7" s="52" t="str">
        <f t="shared" ref="H7" si="4">IF(F7&gt;=93%,"1","0")</f>
        <v>0</v>
      </c>
      <c r="I7" s="52">
        <v>834607</v>
      </c>
      <c r="J7" s="82">
        <f>VLOOKUP(C$3:C$7,[1]三级宽末25月!$E$8:$J$13,6,0)</f>
        <v>0.88829999999999998</v>
      </c>
      <c r="K7" s="53">
        <f t="shared" ref="K7" si="5">(97%-J7)*I7</f>
        <v>68187.391900000002</v>
      </c>
      <c r="L7" s="52" t="str">
        <f t="shared" ref="L7" si="6">IF(J7&gt;=97%,"1","0")</f>
        <v>0</v>
      </c>
      <c r="M7" s="52">
        <v>3215000</v>
      </c>
      <c r="N7" s="80">
        <f>VLOOKUP(C$3:C$7,[1]三级宽末13月!$E$20:$J$25,6,0)</f>
        <v>0.9798</v>
      </c>
      <c r="O7" s="53">
        <f>(98.5%-N7)*M7</f>
        <v>16717.999999999942</v>
      </c>
      <c r="P7" s="52" t="str">
        <f t="shared" ref="P7" si="7">IF(N7&gt;=98.5%,"1","0")</f>
        <v>0</v>
      </c>
      <c r="Q7" s="52">
        <v>410000</v>
      </c>
      <c r="R7" s="80">
        <f>VLOOKUP(C$3:C$7,[1]三级宽末25月!$E$15:$J$25,6,0)</f>
        <v>1</v>
      </c>
      <c r="S7" s="54"/>
      <c r="T7" s="52">
        <v>1.5</v>
      </c>
      <c r="U7" s="52" t="str">
        <f t="shared" ref="U7" si="8">IF(AND(F7&gt;=85%,J7&gt;=93%,N7&gt;=91%,R7&gt;=93%),"1","0")</f>
        <v>0</v>
      </c>
      <c r="V7" s="52" t="str">
        <f t="shared" ref="V7" si="9">IF(AND(F7&gt;=91%,J7&gt;=94%,N7&gt;=94%,R7&gt;=94%),"1","0")</f>
        <v>0</v>
      </c>
      <c r="W7" s="52"/>
      <c r="X7" s="52"/>
      <c r="Y7" s="52" t="str">
        <f>守门员守球!$V$5</f>
        <v>-1</v>
      </c>
      <c r="Z7" s="52">
        <f t="shared" ref="Z7" si="10">D7+H7+L7+P7+T7+U7+V7+W7+X7+Y7</f>
        <v>0.5</v>
      </c>
    </row>
    <row r="8" spans="1:26" ht="10.5" customHeight="1" x14ac:dyDescent="0.15"/>
    <row r="9" spans="1:26" ht="10.5" customHeight="1" x14ac:dyDescent="0.15"/>
    <row r="10" spans="1:26" ht="30.75" customHeight="1" x14ac:dyDescent="0.15">
      <c r="A10" s="142" t="s">
        <v>25</v>
      </c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</row>
  </sheetData>
  <mergeCells count="12">
    <mergeCell ref="W1:W2"/>
    <mergeCell ref="X1:X2"/>
    <mergeCell ref="Y1:Y2"/>
    <mergeCell ref="Z1:Z2"/>
    <mergeCell ref="A10:R10"/>
    <mergeCell ref="A1:A2"/>
    <mergeCell ref="B1:B2"/>
    <mergeCell ref="E1:H1"/>
    <mergeCell ref="I1:L1"/>
    <mergeCell ref="M1:P1"/>
    <mergeCell ref="Q1:T1"/>
    <mergeCell ref="C1:C2"/>
  </mergeCells>
  <phoneticPr fontId="1" type="noConversion"/>
  <pageMargins left="0.7" right="0.7" top="0.75" bottom="0.75" header="0.3" footer="0.3"/>
  <pageSetup paperSize="9" orientation="portrait" r:id="rId1"/>
  <drawing r:id="rId2"/>
  <picture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Y9"/>
  <sheetViews>
    <sheetView workbookViewId="0">
      <selection sqref="A1:A2"/>
    </sheetView>
  </sheetViews>
  <sheetFormatPr defaultRowHeight="30.75" customHeight="1" x14ac:dyDescent="0.15"/>
  <cols>
    <col min="1" max="1" width="7.125" style="2" customWidth="1"/>
    <col min="2" max="2" width="6.5" style="2" customWidth="1"/>
    <col min="3" max="3" width="15.875" style="2" customWidth="1"/>
    <col min="4" max="4" width="10" style="2" customWidth="1"/>
    <col min="5" max="5" width="9.375" style="2" customWidth="1"/>
    <col min="6" max="6" width="9.25" style="2" customWidth="1"/>
    <col min="7" max="7" width="7.875" style="2" customWidth="1"/>
    <col min="8" max="8" width="9.625" style="2" customWidth="1"/>
    <col min="9" max="9" width="8.875" style="2" customWidth="1"/>
    <col min="10" max="11" width="9.625" style="2" customWidth="1"/>
    <col min="12" max="12" width="13.75" style="2" customWidth="1"/>
    <col min="13" max="13" width="15.375" style="2" customWidth="1"/>
    <col min="14" max="14" width="10.375" style="2" hidden="1" customWidth="1"/>
    <col min="15" max="15" width="10.375" style="2" customWidth="1"/>
    <col min="16" max="16" width="9.25" style="2" customWidth="1"/>
    <col min="17" max="17" width="8.625" style="2" customWidth="1"/>
    <col min="18" max="21" width="9" style="2"/>
    <col min="22" max="22" width="0" style="2" hidden="1" customWidth="1"/>
    <col min="23" max="16384" width="9" style="2"/>
  </cols>
  <sheetData>
    <row r="1" spans="1:25" ht="56.25" customHeight="1" x14ac:dyDescent="0.15">
      <c r="A1" s="143" t="s">
        <v>13</v>
      </c>
      <c r="B1" s="143" t="s">
        <v>1</v>
      </c>
      <c r="C1" s="9" t="s">
        <v>18</v>
      </c>
      <c r="D1" s="145" t="s">
        <v>7</v>
      </c>
      <c r="E1" s="146"/>
      <c r="F1" s="146"/>
      <c r="G1" s="147"/>
      <c r="H1" s="145" t="s">
        <v>8</v>
      </c>
      <c r="I1" s="146"/>
      <c r="J1" s="146"/>
      <c r="K1" s="147"/>
      <c r="L1" s="145" t="s">
        <v>9</v>
      </c>
      <c r="M1" s="146"/>
      <c r="N1" s="146"/>
      <c r="O1" s="147"/>
      <c r="P1" s="145" t="s">
        <v>10</v>
      </c>
      <c r="Q1" s="146"/>
      <c r="R1" s="146"/>
      <c r="S1" s="147"/>
      <c r="T1" s="32" t="s">
        <v>23</v>
      </c>
      <c r="U1" s="9" t="s">
        <v>24</v>
      </c>
      <c r="V1" s="137" t="s">
        <v>11</v>
      </c>
      <c r="W1" s="139" t="s">
        <v>84</v>
      </c>
      <c r="X1" s="139" t="s">
        <v>89</v>
      </c>
      <c r="Y1" s="141" t="s">
        <v>21</v>
      </c>
    </row>
    <row r="2" spans="1:25" ht="25.5" customHeight="1" x14ac:dyDescent="0.15">
      <c r="A2" s="144"/>
      <c r="B2" s="144"/>
      <c r="C2" s="10" t="s">
        <v>20</v>
      </c>
      <c r="D2" s="10" t="s">
        <v>94</v>
      </c>
      <c r="E2" s="10" t="s">
        <v>95</v>
      </c>
      <c r="F2" s="9" t="s">
        <v>19</v>
      </c>
      <c r="G2" s="10" t="s">
        <v>20</v>
      </c>
      <c r="H2" s="10" t="s">
        <v>94</v>
      </c>
      <c r="I2" s="10" t="s">
        <v>95</v>
      </c>
      <c r="J2" s="9" t="s">
        <v>19</v>
      </c>
      <c r="K2" s="10" t="s">
        <v>20</v>
      </c>
      <c r="L2" s="10" t="s">
        <v>94</v>
      </c>
      <c r="M2" s="10" t="s">
        <v>95</v>
      </c>
      <c r="N2" s="9" t="s">
        <v>19</v>
      </c>
      <c r="O2" s="10" t="s">
        <v>20</v>
      </c>
      <c r="P2" s="10" t="s">
        <v>94</v>
      </c>
      <c r="Q2" s="10" t="s">
        <v>95</v>
      </c>
      <c r="R2" s="9" t="s">
        <v>19</v>
      </c>
      <c r="S2" s="10" t="s">
        <v>20</v>
      </c>
      <c r="T2" s="10" t="s">
        <v>20</v>
      </c>
      <c r="U2" s="10" t="s">
        <v>20</v>
      </c>
      <c r="V2" s="138"/>
      <c r="W2" s="140"/>
      <c r="X2" s="140"/>
      <c r="Y2" s="140"/>
    </row>
    <row r="3" spans="1:25" ht="30.75" customHeight="1" x14ac:dyDescent="0.15">
      <c r="A3" s="7" t="s">
        <v>15</v>
      </c>
      <c r="B3" s="8" t="s">
        <v>31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4"/>
      <c r="O3" s="4"/>
      <c r="P3" s="4"/>
      <c r="Q3" s="1"/>
      <c r="R3" s="1"/>
      <c r="S3" s="1"/>
      <c r="T3" s="1"/>
      <c r="U3" s="1"/>
      <c r="V3" s="1"/>
      <c r="W3" s="1"/>
      <c r="X3" s="1"/>
      <c r="Y3" s="1"/>
    </row>
    <row r="4" spans="1:25" ht="30.75" customHeight="1" x14ac:dyDescent="0.15">
      <c r="A4" s="7" t="s">
        <v>16</v>
      </c>
      <c r="B4" s="8" t="s">
        <v>32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4"/>
      <c r="O4" s="4"/>
      <c r="P4" s="4"/>
      <c r="Q4" s="1"/>
      <c r="R4" s="1"/>
      <c r="S4" s="1"/>
      <c r="T4" s="1"/>
      <c r="U4" s="1"/>
      <c r="V4" s="1"/>
      <c r="W4" s="1"/>
      <c r="X4" s="1"/>
      <c r="Y4" s="1"/>
    </row>
    <row r="5" spans="1:25" ht="30.75" customHeight="1" x14ac:dyDescent="0.15">
      <c r="A5" s="7" t="s">
        <v>16</v>
      </c>
      <c r="B5" s="8" t="s">
        <v>33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4"/>
      <c r="O5" s="4"/>
      <c r="P5" s="4"/>
      <c r="Q5" s="1"/>
      <c r="R5" s="1"/>
      <c r="S5" s="1"/>
      <c r="T5" s="1"/>
      <c r="U5" s="1"/>
      <c r="V5" s="1"/>
      <c r="W5" s="1"/>
      <c r="X5" s="1"/>
      <c r="Y5" s="1"/>
    </row>
    <row r="6" spans="1:25" ht="30.75" customHeight="1" x14ac:dyDescent="0.15">
      <c r="A6" s="7" t="s">
        <v>17</v>
      </c>
      <c r="B6" s="8" t="s">
        <v>34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4"/>
      <c r="O6" s="4"/>
      <c r="P6" s="4"/>
      <c r="Q6" s="1"/>
      <c r="R6" s="1"/>
      <c r="S6" s="1"/>
      <c r="T6" s="1"/>
      <c r="U6" s="1"/>
      <c r="V6" s="1"/>
      <c r="W6" s="1"/>
      <c r="X6" s="1"/>
      <c r="Y6" s="1"/>
    </row>
    <row r="7" spans="1:25" ht="30.75" customHeight="1" x14ac:dyDescent="0.15">
      <c r="A7" s="7" t="s">
        <v>17</v>
      </c>
      <c r="B7" s="8" t="s">
        <v>35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4"/>
      <c r="O7" s="4"/>
      <c r="P7" s="4"/>
      <c r="Q7" s="1"/>
      <c r="R7" s="1"/>
      <c r="S7" s="1"/>
      <c r="T7" s="1"/>
      <c r="U7" s="1"/>
      <c r="V7" s="1"/>
      <c r="W7" s="1"/>
      <c r="X7" s="1"/>
      <c r="Y7" s="1"/>
    </row>
    <row r="8" spans="1:25" ht="18" customHeight="1" x14ac:dyDescent="0.15"/>
    <row r="9" spans="1:25" ht="30.75" customHeight="1" x14ac:dyDescent="0.15">
      <c r="A9" s="142" t="s">
        <v>25</v>
      </c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</row>
  </sheetData>
  <mergeCells count="11">
    <mergeCell ref="V1:V2"/>
    <mergeCell ref="W1:W2"/>
    <mergeCell ref="X1:X2"/>
    <mergeCell ref="Y1:Y2"/>
    <mergeCell ref="A9:Q9"/>
    <mergeCell ref="A1:A2"/>
    <mergeCell ref="B1:B2"/>
    <mergeCell ref="D1:G1"/>
    <mergeCell ref="H1:K1"/>
    <mergeCell ref="L1:O1"/>
    <mergeCell ref="P1:S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Y9"/>
  <sheetViews>
    <sheetView workbookViewId="0">
      <selection activeCell="T17" sqref="T17"/>
    </sheetView>
  </sheetViews>
  <sheetFormatPr defaultRowHeight="30.75" customHeight="1" x14ac:dyDescent="0.15"/>
  <cols>
    <col min="1" max="1" width="7.125" style="2" customWidth="1"/>
    <col min="2" max="2" width="6.5" style="2" customWidth="1"/>
    <col min="3" max="3" width="15.875" style="2" customWidth="1"/>
    <col min="4" max="5" width="9.125" style="2" customWidth="1"/>
    <col min="6" max="6" width="8.625" style="2" customWidth="1"/>
    <col min="7" max="7" width="7.125" style="2" customWidth="1"/>
    <col min="8" max="8" width="9.125" style="2" customWidth="1"/>
    <col min="9" max="9" width="8.25" style="2" customWidth="1"/>
    <col min="10" max="10" width="9" style="2" customWidth="1"/>
    <col min="11" max="11" width="9.125" style="2" customWidth="1"/>
    <col min="12" max="12" width="13" style="2" customWidth="1"/>
    <col min="13" max="13" width="13.25" style="2" customWidth="1"/>
    <col min="14" max="14" width="10.375" style="2" customWidth="1"/>
    <col min="15" max="16" width="9.125" style="2" customWidth="1"/>
    <col min="17" max="17" width="8.625" style="2" customWidth="1"/>
    <col min="18" max="16384" width="9" style="2"/>
  </cols>
  <sheetData>
    <row r="1" spans="1:25" ht="56.25" customHeight="1" x14ac:dyDescent="0.15">
      <c r="A1" s="143" t="s">
        <v>13</v>
      </c>
      <c r="B1" s="143" t="s">
        <v>1</v>
      </c>
      <c r="C1" s="9" t="s">
        <v>18</v>
      </c>
      <c r="D1" s="145" t="s">
        <v>7</v>
      </c>
      <c r="E1" s="146"/>
      <c r="F1" s="146"/>
      <c r="G1" s="147"/>
      <c r="H1" s="145" t="s">
        <v>8</v>
      </c>
      <c r="I1" s="146"/>
      <c r="J1" s="146"/>
      <c r="K1" s="147"/>
      <c r="L1" s="145" t="s">
        <v>9</v>
      </c>
      <c r="M1" s="146"/>
      <c r="N1" s="146"/>
      <c r="O1" s="147"/>
      <c r="P1" s="145" t="s">
        <v>10</v>
      </c>
      <c r="Q1" s="146"/>
      <c r="R1" s="146"/>
      <c r="S1" s="147"/>
      <c r="T1" s="32" t="s">
        <v>23</v>
      </c>
      <c r="U1" s="9" t="s">
        <v>24</v>
      </c>
      <c r="V1" s="137" t="s">
        <v>11</v>
      </c>
      <c r="W1" s="139" t="s">
        <v>84</v>
      </c>
      <c r="X1" s="139" t="s">
        <v>89</v>
      </c>
      <c r="Y1" s="141" t="s">
        <v>22</v>
      </c>
    </row>
    <row r="2" spans="1:25" ht="25.5" customHeight="1" x14ac:dyDescent="0.15">
      <c r="A2" s="144"/>
      <c r="B2" s="144"/>
      <c r="C2" s="10" t="s">
        <v>20</v>
      </c>
      <c r="D2" s="10" t="s">
        <v>94</v>
      </c>
      <c r="E2" s="10" t="s">
        <v>95</v>
      </c>
      <c r="F2" s="9" t="s">
        <v>19</v>
      </c>
      <c r="G2" s="10" t="s">
        <v>20</v>
      </c>
      <c r="H2" s="10" t="s">
        <v>94</v>
      </c>
      <c r="I2" s="10" t="s">
        <v>95</v>
      </c>
      <c r="J2" s="9" t="s">
        <v>19</v>
      </c>
      <c r="K2" s="10" t="s">
        <v>20</v>
      </c>
      <c r="L2" s="10" t="s">
        <v>94</v>
      </c>
      <c r="M2" s="10" t="s">
        <v>95</v>
      </c>
      <c r="N2" s="9" t="s">
        <v>19</v>
      </c>
      <c r="O2" s="10" t="s">
        <v>20</v>
      </c>
      <c r="P2" s="10" t="s">
        <v>94</v>
      </c>
      <c r="Q2" s="10" t="s">
        <v>95</v>
      </c>
      <c r="R2" s="9" t="s">
        <v>19</v>
      </c>
      <c r="S2" s="10" t="s">
        <v>20</v>
      </c>
      <c r="T2" s="10" t="s">
        <v>20</v>
      </c>
      <c r="U2" s="10" t="s">
        <v>20</v>
      </c>
      <c r="V2" s="138"/>
      <c r="W2" s="140"/>
      <c r="X2" s="140"/>
      <c r="Y2" s="140"/>
    </row>
    <row r="3" spans="1:25" ht="30.75" customHeight="1" x14ac:dyDescent="0.15">
      <c r="A3" s="7" t="s">
        <v>15</v>
      </c>
      <c r="B3" s="8" t="s">
        <v>31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4"/>
      <c r="O3" s="4"/>
      <c r="P3" s="4"/>
      <c r="Q3" s="1"/>
      <c r="R3" s="1"/>
      <c r="S3" s="1"/>
      <c r="T3" s="1"/>
      <c r="U3" s="1"/>
      <c r="V3" s="1"/>
      <c r="W3" s="1"/>
      <c r="X3" s="1"/>
      <c r="Y3" s="1"/>
    </row>
    <row r="4" spans="1:25" ht="30.75" customHeight="1" x14ac:dyDescent="0.15">
      <c r="A4" s="7" t="s">
        <v>16</v>
      </c>
      <c r="B4" s="8" t="s">
        <v>32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4"/>
      <c r="O4" s="4"/>
      <c r="P4" s="4"/>
      <c r="Q4" s="1"/>
      <c r="R4" s="1"/>
      <c r="S4" s="1"/>
      <c r="T4" s="1"/>
      <c r="U4" s="1"/>
      <c r="V4" s="1"/>
      <c r="W4" s="1"/>
      <c r="X4" s="1"/>
      <c r="Y4" s="1"/>
    </row>
    <row r="5" spans="1:25" ht="30.75" customHeight="1" x14ac:dyDescent="0.15">
      <c r="A5" s="7" t="s">
        <v>16</v>
      </c>
      <c r="B5" s="8" t="s">
        <v>33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4"/>
      <c r="O5" s="4"/>
      <c r="P5" s="4"/>
      <c r="Q5" s="1"/>
      <c r="R5" s="1"/>
      <c r="S5" s="1"/>
      <c r="T5" s="1"/>
      <c r="U5" s="1"/>
      <c r="V5" s="1"/>
      <c r="W5" s="1"/>
      <c r="X5" s="1"/>
      <c r="Y5" s="1"/>
    </row>
    <row r="6" spans="1:25" ht="30.75" customHeight="1" x14ac:dyDescent="0.15">
      <c r="A6" s="7" t="s">
        <v>17</v>
      </c>
      <c r="B6" s="8" t="s">
        <v>34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4"/>
      <c r="O6" s="4"/>
      <c r="P6" s="4"/>
      <c r="Q6" s="1"/>
      <c r="R6" s="1"/>
      <c r="S6" s="1"/>
      <c r="T6" s="1"/>
      <c r="U6" s="1"/>
      <c r="V6" s="1"/>
      <c r="W6" s="1"/>
      <c r="X6" s="1"/>
      <c r="Y6" s="1"/>
    </row>
    <row r="7" spans="1:25" ht="30.75" customHeight="1" x14ac:dyDescent="0.15">
      <c r="A7" s="7" t="s">
        <v>17</v>
      </c>
      <c r="B7" s="8" t="s">
        <v>35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4"/>
      <c r="O7" s="4"/>
      <c r="P7" s="4"/>
      <c r="Q7" s="1"/>
      <c r="R7" s="1"/>
      <c r="S7" s="1"/>
      <c r="T7" s="1"/>
      <c r="U7" s="1"/>
      <c r="V7" s="1"/>
      <c r="W7" s="1"/>
      <c r="X7" s="1"/>
      <c r="Y7" s="1"/>
    </row>
    <row r="8" spans="1:25" ht="18" customHeight="1" x14ac:dyDescent="0.15"/>
    <row r="9" spans="1:25" ht="30.75" customHeight="1" x14ac:dyDescent="0.15">
      <c r="A9" s="142" t="s">
        <v>25</v>
      </c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</row>
  </sheetData>
  <mergeCells count="11">
    <mergeCell ref="V1:V2"/>
    <mergeCell ref="W1:W2"/>
    <mergeCell ref="X1:X2"/>
    <mergeCell ref="Y1:Y2"/>
    <mergeCell ref="A9:Q9"/>
    <mergeCell ref="A1:A2"/>
    <mergeCell ref="B1:B2"/>
    <mergeCell ref="D1:G1"/>
    <mergeCell ref="H1:K1"/>
    <mergeCell ref="L1:O1"/>
    <mergeCell ref="P1:S1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0"/>
  <sheetViews>
    <sheetView topLeftCell="K1" workbookViewId="0">
      <selection activeCell="V7" sqref="V7"/>
    </sheetView>
  </sheetViews>
  <sheetFormatPr defaultColWidth="9.5" defaultRowHeight="13.5" x14ac:dyDescent="0.15"/>
  <cols>
    <col min="1" max="1" width="7.875" style="16" customWidth="1"/>
    <col min="2" max="2" width="9.125" style="16" customWidth="1"/>
    <col min="3" max="3" width="7.75" style="16" customWidth="1"/>
    <col min="4" max="4" width="8.25" style="16" customWidth="1"/>
    <col min="5" max="5" width="7.25" style="16" customWidth="1"/>
    <col min="6" max="6" width="8.25" style="16" customWidth="1"/>
    <col min="7" max="7" width="8" style="16" customWidth="1"/>
    <col min="8" max="9" width="7.625" style="16" customWidth="1"/>
    <col min="10" max="10" width="8.375" style="16" customWidth="1"/>
    <col min="11" max="11" width="7.875" style="16" customWidth="1"/>
    <col min="12" max="12" width="9.25" style="16" customWidth="1"/>
    <col min="13" max="13" width="9" style="16" customWidth="1"/>
    <col min="14" max="14" width="7.375" style="16" customWidth="1"/>
    <col min="15" max="15" width="6.25" style="16" hidden="1" customWidth="1"/>
    <col min="16" max="16" width="6.125" style="16" customWidth="1"/>
    <col min="17" max="17" width="8.125" style="16" customWidth="1"/>
    <col min="18" max="18" width="7.875" style="16" customWidth="1"/>
    <col min="19" max="19" width="8" style="16" customWidth="1"/>
    <col min="20" max="20" width="7.625" style="16" customWidth="1"/>
    <col min="21" max="21" width="9.375" style="16" customWidth="1"/>
    <col min="22" max="22" width="7.5" style="16" customWidth="1"/>
    <col min="23" max="24" width="9.5" style="16"/>
    <col min="25" max="25" width="9.375" style="16" customWidth="1"/>
    <col min="26" max="26" width="6" style="16" customWidth="1"/>
    <col min="27" max="27" width="6.5" style="16" customWidth="1"/>
    <col min="28" max="28" width="8.625" style="16" customWidth="1"/>
    <col min="29" max="29" width="7.75" style="16" customWidth="1"/>
    <col min="30" max="30" width="9.5" style="16"/>
    <col min="31" max="31" width="8" style="16" customWidth="1"/>
    <col min="32" max="32" width="7.875" style="16" customWidth="1"/>
    <col min="33" max="38" width="9.5" style="16"/>
    <col min="39" max="39" width="7.75" style="16" customWidth="1"/>
    <col min="40" max="40" width="8.125" style="16" customWidth="1"/>
    <col min="41" max="41" width="9.5" style="16"/>
    <col min="42" max="42" width="8.25" style="16" customWidth="1"/>
    <col min="43" max="43" width="7.625" style="16" customWidth="1"/>
    <col min="44" max="49" width="9.5" style="16"/>
    <col min="50" max="50" width="2.375" style="16" customWidth="1"/>
    <col min="51" max="51" width="9.375" style="16" customWidth="1"/>
    <col min="52" max="16384" width="9.5" style="16"/>
  </cols>
  <sheetData>
    <row r="1" spans="1:52" ht="34.5" customHeight="1" x14ac:dyDescent="0.15">
      <c r="A1" s="151" t="s">
        <v>82</v>
      </c>
      <c r="B1" s="151"/>
      <c r="C1" s="151"/>
      <c r="D1" s="151"/>
      <c r="E1" s="151"/>
      <c r="F1" s="148" t="s">
        <v>83</v>
      </c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8"/>
      <c r="AN1" s="148"/>
      <c r="AO1" s="148"/>
      <c r="AP1" s="148"/>
      <c r="AQ1" s="148"/>
      <c r="AR1" s="148"/>
      <c r="AS1" s="148"/>
      <c r="AT1" s="148"/>
      <c r="AU1" s="148"/>
      <c r="AV1" s="148"/>
      <c r="AW1" s="148"/>
      <c r="AX1" s="148"/>
      <c r="AY1" s="148"/>
      <c r="AZ1" s="148"/>
    </row>
    <row r="2" spans="1:52" s="24" customFormat="1" ht="36" customHeight="1" x14ac:dyDescent="0.15">
      <c r="A2" s="17" t="s">
        <v>0</v>
      </c>
      <c r="B2" s="17" t="s">
        <v>58</v>
      </c>
      <c r="C2" s="17" t="s">
        <v>71</v>
      </c>
      <c r="D2" s="17" t="s">
        <v>103</v>
      </c>
      <c r="E2" s="18" t="s">
        <v>73</v>
      </c>
      <c r="F2" s="29" t="s">
        <v>90</v>
      </c>
      <c r="G2" s="10" t="s">
        <v>91</v>
      </c>
      <c r="H2" s="9" t="s">
        <v>59</v>
      </c>
      <c r="I2" s="10" t="s">
        <v>92</v>
      </c>
      <c r="J2" s="10" t="s">
        <v>93</v>
      </c>
      <c r="K2" s="9" t="s">
        <v>59</v>
      </c>
      <c r="L2" s="9" t="s">
        <v>60</v>
      </c>
      <c r="M2" s="9" t="s">
        <v>174</v>
      </c>
      <c r="N2" s="19" t="s">
        <v>62</v>
      </c>
      <c r="O2" s="25" t="s">
        <v>64</v>
      </c>
      <c r="P2" s="26" t="s">
        <v>63</v>
      </c>
      <c r="Q2" s="10" t="s">
        <v>65</v>
      </c>
      <c r="R2" s="10" t="s">
        <v>66</v>
      </c>
      <c r="S2" s="9" t="s">
        <v>59</v>
      </c>
      <c r="T2" s="10" t="s">
        <v>67</v>
      </c>
      <c r="U2" s="10" t="s">
        <v>68</v>
      </c>
      <c r="V2" s="9" t="s">
        <v>59</v>
      </c>
      <c r="W2" s="9" t="s">
        <v>60</v>
      </c>
      <c r="X2" s="9" t="s">
        <v>61</v>
      </c>
      <c r="Y2" s="19" t="s">
        <v>62</v>
      </c>
      <c r="Z2" s="25" t="s">
        <v>64</v>
      </c>
      <c r="AA2" s="26" t="s">
        <v>63</v>
      </c>
      <c r="AB2" s="10" t="s">
        <v>69</v>
      </c>
      <c r="AC2" s="10" t="s">
        <v>70</v>
      </c>
      <c r="AD2" s="19" t="s">
        <v>59</v>
      </c>
      <c r="AE2" s="27" t="s">
        <v>75</v>
      </c>
      <c r="AF2" s="27" t="s">
        <v>76</v>
      </c>
      <c r="AG2" s="19" t="s">
        <v>59</v>
      </c>
      <c r="AH2" s="19" t="s">
        <v>60</v>
      </c>
      <c r="AI2" s="19" t="s">
        <v>61</v>
      </c>
      <c r="AJ2" s="19" t="s">
        <v>62</v>
      </c>
      <c r="AK2" s="25" t="s">
        <v>64</v>
      </c>
      <c r="AL2" s="26" t="s">
        <v>63</v>
      </c>
      <c r="AM2" s="10" t="s">
        <v>77</v>
      </c>
      <c r="AN2" s="10" t="s">
        <v>78</v>
      </c>
      <c r="AO2" s="9" t="s">
        <v>59</v>
      </c>
      <c r="AP2" s="10" t="s">
        <v>79</v>
      </c>
      <c r="AQ2" s="10" t="s">
        <v>80</v>
      </c>
      <c r="AR2" s="9" t="s">
        <v>59</v>
      </c>
      <c r="AS2" s="9" t="s">
        <v>60</v>
      </c>
      <c r="AT2" s="9" t="s">
        <v>61</v>
      </c>
      <c r="AU2" s="9" t="s">
        <v>62</v>
      </c>
      <c r="AV2" s="28" t="s">
        <v>64</v>
      </c>
      <c r="AW2" s="3" t="s">
        <v>63</v>
      </c>
      <c r="AX2" s="149"/>
      <c r="AY2" s="44" t="s">
        <v>81</v>
      </c>
      <c r="AZ2" s="45" t="s">
        <v>74</v>
      </c>
    </row>
    <row r="3" spans="1:52" ht="18" customHeight="1" x14ac:dyDescent="0.15">
      <c r="A3" s="14" t="s">
        <v>2</v>
      </c>
      <c r="B3" s="14" t="s">
        <v>104</v>
      </c>
      <c r="C3" s="14">
        <v>8</v>
      </c>
      <c r="D3" s="14">
        <f>C3+P3</f>
        <v>8</v>
      </c>
      <c r="E3" s="14">
        <f>RANK(D3,D$3:D$60,0)</f>
        <v>33</v>
      </c>
      <c r="F3" s="14">
        <v>268622</v>
      </c>
      <c r="G3" s="14">
        <f>VLOOKUP(B$3:B$60,[2]Sheet1!$C$2:$L$60,10,0)</f>
        <v>224101</v>
      </c>
      <c r="H3" s="20">
        <f>G3/F3</f>
        <v>0.83426152735070103</v>
      </c>
      <c r="I3" s="14">
        <v>20567</v>
      </c>
      <c r="J3" s="14">
        <f>VLOOKUP(B$3:B$60,[2]Sheet1!$C$2:$Q$60,15,0)</f>
        <v>20567</v>
      </c>
      <c r="K3" s="20">
        <f>J3/I3</f>
        <v>1</v>
      </c>
      <c r="L3" s="21">
        <f>(G3+J3)/(F3+I3)</f>
        <v>0.84604877778892007</v>
      </c>
      <c r="M3" s="22">
        <f>(86%-L3)*(F3+I3)</f>
        <v>4034.53999999999</v>
      </c>
      <c r="N3" s="14" t="str">
        <f>IF(L3&gt;=86%,"是","否")</f>
        <v>否</v>
      </c>
      <c r="P3" s="14" t="str">
        <f>IF(N3="是","5","0")</f>
        <v>0</v>
      </c>
      <c r="Q3" s="87">
        <v>271149</v>
      </c>
      <c r="R3" s="86">
        <v>120697</v>
      </c>
      <c r="S3" s="20">
        <f>R3/Q3</f>
        <v>0.44513164348752898</v>
      </c>
      <c r="T3" s="87">
        <v>801794</v>
      </c>
      <c r="U3" s="86">
        <v>320000</v>
      </c>
      <c r="V3" s="20">
        <f>U3/T3</f>
        <v>0.39910500702175372</v>
      </c>
      <c r="W3" s="21">
        <f>(R3+U3)/(Q3+T3)</f>
        <v>0.41073663745417976</v>
      </c>
      <c r="X3" s="164">
        <f>(86%-W3)*(Q3+T3)</f>
        <v>482033.98</v>
      </c>
      <c r="Y3" s="70" t="str">
        <f>IF(W3&gt;=86%,"是","否")</f>
        <v>否</v>
      </c>
      <c r="Z3" s="14"/>
      <c r="AA3" s="70" t="str">
        <f>IF(Y3="是","5","0")</f>
        <v>0</v>
      </c>
      <c r="AB3" s="14"/>
      <c r="AC3" s="14"/>
      <c r="AD3" s="12"/>
      <c r="AE3" s="12"/>
      <c r="AF3" s="12"/>
      <c r="AG3" s="12"/>
      <c r="AH3" s="12"/>
      <c r="AI3" s="12"/>
      <c r="AJ3" s="12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149"/>
      <c r="AY3" s="23"/>
      <c r="AZ3" s="12"/>
    </row>
    <row r="4" spans="1:52" ht="18" customHeight="1" x14ac:dyDescent="0.15">
      <c r="A4" s="14" t="s">
        <v>105</v>
      </c>
      <c r="B4" s="14" t="s">
        <v>106</v>
      </c>
      <c r="C4" s="50">
        <v>8</v>
      </c>
      <c r="D4" s="52">
        <f t="shared" ref="D4:D60" si="0">C4+P4</f>
        <v>8</v>
      </c>
      <c r="E4" s="70">
        <f t="shared" ref="E4:E60" si="1">RANK(D4,D$3:D$60,0)</f>
        <v>33</v>
      </c>
      <c r="F4" s="14">
        <v>90839</v>
      </c>
      <c r="G4" s="66">
        <f>VLOOKUP(B$3:B$60,[2]Sheet1!$C$2:$L$60,10,0)</f>
        <v>66687</v>
      </c>
      <c r="H4" s="20">
        <f t="shared" ref="H4:H60" si="2">G4/F4</f>
        <v>0.73412300883981552</v>
      </c>
      <c r="I4" s="14">
        <v>25179</v>
      </c>
      <c r="J4" s="66">
        <f>VLOOKUP(B$3:B$60,[2]Sheet1!$C$2:$Q$60,15,0)</f>
        <v>12138</v>
      </c>
      <c r="K4" s="20">
        <f t="shared" ref="K4:K60" si="3">J4/I4</f>
        <v>0.48206839032527105</v>
      </c>
      <c r="L4" s="21">
        <f t="shared" ref="L4:L60" si="4">(G4+J4)/(F4+I4)</f>
        <v>0.67942043476012348</v>
      </c>
      <c r="M4" s="22">
        <f t="shared" ref="M4:M60" si="5">(86%-L4)*(F4+I4)</f>
        <v>20950.479999999992</v>
      </c>
      <c r="N4" s="30" t="str">
        <f t="shared" ref="N4:N60" si="6">IF(L4&gt;=86%,"是","否")</f>
        <v>否</v>
      </c>
      <c r="O4" s="30"/>
      <c r="P4" s="30" t="str">
        <f t="shared" ref="P4:P60" si="7">IF(N4="是","5","0")</f>
        <v>0</v>
      </c>
      <c r="Q4" s="87">
        <v>161377</v>
      </c>
      <c r="R4" s="86">
        <v>52357</v>
      </c>
      <c r="S4" s="20">
        <f t="shared" ref="S4:S60" si="8">R4/Q4</f>
        <v>0.32443904645643429</v>
      </c>
      <c r="T4" s="87">
        <v>432884</v>
      </c>
      <c r="U4" s="86">
        <v>192495</v>
      </c>
      <c r="V4" s="20">
        <f t="shared" ref="V4:V60" si="9">U4/T4</f>
        <v>0.44468033006532925</v>
      </c>
      <c r="W4" s="21">
        <f t="shared" ref="W4:W60" si="10">(R4+U4)/(Q4+T4)</f>
        <v>0.41202771172935798</v>
      </c>
      <c r="X4" s="164">
        <f t="shared" ref="X4:X60" si="11">(86%-W4)*(Q4+T4)</f>
        <v>266212.45999999996</v>
      </c>
      <c r="Y4" s="70" t="str">
        <f t="shared" ref="Y4:Y60" si="12">IF(W4&gt;=86%,"是","否")</f>
        <v>否</v>
      </c>
      <c r="Z4" s="14"/>
      <c r="AA4" s="70" t="str">
        <f t="shared" ref="AA4:AA60" si="13">IF(Y4="是","5","0")</f>
        <v>0</v>
      </c>
      <c r="AB4" s="14"/>
      <c r="AC4" s="14"/>
      <c r="AD4" s="12"/>
      <c r="AE4" s="12"/>
      <c r="AF4" s="12"/>
      <c r="AG4" s="12"/>
      <c r="AH4" s="12"/>
      <c r="AI4" s="12"/>
      <c r="AJ4" s="12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149"/>
      <c r="AY4" s="23"/>
      <c r="AZ4" s="12"/>
    </row>
    <row r="5" spans="1:52" ht="18" customHeight="1" x14ac:dyDescent="0.15">
      <c r="A5" s="14" t="s">
        <v>2</v>
      </c>
      <c r="B5" s="14" t="s">
        <v>107</v>
      </c>
      <c r="C5" s="50">
        <v>15</v>
      </c>
      <c r="D5" s="52">
        <f t="shared" si="0"/>
        <v>20</v>
      </c>
      <c r="E5" s="70">
        <f t="shared" si="1"/>
        <v>1</v>
      </c>
      <c r="F5" s="14">
        <v>372273</v>
      </c>
      <c r="G5" s="66">
        <f>VLOOKUP(B$3:B$60,[2]Sheet1!$C$2:$L$60,10,0)</f>
        <v>322368</v>
      </c>
      <c r="H5" s="20">
        <f t="shared" si="2"/>
        <v>0.86594515315373399</v>
      </c>
      <c r="I5" s="14">
        <v>90288</v>
      </c>
      <c r="J5" s="66">
        <f>VLOOKUP(B$3:B$60,[2]Sheet1!$C$2:$Q$60,15,0)</f>
        <v>88602</v>
      </c>
      <c r="K5" s="20">
        <f t="shared" si="3"/>
        <v>0.98132642211589582</v>
      </c>
      <c r="L5" s="21">
        <f t="shared" si="4"/>
        <v>0.88846660224273122</v>
      </c>
      <c r="M5" s="22">
        <f t="shared" si="5"/>
        <v>-13167.54</v>
      </c>
      <c r="N5" s="30" t="str">
        <f t="shared" si="6"/>
        <v>是</v>
      </c>
      <c r="O5" s="30"/>
      <c r="P5" s="30" t="str">
        <f t="shared" si="7"/>
        <v>5</v>
      </c>
      <c r="Q5" s="87">
        <v>252361</v>
      </c>
      <c r="R5" s="86">
        <v>83474</v>
      </c>
      <c r="S5" s="20">
        <f t="shared" si="8"/>
        <v>0.33077218746161252</v>
      </c>
      <c r="T5" s="87">
        <v>320580</v>
      </c>
      <c r="U5" s="86">
        <v>94476</v>
      </c>
      <c r="V5" s="20">
        <f t="shared" si="9"/>
        <v>0.29470335017780275</v>
      </c>
      <c r="W5" s="21">
        <f t="shared" si="10"/>
        <v>0.31059044474038339</v>
      </c>
      <c r="X5" s="164">
        <f t="shared" si="11"/>
        <v>314779.25999999995</v>
      </c>
      <c r="Y5" s="70" t="str">
        <f t="shared" si="12"/>
        <v>否</v>
      </c>
      <c r="Z5" s="14"/>
      <c r="AA5" s="70" t="str">
        <f t="shared" si="13"/>
        <v>0</v>
      </c>
      <c r="AB5" s="14"/>
      <c r="AC5" s="14"/>
      <c r="AD5" s="12"/>
      <c r="AE5" s="12"/>
      <c r="AF5" s="12"/>
      <c r="AG5" s="12"/>
      <c r="AH5" s="12"/>
      <c r="AI5" s="12"/>
      <c r="AJ5" s="12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149"/>
      <c r="AY5" s="23"/>
      <c r="AZ5" s="12"/>
    </row>
    <row r="6" spans="1:52" ht="18" customHeight="1" x14ac:dyDescent="0.15">
      <c r="A6" s="14" t="s">
        <v>33</v>
      </c>
      <c r="B6" s="14" t="s">
        <v>108</v>
      </c>
      <c r="C6" s="50">
        <v>15</v>
      </c>
      <c r="D6" s="52">
        <f t="shared" si="0"/>
        <v>15</v>
      </c>
      <c r="E6" s="70">
        <f t="shared" si="1"/>
        <v>15</v>
      </c>
      <c r="F6" s="14">
        <v>443248</v>
      </c>
      <c r="G6" s="66">
        <f>VLOOKUP(B$3:B$60,[2]Sheet1!$C$2:$L$60,10,0)</f>
        <v>358598</v>
      </c>
      <c r="H6" s="20">
        <f t="shared" si="2"/>
        <v>0.80902339096848719</v>
      </c>
      <c r="I6" s="14">
        <v>43206</v>
      </c>
      <c r="J6" s="66">
        <f>VLOOKUP(B$3:B$60,[2]Sheet1!$C$2:$Q$60,15,0)</f>
        <v>40943</v>
      </c>
      <c r="K6" s="20">
        <f t="shared" si="3"/>
        <v>0.94762301532194604</v>
      </c>
      <c r="L6" s="21">
        <f t="shared" si="4"/>
        <v>0.82133356905277788</v>
      </c>
      <c r="M6" s="22">
        <f t="shared" si="5"/>
        <v>18809.439999999984</v>
      </c>
      <c r="N6" s="30" t="str">
        <f t="shared" si="6"/>
        <v>否</v>
      </c>
      <c r="O6" s="30"/>
      <c r="P6" s="30" t="str">
        <f t="shared" si="7"/>
        <v>0</v>
      </c>
      <c r="Q6" s="87">
        <v>412875</v>
      </c>
      <c r="R6" s="86">
        <v>102353</v>
      </c>
      <c r="S6" s="20">
        <f t="shared" si="8"/>
        <v>0.24790311837723281</v>
      </c>
      <c r="T6" s="87">
        <v>540803</v>
      </c>
      <c r="U6" s="86">
        <v>139659</v>
      </c>
      <c r="V6" s="20">
        <f t="shared" si="9"/>
        <v>0.25824375974245706</v>
      </c>
      <c r="W6" s="21">
        <f t="shared" si="10"/>
        <v>0.2537669947298774</v>
      </c>
      <c r="X6" s="164">
        <f t="shared" si="11"/>
        <v>578151.07999999996</v>
      </c>
      <c r="Y6" s="70" t="str">
        <f t="shared" si="12"/>
        <v>否</v>
      </c>
      <c r="Z6" s="14"/>
      <c r="AA6" s="70" t="str">
        <f t="shared" si="13"/>
        <v>0</v>
      </c>
      <c r="AB6" s="14"/>
      <c r="AC6" s="14"/>
      <c r="AD6" s="12"/>
      <c r="AE6" s="12"/>
      <c r="AF6" s="12"/>
      <c r="AG6" s="12"/>
      <c r="AH6" s="12"/>
      <c r="AI6" s="12"/>
      <c r="AJ6" s="12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149"/>
      <c r="AY6" s="23"/>
      <c r="AZ6" s="12"/>
    </row>
    <row r="7" spans="1:52" ht="18" customHeight="1" x14ac:dyDescent="0.15">
      <c r="A7" s="14" t="s">
        <v>35</v>
      </c>
      <c r="B7" s="14" t="s">
        <v>109</v>
      </c>
      <c r="C7" s="50">
        <v>-6</v>
      </c>
      <c r="D7" s="52">
        <f t="shared" si="0"/>
        <v>-6</v>
      </c>
      <c r="E7" s="70">
        <f t="shared" si="1"/>
        <v>53</v>
      </c>
      <c r="F7" s="14">
        <v>105024</v>
      </c>
      <c r="G7" s="66">
        <f>VLOOKUP(B$3:B$60,[2]Sheet1!$C$2:$L$60,10,0)</f>
        <v>73341</v>
      </c>
      <c r="H7" s="20">
        <f t="shared" si="2"/>
        <v>0.69832609689213898</v>
      </c>
      <c r="I7" s="14">
        <v>143975</v>
      </c>
      <c r="J7" s="66">
        <f>VLOOKUP(B$3:B$60,[2]Sheet1!$C$2:$Q$60,15,0)</f>
        <v>105572</v>
      </c>
      <c r="K7" s="20">
        <f t="shared" si="3"/>
        <v>0.73326619204723043</v>
      </c>
      <c r="L7" s="21">
        <f t="shared" si="4"/>
        <v>0.71852899007626536</v>
      </c>
      <c r="M7" s="22">
        <f t="shared" si="5"/>
        <v>35226.14</v>
      </c>
      <c r="N7" s="30" t="str">
        <f t="shared" si="6"/>
        <v>否</v>
      </c>
      <c r="O7" s="30"/>
      <c r="P7" s="30" t="str">
        <f t="shared" si="7"/>
        <v>0</v>
      </c>
      <c r="Q7" s="87">
        <v>101179</v>
      </c>
      <c r="R7" s="86">
        <v>28441</v>
      </c>
      <c r="S7" s="20">
        <f t="shared" si="8"/>
        <v>0.28109587957975468</v>
      </c>
      <c r="T7" s="87">
        <v>316492</v>
      </c>
      <c r="U7" s="86">
        <v>127611</v>
      </c>
      <c r="V7" s="20">
        <f t="shared" si="9"/>
        <v>0.40320450437925759</v>
      </c>
      <c r="W7" s="21">
        <f t="shared" si="10"/>
        <v>0.37362421618929731</v>
      </c>
      <c r="X7" s="164">
        <f t="shared" si="11"/>
        <v>203145.06</v>
      </c>
      <c r="Y7" s="70" t="str">
        <f t="shared" si="12"/>
        <v>否</v>
      </c>
      <c r="Z7" s="14"/>
      <c r="AA7" s="70" t="str">
        <f t="shared" si="13"/>
        <v>0</v>
      </c>
      <c r="AB7" s="14"/>
      <c r="AC7" s="14"/>
      <c r="AD7" s="12"/>
      <c r="AE7" s="12"/>
      <c r="AF7" s="12"/>
      <c r="AG7" s="12"/>
      <c r="AH7" s="12"/>
      <c r="AI7" s="12"/>
      <c r="AJ7" s="12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149"/>
      <c r="AY7" s="23"/>
      <c r="AZ7" s="12"/>
    </row>
    <row r="8" spans="1:52" ht="18" customHeight="1" x14ac:dyDescent="0.15">
      <c r="A8" s="14" t="s">
        <v>2</v>
      </c>
      <c r="B8" s="14" t="s">
        <v>110</v>
      </c>
      <c r="C8" s="50">
        <v>1</v>
      </c>
      <c r="D8" s="52">
        <f t="shared" si="0"/>
        <v>6</v>
      </c>
      <c r="E8" s="70">
        <f t="shared" si="1"/>
        <v>39</v>
      </c>
      <c r="F8" s="14">
        <v>226444</v>
      </c>
      <c r="G8" s="66">
        <f>VLOOKUP(B$3:B$60,[2]Sheet1!$C$2:$L$60,10,0)</f>
        <v>206055</v>
      </c>
      <c r="H8" s="20">
        <f t="shared" si="2"/>
        <v>0.90996007842998705</v>
      </c>
      <c r="I8" s="14">
        <v>35865</v>
      </c>
      <c r="J8" s="66">
        <f>VLOOKUP(B$3:B$60,[2]Sheet1!$C$2:$Q$60,15,0)</f>
        <v>24900</v>
      </c>
      <c r="K8" s="20">
        <f t="shared" si="3"/>
        <v>0.69427017984107064</v>
      </c>
      <c r="L8" s="21">
        <f t="shared" si="4"/>
        <v>0.88046921760214103</v>
      </c>
      <c r="M8" s="22">
        <f t="shared" si="5"/>
        <v>-5369.2600000000148</v>
      </c>
      <c r="N8" s="30" t="str">
        <f t="shared" si="6"/>
        <v>是</v>
      </c>
      <c r="O8" s="30"/>
      <c r="P8" s="30" t="str">
        <f t="shared" si="7"/>
        <v>5</v>
      </c>
      <c r="Q8" s="87">
        <v>160713</v>
      </c>
      <c r="R8" s="86">
        <v>59020</v>
      </c>
      <c r="S8" s="20">
        <f t="shared" si="8"/>
        <v>0.36723849346350329</v>
      </c>
      <c r="T8" s="87">
        <v>143519</v>
      </c>
      <c r="U8" s="86">
        <v>17501</v>
      </c>
      <c r="V8" s="20">
        <f t="shared" si="9"/>
        <v>0.12194204251701865</v>
      </c>
      <c r="W8" s="21">
        <f t="shared" si="10"/>
        <v>0.25152186489258199</v>
      </c>
      <c r="X8" s="164">
        <f t="shared" si="11"/>
        <v>185118.52</v>
      </c>
      <c r="Y8" s="70" t="str">
        <f t="shared" si="12"/>
        <v>否</v>
      </c>
      <c r="Z8" s="14"/>
      <c r="AA8" s="70" t="str">
        <f t="shared" si="13"/>
        <v>0</v>
      </c>
      <c r="AB8" s="14"/>
      <c r="AC8" s="14"/>
      <c r="AD8" s="12"/>
      <c r="AE8" s="12"/>
      <c r="AF8" s="12"/>
      <c r="AG8" s="12"/>
      <c r="AH8" s="12"/>
      <c r="AI8" s="12"/>
      <c r="AJ8" s="12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149"/>
      <c r="AY8" s="23"/>
      <c r="AZ8" s="12"/>
    </row>
    <row r="9" spans="1:52" ht="18" customHeight="1" x14ac:dyDescent="0.15">
      <c r="A9" s="14" t="s">
        <v>32</v>
      </c>
      <c r="B9" s="14" t="s">
        <v>111</v>
      </c>
      <c r="C9" s="50">
        <v>15</v>
      </c>
      <c r="D9" s="52">
        <f t="shared" si="0"/>
        <v>20</v>
      </c>
      <c r="E9" s="70">
        <f t="shared" si="1"/>
        <v>1</v>
      </c>
      <c r="F9" s="14">
        <v>237873</v>
      </c>
      <c r="G9" s="66">
        <f>VLOOKUP(B$3:B$60,[2]Sheet1!$C$2:$L$60,10,0)</f>
        <v>203582</v>
      </c>
      <c r="H9" s="20">
        <f t="shared" si="2"/>
        <v>0.85584324408402801</v>
      </c>
      <c r="I9" s="14">
        <v>95934</v>
      </c>
      <c r="J9" s="66">
        <f>VLOOKUP(B$3:B$60,[2]Sheet1!$C$2:$Q$60,15,0)</f>
        <v>92899</v>
      </c>
      <c r="K9" s="20">
        <f t="shared" si="3"/>
        <v>0.96836366668751428</v>
      </c>
      <c r="L9" s="21">
        <f t="shared" si="4"/>
        <v>0.88818089494827845</v>
      </c>
      <c r="M9" s="22">
        <f t="shared" si="5"/>
        <v>-9406.9799999999905</v>
      </c>
      <c r="N9" s="30" t="str">
        <f t="shared" si="6"/>
        <v>是</v>
      </c>
      <c r="O9" s="30"/>
      <c r="P9" s="30" t="str">
        <f t="shared" si="7"/>
        <v>5</v>
      </c>
      <c r="Q9" s="87">
        <v>208991</v>
      </c>
      <c r="R9" s="86">
        <v>107127</v>
      </c>
      <c r="S9" s="20">
        <f t="shared" si="8"/>
        <v>0.51259145130651562</v>
      </c>
      <c r="T9" s="87">
        <v>248530</v>
      </c>
      <c r="U9" s="86">
        <v>94500</v>
      </c>
      <c r="V9" s="20">
        <f t="shared" si="9"/>
        <v>0.38023578642417416</v>
      </c>
      <c r="W9" s="21">
        <f t="shared" si="10"/>
        <v>0.44069452549719029</v>
      </c>
      <c r="X9" s="164">
        <f t="shared" si="11"/>
        <v>191841.06</v>
      </c>
      <c r="Y9" s="70" t="str">
        <f t="shared" si="12"/>
        <v>否</v>
      </c>
      <c r="Z9" s="14"/>
      <c r="AA9" s="70" t="str">
        <f t="shared" si="13"/>
        <v>0</v>
      </c>
      <c r="AB9" s="14"/>
      <c r="AC9" s="14"/>
      <c r="AD9" s="12"/>
      <c r="AE9" s="12"/>
      <c r="AF9" s="12"/>
      <c r="AG9" s="12"/>
      <c r="AH9" s="12"/>
      <c r="AI9" s="12"/>
      <c r="AJ9" s="12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149"/>
      <c r="AY9" s="23"/>
      <c r="AZ9" s="12"/>
    </row>
    <row r="10" spans="1:52" ht="18" customHeight="1" x14ac:dyDescent="0.15">
      <c r="A10" s="14" t="s">
        <v>34</v>
      </c>
      <c r="B10" s="14" t="s">
        <v>112</v>
      </c>
      <c r="C10" s="50">
        <v>-6</v>
      </c>
      <c r="D10" s="52">
        <f t="shared" si="0"/>
        <v>-6</v>
      </c>
      <c r="E10" s="70">
        <f t="shared" si="1"/>
        <v>53</v>
      </c>
      <c r="F10" s="14">
        <v>339085</v>
      </c>
      <c r="G10" s="66">
        <f>VLOOKUP(B$3:B$60,[2]Sheet1!$C$2:$L$60,10,0)</f>
        <v>264965</v>
      </c>
      <c r="H10" s="20">
        <f t="shared" si="2"/>
        <v>0.78141174041906891</v>
      </c>
      <c r="I10" s="14">
        <v>29967</v>
      </c>
      <c r="J10" s="66">
        <f>VLOOKUP(B$3:B$60,[2]Sheet1!$C$2:$Q$60,15,0)</f>
        <v>29691</v>
      </c>
      <c r="K10" s="20">
        <f t="shared" si="3"/>
        <v>0.99078986885574127</v>
      </c>
      <c r="L10" s="21">
        <f t="shared" si="4"/>
        <v>0.79841323173970069</v>
      </c>
      <c r="M10" s="22">
        <f t="shared" si="5"/>
        <v>22728.719999999976</v>
      </c>
      <c r="N10" s="30" t="str">
        <f t="shared" si="6"/>
        <v>否</v>
      </c>
      <c r="O10" s="30"/>
      <c r="P10" s="30" t="str">
        <f t="shared" si="7"/>
        <v>0</v>
      </c>
      <c r="Q10" s="87">
        <v>450202</v>
      </c>
      <c r="R10" s="86">
        <v>104857</v>
      </c>
      <c r="S10" s="20">
        <f t="shared" si="8"/>
        <v>0.23291100439358334</v>
      </c>
      <c r="T10" s="87">
        <v>485763</v>
      </c>
      <c r="U10" s="86">
        <v>69319</v>
      </c>
      <c r="V10" s="20">
        <f t="shared" si="9"/>
        <v>0.14270127613671688</v>
      </c>
      <c r="W10" s="21">
        <f t="shared" si="10"/>
        <v>0.18609242866987546</v>
      </c>
      <c r="X10" s="164">
        <f t="shared" si="11"/>
        <v>630753.9</v>
      </c>
      <c r="Y10" s="70" t="str">
        <f t="shared" si="12"/>
        <v>否</v>
      </c>
      <c r="Z10" s="14"/>
      <c r="AA10" s="70" t="str">
        <f t="shared" si="13"/>
        <v>0</v>
      </c>
      <c r="AB10" s="14"/>
      <c r="AC10" s="14"/>
      <c r="AD10" s="12"/>
      <c r="AE10" s="12"/>
      <c r="AF10" s="12"/>
      <c r="AG10" s="12"/>
      <c r="AH10" s="12"/>
      <c r="AI10" s="12"/>
      <c r="AJ10" s="12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149"/>
      <c r="AY10" s="23"/>
      <c r="AZ10" s="12"/>
    </row>
    <row r="11" spans="1:52" ht="18" customHeight="1" x14ac:dyDescent="0.15">
      <c r="A11" s="14" t="s">
        <v>32</v>
      </c>
      <c r="B11" s="14" t="s">
        <v>113</v>
      </c>
      <c r="C11" s="50">
        <v>8</v>
      </c>
      <c r="D11" s="52">
        <f t="shared" si="0"/>
        <v>13</v>
      </c>
      <c r="E11" s="70">
        <f t="shared" si="1"/>
        <v>25</v>
      </c>
      <c r="F11" s="14">
        <v>129608</v>
      </c>
      <c r="G11" s="66">
        <f>VLOOKUP(B$3:B$60,[2]Sheet1!$C$2:$L$60,10,0)</f>
        <v>107616</v>
      </c>
      <c r="H11" s="20">
        <f t="shared" si="2"/>
        <v>0.83031911610394415</v>
      </c>
      <c r="I11" s="14">
        <v>35129</v>
      </c>
      <c r="J11" s="66">
        <f>VLOOKUP(B$3:B$60,[2]Sheet1!$C$2:$Q$60,15,0)</f>
        <v>35129</v>
      </c>
      <c r="K11" s="20">
        <f t="shared" si="3"/>
        <v>1</v>
      </c>
      <c r="L11" s="21">
        <f t="shared" si="4"/>
        <v>0.8665023643747306</v>
      </c>
      <c r="M11" s="22">
        <f t="shared" si="5"/>
        <v>-1071.1799999999978</v>
      </c>
      <c r="N11" s="30" t="str">
        <f t="shared" si="6"/>
        <v>是</v>
      </c>
      <c r="O11" s="30"/>
      <c r="P11" s="30" t="str">
        <f t="shared" si="7"/>
        <v>5</v>
      </c>
      <c r="Q11" s="87">
        <v>156695</v>
      </c>
      <c r="R11" s="86">
        <v>103779</v>
      </c>
      <c r="S11" s="20">
        <f t="shared" si="8"/>
        <v>0.6622993713902805</v>
      </c>
      <c r="T11" s="87">
        <v>286038</v>
      </c>
      <c r="U11" s="86">
        <v>57557</v>
      </c>
      <c r="V11" s="20">
        <f t="shared" si="9"/>
        <v>0.20122151602234667</v>
      </c>
      <c r="W11" s="21">
        <f t="shared" si="10"/>
        <v>0.36440924891526044</v>
      </c>
      <c r="X11" s="164">
        <f t="shared" si="11"/>
        <v>219414.38</v>
      </c>
      <c r="Y11" s="70" t="str">
        <f t="shared" si="12"/>
        <v>否</v>
      </c>
      <c r="Z11" s="14"/>
      <c r="AA11" s="70" t="str">
        <f t="shared" si="13"/>
        <v>0</v>
      </c>
      <c r="AB11" s="14"/>
      <c r="AC11" s="14"/>
      <c r="AD11" s="12"/>
      <c r="AE11" s="12"/>
      <c r="AF11" s="12"/>
      <c r="AG11" s="12"/>
      <c r="AH11" s="12"/>
      <c r="AI11" s="12"/>
      <c r="AJ11" s="12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149"/>
      <c r="AY11" s="23"/>
      <c r="AZ11" s="12"/>
    </row>
    <row r="12" spans="1:52" ht="18" customHeight="1" x14ac:dyDescent="0.15">
      <c r="A12" s="14" t="s">
        <v>3</v>
      </c>
      <c r="B12" s="14" t="s">
        <v>114</v>
      </c>
      <c r="C12" s="50">
        <v>15</v>
      </c>
      <c r="D12" s="52">
        <f t="shared" si="0"/>
        <v>15</v>
      </c>
      <c r="E12" s="70">
        <f t="shared" si="1"/>
        <v>15</v>
      </c>
      <c r="F12" s="14">
        <v>146814</v>
      </c>
      <c r="G12" s="66">
        <f>VLOOKUP(B$3:B$60,[2]Sheet1!$C$2:$L$60,10,0)</f>
        <v>124001</v>
      </c>
      <c r="H12" s="20">
        <f t="shared" si="2"/>
        <v>0.84461291157519036</v>
      </c>
      <c r="I12" s="14">
        <v>36768</v>
      </c>
      <c r="J12" s="66">
        <f>VLOOKUP(B$3:B$60,[2]Sheet1!$C$2:$Q$60,15,0)</f>
        <v>30937</v>
      </c>
      <c r="K12" s="20">
        <f t="shared" si="3"/>
        <v>0.8414110095735422</v>
      </c>
      <c r="L12" s="21">
        <f t="shared" si="4"/>
        <v>0.84397163120567376</v>
      </c>
      <c r="M12" s="22">
        <f t="shared" si="5"/>
        <v>2942.5199999999982</v>
      </c>
      <c r="N12" s="30" t="str">
        <f t="shared" si="6"/>
        <v>否</v>
      </c>
      <c r="O12" s="30"/>
      <c r="P12" s="30" t="str">
        <f t="shared" si="7"/>
        <v>0</v>
      </c>
      <c r="Q12" s="87">
        <v>133330</v>
      </c>
      <c r="R12" s="86">
        <v>17873</v>
      </c>
      <c r="S12" s="20">
        <f t="shared" si="8"/>
        <v>0.13405085127128177</v>
      </c>
      <c r="T12" s="87">
        <v>702262</v>
      </c>
      <c r="U12" s="86">
        <v>265469</v>
      </c>
      <c r="V12" s="20">
        <f t="shared" si="9"/>
        <v>0.37801988431667954</v>
      </c>
      <c r="W12" s="21">
        <f t="shared" si="10"/>
        <v>0.33909132686765792</v>
      </c>
      <c r="X12" s="164">
        <f t="shared" si="11"/>
        <v>435267.11999999994</v>
      </c>
      <c r="Y12" s="70" t="str">
        <f t="shared" si="12"/>
        <v>否</v>
      </c>
      <c r="Z12" s="14"/>
      <c r="AA12" s="70" t="str">
        <f t="shared" si="13"/>
        <v>0</v>
      </c>
      <c r="AB12" s="14"/>
      <c r="AC12" s="14"/>
      <c r="AD12" s="12"/>
      <c r="AE12" s="12"/>
      <c r="AF12" s="12"/>
      <c r="AG12" s="12"/>
      <c r="AH12" s="12"/>
      <c r="AI12" s="12"/>
      <c r="AJ12" s="12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149"/>
      <c r="AY12" s="23"/>
      <c r="AZ12" s="12"/>
    </row>
    <row r="13" spans="1:52" ht="18" customHeight="1" x14ac:dyDescent="0.15">
      <c r="A13" s="14" t="s">
        <v>32</v>
      </c>
      <c r="B13" s="14" t="s">
        <v>115</v>
      </c>
      <c r="C13" s="50">
        <v>15</v>
      </c>
      <c r="D13" s="52">
        <f t="shared" si="0"/>
        <v>20</v>
      </c>
      <c r="E13" s="70">
        <f t="shared" si="1"/>
        <v>1</v>
      </c>
      <c r="F13" s="14">
        <v>118032</v>
      </c>
      <c r="G13" s="66">
        <f>VLOOKUP(B$3:B$60,[2]Sheet1!$C$2:$L$60,10,0)</f>
        <v>103215</v>
      </c>
      <c r="H13" s="20">
        <f t="shared" si="2"/>
        <v>0.87446624644164295</v>
      </c>
      <c r="I13" s="14">
        <v>25936</v>
      </c>
      <c r="J13" s="66">
        <f>VLOOKUP(B$3:B$60,[2]Sheet1!$C$2:$Q$60,15,0)</f>
        <v>25936</v>
      </c>
      <c r="K13" s="20">
        <f t="shared" si="3"/>
        <v>1</v>
      </c>
      <c r="L13" s="21">
        <f t="shared" si="4"/>
        <v>0.89708129584352081</v>
      </c>
      <c r="M13" s="22">
        <f t="shared" si="5"/>
        <v>-5338.5200000000059</v>
      </c>
      <c r="N13" s="30" t="str">
        <f t="shared" si="6"/>
        <v>是</v>
      </c>
      <c r="O13" s="30"/>
      <c r="P13" s="30" t="str">
        <f t="shared" si="7"/>
        <v>5</v>
      </c>
      <c r="Q13" s="87">
        <v>163921</v>
      </c>
      <c r="R13" s="86">
        <v>80029</v>
      </c>
      <c r="S13" s="20">
        <f t="shared" si="8"/>
        <v>0.48821688496287846</v>
      </c>
      <c r="T13" s="87">
        <v>223453</v>
      </c>
      <c r="U13" s="86">
        <v>77933</v>
      </c>
      <c r="V13" s="20">
        <f t="shared" si="9"/>
        <v>0.3487668547748296</v>
      </c>
      <c r="W13" s="21">
        <f t="shared" si="10"/>
        <v>0.40777646408896828</v>
      </c>
      <c r="X13" s="164">
        <f t="shared" si="11"/>
        <v>175179.63999999998</v>
      </c>
      <c r="Y13" s="70" t="str">
        <f t="shared" si="12"/>
        <v>否</v>
      </c>
      <c r="Z13" s="14"/>
      <c r="AA13" s="70" t="str">
        <f t="shared" si="13"/>
        <v>0</v>
      </c>
      <c r="AB13" s="14"/>
      <c r="AC13" s="14"/>
      <c r="AD13" s="12"/>
      <c r="AE13" s="12"/>
      <c r="AF13" s="12"/>
      <c r="AG13" s="12"/>
      <c r="AH13" s="12"/>
      <c r="AI13" s="12"/>
      <c r="AJ13" s="12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149"/>
      <c r="AY13" s="23"/>
      <c r="AZ13" s="12"/>
    </row>
    <row r="14" spans="1:52" ht="18" customHeight="1" x14ac:dyDescent="0.15">
      <c r="A14" s="14" t="s">
        <v>35</v>
      </c>
      <c r="B14" s="14" t="s">
        <v>116</v>
      </c>
      <c r="C14" s="50">
        <v>1</v>
      </c>
      <c r="D14" s="52">
        <f t="shared" si="0"/>
        <v>1</v>
      </c>
      <c r="E14" s="70">
        <f t="shared" si="1"/>
        <v>45</v>
      </c>
      <c r="F14" s="14">
        <v>104241</v>
      </c>
      <c r="G14" s="66">
        <f>VLOOKUP(B$3:B$60,[2]Sheet1!$C$2:$L$60,10,0)</f>
        <v>73662</v>
      </c>
      <c r="H14" s="20">
        <f t="shared" si="2"/>
        <v>0.70665093389357359</v>
      </c>
      <c r="I14" s="14">
        <v>122408</v>
      </c>
      <c r="J14" s="66">
        <f>VLOOKUP(B$3:B$60,[2]Sheet1!$C$2:$Q$60,15,0)</f>
        <v>99590</v>
      </c>
      <c r="K14" s="20">
        <f t="shared" si="3"/>
        <v>0.8135906149924842</v>
      </c>
      <c r="L14" s="21">
        <f t="shared" si="4"/>
        <v>0.76440663757616401</v>
      </c>
      <c r="M14" s="22">
        <f t="shared" si="5"/>
        <v>21666.140000000003</v>
      </c>
      <c r="N14" s="30" t="str">
        <f t="shared" si="6"/>
        <v>否</v>
      </c>
      <c r="O14" s="30"/>
      <c r="P14" s="30" t="str">
        <f t="shared" si="7"/>
        <v>0</v>
      </c>
      <c r="Q14" s="87">
        <v>87250</v>
      </c>
      <c r="R14" s="86">
        <v>46150</v>
      </c>
      <c r="S14" s="20">
        <f t="shared" si="8"/>
        <v>0.52893982808022921</v>
      </c>
      <c r="T14" s="87">
        <v>268146</v>
      </c>
      <c r="U14" s="86">
        <v>113564</v>
      </c>
      <c r="V14" s="20">
        <f t="shared" si="9"/>
        <v>0.4235155475002424</v>
      </c>
      <c r="W14" s="21">
        <f t="shared" si="10"/>
        <v>0.44939729203480061</v>
      </c>
      <c r="X14" s="164">
        <f t="shared" si="11"/>
        <v>145926.56</v>
      </c>
      <c r="Y14" s="70" t="str">
        <f t="shared" si="12"/>
        <v>否</v>
      </c>
      <c r="Z14" s="14"/>
      <c r="AA14" s="70" t="str">
        <f t="shared" si="13"/>
        <v>0</v>
      </c>
      <c r="AB14" s="14"/>
      <c r="AC14" s="14"/>
      <c r="AD14" s="12"/>
      <c r="AE14" s="12"/>
      <c r="AF14" s="12"/>
      <c r="AG14" s="12"/>
      <c r="AH14" s="12"/>
      <c r="AI14" s="12"/>
      <c r="AJ14" s="12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149"/>
      <c r="AY14" s="23"/>
      <c r="AZ14" s="12"/>
    </row>
    <row r="15" spans="1:52" ht="18" customHeight="1" x14ac:dyDescent="0.15">
      <c r="A15" s="14" t="s">
        <v>117</v>
      </c>
      <c r="B15" s="14" t="s">
        <v>118</v>
      </c>
      <c r="C15" s="50">
        <v>15</v>
      </c>
      <c r="D15" s="52">
        <f t="shared" si="0"/>
        <v>15</v>
      </c>
      <c r="E15" s="70">
        <f t="shared" si="1"/>
        <v>15</v>
      </c>
      <c r="F15" s="14">
        <v>134422</v>
      </c>
      <c r="G15" s="66">
        <f>VLOOKUP(B$3:B$60,[2]Sheet1!$C$2:$L$60,10,0)</f>
        <v>116822</v>
      </c>
      <c r="H15" s="20">
        <f t="shared" si="2"/>
        <v>0.86906905119697664</v>
      </c>
      <c r="I15" s="14">
        <v>52170</v>
      </c>
      <c r="J15" s="66">
        <f>VLOOKUP(B$3:B$60,[2]Sheet1!$C$2:$Q$60,15,0)</f>
        <v>39420</v>
      </c>
      <c r="K15" s="20">
        <f t="shared" si="3"/>
        <v>0.75560667050028751</v>
      </c>
      <c r="L15" s="21">
        <f t="shared" si="4"/>
        <v>0.83734565254673299</v>
      </c>
      <c r="M15" s="22">
        <f t="shared" si="5"/>
        <v>4227.1199999999963</v>
      </c>
      <c r="N15" s="30" t="str">
        <f t="shared" si="6"/>
        <v>否</v>
      </c>
      <c r="O15" s="30"/>
      <c r="P15" s="30" t="str">
        <f t="shared" si="7"/>
        <v>0</v>
      </c>
      <c r="Q15" s="87">
        <v>126476</v>
      </c>
      <c r="R15" s="86">
        <v>35292</v>
      </c>
      <c r="S15" s="20">
        <f t="shared" si="8"/>
        <v>0.27904108289319712</v>
      </c>
      <c r="T15" s="87">
        <v>145036</v>
      </c>
      <c r="U15" s="86">
        <v>32580</v>
      </c>
      <c r="V15" s="20">
        <f t="shared" si="9"/>
        <v>0.22463388400121348</v>
      </c>
      <c r="W15" s="21">
        <f t="shared" si="10"/>
        <v>0.24997790152921417</v>
      </c>
      <c r="X15" s="164">
        <f t="shared" si="11"/>
        <v>165628.32</v>
      </c>
      <c r="Y15" s="70" t="str">
        <f t="shared" si="12"/>
        <v>否</v>
      </c>
      <c r="Z15" s="14"/>
      <c r="AA15" s="70" t="str">
        <f t="shared" si="13"/>
        <v>0</v>
      </c>
      <c r="AB15" s="14"/>
      <c r="AC15" s="14"/>
      <c r="AD15" s="12"/>
      <c r="AE15" s="12"/>
      <c r="AF15" s="12"/>
      <c r="AG15" s="12"/>
      <c r="AH15" s="12"/>
      <c r="AI15" s="12"/>
      <c r="AJ15" s="12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149"/>
      <c r="AY15" s="23"/>
      <c r="AZ15" s="12"/>
    </row>
    <row r="16" spans="1:52" ht="18" customHeight="1" x14ac:dyDescent="0.15">
      <c r="A16" s="14" t="s">
        <v>35</v>
      </c>
      <c r="B16" s="14" t="s">
        <v>119</v>
      </c>
      <c r="C16" s="50">
        <v>1</v>
      </c>
      <c r="D16" s="52">
        <f t="shared" si="0"/>
        <v>6</v>
      </c>
      <c r="E16" s="70">
        <f t="shared" si="1"/>
        <v>39</v>
      </c>
      <c r="F16" s="14">
        <v>78095</v>
      </c>
      <c r="G16" s="66">
        <f>VLOOKUP(B$3:B$60,[2]Sheet1!$C$2:$L$60,10,0)</f>
        <v>71957</v>
      </c>
      <c r="H16" s="20">
        <f t="shared" si="2"/>
        <v>0.92140341891286259</v>
      </c>
      <c r="I16" s="14">
        <v>69025</v>
      </c>
      <c r="J16" s="66">
        <f>VLOOKUP(B$3:B$60,[2]Sheet1!$C$2:$Q$60,15,0)</f>
        <v>60321</v>
      </c>
      <c r="K16" s="20">
        <f t="shared" si="3"/>
        <v>0.87390076059398769</v>
      </c>
      <c r="L16" s="21">
        <f t="shared" si="4"/>
        <v>0.89911636759108216</v>
      </c>
      <c r="M16" s="22">
        <f t="shared" si="5"/>
        <v>-5754.8000000000084</v>
      </c>
      <c r="N16" s="30" t="str">
        <f t="shared" si="6"/>
        <v>是</v>
      </c>
      <c r="O16" s="30"/>
      <c r="P16" s="30" t="str">
        <f t="shared" si="7"/>
        <v>5</v>
      </c>
      <c r="Q16" s="87">
        <v>90672</v>
      </c>
      <c r="R16" s="86">
        <v>37940</v>
      </c>
      <c r="S16" s="20">
        <f t="shared" si="8"/>
        <v>0.41843126874889713</v>
      </c>
      <c r="T16" s="87">
        <v>186537</v>
      </c>
      <c r="U16" s="86">
        <v>10178</v>
      </c>
      <c r="V16" s="20">
        <f t="shared" si="9"/>
        <v>5.45629017299517E-2</v>
      </c>
      <c r="W16" s="21">
        <f t="shared" si="10"/>
        <v>0.17358022286433702</v>
      </c>
      <c r="X16" s="164">
        <f t="shared" si="11"/>
        <v>190281.74</v>
      </c>
      <c r="Y16" s="70" t="str">
        <f t="shared" si="12"/>
        <v>否</v>
      </c>
      <c r="Z16" s="14"/>
      <c r="AA16" s="70" t="str">
        <f t="shared" si="13"/>
        <v>0</v>
      </c>
      <c r="AB16" s="14"/>
      <c r="AC16" s="14"/>
      <c r="AD16" s="12"/>
      <c r="AE16" s="12"/>
      <c r="AF16" s="12"/>
      <c r="AG16" s="12"/>
      <c r="AH16" s="12"/>
      <c r="AI16" s="12"/>
      <c r="AJ16" s="12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149"/>
      <c r="AY16" s="23"/>
      <c r="AZ16" s="12"/>
    </row>
    <row r="17" spans="1:52" ht="18" customHeight="1" x14ac:dyDescent="0.15">
      <c r="A17" s="14" t="s">
        <v>2</v>
      </c>
      <c r="B17" s="14" t="s">
        <v>120</v>
      </c>
      <c r="C17" s="50">
        <v>15</v>
      </c>
      <c r="D17" s="52">
        <f t="shared" si="0"/>
        <v>20</v>
      </c>
      <c r="E17" s="70">
        <f t="shared" si="1"/>
        <v>1</v>
      </c>
      <c r="F17" s="14">
        <v>318896</v>
      </c>
      <c r="G17" s="66">
        <f>VLOOKUP(B$3:B$60,[2]Sheet1!$C$2:$L$60,10,0)</f>
        <v>278026</v>
      </c>
      <c r="H17" s="20">
        <f t="shared" si="2"/>
        <v>0.8718390948773268</v>
      </c>
      <c r="I17" s="14">
        <v>82136</v>
      </c>
      <c r="J17" s="66">
        <f>VLOOKUP(B$3:B$60,[2]Sheet1!$C$2:$Q$60,15,0)</f>
        <v>77616</v>
      </c>
      <c r="K17" s="20">
        <f t="shared" si="3"/>
        <v>0.9449693191779488</v>
      </c>
      <c r="L17" s="21">
        <f t="shared" si="4"/>
        <v>0.88681701210875941</v>
      </c>
      <c r="M17" s="22">
        <f t="shared" si="5"/>
        <v>-10754.480000000007</v>
      </c>
      <c r="N17" s="30" t="str">
        <f t="shared" si="6"/>
        <v>是</v>
      </c>
      <c r="O17" s="30"/>
      <c r="P17" s="30" t="str">
        <f t="shared" si="7"/>
        <v>5</v>
      </c>
      <c r="Q17" s="87">
        <v>334092</v>
      </c>
      <c r="R17" s="86">
        <v>183988</v>
      </c>
      <c r="S17" s="20">
        <f t="shared" si="8"/>
        <v>0.55071058271374351</v>
      </c>
      <c r="T17" s="87">
        <v>854377</v>
      </c>
      <c r="U17" s="86">
        <v>405663</v>
      </c>
      <c r="V17" s="20">
        <f t="shared" si="9"/>
        <v>0.47480561859694259</v>
      </c>
      <c r="W17" s="21">
        <f t="shared" si="10"/>
        <v>0.49614335754655781</v>
      </c>
      <c r="X17" s="164">
        <f t="shared" si="11"/>
        <v>432432.33999999997</v>
      </c>
      <c r="Y17" s="70" t="str">
        <f t="shared" si="12"/>
        <v>否</v>
      </c>
      <c r="Z17" s="14"/>
      <c r="AA17" s="70" t="str">
        <f t="shared" si="13"/>
        <v>0</v>
      </c>
      <c r="AB17" s="14"/>
      <c r="AC17" s="14"/>
      <c r="AD17" s="12"/>
      <c r="AE17" s="12"/>
      <c r="AF17" s="12"/>
      <c r="AG17" s="12"/>
      <c r="AH17" s="12"/>
      <c r="AI17" s="12"/>
      <c r="AJ17" s="12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149"/>
      <c r="AY17" s="23"/>
      <c r="AZ17" s="12"/>
    </row>
    <row r="18" spans="1:52" ht="18" customHeight="1" x14ac:dyDescent="0.15">
      <c r="A18" s="14" t="s">
        <v>35</v>
      </c>
      <c r="B18" s="14" t="s">
        <v>121</v>
      </c>
      <c r="C18" s="50">
        <v>8</v>
      </c>
      <c r="D18" s="52">
        <f t="shared" si="0"/>
        <v>8</v>
      </c>
      <c r="E18" s="70">
        <f t="shared" si="1"/>
        <v>33</v>
      </c>
      <c r="F18" s="14">
        <v>86705</v>
      </c>
      <c r="G18" s="66">
        <f>VLOOKUP(B$3:B$60,[2]Sheet1!$C$2:$L$60,10,0)</f>
        <v>71173</v>
      </c>
      <c r="H18" s="20">
        <f t="shared" si="2"/>
        <v>0.82086384868231355</v>
      </c>
      <c r="I18" s="14">
        <v>93755</v>
      </c>
      <c r="J18" s="66">
        <f>VLOOKUP(B$3:B$60,[2]Sheet1!$C$2:$Q$60,15,0)</f>
        <v>72053</v>
      </c>
      <c r="K18" s="20">
        <f t="shared" si="3"/>
        <v>0.76852434536824699</v>
      </c>
      <c r="L18" s="21">
        <f t="shared" si="4"/>
        <v>0.79367172780671613</v>
      </c>
      <c r="M18" s="22">
        <f t="shared" si="5"/>
        <v>11969.600000000004</v>
      </c>
      <c r="N18" s="30" t="str">
        <f t="shared" si="6"/>
        <v>否</v>
      </c>
      <c r="O18" s="30"/>
      <c r="P18" s="30" t="str">
        <f t="shared" si="7"/>
        <v>0</v>
      </c>
      <c r="Q18" s="87">
        <v>113082</v>
      </c>
      <c r="R18" s="86">
        <v>23111</v>
      </c>
      <c r="S18" s="20">
        <f t="shared" si="8"/>
        <v>0.20437381722997472</v>
      </c>
      <c r="T18" s="87">
        <v>271635</v>
      </c>
      <c r="U18" s="86">
        <v>94114</v>
      </c>
      <c r="V18" s="20">
        <f t="shared" si="9"/>
        <v>0.34647228818083087</v>
      </c>
      <c r="W18" s="21">
        <f t="shared" si="10"/>
        <v>0.30470449707187364</v>
      </c>
      <c r="X18" s="164">
        <f t="shared" si="11"/>
        <v>213631.62</v>
      </c>
      <c r="Y18" s="70" t="str">
        <f t="shared" si="12"/>
        <v>否</v>
      </c>
      <c r="Z18" s="14"/>
      <c r="AA18" s="70" t="str">
        <f t="shared" si="13"/>
        <v>0</v>
      </c>
      <c r="AB18" s="14"/>
      <c r="AC18" s="14"/>
      <c r="AD18" s="12"/>
      <c r="AE18" s="12"/>
      <c r="AF18" s="12"/>
      <c r="AG18" s="12"/>
      <c r="AH18" s="12"/>
      <c r="AI18" s="12"/>
      <c r="AJ18" s="12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149"/>
      <c r="AY18" s="23"/>
      <c r="AZ18" s="12"/>
    </row>
    <row r="19" spans="1:52" ht="18" customHeight="1" x14ac:dyDescent="0.15">
      <c r="A19" s="14" t="s">
        <v>4</v>
      </c>
      <c r="B19" s="14" t="s">
        <v>122</v>
      </c>
      <c r="C19" s="50">
        <v>8</v>
      </c>
      <c r="D19" s="52">
        <f t="shared" si="0"/>
        <v>13</v>
      </c>
      <c r="E19" s="70">
        <f t="shared" si="1"/>
        <v>25</v>
      </c>
      <c r="F19" s="14">
        <v>48394</v>
      </c>
      <c r="G19" s="66">
        <f>VLOOKUP(B$3:B$60,[2]Sheet1!$C$2:$L$60,10,0)</f>
        <v>42965</v>
      </c>
      <c r="H19" s="20">
        <f t="shared" si="2"/>
        <v>0.88781667148820098</v>
      </c>
      <c r="I19" s="14">
        <v>63753</v>
      </c>
      <c r="J19" s="66">
        <f>VLOOKUP(B$3:B$60,[2]Sheet1!$C$2:$Q$60,15,0)</f>
        <v>53696</v>
      </c>
      <c r="K19" s="20">
        <f t="shared" si="3"/>
        <v>0.84225056075792515</v>
      </c>
      <c r="L19" s="21">
        <f t="shared" si="4"/>
        <v>0.86191338154386654</v>
      </c>
      <c r="M19" s="22">
        <f t="shared" si="5"/>
        <v>-214.58000000000251</v>
      </c>
      <c r="N19" s="30" t="str">
        <f t="shared" si="6"/>
        <v>是</v>
      </c>
      <c r="O19" s="30"/>
      <c r="P19" s="30" t="str">
        <f t="shared" si="7"/>
        <v>5</v>
      </c>
      <c r="Q19" s="87">
        <v>105956</v>
      </c>
      <c r="R19" s="86">
        <v>77379</v>
      </c>
      <c r="S19" s="20">
        <f t="shared" si="8"/>
        <v>0.73029370682169958</v>
      </c>
      <c r="T19" s="87">
        <v>430977</v>
      </c>
      <c r="U19" s="86">
        <v>77259</v>
      </c>
      <c r="V19" s="20">
        <f t="shared" si="9"/>
        <v>0.17926478675196125</v>
      </c>
      <c r="W19" s="21">
        <f t="shared" si="10"/>
        <v>0.288002413708973</v>
      </c>
      <c r="X19" s="164">
        <f t="shared" si="11"/>
        <v>307124.37999999995</v>
      </c>
      <c r="Y19" s="70" t="str">
        <f t="shared" si="12"/>
        <v>否</v>
      </c>
      <c r="Z19" s="14"/>
      <c r="AA19" s="70" t="str">
        <f t="shared" si="13"/>
        <v>0</v>
      </c>
      <c r="AB19" s="14"/>
      <c r="AC19" s="14"/>
      <c r="AD19" s="12"/>
      <c r="AE19" s="12"/>
      <c r="AF19" s="12"/>
      <c r="AG19" s="12"/>
      <c r="AH19" s="12"/>
      <c r="AI19" s="12"/>
      <c r="AJ19" s="12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149"/>
      <c r="AY19" s="23"/>
      <c r="AZ19" s="12"/>
    </row>
    <row r="20" spans="1:52" ht="18" customHeight="1" x14ac:dyDescent="0.15">
      <c r="A20" s="14" t="s">
        <v>123</v>
      </c>
      <c r="B20" s="14" t="s">
        <v>124</v>
      </c>
      <c r="C20" s="50">
        <v>-6</v>
      </c>
      <c r="D20" s="52">
        <f t="shared" si="0"/>
        <v>-6</v>
      </c>
      <c r="E20" s="70">
        <f t="shared" si="1"/>
        <v>53</v>
      </c>
      <c r="F20" s="14">
        <v>426535</v>
      </c>
      <c r="G20" s="66">
        <f>VLOOKUP(B$3:B$60,[2]Sheet1!$C$2:$L$60,10,0)</f>
        <v>275565</v>
      </c>
      <c r="H20" s="20">
        <f t="shared" si="2"/>
        <v>0.64605483723492796</v>
      </c>
      <c r="I20" s="14">
        <v>77183</v>
      </c>
      <c r="J20" s="66">
        <f>VLOOKUP(B$3:B$60,[2]Sheet1!$C$2:$Q$60,15,0)</f>
        <v>63451</v>
      </c>
      <c r="K20" s="20">
        <f t="shared" si="3"/>
        <v>0.82208517419639038</v>
      </c>
      <c r="L20" s="21">
        <f t="shared" si="4"/>
        <v>0.67302736848792377</v>
      </c>
      <c r="M20" s="22">
        <f t="shared" si="5"/>
        <v>94181.48000000001</v>
      </c>
      <c r="N20" s="30" t="str">
        <f t="shared" si="6"/>
        <v>否</v>
      </c>
      <c r="O20" s="30"/>
      <c r="P20" s="30" t="str">
        <f t="shared" si="7"/>
        <v>0</v>
      </c>
      <c r="Q20" s="87">
        <v>443424</v>
      </c>
      <c r="R20" s="86">
        <v>42311</v>
      </c>
      <c r="S20" s="20">
        <f t="shared" si="8"/>
        <v>9.5418831637439555E-2</v>
      </c>
      <c r="T20" s="87">
        <v>756606</v>
      </c>
      <c r="U20" s="86">
        <v>241750</v>
      </c>
      <c r="V20" s="20">
        <f t="shared" si="9"/>
        <v>0.31951900989418536</v>
      </c>
      <c r="W20" s="21">
        <f t="shared" si="10"/>
        <v>0.23671158221044475</v>
      </c>
      <c r="X20" s="164">
        <f t="shared" si="11"/>
        <v>747964.79999999993</v>
      </c>
      <c r="Y20" s="70" t="str">
        <f t="shared" si="12"/>
        <v>否</v>
      </c>
      <c r="Z20" s="14"/>
      <c r="AA20" s="70" t="str">
        <f t="shared" si="13"/>
        <v>0</v>
      </c>
      <c r="AB20" s="14"/>
      <c r="AC20" s="14"/>
      <c r="AD20" s="12"/>
      <c r="AE20" s="12"/>
      <c r="AF20" s="12"/>
      <c r="AG20" s="12"/>
      <c r="AH20" s="12"/>
      <c r="AI20" s="12"/>
      <c r="AJ20" s="12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149"/>
      <c r="AY20" s="23"/>
      <c r="AZ20" s="12"/>
    </row>
    <row r="21" spans="1:52" ht="18" customHeight="1" x14ac:dyDescent="0.15">
      <c r="A21" s="14" t="s">
        <v>33</v>
      </c>
      <c r="B21" s="14" t="s">
        <v>125</v>
      </c>
      <c r="C21" s="50">
        <v>15</v>
      </c>
      <c r="D21" s="52">
        <f t="shared" si="0"/>
        <v>15</v>
      </c>
      <c r="E21" s="70">
        <f t="shared" si="1"/>
        <v>15</v>
      </c>
      <c r="F21" s="14">
        <v>186354</v>
      </c>
      <c r="G21" s="66">
        <f>VLOOKUP(B$3:B$60,[2]Sheet1!$C$2:$L$60,10,0)</f>
        <v>147712</v>
      </c>
      <c r="H21" s="20">
        <f t="shared" si="2"/>
        <v>0.79264196099895901</v>
      </c>
      <c r="I21" s="14">
        <v>79082</v>
      </c>
      <c r="J21" s="66">
        <f>VLOOKUP(B$3:B$60,[2]Sheet1!$C$2:$Q$60,15,0)</f>
        <v>76761</v>
      </c>
      <c r="K21" s="20">
        <f t="shared" si="3"/>
        <v>0.97065071697731464</v>
      </c>
      <c r="L21" s="21">
        <f t="shared" si="4"/>
        <v>0.84567654726563091</v>
      </c>
      <c r="M21" s="22">
        <f t="shared" si="5"/>
        <v>3801.9599999999909</v>
      </c>
      <c r="N21" s="30" t="str">
        <f t="shared" si="6"/>
        <v>否</v>
      </c>
      <c r="O21" s="30"/>
      <c r="P21" s="30" t="str">
        <f t="shared" si="7"/>
        <v>0</v>
      </c>
      <c r="Q21" s="87">
        <v>157029</v>
      </c>
      <c r="R21" s="86">
        <v>49849</v>
      </c>
      <c r="S21" s="20">
        <f t="shared" si="8"/>
        <v>0.31745091670965236</v>
      </c>
      <c r="T21" s="87">
        <v>436136</v>
      </c>
      <c r="U21" s="86">
        <v>271491</v>
      </c>
      <c r="V21" s="20">
        <f t="shared" si="9"/>
        <v>0.62249160812223714</v>
      </c>
      <c r="W21" s="21">
        <f t="shared" si="10"/>
        <v>0.54173796498444782</v>
      </c>
      <c r="X21" s="164">
        <f t="shared" si="11"/>
        <v>188781.9</v>
      </c>
      <c r="Y21" s="70" t="str">
        <f t="shared" si="12"/>
        <v>否</v>
      </c>
      <c r="Z21" s="14"/>
      <c r="AA21" s="70" t="str">
        <f t="shared" si="13"/>
        <v>0</v>
      </c>
      <c r="AB21" s="14"/>
      <c r="AC21" s="14"/>
      <c r="AD21" s="12"/>
      <c r="AE21" s="12"/>
      <c r="AF21" s="12"/>
      <c r="AG21" s="12"/>
      <c r="AH21" s="12"/>
      <c r="AI21" s="12"/>
      <c r="AJ21" s="12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149"/>
      <c r="AY21" s="23"/>
      <c r="AZ21" s="12"/>
    </row>
    <row r="22" spans="1:52" ht="18" customHeight="1" x14ac:dyDescent="0.15">
      <c r="A22" s="14" t="s">
        <v>32</v>
      </c>
      <c r="B22" s="14" t="s">
        <v>126</v>
      </c>
      <c r="C22" s="50">
        <v>8</v>
      </c>
      <c r="D22" s="52">
        <f t="shared" si="0"/>
        <v>13</v>
      </c>
      <c r="E22" s="70">
        <f t="shared" si="1"/>
        <v>25</v>
      </c>
      <c r="F22" s="14">
        <v>39272</v>
      </c>
      <c r="G22" s="66">
        <v>34197</v>
      </c>
      <c r="H22" s="20">
        <f t="shared" si="2"/>
        <v>0.87077306987166425</v>
      </c>
      <c r="I22" s="14">
        <v>3859</v>
      </c>
      <c r="J22" s="66">
        <v>3512</v>
      </c>
      <c r="K22" s="20">
        <f t="shared" si="3"/>
        <v>0.91008033169214819</v>
      </c>
      <c r="L22" s="21">
        <f t="shared" si="4"/>
        <v>0.87428995386149178</v>
      </c>
      <c r="M22" s="22">
        <f t="shared" si="5"/>
        <v>-616.34000000000231</v>
      </c>
      <c r="N22" s="30" t="str">
        <f t="shared" si="6"/>
        <v>是</v>
      </c>
      <c r="O22" s="30"/>
      <c r="P22" s="30" t="str">
        <f t="shared" si="7"/>
        <v>5</v>
      </c>
      <c r="Q22" s="87">
        <v>49989</v>
      </c>
      <c r="R22" s="86">
        <v>29498</v>
      </c>
      <c r="S22" s="20">
        <f t="shared" si="8"/>
        <v>0.59008981976034725</v>
      </c>
      <c r="T22" s="87">
        <v>60501</v>
      </c>
      <c r="U22" s="86">
        <v>15235</v>
      </c>
      <c r="V22" s="20">
        <f t="shared" si="9"/>
        <v>0.25181401960298178</v>
      </c>
      <c r="W22" s="21">
        <f t="shared" si="10"/>
        <v>0.40486016834102634</v>
      </c>
      <c r="X22" s="164">
        <f t="shared" si="11"/>
        <v>50288.4</v>
      </c>
      <c r="Y22" s="70" t="str">
        <f t="shared" si="12"/>
        <v>否</v>
      </c>
      <c r="Z22" s="14"/>
      <c r="AA22" s="70" t="str">
        <f t="shared" si="13"/>
        <v>0</v>
      </c>
      <c r="AB22" s="14"/>
      <c r="AC22" s="14"/>
      <c r="AD22" s="12"/>
      <c r="AE22" s="12"/>
      <c r="AF22" s="12"/>
      <c r="AG22" s="12"/>
      <c r="AH22" s="12"/>
      <c r="AI22" s="12"/>
      <c r="AJ22" s="12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149"/>
      <c r="AY22" s="23"/>
      <c r="AZ22" s="12"/>
    </row>
    <row r="23" spans="1:52" ht="18" customHeight="1" x14ac:dyDescent="0.15">
      <c r="A23" s="14" t="s">
        <v>2</v>
      </c>
      <c r="B23" s="14" t="s">
        <v>127</v>
      </c>
      <c r="C23" s="50">
        <v>15</v>
      </c>
      <c r="D23" s="52">
        <f t="shared" si="0"/>
        <v>20</v>
      </c>
      <c r="E23" s="70">
        <f t="shared" si="1"/>
        <v>1</v>
      </c>
      <c r="F23" s="14">
        <v>226571</v>
      </c>
      <c r="G23" s="66">
        <f>VLOOKUP(B$3:B$60,[2]Sheet1!$C$2:$L$60,10,0)</f>
        <v>202891</v>
      </c>
      <c r="H23" s="20">
        <f t="shared" si="2"/>
        <v>0.8954853004135569</v>
      </c>
      <c r="I23" s="14">
        <v>97335</v>
      </c>
      <c r="J23" s="66">
        <f>VLOOKUP(B$3:B$60,[2]Sheet1!$C$2:$Q$60,15,0)</f>
        <v>82432</v>
      </c>
      <c r="K23" s="20">
        <f t="shared" si="3"/>
        <v>0.84688960805465663</v>
      </c>
      <c r="L23" s="21">
        <f t="shared" si="4"/>
        <v>0.88088210777200793</v>
      </c>
      <c r="M23" s="22">
        <f t="shared" si="5"/>
        <v>-6763.8400000000038</v>
      </c>
      <c r="N23" s="30" t="str">
        <f t="shared" si="6"/>
        <v>是</v>
      </c>
      <c r="O23" s="30"/>
      <c r="P23" s="30" t="str">
        <f t="shared" si="7"/>
        <v>5</v>
      </c>
      <c r="Q23" s="87">
        <v>268974</v>
      </c>
      <c r="R23" s="86">
        <v>140269</v>
      </c>
      <c r="S23" s="20">
        <f t="shared" si="8"/>
        <v>0.52149650152059301</v>
      </c>
      <c r="T23" s="87">
        <v>1374486</v>
      </c>
      <c r="U23" s="86">
        <v>570522</v>
      </c>
      <c r="V23" s="20">
        <f t="shared" si="9"/>
        <v>0.41508025545549393</v>
      </c>
      <c r="W23" s="21">
        <f t="shared" si="10"/>
        <v>0.43249668382558748</v>
      </c>
      <c r="X23" s="164">
        <f t="shared" si="11"/>
        <v>702584.6</v>
      </c>
      <c r="Y23" s="70" t="str">
        <f t="shared" si="12"/>
        <v>否</v>
      </c>
      <c r="Z23" s="14"/>
      <c r="AA23" s="70" t="str">
        <f t="shared" si="13"/>
        <v>0</v>
      </c>
      <c r="AB23" s="14"/>
      <c r="AC23" s="14"/>
      <c r="AD23" s="12"/>
      <c r="AE23" s="12"/>
      <c r="AF23" s="12"/>
      <c r="AG23" s="12"/>
      <c r="AH23" s="12"/>
      <c r="AI23" s="12"/>
      <c r="AJ23" s="12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149"/>
      <c r="AY23" s="23"/>
      <c r="AZ23" s="12"/>
    </row>
    <row r="24" spans="1:52" ht="18" customHeight="1" x14ac:dyDescent="0.15">
      <c r="A24" s="14" t="s">
        <v>5</v>
      </c>
      <c r="B24" s="14" t="s">
        <v>128</v>
      </c>
      <c r="C24" s="50">
        <v>1</v>
      </c>
      <c r="D24" s="52">
        <f t="shared" si="0"/>
        <v>1</v>
      </c>
      <c r="E24" s="70">
        <f t="shared" si="1"/>
        <v>45</v>
      </c>
      <c r="F24" s="14">
        <v>305402</v>
      </c>
      <c r="G24" s="66">
        <f>VLOOKUP(B$3:B$60,[2]Sheet1!$C$2:$L$60,10,0)</f>
        <v>199240</v>
      </c>
      <c r="H24" s="20">
        <f t="shared" si="2"/>
        <v>0.65238603545490859</v>
      </c>
      <c r="I24" s="14">
        <v>111345</v>
      </c>
      <c r="J24" s="66">
        <f>VLOOKUP(B$3:B$60,[2]Sheet1!$C$2:$Q$60,15,0)</f>
        <v>74682</v>
      </c>
      <c r="K24" s="20">
        <f t="shared" si="3"/>
        <v>0.67072612151421263</v>
      </c>
      <c r="L24" s="21">
        <f t="shared" si="4"/>
        <v>0.65728607524469285</v>
      </c>
      <c r="M24" s="22">
        <f t="shared" si="5"/>
        <v>84480.419999999984</v>
      </c>
      <c r="N24" s="30" t="str">
        <f t="shared" si="6"/>
        <v>否</v>
      </c>
      <c r="O24" s="30"/>
      <c r="P24" s="30" t="str">
        <f t="shared" si="7"/>
        <v>0</v>
      </c>
      <c r="Q24" s="87">
        <v>154129</v>
      </c>
      <c r="R24" s="86">
        <v>96779</v>
      </c>
      <c r="S24" s="20">
        <f t="shared" si="8"/>
        <v>0.62790908913961685</v>
      </c>
      <c r="T24" s="87">
        <v>290911</v>
      </c>
      <c r="U24" s="86">
        <v>106267</v>
      </c>
      <c r="V24" s="20">
        <f t="shared" si="9"/>
        <v>0.36529041528164974</v>
      </c>
      <c r="W24" s="21">
        <f t="shared" si="10"/>
        <v>0.45624213553837856</v>
      </c>
      <c r="X24" s="164">
        <f t="shared" si="11"/>
        <v>179688.4</v>
      </c>
      <c r="Y24" s="70" t="str">
        <f t="shared" si="12"/>
        <v>否</v>
      </c>
      <c r="Z24" s="14"/>
      <c r="AA24" s="70" t="str">
        <f t="shared" si="13"/>
        <v>0</v>
      </c>
      <c r="AB24" s="14"/>
      <c r="AC24" s="14"/>
      <c r="AD24" s="12"/>
      <c r="AE24" s="12"/>
      <c r="AF24" s="12"/>
      <c r="AG24" s="12"/>
      <c r="AH24" s="12"/>
      <c r="AI24" s="12"/>
      <c r="AJ24" s="12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149"/>
      <c r="AY24" s="23"/>
      <c r="AZ24" s="12"/>
    </row>
    <row r="25" spans="1:52" ht="18" customHeight="1" x14ac:dyDescent="0.15">
      <c r="A25" s="14" t="s">
        <v>105</v>
      </c>
      <c r="B25" s="14" t="s">
        <v>129</v>
      </c>
      <c r="C25" s="50">
        <v>8</v>
      </c>
      <c r="D25" s="52">
        <f t="shared" si="0"/>
        <v>13</v>
      </c>
      <c r="E25" s="70">
        <f t="shared" si="1"/>
        <v>25</v>
      </c>
      <c r="F25" s="14">
        <v>112737</v>
      </c>
      <c r="G25" s="66">
        <f>VLOOKUP(B$3:B$60,[2]Sheet1!$C$2:$L$60,10,0)</f>
        <v>98513</v>
      </c>
      <c r="H25" s="20">
        <f t="shared" si="2"/>
        <v>0.87383024206782156</v>
      </c>
      <c r="I25" s="14">
        <v>25396</v>
      </c>
      <c r="J25" s="66">
        <f>VLOOKUP(B$3:B$60,[2]Sheet1!$C$2:$Q$60,15,0)</f>
        <v>25089</v>
      </c>
      <c r="K25" s="20">
        <f t="shared" si="3"/>
        <v>0.98791148212316904</v>
      </c>
      <c r="L25" s="21">
        <f t="shared" si="4"/>
        <v>0.89480428282886781</v>
      </c>
      <c r="M25" s="22">
        <f t="shared" si="5"/>
        <v>-4807.62</v>
      </c>
      <c r="N25" s="30" t="str">
        <f t="shared" si="6"/>
        <v>是</v>
      </c>
      <c r="O25" s="30"/>
      <c r="P25" s="30" t="str">
        <f t="shared" si="7"/>
        <v>5</v>
      </c>
      <c r="Q25" s="87">
        <v>101994</v>
      </c>
      <c r="R25" s="86">
        <v>15129</v>
      </c>
      <c r="S25" s="20">
        <f t="shared" si="8"/>
        <v>0.14833225483851992</v>
      </c>
      <c r="T25" s="87">
        <v>261267</v>
      </c>
      <c r="U25" s="86">
        <v>55054</v>
      </c>
      <c r="V25" s="20">
        <f t="shared" si="9"/>
        <v>0.21071930247601112</v>
      </c>
      <c r="W25" s="21">
        <f t="shared" si="10"/>
        <v>0.19320268347001193</v>
      </c>
      <c r="X25" s="164">
        <f t="shared" si="11"/>
        <v>242221.46</v>
      </c>
      <c r="Y25" s="70" t="str">
        <f t="shared" si="12"/>
        <v>否</v>
      </c>
      <c r="Z25" s="14"/>
      <c r="AA25" s="70" t="str">
        <f t="shared" si="13"/>
        <v>0</v>
      </c>
      <c r="AB25" s="14"/>
      <c r="AC25" s="14"/>
      <c r="AD25" s="12"/>
      <c r="AE25" s="12"/>
      <c r="AF25" s="12"/>
      <c r="AG25" s="12"/>
      <c r="AH25" s="12"/>
      <c r="AI25" s="12"/>
      <c r="AJ25" s="12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149"/>
      <c r="AY25" s="23"/>
      <c r="AZ25" s="12"/>
    </row>
    <row r="26" spans="1:52" ht="18" customHeight="1" x14ac:dyDescent="0.15">
      <c r="A26" s="14" t="s">
        <v>34</v>
      </c>
      <c r="B26" s="14" t="s">
        <v>130</v>
      </c>
      <c r="C26" s="50">
        <v>1</v>
      </c>
      <c r="D26" s="52">
        <f t="shared" si="0"/>
        <v>6</v>
      </c>
      <c r="E26" s="70">
        <f t="shared" si="1"/>
        <v>39</v>
      </c>
      <c r="F26" s="14">
        <v>272470</v>
      </c>
      <c r="G26" s="66">
        <f>VLOOKUP(B$3:B$60,[2]Sheet1!$C$2:$L$60,10,0)</f>
        <v>253582</v>
      </c>
      <c r="H26" s="20">
        <f t="shared" si="2"/>
        <v>0.93067860681909931</v>
      </c>
      <c r="I26" s="14">
        <v>67680</v>
      </c>
      <c r="J26" s="66">
        <f>VLOOKUP(B$3:B$60,[2]Sheet1!$C$2:$Q$60,15,0)</f>
        <v>60157</v>
      </c>
      <c r="K26" s="20">
        <f t="shared" si="3"/>
        <v>0.88884456264775413</v>
      </c>
      <c r="L26" s="21">
        <f t="shared" si="4"/>
        <v>0.92235484345141849</v>
      </c>
      <c r="M26" s="22">
        <f t="shared" si="5"/>
        <v>-21210.000000000004</v>
      </c>
      <c r="N26" s="30" t="str">
        <f t="shared" si="6"/>
        <v>是</v>
      </c>
      <c r="O26" s="30"/>
      <c r="P26" s="30" t="str">
        <f t="shared" si="7"/>
        <v>5</v>
      </c>
      <c r="Q26" s="87">
        <v>511985</v>
      </c>
      <c r="R26" s="86">
        <v>124542</v>
      </c>
      <c r="S26" s="20">
        <f t="shared" si="8"/>
        <v>0.24325322030918875</v>
      </c>
      <c r="T26" s="87">
        <v>710448</v>
      </c>
      <c r="U26" s="86">
        <v>195768</v>
      </c>
      <c r="V26" s="20">
        <f t="shared" si="9"/>
        <v>0.27555570569556109</v>
      </c>
      <c r="W26" s="21">
        <f t="shared" si="10"/>
        <v>0.26202663049835861</v>
      </c>
      <c r="X26" s="164">
        <f t="shared" si="11"/>
        <v>730982.38</v>
      </c>
      <c r="Y26" s="70" t="str">
        <f t="shared" si="12"/>
        <v>否</v>
      </c>
      <c r="Z26" s="14"/>
      <c r="AA26" s="70" t="str">
        <f t="shared" si="13"/>
        <v>0</v>
      </c>
      <c r="AB26" s="14"/>
      <c r="AC26" s="14"/>
      <c r="AD26" s="12"/>
      <c r="AE26" s="12"/>
      <c r="AF26" s="12"/>
      <c r="AG26" s="12"/>
      <c r="AH26" s="12"/>
      <c r="AI26" s="12"/>
      <c r="AJ26" s="12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149"/>
      <c r="AY26" s="23"/>
      <c r="AZ26" s="12"/>
    </row>
    <row r="27" spans="1:52" ht="18" customHeight="1" x14ac:dyDescent="0.15">
      <c r="A27" s="14" t="s">
        <v>6</v>
      </c>
      <c r="B27" s="14" t="s">
        <v>131</v>
      </c>
      <c r="C27" s="50">
        <v>1</v>
      </c>
      <c r="D27" s="52">
        <f t="shared" si="0"/>
        <v>1</v>
      </c>
      <c r="E27" s="70">
        <f t="shared" si="1"/>
        <v>45</v>
      </c>
      <c r="F27" s="14">
        <v>69135</v>
      </c>
      <c r="G27" s="66">
        <f>VLOOKUP(B$3:B$60,[2]Sheet1!$C$2:$L$60,10,0)</f>
        <v>62406</v>
      </c>
      <c r="H27" s="20">
        <f t="shared" si="2"/>
        <v>0.90266869169017139</v>
      </c>
      <c r="I27" s="14">
        <v>59893</v>
      </c>
      <c r="J27" s="66">
        <f>VLOOKUP(B$3:B$60,[2]Sheet1!$C$2:$Q$60,15,0)</f>
        <v>42512</v>
      </c>
      <c r="K27" s="20">
        <f t="shared" si="3"/>
        <v>0.70979914180288184</v>
      </c>
      <c r="L27" s="21">
        <f t="shared" si="4"/>
        <v>0.81314133366401087</v>
      </c>
      <c r="M27" s="22">
        <f t="shared" si="5"/>
        <v>6046.0800000000036</v>
      </c>
      <c r="N27" s="30" t="str">
        <f t="shared" si="6"/>
        <v>否</v>
      </c>
      <c r="O27" s="30"/>
      <c r="P27" s="30" t="str">
        <f t="shared" si="7"/>
        <v>0</v>
      </c>
      <c r="Q27" s="87">
        <v>77219</v>
      </c>
      <c r="R27" s="86">
        <v>26318</v>
      </c>
      <c r="S27" s="20">
        <f t="shared" si="8"/>
        <v>0.34082285447881999</v>
      </c>
      <c r="T27" s="87">
        <v>385283</v>
      </c>
      <c r="U27" s="86">
        <v>83330</v>
      </c>
      <c r="V27" s="20">
        <f t="shared" si="9"/>
        <v>0.21628257670335832</v>
      </c>
      <c r="W27" s="21">
        <f t="shared" si="10"/>
        <v>0.23707573156440404</v>
      </c>
      <c r="X27" s="164">
        <f t="shared" si="11"/>
        <v>288103.72000000003</v>
      </c>
      <c r="Y27" s="70" t="str">
        <f t="shared" si="12"/>
        <v>否</v>
      </c>
      <c r="Z27" s="14"/>
      <c r="AA27" s="70" t="str">
        <f t="shared" si="13"/>
        <v>0</v>
      </c>
      <c r="AB27" s="14"/>
      <c r="AC27" s="14"/>
      <c r="AD27" s="12"/>
      <c r="AE27" s="12"/>
      <c r="AF27" s="12"/>
      <c r="AG27" s="12"/>
      <c r="AH27" s="12"/>
      <c r="AI27" s="12"/>
      <c r="AJ27" s="12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149"/>
      <c r="AY27" s="23"/>
      <c r="AZ27" s="12"/>
    </row>
    <row r="28" spans="1:52" ht="18" customHeight="1" x14ac:dyDescent="0.15">
      <c r="A28" s="14" t="s">
        <v>2</v>
      </c>
      <c r="B28" s="14" t="s">
        <v>132</v>
      </c>
      <c r="C28" s="50">
        <v>8</v>
      </c>
      <c r="D28" s="52">
        <f t="shared" si="0"/>
        <v>8</v>
      </c>
      <c r="E28" s="70">
        <f t="shared" si="1"/>
        <v>33</v>
      </c>
      <c r="F28" s="14">
        <v>351325</v>
      </c>
      <c r="G28" s="66">
        <f>VLOOKUP(B$3:B$60,[2]Sheet1!$C$2:$L$60,10,0)</f>
        <v>306022</v>
      </c>
      <c r="H28" s="20">
        <f t="shared" si="2"/>
        <v>0.87105102113427735</v>
      </c>
      <c r="I28" s="14">
        <v>128334</v>
      </c>
      <c r="J28" s="66">
        <f>VLOOKUP(B$3:B$60,[2]Sheet1!$C$2:$Q$60,15,0)</f>
        <v>105029</v>
      </c>
      <c r="K28" s="20">
        <f t="shared" si="3"/>
        <v>0.81840354076082722</v>
      </c>
      <c r="L28" s="21">
        <f t="shared" si="4"/>
        <v>0.85696505225587349</v>
      </c>
      <c r="M28" s="22">
        <f t="shared" si="5"/>
        <v>1455.7399999999693</v>
      </c>
      <c r="N28" s="30" t="str">
        <f t="shared" si="6"/>
        <v>否</v>
      </c>
      <c r="O28" s="30"/>
      <c r="P28" s="30" t="str">
        <f t="shared" si="7"/>
        <v>0</v>
      </c>
      <c r="Q28" s="87">
        <v>291866</v>
      </c>
      <c r="R28" s="86">
        <v>128258</v>
      </c>
      <c r="S28" s="20">
        <f t="shared" si="8"/>
        <v>0.43944138748603812</v>
      </c>
      <c r="T28" s="87">
        <v>500859</v>
      </c>
      <c r="U28" s="86">
        <v>200612</v>
      </c>
      <c r="V28" s="20">
        <f t="shared" si="9"/>
        <v>0.40053587935926077</v>
      </c>
      <c r="W28" s="21">
        <f t="shared" si="10"/>
        <v>0.41486013434671543</v>
      </c>
      <c r="X28" s="164">
        <f t="shared" si="11"/>
        <v>352873.5</v>
      </c>
      <c r="Y28" s="70" t="str">
        <f t="shared" si="12"/>
        <v>否</v>
      </c>
      <c r="Z28" s="14"/>
      <c r="AA28" s="70" t="str">
        <f t="shared" si="13"/>
        <v>0</v>
      </c>
      <c r="AB28" s="14"/>
      <c r="AC28" s="14"/>
      <c r="AD28" s="12"/>
      <c r="AE28" s="12"/>
      <c r="AF28" s="12"/>
      <c r="AG28" s="12"/>
      <c r="AH28" s="12"/>
      <c r="AI28" s="12"/>
      <c r="AJ28" s="12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149"/>
      <c r="AY28" s="23"/>
      <c r="AZ28" s="12"/>
    </row>
    <row r="29" spans="1:52" ht="18" customHeight="1" x14ac:dyDescent="0.15">
      <c r="A29" s="71" t="s">
        <v>233</v>
      </c>
      <c r="B29" s="71" t="s">
        <v>234</v>
      </c>
      <c r="C29" s="71">
        <v>0</v>
      </c>
      <c r="D29" s="71">
        <f t="shared" si="0"/>
        <v>0</v>
      </c>
      <c r="E29" s="71">
        <f t="shared" si="1"/>
        <v>50</v>
      </c>
      <c r="F29" s="71"/>
      <c r="G29" s="71"/>
      <c r="H29" s="20"/>
      <c r="I29" s="71"/>
      <c r="J29" s="71"/>
      <c r="K29" s="20"/>
      <c r="L29" s="21"/>
      <c r="M29" s="22"/>
      <c r="N29" s="71" t="str">
        <f t="shared" si="6"/>
        <v>否</v>
      </c>
      <c r="O29" s="71"/>
      <c r="P29" s="71" t="str">
        <f t="shared" si="7"/>
        <v>0</v>
      </c>
      <c r="Q29" s="87">
        <v>85096</v>
      </c>
      <c r="R29" s="86">
        <v>45480</v>
      </c>
      <c r="S29" s="20">
        <f t="shared" si="8"/>
        <v>0.53445520353483122</v>
      </c>
      <c r="T29" s="87">
        <v>545301</v>
      </c>
      <c r="U29" s="86">
        <v>20000</v>
      </c>
      <c r="V29" s="20">
        <f t="shared" si="9"/>
        <v>3.667699123970064E-2</v>
      </c>
      <c r="W29" s="21">
        <f t="shared" si="10"/>
        <v>0.10387105268584718</v>
      </c>
      <c r="X29" s="164">
        <f t="shared" si="11"/>
        <v>476661.42</v>
      </c>
      <c r="Y29" s="71" t="str">
        <f t="shared" si="12"/>
        <v>否</v>
      </c>
      <c r="Z29" s="71"/>
      <c r="AA29" s="71" t="str">
        <f t="shared" si="13"/>
        <v>0</v>
      </c>
      <c r="AB29" s="71"/>
      <c r="AC29" s="71"/>
      <c r="AD29" s="12"/>
      <c r="AE29" s="12"/>
      <c r="AF29" s="12"/>
      <c r="AG29" s="12"/>
      <c r="AH29" s="12"/>
      <c r="AI29" s="12"/>
      <c r="AJ29" s="12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149"/>
      <c r="AY29" s="23"/>
      <c r="AZ29" s="12"/>
    </row>
    <row r="30" spans="1:52" ht="18" customHeight="1" x14ac:dyDescent="0.15">
      <c r="A30" s="14" t="s">
        <v>4</v>
      </c>
      <c r="B30" s="14" t="s">
        <v>133</v>
      </c>
      <c r="C30" s="50">
        <v>1</v>
      </c>
      <c r="D30" s="52">
        <f t="shared" si="0"/>
        <v>6</v>
      </c>
      <c r="E30" s="70">
        <f t="shared" si="1"/>
        <v>39</v>
      </c>
      <c r="F30" s="14">
        <v>108059</v>
      </c>
      <c r="G30" s="66">
        <f>VLOOKUP(B$3:B$60,[2]Sheet1!$C$2:$L$60,10,0)</f>
        <v>108059</v>
      </c>
      <c r="H30" s="20">
        <f t="shared" si="2"/>
        <v>1</v>
      </c>
      <c r="I30" s="14">
        <v>70820</v>
      </c>
      <c r="J30" s="66">
        <f>VLOOKUP(B$3:B$60,[2]Sheet1!$C$2:$Q$60,15,0)</f>
        <v>69143</v>
      </c>
      <c r="K30" s="20">
        <f t="shared" si="3"/>
        <v>0.97632024851736798</v>
      </c>
      <c r="L30" s="21">
        <f t="shared" si="4"/>
        <v>0.99062494759027053</v>
      </c>
      <c r="M30" s="22">
        <f t="shared" si="5"/>
        <v>-23366.060000000005</v>
      </c>
      <c r="N30" s="30" t="str">
        <f t="shared" si="6"/>
        <v>是</v>
      </c>
      <c r="O30" s="30"/>
      <c r="P30" s="30" t="str">
        <f t="shared" si="7"/>
        <v>5</v>
      </c>
      <c r="Q30" s="87">
        <v>68456</v>
      </c>
      <c r="R30" s="86">
        <v>45222</v>
      </c>
      <c r="S30" s="20">
        <f t="shared" si="8"/>
        <v>0.66059950917377586</v>
      </c>
      <c r="T30" s="87">
        <v>321867</v>
      </c>
      <c r="U30" s="86">
        <v>155575</v>
      </c>
      <c r="V30" s="20">
        <f t="shared" si="9"/>
        <v>0.48335181922968184</v>
      </c>
      <c r="W30" s="21">
        <f t="shared" si="10"/>
        <v>0.51443804233929336</v>
      </c>
      <c r="X30" s="164">
        <f t="shared" si="11"/>
        <v>134880.78</v>
      </c>
      <c r="Y30" s="70" t="str">
        <f t="shared" si="12"/>
        <v>否</v>
      </c>
      <c r="Z30" s="14"/>
      <c r="AA30" s="70" t="str">
        <f t="shared" si="13"/>
        <v>0</v>
      </c>
      <c r="AB30" s="14"/>
      <c r="AC30" s="14"/>
      <c r="AD30" s="12"/>
      <c r="AE30" s="12"/>
      <c r="AF30" s="12"/>
      <c r="AG30" s="12"/>
      <c r="AH30" s="12"/>
      <c r="AI30" s="12"/>
      <c r="AJ30" s="12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149"/>
      <c r="AY30" s="23"/>
      <c r="AZ30" s="12"/>
    </row>
    <row r="31" spans="1:52" ht="18" customHeight="1" x14ac:dyDescent="0.15">
      <c r="A31" s="14" t="s">
        <v>3</v>
      </c>
      <c r="B31" s="14" t="s">
        <v>134</v>
      </c>
      <c r="C31" s="50">
        <v>1</v>
      </c>
      <c r="D31" s="52">
        <f t="shared" si="0"/>
        <v>1</v>
      </c>
      <c r="E31" s="70">
        <f t="shared" si="1"/>
        <v>45</v>
      </c>
      <c r="F31" s="14">
        <v>147772</v>
      </c>
      <c r="G31" s="66">
        <f>VLOOKUP(B$3:B$60,[2]Sheet1!$C$2:$L$60,10,0)</f>
        <v>117639</v>
      </c>
      <c r="H31" s="20">
        <f t="shared" si="2"/>
        <v>0.79608450856725221</v>
      </c>
      <c r="I31" s="14">
        <v>33715</v>
      </c>
      <c r="J31" s="66">
        <f>VLOOKUP(B$3:B$60,[2]Sheet1!$C$2:$Q$60,15,0)</f>
        <v>24817</v>
      </c>
      <c r="K31" s="20">
        <f t="shared" si="3"/>
        <v>0.73608186267240105</v>
      </c>
      <c r="L31" s="21">
        <f t="shared" si="4"/>
        <v>0.78493776413737626</v>
      </c>
      <c r="M31" s="22">
        <f t="shared" si="5"/>
        <v>13622.819999999992</v>
      </c>
      <c r="N31" s="30" t="str">
        <f t="shared" si="6"/>
        <v>否</v>
      </c>
      <c r="O31" s="30"/>
      <c r="P31" s="30" t="str">
        <f t="shared" si="7"/>
        <v>0</v>
      </c>
      <c r="Q31" s="87">
        <v>123842</v>
      </c>
      <c r="R31" s="86">
        <v>44604</v>
      </c>
      <c r="S31" s="20">
        <f t="shared" si="8"/>
        <v>0.36016860192826344</v>
      </c>
      <c r="T31" s="87">
        <v>775839</v>
      </c>
      <c r="U31" s="86">
        <v>180000</v>
      </c>
      <c r="V31" s="20">
        <f t="shared" si="9"/>
        <v>0.23200689833844393</v>
      </c>
      <c r="W31" s="21">
        <f t="shared" si="10"/>
        <v>0.24964848651911067</v>
      </c>
      <c r="X31" s="164">
        <f t="shared" si="11"/>
        <v>549121.66</v>
      </c>
      <c r="Y31" s="70" t="str">
        <f t="shared" si="12"/>
        <v>否</v>
      </c>
      <c r="Z31" s="14"/>
      <c r="AA31" s="70" t="str">
        <f t="shared" si="13"/>
        <v>0</v>
      </c>
      <c r="AB31" s="14"/>
      <c r="AC31" s="14"/>
      <c r="AD31" s="12"/>
      <c r="AE31" s="12"/>
      <c r="AF31" s="12"/>
      <c r="AG31" s="12"/>
      <c r="AH31" s="12"/>
      <c r="AI31" s="12"/>
      <c r="AJ31" s="12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149"/>
      <c r="AY31" s="23"/>
      <c r="AZ31" s="12"/>
    </row>
    <row r="32" spans="1:52" ht="18" customHeight="1" x14ac:dyDescent="0.15">
      <c r="A32" s="14" t="s">
        <v>2</v>
      </c>
      <c r="B32" s="14" t="s">
        <v>135</v>
      </c>
      <c r="C32" s="50">
        <v>15</v>
      </c>
      <c r="D32" s="52">
        <f t="shared" si="0"/>
        <v>20</v>
      </c>
      <c r="E32" s="70">
        <f t="shared" si="1"/>
        <v>1</v>
      </c>
      <c r="F32" s="14">
        <v>316235</v>
      </c>
      <c r="G32" s="66">
        <f>VLOOKUP(B$3:B$60,[2]Sheet1!$C$2:$L$60,10,0)</f>
        <v>283487</v>
      </c>
      <c r="H32" s="20">
        <f t="shared" si="2"/>
        <v>0.89644410011542053</v>
      </c>
      <c r="I32" s="14">
        <v>21546</v>
      </c>
      <c r="J32" s="66">
        <f>VLOOKUP(B$3:B$60,[2]Sheet1!$C$2:$Q$60,15,0)</f>
        <v>19804</v>
      </c>
      <c r="K32" s="20">
        <f t="shared" si="3"/>
        <v>0.91914972616726998</v>
      </c>
      <c r="L32" s="21">
        <f t="shared" si="4"/>
        <v>0.89789242142097991</v>
      </c>
      <c r="M32" s="22">
        <f t="shared" si="5"/>
        <v>-12799.34000000002</v>
      </c>
      <c r="N32" s="30" t="str">
        <f t="shared" si="6"/>
        <v>是</v>
      </c>
      <c r="O32" s="30"/>
      <c r="P32" s="30" t="str">
        <f t="shared" si="7"/>
        <v>5</v>
      </c>
      <c r="Q32" s="87">
        <v>218939</v>
      </c>
      <c r="R32" s="86">
        <v>59576</v>
      </c>
      <c r="S32" s="20">
        <f t="shared" si="8"/>
        <v>0.27211232352390391</v>
      </c>
      <c r="T32" s="87">
        <v>466039</v>
      </c>
      <c r="U32" s="86">
        <v>104675</v>
      </c>
      <c r="V32" s="20">
        <f t="shared" si="9"/>
        <v>0.22460566604940788</v>
      </c>
      <c r="W32" s="21">
        <f t="shared" si="10"/>
        <v>0.23979018304237509</v>
      </c>
      <c r="X32" s="164">
        <f t="shared" si="11"/>
        <v>424830.07999999996</v>
      </c>
      <c r="Y32" s="70" t="str">
        <f t="shared" si="12"/>
        <v>否</v>
      </c>
      <c r="Z32" s="14"/>
      <c r="AA32" s="70" t="str">
        <f t="shared" si="13"/>
        <v>0</v>
      </c>
      <c r="AB32" s="14"/>
      <c r="AC32" s="14"/>
      <c r="AD32" s="12"/>
      <c r="AE32" s="12"/>
      <c r="AF32" s="12"/>
      <c r="AG32" s="12"/>
      <c r="AH32" s="12"/>
      <c r="AI32" s="12"/>
      <c r="AJ32" s="12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149"/>
      <c r="AY32" s="23"/>
      <c r="AZ32" s="12"/>
    </row>
    <row r="33" spans="1:52" ht="18" customHeight="1" x14ac:dyDescent="0.15">
      <c r="A33" s="14" t="s">
        <v>32</v>
      </c>
      <c r="B33" s="14" t="s">
        <v>136</v>
      </c>
      <c r="C33" s="50">
        <v>15</v>
      </c>
      <c r="D33" s="52">
        <f t="shared" si="0"/>
        <v>20</v>
      </c>
      <c r="E33" s="70">
        <f t="shared" si="1"/>
        <v>1</v>
      </c>
      <c r="F33" s="14">
        <v>137922</v>
      </c>
      <c r="G33" s="66">
        <f>VLOOKUP(B$3:B$60,[2]Sheet1!$C$2:$L$60,10,0)</f>
        <v>120228</v>
      </c>
      <c r="H33" s="20">
        <f t="shared" si="2"/>
        <v>0.87171009701135427</v>
      </c>
      <c r="I33" s="14">
        <v>36370</v>
      </c>
      <c r="J33" s="66">
        <f>VLOOKUP(B$3:B$60,[2]Sheet1!$C$2:$Q$60,15,0)</f>
        <v>36370</v>
      </c>
      <c r="K33" s="20">
        <f t="shared" si="3"/>
        <v>1</v>
      </c>
      <c r="L33" s="21">
        <f t="shared" si="4"/>
        <v>0.89848071053175127</v>
      </c>
      <c r="M33" s="22">
        <f t="shared" si="5"/>
        <v>-6706.8799999999947</v>
      </c>
      <c r="N33" s="30" t="str">
        <f t="shared" si="6"/>
        <v>是</v>
      </c>
      <c r="O33" s="30"/>
      <c r="P33" s="30" t="str">
        <f t="shared" si="7"/>
        <v>5</v>
      </c>
      <c r="Q33" s="87">
        <v>187334</v>
      </c>
      <c r="R33" s="86">
        <v>95849</v>
      </c>
      <c r="S33" s="20">
        <f t="shared" si="8"/>
        <v>0.51164764538204488</v>
      </c>
      <c r="T33" s="87">
        <v>310854</v>
      </c>
      <c r="U33" s="86">
        <v>194013</v>
      </c>
      <c r="V33" s="20">
        <f t="shared" si="9"/>
        <v>0.62412901233376439</v>
      </c>
      <c r="W33" s="21">
        <f t="shared" si="10"/>
        <v>0.58183256120179527</v>
      </c>
      <c r="X33" s="164">
        <f t="shared" si="11"/>
        <v>138579.68000000002</v>
      </c>
      <c r="Y33" s="70" t="str">
        <f t="shared" si="12"/>
        <v>否</v>
      </c>
      <c r="Z33" s="14"/>
      <c r="AA33" s="70" t="str">
        <f t="shared" si="13"/>
        <v>0</v>
      </c>
      <c r="AB33" s="14"/>
      <c r="AC33" s="14"/>
      <c r="AD33" s="12"/>
      <c r="AE33" s="12"/>
      <c r="AF33" s="12"/>
      <c r="AG33" s="12"/>
      <c r="AH33" s="12"/>
      <c r="AI33" s="12"/>
      <c r="AJ33" s="12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149"/>
      <c r="AY33" s="23"/>
      <c r="AZ33" s="12"/>
    </row>
    <row r="34" spans="1:52" ht="18" customHeight="1" x14ac:dyDescent="0.15">
      <c r="A34" s="14" t="s">
        <v>117</v>
      </c>
      <c r="B34" s="14" t="s">
        <v>137</v>
      </c>
      <c r="C34" s="50">
        <v>15</v>
      </c>
      <c r="D34" s="52">
        <f t="shared" si="0"/>
        <v>20</v>
      </c>
      <c r="E34" s="70">
        <f t="shared" si="1"/>
        <v>1</v>
      </c>
      <c r="F34" s="14">
        <v>227129</v>
      </c>
      <c r="G34" s="66">
        <f>VLOOKUP(B$3:B$60,[2]Sheet1!$C$2:$L$60,10,0)</f>
        <v>213899</v>
      </c>
      <c r="H34" s="20">
        <f t="shared" si="2"/>
        <v>0.94175116343575682</v>
      </c>
      <c r="I34" s="14">
        <v>19280</v>
      </c>
      <c r="J34" s="66">
        <f>VLOOKUP(B$3:B$60,[2]Sheet1!$C$2:$Q$60,15,0)</f>
        <v>16236</v>
      </c>
      <c r="K34" s="20">
        <f t="shared" si="3"/>
        <v>0.84211618257261411</v>
      </c>
      <c r="L34" s="21">
        <f t="shared" si="4"/>
        <v>0.93395533442366152</v>
      </c>
      <c r="M34" s="22">
        <f t="shared" si="5"/>
        <v>-18223.260000000017</v>
      </c>
      <c r="N34" s="30" t="str">
        <f t="shared" si="6"/>
        <v>是</v>
      </c>
      <c r="O34" s="30"/>
      <c r="P34" s="30" t="str">
        <f t="shared" si="7"/>
        <v>5</v>
      </c>
      <c r="Q34" s="87">
        <v>259302</v>
      </c>
      <c r="R34" s="86">
        <v>102880</v>
      </c>
      <c r="S34" s="20">
        <f t="shared" si="8"/>
        <v>0.3967574488434335</v>
      </c>
      <c r="T34" s="87">
        <v>280883</v>
      </c>
      <c r="U34" s="86">
        <v>57317</v>
      </c>
      <c r="V34" s="20">
        <f t="shared" si="9"/>
        <v>0.20406005347422237</v>
      </c>
      <c r="W34" s="21">
        <f t="shared" si="10"/>
        <v>0.29655951201903052</v>
      </c>
      <c r="X34" s="164">
        <f t="shared" si="11"/>
        <v>304362.09999999998</v>
      </c>
      <c r="Y34" s="70" t="str">
        <f t="shared" si="12"/>
        <v>否</v>
      </c>
      <c r="Z34" s="14"/>
      <c r="AA34" s="70" t="str">
        <f t="shared" si="13"/>
        <v>0</v>
      </c>
      <c r="AB34" s="14"/>
      <c r="AC34" s="14"/>
      <c r="AD34" s="12"/>
      <c r="AE34" s="12"/>
      <c r="AF34" s="12"/>
      <c r="AG34" s="12"/>
      <c r="AH34" s="12"/>
      <c r="AI34" s="12"/>
      <c r="AJ34" s="12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149"/>
      <c r="AY34" s="23"/>
      <c r="AZ34" s="12"/>
    </row>
    <row r="35" spans="1:52" ht="18" customHeight="1" x14ac:dyDescent="0.15">
      <c r="A35" s="14" t="s">
        <v>6</v>
      </c>
      <c r="B35" s="14" t="s">
        <v>138</v>
      </c>
      <c r="C35" s="50">
        <v>1</v>
      </c>
      <c r="D35" s="52">
        <f t="shared" si="0"/>
        <v>6</v>
      </c>
      <c r="E35" s="70">
        <f t="shared" si="1"/>
        <v>39</v>
      </c>
      <c r="F35" s="14">
        <v>69119</v>
      </c>
      <c r="G35" s="66">
        <f>VLOOKUP(B$3:B$60,[2]Sheet1!$C$2:$L$60,10,0)</f>
        <v>54662</v>
      </c>
      <c r="H35" s="20">
        <f t="shared" si="2"/>
        <v>0.79083898783257855</v>
      </c>
      <c r="I35" s="14">
        <v>96927</v>
      </c>
      <c r="J35" s="66">
        <f>VLOOKUP(B$3:B$60,[2]Sheet1!$C$2:$Q$60,15,0)</f>
        <v>91857</v>
      </c>
      <c r="K35" s="20">
        <f t="shared" si="3"/>
        <v>0.9476925933950292</v>
      </c>
      <c r="L35" s="21">
        <f t="shared" si="4"/>
        <v>0.88240005781530417</v>
      </c>
      <c r="M35" s="22">
        <f t="shared" si="5"/>
        <v>-3719.4399999999987</v>
      </c>
      <c r="N35" s="30" t="str">
        <f t="shared" si="6"/>
        <v>是</v>
      </c>
      <c r="O35" s="30"/>
      <c r="P35" s="30" t="str">
        <f t="shared" si="7"/>
        <v>5</v>
      </c>
      <c r="Q35" s="87">
        <v>79409</v>
      </c>
      <c r="R35" s="86">
        <v>20407</v>
      </c>
      <c r="S35" s="20">
        <f t="shared" si="8"/>
        <v>0.25698598395647848</v>
      </c>
      <c r="T35" s="87">
        <v>382299</v>
      </c>
      <c r="U35" s="86">
        <v>230000</v>
      </c>
      <c r="V35" s="20">
        <f t="shared" si="9"/>
        <v>0.60162333670765555</v>
      </c>
      <c r="W35" s="21">
        <f t="shared" si="10"/>
        <v>0.54234927703223679</v>
      </c>
      <c r="X35" s="164">
        <f t="shared" si="11"/>
        <v>146661.88</v>
      </c>
      <c r="Y35" s="70" t="str">
        <f t="shared" si="12"/>
        <v>否</v>
      </c>
      <c r="Z35" s="14"/>
      <c r="AA35" s="70" t="str">
        <f t="shared" si="13"/>
        <v>0</v>
      </c>
      <c r="AB35" s="14"/>
      <c r="AC35" s="14"/>
      <c r="AD35" s="12"/>
      <c r="AE35" s="12"/>
      <c r="AF35" s="12"/>
      <c r="AG35" s="12"/>
      <c r="AH35" s="12"/>
      <c r="AI35" s="12"/>
      <c r="AJ35" s="12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149"/>
      <c r="AY35" s="23"/>
      <c r="AZ35" s="12"/>
    </row>
    <row r="36" spans="1:52" ht="18" customHeight="1" x14ac:dyDescent="0.15">
      <c r="A36" s="14" t="s">
        <v>2</v>
      </c>
      <c r="B36" s="14" t="s">
        <v>139</v>
      </c>
      <c r="C36" s="50">
        <v>-6</v>
      </c>
      <c r="D36" s="52">
        <f t="shared" si="0"/>
        <v>-6</v>
      </c>
      <c r="E36" s="70">
        <f t="shared" si="1"/>
        <v>53</v>
      </c>
      <c r="F36" s="14">
        <v>228696</v>
      </c>
      <c r="G36" s="66">
        <f>VLOOKUP(B$3:B$60,[2]Sheet1!$C$2:$L$60,10,0)</f>
        <v>183619</v>
      </c>
      <c r="H36" s="20">
        <f t="shared" si="2"/>
        <v>0.80289554692692477</v>
      </c>
      <c r="I36" s="14">
        <v>52582</v>
      </c>
      <c r="J36" s="66">
        <f>VLOOKUP(B$3:B$60,[2]Sheet1!$C$2:$Q$60,15,0)</f>
        <v>42680</v>
      </c>
      <c r="K36" s="20">
        <f t="shared" si="3"/>
        <v>0.81168460689969957</v>
      </c>
      <c r="L36" s="21">
        <f t="shared" si="4"/>
        <v>0.80453857038232635</v>
      </c>
      <c r="M36" s="22">
        <f t="shared" si="5"/>
        <v>15600.080000000007</v>
      </c>
      <c r="N36" s="30" t="str">
        <f t="shared" si="6"/>
        <v>否</v>
      </c>
      <c r="O36" s="30"/>
      <c r="P36" s="30" t="str">
        <f t="shared" si="7"/>
        <v>0</v>
      </c>
      <c r="Q36" s="87">
        <v>200365</v>
      </c>
      <c r="R36" s="86">
        <v>77338</v>
      </c>
      <c r="S36" s="20">
        <f t="shared" si="8"/>
        <v>0.38598557632321012</v>
      </c>
      <c r="T36" s="87">
        <v>393729</v>
      </c>
      <c r="U36" s="86">
        <v>184096</v>
      </c>
      <c r="V36" s="20">
        <f t="shared" si="9"/>
        <v>0.46757033390987202</v>
      </c>
      <c r="W36" s="21">
        <f t="shared" si="10"/>
        <v>0.44005494080061403</v>
      </c>
      <c r="X36" s="164">
        <f t="shared" si="11"/>
        <v>249486.84</v>
      </c>
      <c r="Y36" s="70" t="str">
        <f t="shared" si="12"/>
        <v>否</v>
      </c>
      <c r="Z36" s="14"/>
      <c r="AA36" s="70" t="str">
        <f t="shared" si="13"/>
        <v>0</v>
      </c>
      <c r="AB36" s="14"/>
      <c r="AC36" s="14"/>
      <c r="AD36" s="12"/>
      <c r="AE36" s="12"/>
      <c r="AF36" s="12"/>
      <c r="AG36" s="12"/>
      <c r="AH36" s="12"/>
      <c r="AI36" s="12"/>
      <c r="AJ36" s="12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149"/>
      <c r="AY36" s="23"/>
      <c r="AZ36" s="12"/>
    </row>
    <row r="37" spans="1:52" ht="18" customHeight="1" x14ac:dyDescent="0.15">
      <c r="A37" s="14" t="s">
        <v>33</v>
      </c>
      <c r="B37" s="14" t="s">
        <v>140</v>
      </c>
      <c r="C37" s="50">
        <v>1</v>
      </c>
      <c r="D37" s="52">
        <f t="shared" si="0"/>
        <v>1</v>
      </c>
      <c r="E37" s="70">
        <f t="shared" si="1"/>
        <v>45</v>
      </c>
      <c r="F37" s="14">
        <v>80195</v>
      </c>
      <c r="G37" s="66">
        <f>VLOOKUP(B$3:B$60,[2]Sheet1!$C$2:$L$60,10,0)</f>
        <v>65009</v>
      </c>
      <c r="H37" s="20">
        <f t="shared" si="2"/>
        <v>0.81063657335245343</v>
      </c>
      <c r="I37" s="14">
        <v>16517</v>
      </c>
      <c r="J37" s="66">
        <f>VLOOKUP(B$3:B$60,[2]Sheet1!$C$2:$Q$60,15,0)</f>
        <v>16517</v>
      </c>
      <c r="K37" s="20">
        <f t="shared" si="3"/>
        <v>1</v>
      </c>
      <c r="L37" s="21">
        <f t="shared" si="4"/>
        <v>0.84297708660765991</v>
      </c>
      <c r="M37" s="22">
        <f t="shared" si="5"/>
        <v>1646.3199999999936</v>
      </c>
      <c r="N37" s="30" t="str">
        <f t="shared" si="6"/>
        <v>否</v>
      </c>
      <c r="O37" s="30"/>
      <c r="P37" s="30" t="str">
        <f t="shared" si="7"/>
        <v>0</v>
      </c>
      <c r="Q37" s="87">
        <v>55034</v>
      </c>
      <c r="R37" s="86">
        <v>21570</v>
      </c>
      <c r="S37" s="20">
        <f t="shared" si="8"/>
        <v>0.39193952829160156</v>
      </c>
      <c r="T37" s="87">
        <v>300166</v>
      </c>
      <c r="U37" s="86">
        <v>108507</v>
      </c>
      <c r="V37" s="20">
        <f t="shared" si="9"/>
        <v>0.36148997554686407</v>
      </c>
      <c r="W37" s="21">
        <f t="shared" si="10"/>
        <v>0.36620777027027029</v>
      </c>
      <c r="X37" s="164">
        <f t="shared" si="11"/>
        <v>175395</v>
      </c>
      <c r="Y37" s="70" t="str">
        <f t="shared" si="12"/>
        <v>否</v>
      </c>
      <c r="Z37" s="14"/>
      <c r="AA37" s="70" t="str">
        <f t="shared" si="13"/>
        <v>0</v>
      </c>
      <c r="AB37" s="14"/>
      <c r="AC37" s="14"/>
      <c r="AD37" s="12"/>
      <c r="AE37" s="12"/>
      <c r="AF37" s="12"/>
      <c r="AG37" s="12"/>
      <c r="AH37" s="12"/>
      <c r="AI37" s="12"/>
      <c r="AJ37" s="12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149"/>
      <c r="AY37" s="23"/>
      <c r="AZ37" s="12"/>
    </row>
    <row r="38" spans="1:52" ht="18" customHeight="1" x14ac:dyDescent="0.15">
      <c r="A38" s="14" t="s">
        <v>117</v>
      </c>
      <c r="B38" s="14" t="s">
        <v>141</v>
      </c>
      <c r="C38" s="50">
        <v>15</v>
      </c>
      <c r="D38" s="52">
        <f t="shared" si="0"/>
        <v>20</v>
      </c>
      <c r="E38" s="70">
        <f t="shared" si="1"/>
        <v>1</v>
      </c>
      <c r="F38" s="14">
        <v>42089</v>
      </c>
      <c r="G38" s="66">
        <f>VLOOKUP(B$3:B$60,[2]Sheet1!$C$2:$L$60,10,0)</f>
        <v>42089</v>
      </c>
      <c r="H38" s="20">
        <f t="shared" si="2"/>
        <v>1</v>
      </c>
      <c r="I38" s="14">
        <v>20841</v>
      </c>
      <c r="J38" s="66">
        <f>VLOOKUP(B$3:B$60,[2]Sheet1!$C$2:$Q$60,15,0)</f>
        <v>20841</v>
      </c>
      <c r="K38" s="20">
        <f t="shared" si="3"/>
        <v>1</v>
      </c>
      <c r="L38" s="21">
        <f t="shared" si="4"/>
        <v>1</v>
      </c>
      <c r="M38" s="22">
        <f t="shared" si="5"/>
        <v>-8810.2000000000007</v>
      </c>
      <c r="N38" s="30" t="str">
        <f t="shared" si="6"/>
        <v>是</v>
      </c>
      <c r="O38" s="30"/>
      <c r="P38" s="30" t="str">
        <f t="shared" si="7"/>
        <v>5</v>
      </c>
      <c r="Q38" s="87">
        <v>69261</v>
      </c>
      <c r="R38" s="86">
        <v>9981</v>
      </c>
      <c r="S38" s="20">
        <f t="shared" si="8"/>
        <v>0.14410707324468316</v>
      </c>
      <c r="T38" s="87">
        <v>161316</v>
      </c>
      <c r="U38" s="86">
        <v>50000</v>
      </c>
      <c r="V38" s="20">
        <f t="shared" si="9"/>
        <v>0.30995065585558779</v>
      </c>
      <c r="W38" s="21">
        <f t="shared" si="10"/>
        <v>0.26013435858736994</v>
      </c>
      <c r="X38" s="164">
        <f t="shared" si="11"/>
        <v>138315.21999999997</v>
      </c>
      <c r="Y38" s="70" t="str">
        <f t="shared" si="12"/>
        <v>否</v>
      </c>
      <c r="Z38" s="14"/>
      <c r="AA38" s="70" t="str">
        <f t="shared" si="13"/>
        <v>0</v>
      </c>
      <c r="AB38" s="14"/>
      <c r="AC38" s="14"/>
      <c r="AD38" s="12"/>
      <c r="AE38" s="12"/>
      <c r="AF38" s="12"/>
      <c r="AG38" s="12"/>
      <c r="AH38" s="12"/>
      <c r="AI38" s="12"/>
      <c r="AJ38" s="12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149"/>
      <c r="AY38" s="23"/>
      <c r="AZ38" s="12"/>
    </row>
    <row r="39" spans="1:52" ht="18" customHeight="1" x14ac:dyDescent="0.15">
      <c r="A39" s="14" t="s">
        <v>105</v>
      </c>
      <c r="B39" s="14" t="s">
        <v>142</v>
      </c>
      <c r="C39" s="50">
        <v>8</v>
      </c>
      <c r="D39" s="52">
        <f t="shared" si="0"/>
        <v>8</v>
      </c>
      <c r="E39" s="70">
        <f t="shared" si="1"/>
        <v>33</v>
      </c>
      <c r="F39" s="14">
        <v>147254</v>
      </c>
      <c r="G39" s="66">
        <f>VLOOKUP(B$3:B$60,[2]Sheet1!$C$2:$L$60,10,0)</f>
        <v>103477</v>
      </c>
      <c r="H39" s="20">
        <f t="shared" si="2"/>
        <v>0.70271096201121874</v>
      </c>
      <c r="I39" s="14">
        <v>43600</v>
      </c>
      <c r="J39" s="66">
        <f>VLOOKUP(B$3:B$60,[2]Sheet1!$C$2:$Q$60,15,0)</f>
        <v>43600</v>
      </c>
      <c r="K39" s="20">
        <f t="shared" si="3"/>
        <v>1</v>
      </c>
      <c r="L39" s="21">
        <f t="shared" si="4"/>
        <v>0.77062571389648626</v>
      </c>
      <c r="M39" s="22">
        <f t="shared" si="5"/>
        <v>17057.44000000001</v>
      </c>
      <c r="N39" s="30" t="str">
        <f t="shared" si="6"/>
        <v>否</v>
      </c>
      <c r="O39" s="30"/>
      <c r="P39" s="30" t="str">
        <f t="shared" si="7"/>
        <v>0</v>
      </c>
      <c r="Q39" s="87">
        <v>194095</v>
      </c>
      <c r="R39" s="86">
        <v>53438</v>
      </c>
      <c r="S39" s="20">
        <f t="shared" si="8"/>
        <v>0.27531878719183905</v>
      </c>
      <c r="T39" s="87">
        <v>473391</v>
      </c>
      <c r="U39" s="86">
        <v>126923</v>
      </c>
      <c r="V39" s="20">
        <f t="shared" si="9"/>
        <v>0.26811451844247147</v>
      </c>
      <c r="W39" s="21">
        <f t="shared" si="10"/>
        <v>0.27020941263187542</v>
      </c>
      <c r="X39" s="164">
        <f t="shared" si="11"/>
        <v>393676.96</v>
      </c>
      <c r="Y39" s="70" t="str">
        <f t="shared" si="12"/>
        <v>否</v>
      </c>
      <c r="Z39" s="14"/>
      <c r="AA39" s="70" t="str">
        <f t="shared" si="13"/>
        <v>0</v>
      </c>
      <c r="AB39" s="14"/>
      <c r="AC39" s="14"/>
      <c r="AD39" s="12"/>
      <c r="AE39" s="12"/>
      <c r="AF39" s="12"/>
      <c r="AG39" s="12"/>
      <c r="AH39" s="12"/>
      <c r="AI39" s="12"/>
      <c r="AJ39" s="12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149"/>
      <c r="AY39" s="23"/>
      <c r="AZ39" s="12"/>
    </row>
    <row r="40" spans="1:52" ht="18" customHeight="1" x14ac:dyDescent="0.15">
      <c r="A40" s="14" t="s">
        <v>117</v>
      </c>
      <c r="B40" s="14" t="s">
        <v>143</v>
      </c>
      <c r="C40" s="50">
        <v>15</v>
      </c>
      <c r="D40" s="52">
        <f t="shared" si="0"/>
        <v>20</v>
      </c>
      <c r="E40" s="70">
        <f t="shared" si="1"/>
        <v>1</v>
      </c>
      <c r="F40" s="14">
        <v>202602</v>
      </c>
      <c r="G40" s="66">
        <f>VLOOKUP(B$3:B$60,[2]Sheet1!$C$2:$L$60,10,0)</f>
        <v>173094</v>
      </c>
      <c r="H40" s="20">
        <f t="shared" si="2"/>
        <v>0.85435484348624402</v>
      </c>
      <c r="I40" s="14">
        <v>64653</v>
      </c>
      <c r="J40" s="66">
        <f>VLOOKUP(B$3:B$60,[2]Sheet1!$C$2:$Q$60,15,0)</f>
        <v>59628</v>
      </c>
      <c r="K40" s="20">
        <f t="shared" si="3"/>
        <v>0.92227738852025432</v>
      </c>
      <c r="L40" s="21">
        <f t="shared" si="4"/>
        <v>0.87078632766458997</v>
      </c>
      <c r="M40" s="22">
        <f t="shared" si="5"/>
        <v>-2882.6999999999948</v>
      </c>
      <c r="N40" s="30" t="str">
        <f t="shared" si="6"/>
        <v>是</v>
      </c>
      <c r="O40" s="30"/>
      <c r="P40" s="30" t="str">
        <f t="shared" si="7"/>
        <v>5</v>
      </c>
      <c r="Q40" s="87">
        <v>150838</v>
      </c>
      <c r="R40" s="86">
        <v>38446</v>
      </c>
      <c r="S40" s="20">
        <f t="shared" si="8"/>
        <v>0.25488272186053912</v>
      </c>
      <c r="T40" s="87">
        <v>382627</v>
      </c>
      <c r="U40" s="86">
        <v>198936</v>
      </c>
      <c r="V40" s="20">
        <f t="shared" si="9"/>
        <v>0.51992149011962041</v>
      </c>
      <c r="W40" s="21">
        <f t="shared" si="10"/>
        <v>0.44498139521805552</v>
      </c>
      <c r="X40" s="164">
        <f t="shared" si="11"/>
        <v>221397.9</v>
      </c>
      <c r="Y40" s="70" t="str">
        <f t="shared" si="12"/>
        <v>否</v>
      </c>
      <c r="Z40" s="14"/>
      <c r="AA40" s="70" t="str">
        <f t="shared" si="13"/>
        <v>0</v>
      </c>
      <c r="AB40" s="14"/>
      <c r="AC40" s="14"/>
      <c r="AD40" s="12"/>
      <c r="AE40" s="12"/>
      <c r="AF40" s="12"/>
      <c r="AG40" s="12"/>
      <c r="AH40" s="12"/>
      <c r="AI40" s="12"/>
      <c r="AJ40" s="12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149"/>
      <c r="AY40" s="23"/>
      <c r="AZ40" s="12"/>
    </row>
    <row r="41" spans="1:52" ht="18" customHeight="1" x14ac:dyDescent="0.15">
      <c r="A41" s="14" t="s">
        <v>117</v>
      </c>
      <c r="B41" s="14" t="s">
        <v>144</v>
      </c>
      <c r="C41" s="50">
        <v>8</v>
      </c>
      <c r="D41" s="52">
        <f t="shared" si="0"/>
        <v>8</v>
      </c>
      <c r="E41" s="70">
        <f t="shared" si="1"/>
        <v>33</v>
      </c>
      <c r="F41" s="14">
        <v>166732</v>
      </c>
      <c r="G41" s="66">
        <f>VLOOKUP(B$3:B$60,[2]Sheet1!$C$2:$L$60,10,0)</f>
        <v>134043</v>
      </c>
      <c r="H41" s="20">
        <f t="shared" si="2"/>
        <v>0.80394285440107482</v>
      </c>
      <c r="I41" s="14">
        <v>43534</v>
      </c>
      <c r="J41" s="66">
        <f>VLOOKUP(B$3:B$60,[2]Sheet1!$C$2:$Q$60,15,0)</f>
        <v>43534</v>
      </c>
      <c r="K41" s="20">
        <f t="shared" si="3"/>
        <v>1</v>
      </c>
      <c r="L41" s="21">
        <f t="shared" si="4"/>
        <v>0.84453501754919957</v>
      </c>
      <c r="M41" s="22">
        <f t="shared" si="5"/>
        <v>3251.7599999999998</v>
      </c>
      <c r="N41" s="30" t="str">
        <f t="shared" si="6"/>
        <v>否</v>
      </c>
      <c r="O41" s="30"/>
      <c r="P41" s="30" t="str">
        <f t="shared" si="7"/>
        <v>0</v>
      </c>
      <c r="Q41" s="87">
        <v>184666</v>
      </c>
      <c r="R41" s="86">
        <v>27134</v>
      </c>
      <c r="S41" s="20">
        <f t="shared" si="8"/>
        <v>0.14693554850378521</v>
      </c>
      <c r="T41" s="87">
        <v>246926</v>
      </c>
      <c r="U41" s="86">
        <v>39891</v>
      </c>
      <c r="V41" s="20">
        <f t="shared" si="9"/>
        <v>0.16155042401367212</v>
      </c>
      <c r="W41" s="21">
        <f t="shared" si="10"/>
        <v>0.155297132476969</v>
      </c>
      <c r="X41" s="164">
        <f t="shared" si="11"/>
        <v>304144.12</v>
      </c>
      <c r="Y41" s="70" t="str">
        <f t="shared" si="12"/>
        <v>否</v>
      </c>
      <c r="Z41" s="14"/>
      <c r="AA41" s="70" t="str">
        <f t="shared" si="13"/>
        <v>0</v>
      </c>
      <c r="AB41" s="14"/>
      <c r="AC41" s="14"/>
      <c r="AD41" s="12"/>
      <c r="AE41" s="12"/>
      <c r="AF41" s="12"/>
      <c r="AG41" s="12"/>
      <c r="AH41" s="12"/>
      <c r="AI41" s="12"/>
      <c r="AJ41" s="12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149"/>
      <c r="AY41" s="23"/>
      <c r="AZ41" s="12"/>
    </row>
    <row r="42" spans="1:52" ht="18" customHeight="1" x14ac:dyDescent="0.15">
      <c r="A42" s="14" t="s">
        <v>117</v>
      </c>
      <c r="B42" s="14" t="s">
        <v>145</v>
      </c>
      <c r="C42" s="50">
        <v>15</v>
      </c>
      <c r="D42" s="52">
        <f t="shared" si="0"/>
        <v>20</v>
      </c>
      <c r="E42" s="70">
        <f t="shared" si="1"/>
        <v>1</v>
      </c>
      <c r="F42" s="14">
        <v>40653</v>
      </c>
      <c r="G42" s="66">
        <f>VLOOKUP(B$3:B$60,[2]Sheet1!$C$2:$L$60,10,0)</f>
        <v>40653</v>
      </c>
      <c r="H42" s="20">
        <f t="shared" si="2"/>
        <v>1</v>
      </c>
      <c r="I42" s="14">
        <v>26040</v>
      </c>
      <c r="J42" s="66">
        <f>VLOOKUP(B$3:B$60,[2]Sheet1!$C$2:$Q$60,15,0)</f>
        <v>19147</v>
      </c>
      <c r="K42" s="20">
        <f t="shared" si="3"/>
        <v>0.73529185867895541</v>
      </c>
      <c r="L42" s="21">
        <f t="shared" si="4"/>
        <v>0.89664582489916478</v>
      </c>
      <c r="M42" s="22">
        <f t="shared" si="5"/>
        <v>-2444.0199999999973</v>
      </c>
      <c r="N42" s="30" t="str">
        <f t="shared" si="6"/>
        <v>是</v>
      </c>
      <c r="O42" s="30"/>
      <c r="P42" s="30" t="str">
        <f t="shared" si="7"/>
        <v>5</v>
      </c>
      <c r="Q42" s="87">
        <v>46480</v>
      </c>
      <c r="R42" s="86">
        <v>23865</v>
      </c>
      <c r="S42" s="20">
        <f t="shared" si="8"/>
        <v>0.51344664371772808</v>
      </c>
      <c r="T42" s="87">
        <v>177660</v>
      </c>
      <c r="U42" s="86">
        <v>20000</v>
      </c>
      <c r="V42" s="20">
        <f t="shared" si="9"/>
        <v>0.11257458065968705</v>
      </c>
      <c r="W42" s="21">
        <f t="shared" si="10"/>
        <v>0.19570357812081735</v>
      </c>
      <c r="X42" s="164">
        <f t="shared" si="11"/>
        <v>148895.40000000002</v>
      </c>
      <c r="Y42" s="70" t="str">
        <f t="shared" si="12"/>
        <v>否</v>
      </c>
      <c r="Z42" s="14"/>
      <c r="AA42" s="70" t="str">
        <f t="shared" si="13"/>
        <v>0</v>
      </c>
      <c r="AB42" s="14"/>
      <c r="AC42" s="14"/>
      <c r="AD42" s="12"/>
      <c r="AE42" s="12"/>
      <c r="AF42" s="12"/>
      <c r="AG42" s="12"/>
      <c r="AH42" s="12"/>
      <c r="AI42" s="12"/>
      <c r="AJ42" s="12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149"/>
      <c r="AY42" s="23"/>
      <c r="AZ42" s="12"/>
    </row>
    <row r="43" spans="1:52" ht="18" customHeight="1" x14ac:dyDescent="0.15">
      <c r="A43" s="14" t="s">
        <v>123</v>
      </c>
      <c r="B43" s="14" t="s">
        <v>146</v>
      </c>
      <c r="C43" s="50">
        <v>-6</v>
      </c>
      <c r="D43" s="52">
        <f t="shared" si="0"/>
        <v>-6</v>
      </c>
      <c r="E43" s="70">
        <f t="shared" si="1"/>
        <v>53</v>
      </c>
      <c r="F43" s="14">
        <v>163562</v>
      </c>
      <c r="G43" s="66">
        <f>VLOOKUP(B$3:B$60,[2]Sheet1!$C$2:$L$60,10,0)</f>
        <v>119794</v>
      </c>
      <c r="H43" s="20">
        <f t="shared" si="2"/>
        <v>0.73240728286521317</v>
      </c>
      <c r="I43" s="14">
        <v>76566</v>
      </c>
      <c r="J43" s="66">
        <f>VLOOKUP(B$3:B$60,[2]Sheet1!$C$2:$Q$60,15,0)</f>
        <v>58008</v>
      </c>
      <c r="K43" s="20">
        <f t="shared" si="3"/>
        <v>0.75762087610688822</v>
      </c>
      <c r="L43" s="21">
        <f t="shared" si="4"/>
        <v>0.74044676172707891</v>
      </c>
      <c r="M43" s="22">
        <f t="shared" si="5"/>
        <v>28708.079999999994</v>
      </c>
      <c r="N43" s="30" t="str">
        <f t="shared" si="6"/>
        <v>否</v>
      </c>
      <c r="O43" s="30"/>
      <c r="P43" s="30" t="str">
        <f t="shared" si="7"/>
        <v>0</v>
      </c>
      <c r="Q43" s="87">
        <v>148339</v>
      </c>
      <c r="R43" s="86">
        <v>34368</v>
      </c>
      <c r="S43" s="20">
        <f t="shared" si="8"/>
        <v>0.23168553111454168</v>
      </c>
      <c r="T43" s="87">
        <v>285042</v>
      </c>
      <c r="U43" s="86">
        <v>100162</v>
      </c>
      <c r="V43" s="20">
        <f t="shared" si="9"/>
        <v>0.35139382968123994</v>
      </c>
      <c r="W43" s="21">
        <f t="shared" si="10"/>
        <v>0.3104196999868476</v>
      </c>
      <c r="X43" s="164">
        <f t="shared" si="11"/>
        <v>238177.66</v>
      </c>
      <c r="Y43" s="70" t="str">
        <f t="shared" si="12"/>
        <v>否</v>
      </c>
      <c r="Z43" s="14"/>
      <c r="AA43" s="70" t="str">
        <f t="shared" si="13"/>
        <v>0</v>
      </c>
      <c r="AB43" s="14"/>
      <c r="AC43" s="14"/>
      <c r="AD43" s="12"/>
      <c r="AE43" s="12"/>
      <c r="AF43" s="12"/>
      <c r="AG43" s="12"/>
      <c r="AH43" s="12"/>
      <c r="AI43" s="12"/>
      <c r="AJ43" s="12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149"/>
      <c r="AY43" s="23"/>
      <c r="AZ43" s="12"/>
    </row>
    <row r="44" spans="1:52" ht="18" customHeight="1" x14ac:dyDescent="0.15">
      <c r="A44" s="14" t="s">
        <v>105</v>
      </c>
      <c r="B44" s="14" t="s">
        <v>147</v>
      </c>
      <c r="C44" s="50">
        <v>15</v>
      </c>
      <c r="D44" s="52">
        <f t="shared" si="0"/>
        <v>20</v>
      </c>
      <c r="E44" s="70">
        <f t="shared" si="1"/>
        <v>1</v>
      </c>
      <c r="F44" s="14">
        <v>201986</v>
      </c>
      <c r="G44" s="66">
        <f>VLOOKUP(B$3:B$60,[2]Sheet1!$C$2:$L$60,10,0)</f>
        <v>196529</v>
      </c>
      <c r="H44" s="20">
        <f t="shared" si="2"/>
        <v>0.97298327606863844</v>
      </c>
      <c r="I44" s="14">
        <v>58826</v>
      </c>
      <c r="J44" s="66">
        <f>VLOOKUP(B$3:B$60,[2]Sheet1!$C$2:$Q$60,15,0)</f>
        <v>52504</v>
      </c>
      <c r="K44" s="20">
        <f t="shared" si="3"/>
        <v>0.89253051371842385</v>
      </c>
      <c r="L44" s="21">
        <f t="shared" si="4"/>
        <v>0.95483720074229717</v>
      </c>
      <c r="M44" s="22">
        <f t="shared" si="5"/>
        <v>-24734.680000000011</v>
      </c>
      <c r="N44" s="30" t="str">
        <f t="shared" si="6"/>
        <v>是</v>
      </c>
      <c r="O44" s="30"/>
      <c r="P44" s="30" t="str">
        <f t="shared" si="7"/>
        <v>5</v>
      </c>
      <c r="Q44" s="87">
        <v>247679</v>
      </c>
      <c r="R44" s="86">
        <v>92562</v>
      </c>
      <c r="S44" s="20">
        <f t="shared" si="8"/>
        <v>0.37371759414403322</v>
      </c>
      <c r="T44" s="87">
        <v>720058</v>
      </c>
      <c r="U44" s="86">
        <v>304586</v>
      </c>
      <c r="V44" s="20">
        <f t="shared" si="9"/>
        <v>0.42300203594710428</v>
      </c>
      <c r="W44" s="21">
        <f t="shared" si="10"/>
        <v>0.41038835964730086</v>
      </c>
      <c r="X44" s="164">
        <f t="shared" si="11"/>
        <v>435105.82</v>
      </c>
      <c r="Y44" s="70" t="str">
        <f t="shared" si="12"/>
        <v>否</v>
      </c>
      <c r="Z44" s="14"/>
      <c r="AA44" s="70" t="str">
        <f t="shared" si="13"/>
        <v>0</v>
      </c>
      <c r="AB44" s="14"/>
      <c r="AC44" s="14"/>
      <c r="AD44" s="12"/>
      <c r="AE44" s="12"/>
      <c r="AF44" s="12"/>
      <c r="AG44" s="12"/>
      <c r="AH44" s="12"/>
      <c r="AI44" s="12"/>
      <c r="AJ44" s="12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149"/>
      <c r="AY44" s="23"/>
      <c r="AZ44" s="12"/>
    </row>
    <row r="45" spans="1:52" ht="18" customHeight="1" x14ac:dyDescent="0.15">
      <c r="A45" s="14" t="s">
        <v>3</v>
      </c>
      <c r="B45" s="14" t="s">
        <v>148</v>
      </c>
      <c r="C45" s="50">
        <v>15</v>
      </c>
      <c r="D45" s="52">
        <f t="shared" si="0"/>
        <v>15</v>
      </c>
      <c r="E45" s="70">
        <f t="shared" si="1"/>
        <v>15</v>
      </c>
      <c r="F45" s="14">
        <v>16189</v>
      </c>
      <c r="G45" s="66">
        <f>VLOOKUP(B$3:B$60,[2]Sheet1!$C$2:$L$60,10,0)</f>
        <v>16189</v>
      </c>
      <c r="H45" s="20">
        <f t="shared" si="2"/>
        <v>1</v>
      </c>
      <c r="I45" s="14">
        <v>8997</v>
      </c>
      <c r="J45" s="66">
        <f>VLOOKUP(B$3:B$60,[2]Sheet1!$C$2:$Q$60,15,0)</f>
        <v>4124</v>
      </c>
      <c r="K45" s="20">
        <f t="shared" si="3"/>
        <v>0.45837501389352009</v>
      </c>
      <c r="L45" s="21">
        <f t="shared" si="4"/>
        <v>0.80651949495751607</v>
      </c>
      <c r="M45" s="22">
        <f t="shared" si="5"/>
        <v>1346.96</v>
      </c>
      <c r="N45" s="30" t="str">
        <f t="shared" si="6"/>
        <v>否</v>
      </c>
      <c r="O45" s="30"/>
      <c r="P45" s="30" t="str">
        <f t="shared" si="7"/>
        <v>0</v>
      </c>
      <c r="Q45" s="87">
        <v>233996</v>
      </c>
      <c r="R45" s="86">
        <v>38284</v>
      </c>
      <c r="S45" s="20">
        <f t="shared" si="8"/>
        <v>0.16360963435272396</v>
      </c>
      <c r="T45" s="87">
        <v>73032</v>
      </c>
      <c r="U45" s="86">
        <v>30000</v>
      </c>
      <c r="V45" s="20">
        <f t="shared" si="9"/>
        <v>0.41077883667433451</v>
      </c>
      <c r="W45" s="21">
        <f t="shared" si="10"/>
        <v>0.22240316844066338</v>
      </c>
      <c r="X45" s="164">
        <f t="shared" si="11"/>
        <v>195760.08</v>
      </c>
      <c r="Y45" s="70" t="str">
        <f t="shared" si="12"/>
        <v>否</v>
      </c>
      <c r="Z45" s="14"/>
      <c r="AA45" s="70" t="str">
        <f t="shared" si="13"/>
        <v>0</v>
      </c>
      <c r="AB45" s="14"/>
      <c r="AC45" s="14"/>
      <c r="AD45" s="12"/>
      <c r="AE45" s="12"/>
      <c r="AF45" s="12"/>
      <c r="AG45" s="12"/>
      <c r="AH45" s="12"/>
      <c r="AI45" s="12"/>
      <c r="AJ45" s="12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149"/>
      <c r="AY45" s="23"/>
      <c r="AZ45" s="12"/>
    </row>
    <row r="46" spans="1:52" ht="18" customHeight="1" x14ac:dyDescent="0.15">
      <c r="A46" s="14" t="s">
        <v>2</v>
      </c>
      <c r="B46" s="14" t="s">
        <v>149</v>
      </c>
      <c r="C46" s="50">
        <v>15</v>
      </c>
      <c r="D46" s="52">
        <f t="shared" si="0"/>
        <v>15</v>
      </c>
      <c r="E46" s="70">
        <f t="shared" si="1"/>
        <v>15</v>
      </c>
      <c r="F46" s="14">
        <v>304418</v>
      </c>
      <c r="G46" s="66">
        <f>VLOOKUP(B$3:B$60,[2]Sheet1!$C$2:$L$60,10,0)</f>
        <v>201335</v>
      </c>
      <c r="H46" s="20">
        <f t="shared" si="2"/>
        <v>0.66137679112273251</v>
      </c>
      <c r="I46" s="14">
        <v>1230</v>
      </c>
      <c r="J46" s="66">
        <f>VLOOKUP(B$3:B$60,[2]Sheet1!$C$2:$Q$60,15,0)</f>
        <v>1230</v>
      </c>
      <c r="K46" s="20">
        <f t="shared" si="3"/>
        <v>1</v>
      </c>
      <c r="L46" s="21">
        <f t="shared" si="4"/>
        <v>0.6627394911793959</v>
      </c>
      <c r="M46" s="22">
        <f t="shared" si="5"/>
        <v>60292.28</v>
      </c>
      <c r="N46" s="30" t="str">
        <f t="shared" si="6"/>
        <v>否</v>
      </c>
      <c r="O46" s="30"/>
      <c r="P46" s="30" t="str">
        <f t="shared" si="7"/>
        <v>0</v>
      </c>
      <c r="Q46" s="87">
        <v>345678</v>
      </c>
      <c r="R46" s="86">
        <v>142783</v>
      </c>
      <c r="S46" s="20">
        <f t="shared" si="8"/>
        <v>0.41305203108094818</v>
      </c>
      <c r="T46" s="87">
        <v>1761</v>
      </c>
      <c r="U46" s="86">
        <v>0</v>
      </c>
      <c r="V46" s="20">
        <f t="shared" si="9"/>
        <v>0</v>
      </c>
      <c r="W46" s="21">
        <f t="shared" si="10"/>
        <v>0.41095847040775502</v>
      </c>
      <c r="X46" s="164">
        <f t="shared" si="11"/>
        <v>156014.54</v>
      </c>
      <c r="Y46" s="70" t="str">
        <f t="shared" si="12"/>
        <v>否</v>
      </c>
      <c r="Z46" s="14"/>
      <c r="AA46" s="70" t="str">
        <f t="shared" si="13"/>
        <v>0</v>
      </c>
      <c r="AB46" s="14"/>
      <c r="AC46" s="14"/>
      <c r="AD46" s="12"/>
      <c r="AE46" s="12"/>
      <c r="AF46" s="12"/>
      <c r="AG46" s="12"/>
      <c r="AH46" s="12"/>
      <c r="AI46" s="12"/>
      <c r="AJ46" s="12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149"/>
      <c r="AY46" s="23"/>
      <c r="AZ46" s="12"/>
    </row>
    <row r="47" spans="1:52" ht="18" customHeight="1" x14ac:dyDescent="0.15">
      <c r="A47" s="14" t="s">
        <v>33</v>
      </c>
      <c r="B47" s="14" t="s">
        <v>150</v>
      </c>
      <c r="C47" s="50">
        <v>15</v>
      </c>
      <c r="D47" s="52">
        <f t="shared" si="0"/>
        <v>15</v>
      </c>
      <c r="E47" s="70">
        <f t="shared" si="1"/>
        <v>15</v>
      </c>
      <c r="F47" s="14">
        <v>97607</v>
      </c>
      <c r="G47" s="66">
        <f>VLOOKUP(B$3:B$60,[2]Sheet1!$C$2:$L$60,10,0)</f>
        <v>84899</v>
      </c>
      <c r="H47" s="20">
        <f t="shared" si="2"/>
        <v>0.86980441976497591</v>
      </c>
      <c r="I47" s="14">
        <v>60920</v>
      </c>
      <c r="J47" s="66">
        <f>VLOOKUP(B$3:B$60,[2]Sheet1!$C$2:$Q$60,15,0)</f>
        <v>43243</v>
      </c>
      <c r="K47" s="20">
        <f t="shared" si="3"/>
        <v>0.70983256730137889</v>
      </c>
      <c r="L47" s="21">
        <f t="shared" si="4"/>
        <v>0.80832918051814517</v>
      </c>
      <c r="M47" s="22">
        <f t="shared" si="5"/>
        <v>8191.2199999999975</v>
      </c>
      <c r="N47" s="30" t="str">
        <f t="shared" si="6"/>
        <v>否</v>
      </c>
      <c r="O47" s="30"/>
      <c r="P47" s="30" t="str">
        <f t="shared" si="7"/>
        <v>0</v>
      </c>
      <c r="Q47" s="87">
        <v>162906</v>
      </c>
      <c r="R47" s="86">
        <v>38911</v>
      </c>
      <c r="S47" s="20">
        <f t="shared" si="8"/>
        <v>0.23885553632155967</v>
      </c>
      <c r="T47" s="87">
        <v>134233</v>
      </c>
      <c r="U47" s="86">
        <v>50972</v>
      </c>
      <c r="V47" s="20">
        <f t="shared" si="9"/>
        <v>0.37972778675884472</v>
      </c>
      <c r="W47" s="21">
        <f t="shared" si="10"/>
        <v>0.30249479199970386</v>
      </c>
      <c r="X47" s="164">
        <f t="shared" si="11"/>
        <v>165656.53999999998</v>
      </c>
      <c r="Y47" s="70" t="str">
        <f t="shared" si="12"/>
        <v>否</v>
      </c>
      <c r="Z47" s="14"/>
      <c r="AA47" s="70" t="str">
        <f t="shared" si="13"/>
        <v>0</v>
      </c>
      <c r="AB47" s="14"/>
      <c r="AC47" s="14"/>
      <c r="AD47" s="12"/>
      <c r="AE47" s="12"/>
      <c r="AF47" s="12"/>
      <c r="AG47" s="12"/>
      <c r="AH47" s="12"/>
      <c r="AI47" s="12"/>
      <c r="AJ47" s="12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149"/>
      <c r="AY47" s="23"/>
      <c r="AZ47" s="12"/>
    </row>
    <row r="48" spans="1:52" ht="18" customHeight="1" x14ac:dyDescent="0.15">
      <c r="A48" s="14" t="s">
        <v>32</v>
      </c>
      <c r="B48" s="14" t="s">
        <v>151</v>
      </c>
      <c r="C48" s="50">
        <v>15</v>
      </c>
      <c r="D48" s="52">
        <f t="shared" si="0"/>
        <v>20</v>
      </c>
      <c r="E48" s="70">
        <f t="shared" si="1"/>
        <v>1</v>
      </c>
      <c r="F48" s="14">
        <v>37404</v>
      </c>
      <c r="G48" s="66">
        <f>VLOOKUP(B$3:B$60,[2]Sheet1!$C$2:$L$60,10,0)</f>
        <v>37404</v>
      </c>
      <c r="H48" s="20">
        <f t="shared" si="2"/>
        <v>1</v>
      </c>
      <c r="I48" s="14">
        <v>6709</v>
      </c>
      <c r="J48" s="66">
        <f>VLOOKUP(B$3:B$60,[2]Sheet1!$C$2:$Q$60,15,0)</f>
        <v>6709</v>
      </c>
      <c r="K48" s="20">
        <f t="shared" si="3"/>
        <v>1</v>
      </c>
      <c r="L48" s="21">
        <f t="shared" si="4"/>
        <v>1</v>
      </c>
      <c r="M48" s="22">
        <f t="shared" si="5"/>
        <v>-6175.8200000000006</v>
      </c>
      <c r="N48" s="30" t="str">
        <f t="shared" si="6"/>
        <v>是</v>
      </c>
      <c r="O48" s="30"/>
      <c r="P48" s="30" t="str">
        <f t="shared" si="7"/>
        <v>5</v>
      </c>
      <c r="Q48" s="87">
        <v>86647</v>
      </c>
      <c r="R48" s="86">
        <v>54938</v>
      </c>
      <c r="S48" s="20">
        <f t="shared" si="8"/>
        <v>0.63404387918796956</v>
      </c>
      <c r="T48" s="87">
        <v>1826</v>
      </c>
      <c r="U48" s="86">
        <v>0</v>
      </c>
      <c r="V48" s="20">
        <f t="shared" si="9"/>
        <v>0</v>
      </c>
      <c r="W48" s="21">
        <f t="shared" si="10"/>
        <v>0.62095780633639641</v>
      </c>
      <c r="X48" s="164">
        <f t="shared" si="11"/>
        <v>21148.78</v>
      </c>
      <c r="Y48" s="70" t="str">
        <f t="shared" si="12"/>
        <v>否</v>
      </c>
      <c r="Z48" s="14"/>
      <c r="AA48" s="70" t="str">
        <f t="shared" si="13"/>
        <v>0</v>
      </c>
      <c r="AB48" s="14"/>
      <c r="AC48" s="14"/>
      <c r="AD48" s="12"/>
      <c r="AE48" s="12"/>
      <c r="AF48" s="12"/>
      <c r="AG48" s="12"/>
      <c r="AH48" s="12"/>
      <c r="AI48" s="12"/>
      <c r="AJ48" s="12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149"/>
      <c r="AY48" s="23"/>
      <c r="AZ48" s="12"/>
    </row>
    <row r="49" spans="1:52" ht="18" customHeight="1" x14ac:dyDescent="0.15">
      <c r="A49" s="14" t="s">
        <v>5</v>
      </c>
      <c r="B49" s="14" t="s">
        <v>152</v>
      </c>
      <c r="C49" s="50">
        <v>-2</v>
      </c>
      <c r="D49" s="52">
        <f t="shared" si="0"/>
        <v>-2</v>
      </c>
      <c r="E49" s="70">
        <f t="shared" si="1"/>
        <v>52</v>
      </c>
      <c r="F49" s="14">
        <v>73137</v>
      </c>
      <c r="G49" s="66">
        <f>VLOOKUP(B$3:B$60,[2]Sheet1!$C$2:$L$60,10,0)</f>
        <v>39332</v>
      </c>
      <c r="H49" s="20">
        <f t="shared" si="2"/>
        <v>0.53778525233465957</v>
      </c>
      <c r="I49" s="14">
        <v>64916</v>
      </c>
      <c r="J49" s="66">
        <f>VLOOKUP(B$3:B$60,[2]Sheet1!$C$2:$Q$60,15,0)</f>
        <v>53826</v>
      </c>
      <c r="K49" s="20">
        <f t="shared" si="3"/>
        <v>0.8291638425041592</v>
      </c>
      <c r="L49" s="21">
        <f t="shared" si="4"/>
        <v>0.6747988091530065</v>
      </c>
      <c r="M49" s="22">
        <f t="shared" si="5"/>
        <v>25567.579999999991</v>
      </c>
      <c r="N49" s="30" t="str">
        <f t="shared" si="6"/>
        <v>否</v>
      </c>
      <c r="O49" s="30"/>
      <c r="P49" s="30" t="str">
        <f t="shared" si="7"/>
        <v>0</v>
      </c>
      <c r="Q49" s="87">
        <v>154379</v>
      </c>
      <c r="R49" s="86">
        <v>23757</v>
      </c>
      <c r="S49" s="20">
        <f t="shared" si="8"/>
        <v>0.15388751060701261</v>
      </c>
      <c r="T49" s="87">
        <v>228280</v>
      </c>
      <c r="U49" s="86">
        <v>106849</v>
      </c>
      <c r="V49" s="20">
        <f t="shared" si="9"/>
        <v>0.46806115297003681</v>
      </c>
      <c r="W49" s="21">
        <f t="shared" si="10"/>
        <v>0.34131171617549827</v>
      </c>
      <c r="X49" s="164">
        <f t="shared" si="11"/>
        <v>198480.74</v>
      </c>
      <c r="Y49" s="70" t="str">
        <f t="shared" si="12"/>
        <v>否</v>
      </c>
      <c r="Z49" s="14"/>
      <c r="AA49" s="70" t="str">
        <f t="shared" si="13"/>
        <v>0</v>
      </c>
      <c r="AB49" s="14"/>
      <c r="AC49" s="14"/>
      <c r="AD49" s="12"/>
      <c r="AE49" s="12"/>
      <c r="AF49" s="12"/>
      <c r="AG49" s="12"/>
      <c r="AH49" s="12"/>
      <c r="AI49" s="12"/>
      <c r="AJ49" s="12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149"/>
      <c r="AY49" s="23"/>
      <c r="AZ49" s="12"/>
    </row>
    <row r="50" spans="1:52" ht="18" customHeight="1" x14ac:dyDescent="0.15">
      <c r="A50" s="14" t="s">
        <v>4</v>
      </c>
      <c r="B50" s="14" t="s">
        <v>153</v>
      </c>
      <c r="C50" s="50">
        <v>15</v>
      </c>
      <c r="D50" s="52">
        <f t="shared" si="0"/>
        <v>15</v>
      </c>
      <c r="E50" s="70">
        <f t="shared" si="1"/>
        <v>15</v>
      </c>
      <c r="F50" s="14">
        <v>166525</v>
      </c>
      <c r="G50" s="66">
        <f>VLOOKUP(B$3:B$60,[2]Sheet1!$C$2:$L$60,10,0)</f>
        <v>132389</v>
      </c>
      <c r="H50" s="20">
        <f t="shared" si="2"/>
        <v>0.79500975829455034</v>
      </c>
      <c r="I50" s="14">
        <v>22641</v>
      </c>
      <c r="J50" s="66">
        <f>VLOOKUP(B$3:B$60,[2]Sheet1!$C$2:$Q$60,15,0)</f>
        <v>22641</v>
      </c>
      <c r="K50" s="20">
        <f t="shared" si="3"/>
        <v>1</v>
      </c>
      <c r="L50" s="21">
        <f t="shared" si="4"/>
        <v>0.81954473848365983</v>
      </c>
      <c r="M50" s="22">
        <f t="shared" si="5"/>
        <v>7652.760000000002</v>
      </c>
      <c r="N50" s="30" t="str">
        <f t="shared" si="6"/>
        <v>否</v>
      </c>
      <c r="O50" s="30"/>
      <c r="P50" s="30" t="str">
        <f t="shared" si="7"/>
        <v>0</v>
      </c>
      <c r="Q50" s="87">
        <v>228032</v>
      </c>
      <c r="R50" s="86">
        <v>75248</v>
      </c>
      <c r="S50" s="20">
        <f t="shared" si="8"/>
        <v>0.3299887735054729</v>
      </c>
      <c r="T50" s="87">
        <v>263865</v>
      </c>
      <c r="U50" s="86">
        <v>145352</v>
      </c>
      <c r="V50" s="20">
        <f t="shared" si="9"/>
        <v>0.55085744604248388</v>
      </c>
      <c r="W50" s="21">
        <f t="shared" si="10"/>
        <v>0.44846787030618196</v>
      </c>
      <c r="X50" s="164">
        <f t="shared" si="11"/>
        <v>202431.42</v>
      </c>
      <c r="Y50" s="70" t="str">
        <f t="shared" si="12"/>
        <v>否</v>
      </c>
      <c r="Z50" s="14"/>
      <c r="AA50" s="70" t="str">
        <f t="shared" si="13"/>
        <v>0</v>
      </c>
      <c r="AB50" s="14"/>
      <c r="AC50" s="14"/>
      <c r="AD50" s="12"/>
      <c r="AE50" s="12"/>
      <c r="AF50" s="12"/>
      <c r="AG50" s="12"/>
      <c r="AH50" s="12"/>
      <c r="AI50" s="12"/>
      <c r="AJ50" s="12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149"/>
      <c r="AY50" s="23"/>
      <c r="AZ50" s="12"/>
    </row>
    <row r="51" spans="1:52" ht="18" customHeight="1" x14ac:dyDescent="0.15">
      <c r="A51" s="14" t="s">
        <v>32</v>
      </c>
      <c r="B51" s="14" t="s">
        <v>154</v>
      </c>
      <c r="C51" s="50">
        <v>8</v>
      </c>
      <c r="D51" s="52">
        <f t="shared" si="0"/>
        <v>13</v>
      </c>
      <c r="E51" s="70">
        <f t="shared" si="1"/>
        <v>25</v>
      </c>
      <c r="F51" s="14">
        <v>292609</v>
      </c>
      <c r="G51" s="66">
        <f>VLOOKUP(B$3:B$60,[2]Sheet1!$C$2:$L$60,10,0)</f>
        <v>256741</v>
      </c>
      <c r="H51" s="20">
        <f t="shared" si="2"/>
        <v>0.87742003834468518</v>
      </c>
      <c r="I51" s="14">
        <v>97437</v>
      </c>
      <c r="J51" s="66">
        <f>VLOOKUP(B$3:B$60,[2]Sheet1!$C$2:$Q$60,15,0)</f>
        <v>90773</v>
      </c>
      <c r="K51" s="20">
        <f t="shared" si="3"/>
        <v>0.93160708970924799</v>
      </c>
      <c r="L51" s="21">
        <f t="shared" si="4"/>
        <v>0.89095645129036061</v>
      </c>
      <c r="M51" s="22">
        <f t="shared" si="5"/>
        <v>-12074.439999999999</v>
      </c>
      <c r="N51" s="30" t="str">
        <f t="shared" si="6"/>
        <v>是</v>
      </c>
      <c r="O51" s="30"/>
      <c r="P51" s="30" t="str">
        <f t="shared" si="7"/>
        <v>5</v>
      </c>
      <c r="Q51" s="87">
        <v>264596</v>
      </c>
      <c r="R51" s="86">
        <v>55381</v>
      </c>
      <c r="S51" s="20">
        <f t="shared" si="8"/>
        <v>0.20930399552525358</v>
      </c>
      <c r="T51" s="87">
        <v>343751</v>
      </c>
      <c r="U51" s="86">
        <v>157438</v>
      </c>
      <c r="V51" s="20">
        <f t="shared" si="9"/>
        <v>0.45800012218146274</v>
      </c>
      <c r="W51" s="21">
        <f t="shared" si="10"/>
        <v>0.34983159282448995</v>
      </c>
      <c r="X51" s="164">
        <f t="shared" si="11"/>
        <v>310359.42</v>
      </c>
      <c r="Y51" s="70" t="str">
        <f t="shared" si="12"/>
        <v>否</v>
      </c>
      <c r="Z51" s="14"/>
      <c r="AA51" s="70" t="str">
        <f t="shared" si="13"/>
        <v>0</v>
      </c>
      <c r="AB51" s="14"/>
      <c r="AC51" s="14"/>
      <c r="AD51" s="12"/>
      <c r="AE51" s="12"/>
      <c r="AF51" s="12"/>
      <c r="AG51" s="12"/>
      <c r="AH51" s="12"/>
      <c r="AI51" s="12"/>
      <c r="AJ51" s="12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149"/>
      <c r="AY51" s="23"/>
      <c r="AZ51" s="12"/>
    </row>
    <row r="52" spans="1:52" ht="18" customHeight="1" x14ac:dyDescent="0.15">
      <c r="A52" s="14" t="s">
        <v>4</v>
      </c>
      <c r="B52" s="14" t="s">
        <v>155</v>
      </c>
      <c r="C52" s="50">
        <v>8</v>
      </c>
      <c r="D52" s="52">
        <f t="shared" si="0"/>
        <v>13</v>
      </c>
      <c r="E52" s="70">
        <f t="shared" si="1"/>
        <v>25</v>
      </c>
      <c r="F52" s="14">
        <v>145717</v>
      </c>
      <c r="G52" s="66">
        <f>VLOOKUP(B$3:B$60,[2]Sheet1!$C$2:$L$60,10,0)</f>
        <v>139958</v>
      </c>
      <c r="H52" s="20">
        <f t="shared" si="2"/>
        <v>0.96047818717102329</v>
      </c>
      <c r="I52" s="14">
        <v>50246</v>
      </c>
      <c r="J52" s="66">
        <f>VLOOKUP(B$3:B$60,[2]Sheet1!$C$2:$Q$60,15,0)</f>
        <v>50246</v>
      </c>
      <c r="K52" s="20">
        <f t="shared" si="3"/>
        <v>1</v>
      </c>
      <c r="L52" s="21">
        <f t="shared" si="4"/>
        <v>0.97061179916616913</v>
      </c>
      <c r="M52" s="22">
        <f t="shared" si="5"/>
        <v>-21675.820000000003</v>
      </c>
      <c r="N52" s="30" t="str">
        <f t="shared" si="6"/>
        <v>是</v>
      </c>
      <c r="O52" s="30"/>
      <c r="P52" s="30" t="str">
        <f t="shared" si="7"/>
        <v>5</v>
      </c>
      <c r="Q52" s="87">
        <v>171901</v>
      </c>
      <c r="R52" s="86">
        <v>114091</v>
      </c>
      <c r="S52" s="20">
        <f t="shared" si="8"/>
        <v>0.6637017818395472</v>
      </c>
      <c r="T52" s="87">
        <v>228866</v>
      </c>
      <c r="U52" s="86">
        <v>76299</v>
      </c>
      <c r="V52" s="20">
        <f t="shared" si="9"/>
        <v>0.3333784834794159</v>
      </c>
      <c r="W52" s="21">
        <f t="shared" si="10"/>
        <v>0.47506406465602208</v>
      </c>
      <c r="X52" s="164">
        <f t="shared" si="11"/>
        <v>154269.62</v>
      </c>
      <c r="Y52" s="70" t="str">
        <f t="shared" si="12"/>
        <v>否</v>
      </c>
      <c r="Z52" s="14"/>
      <c r="AA52" s="70" t="str">
        <f t="shared" si="13"/>
        <v>0</v>
      </c>
      <c r="AB52" s="14"/>
      <c r="AC52" s="14"/>
      <c r="AD52" s="12"/>
      <c r="AE52" s="12"/>
      <c r="AF52" s="12"/>
      <c r="AG52" s="12"/>
      <c r="AH52" s="12"/>
      <c r="AI52" s="12"/>
      <c r="AJ52" s="12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149"/>
      <c r="AY52" s="23"/>
      <c r="AZ52" s="12"/>
    </row>
    <row r="53" spans="1:52" ht="18" customHeight="1" x14ac:dyDescent="0.15">
      <c r="A53" s="14" t="s">
        <v>123</v>
      </c>
      <c r="B53" s="14" t="s">
        <v>156</v>
      </c>
      <c r="C53" s="50">
        <v>0</v>
      </c>
      <c r="D53" s="52">
        <f t="shared" si="0"/>
        <v>5</v>
      </c>
      <c r="E53" s="70">
        <f t="shared" si="1"/>
        <v>44</v>
      </c>
      <c r="F53" s="14">
        <v>56945</v>
      </c>
      <c r="G53" s="66">
        <f>VLOOKUP(B$3:B$60,[2]Sheet1!$C$2:$L$60,10,0)</f>
        <v>51680</v>
      </c>
      <c r="H53" s="20">
        <f t="shared" si="2"/>
        <v>0.90754236544033717</v>
      </c>
      <c r="I53" s="14">
        <v>12341</v>
      </c>
      <c r="J53" s="66">
        <f>VLOOKUP(B$3:B$60,[2]Sheet1!$C$2:$Q$60,15,0)</f>
        <v>12341</v>
      </c>
      <c r="K53" s="20">
        <f t="shared" si="3"/>
        <v>1</v>
      </c>
      <c r="L53" s="21">
        <f t="shared" si="4"/>
        <v>0.92401062263660771</v>
      </c>
      <c r="M53" s="22">
        <f t="shared" si="5"/>
        <v>-4435.0400000000027</v>
      </c>
      <c r="N53" s="30" t="str">
        <f t="shared" si="6"/>
        <v>是</v>
      </c>
      <c r="O53" s="30"/>
      <c r="P53" s="30" t="str">
        <f t="shared" si="7"/>
        <v>5</v>
      </c>
      <c r="Q53" s="87">
        <v>58295</v>
      </c>
      <c r="R53" s="86">
        <v>17287</v>
      </c>
      <c r="S53" s="20">
        <f t="shared" si="8"/>
        <v>0.29654344283386225</v>
      </c>
      <c r="T53" s="87">
        <v>200898</v>
      </c>
      <c r="U53" s="86">
        <v>31715</v>
      </c>
      <c r="V53" s="20">
        <f t="shared" si="9"/>
        <v>0.1578661808479925</v>
      </c>
      <c r="W53" s="21">
        <f t="shared" si="10"/>
        <v>0.18905603160579182</v>
      </c>
      <c r="X53" s="164">
        <f t="shared" si="11"/>
        <v>173903.98</v>
      </c>
      <c r="Y53" s="70" t="str">
        <f t="shared" si="12"/>
        <v>否</v>
      </c>
      <c r="Z53" s="14"/>
      <c r="AA53" s="70" t="str">
        <f t="shared" si="13"/>
        <v>0</v>
      </c>
      <c r="AB53" s="14"/>
      <c r="AC53" s="14"/>
      <c r="AD53" s="12"/>
      <c r="AE53" s="12"/>
      <c r="AF53" s="12"/>
      <c r="AG53" s="12"/>
      <c r="AH53" s="12"/>
      <c r="AI53" s="12"/>
      <c r="AJ53" s="12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149"/>
      <c r="AY53" s="23"/>
      <c r="AZ53" s="12"/>
    </row>
    <row r="54" spans="1:52" ht="18" customHeight="1" x14ac:dyDescent="0.15">
      <c r="A54" s="14" t="s">
        <v>5</v>
      </c>
      <c r="B54" s="14" t="s">
        <v>157</v>
      </c>
      <c r="C54" s="50">
        <v>-6</v>
      </c>
      <c r="D54" s="52">
        <f t="shared" si="0"/>
        <v>-1</v>
      </c>
      <c r="E54" s="70">
        <f t="shared" si="1"/>
        <v>51</v>
      </c>
      <c r="F54" s="14">
        <v>177077</v>
      </c>
      <c r="G54" s="66">
        <f>VLOOKUP(B$3:B$60,[2]Sheet1!$C$2:$L$60,10,0)</f>
        <v>159725</v>
      </c>
      <c r="H54" s="20">
        <f t="shared" si="2"/>
        <v>0.90200873066519083</v>
      </c>
      <c r="I54" s="14">
        <v>5256</v>
      </c>
      <c r="J54" s="66">
        <f>VLOOKUP(B$3:B$60,[2]Sheet1!$C$2:$Q$60,15,0)</f>
        <v>0</v>
      </c>
      <c r="K54" s="20">
        <f t="shared" si="3"/>
        <v>0</v>
      </c>
      <c r="L54" s="21">
        <f t="shared" si="4"/>
        <v>0.87600708593617171</v>
      </c>
      <c r="M54" s="22">
        <f t="shared" si="5"/>
        <v>-2918.6199999999994</v>
      </c>
      <c r="N54" s="30" t="str">
        <f t="shared" si="6"/>
        <v>是</v>
      </c>
      <c r="O54" s="30"/>
      <c r="P54" s="30" t="str">
        <f t="shared" si="7"/>
        <v>5</v>
      </c>
      <c r="Q54" s="87">
        <v>313661</v>
      </c>
      <c r="R54" s="86">
        <v>127950</v>
      </c>
      <c r="S54" s="20">
        <f t="shared" si="8"/>
        <v>0.40792447897570944</v>
      </c>
      <c r="T54" s="87">
        <v>60026</v>
      </c>
      <c r="U54" s="86">
        <v>50000</v>
      </c>
      <c r="V54" s="20">
        <f t="shared" si="9"/>
        <v>0.83297237863592444</v>
      </c>
      <c r="W54" s="21">
        <f t="shared" si="10"/>
        <v>0.47620067061471233</v>
      </c>
      <c r="X54" s="164">
        <f t="shared" si="11"/>
        <v>143420.81999999998</v>
      </c>
      <c r="Y54" s="70" t="str">
        <f t="shared" si="12"/>
        <v>否</v>
      </c>
      <c r="Z54" s="14"/>
      <c r="AA54" s="70" t="str">
        <f t="shared" si="13"/>
        <v>0</v>
      </c>
      <c r="AB54" s="14"/>
      <c r="AC54" s="14"/>
      <c r="AD54" s="12"/>
      <c r="AE54" s="12"/>
      <c r="AF54" s="12"/>
      <c r="AG54" s="12"/>
      <c r="AH54" s="12"/>
      <c r="AI54" s="12"/>
      <c r="AJ54" s="12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149"/>
      <c r="AY54" s="23"/>
      <c r="AZ54" s="12"/>
    </row>
    <row r="55" spans="1:52" ht="18" customHeight="1" x14ac:dyDescent="0.15">
      <c r="A55" s="14" t="s">
        <v>33</v>
      </c>
      <c r="B55" s="14" t="s">
        <v>158</v>
      </c>
      <c r="C55" s="50">
        <v>15</v>
      </c>
      <c r="D55" s="52">
        <f t="shared" si="0"/>
        <v>15</v>
      </c>
      <c r="E55" s="70">
        <f t="shared" si="1"/>
        <v>15</v>
      </c>
      <c r="F55" s="14">
        <v>70034</v>
      </c>
      <c r="G55" s="66">
        <f>VLOOKUP(B$3:B$60,[2]Sheet1!$C$2:$L$60,10,0)</f>
        <v>57895</v>
      </c>
      <c r="H55" s="20">
        <f t="shared" si="2"/>
        <v>0.82666990318987921</v>
      </c>
      <c r="I55" s="14">
        <v>12416</v>
      </c>
      <c r="J55" s="66">
        <f>VLOOKUP(B$3:B$60,[2]Sheet1!$C$2:$Q$60,15,0)</f>
        <v>12416</v>
      </c>
      <c r="K55" s="20">
        <f t="shared" si="3"/>
        <v>1</v>
      </c>
      <c r="L55" s="21">
        <f t="shared" si="4"/>
        <v>0.85277137659187385</v>
      </c>
      <c r="M55" s="22">
        <f t="shared" si="5"/>
        <v>595.99999999999966</v>
      </c>
      <c r="N55" s="30" t="str">
        <f t="shared" si="6"/>
        <v>否</v>
      </c>
      <c r="O55" s="30"/>
      <c r="P55" s="30" t="str">
        <f t="shared" si="7"/>
        <v>0</v>
      </c>
      <c r="Q55" s="87">
        <v>196068</v>
      </c>
      <c r="R55" s="86">
        <v>65893</v>
      </c>
      <c r="S55" s="20">
        <f t="shared" si="8"/>
        <v>0.33607217903992492</v>
      </c>
      <c r="T55" s="87">
        <v>191115</v>
      </c>
      <c r="U55" s="86">
        <v>43420</v>
      </c>
      <c r="V55" s="20">
        <f t="shared" si="9"/>
        <v>0.22719305130418857</v>
      </c>
      <c r="W55" s="21">
        <f t="shared" si="10"/>
        <v>0.28232902787570735</v>
      </c>
      <c r="X55" s="164">
        <f t="shared" si="11"/>
        <v>223664.38</v>
      </c>
      <c r="Y55" s="70" t="str">
        <f t="shared" si="12"/>
        <v>否</v>
      </c>
      <c r="Z55" s="14"/>
      <c r="AA55" s="70" t="str">
        <f t="shared" si="13"/>
        <v>0</v>
      </c>
      <c r="AB55" s="14"/>
      <c r="AC55" s="14"/>
      <c r="AD55" s="12"/>
      <c r="AE55" s="12"/>
      <c r="AF55" s="12"/>
      <c r="AG55" s="12"/>
      <c r="AH55" s="12"/>
      <c r="AI55" s="12"/>
      <c r="AJ55" s="12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149"/>
      <c r="AY55" s="23"/>
      <c r="AZ55" s="12"/>
    </row>
    <row r="56" spans="1:52" ht="18" customHeight="1" x14ac:dyDescent="0.15">
      <c r="A56" s="14" t="s">
        <v>32</v>
      </c>
      <c r="B56" s="14" t="s">
        <v>159</v>
      </c>
      <c r="C56" s="50">
        <v>8</v>
      </c>
      <c r="D56" s="52">
        <f t="shared" si="0"/>
        <v>13</v>
      </c>
      <c r="E56" s="70">
        <f t="shared" si="1"/>
        <v>25</v>
      </c>
      <c r="F56" s="14">
        <v>281004</v>
      </c>
      <c r="G56" s="66">
        <f>VLOOKUP(B$3:B$60,[2]Sheet1!$C$2:$L$60,10,0)</f>
        <v>238461</v>
      </c>
      <c r="H56" s="20">
        <f t="shared" si="2"/>
        <v>0.84860357859674596</v>
      </c>
      <c r="I56" s="14">
        <v>96656</v>
      </c>
      <c r="J56" s="66">
        <f>VLOOKUP(B$3:B$60,[2]Sheet1!$C$2:$Q$60,15,0)</f>
        <v>86821</v>
      </c>
      <c r="K56" s="20">
        <f t="shared" si="3"/>
        <v>0.89824739281575894</v>
      </c>
      <c r="L56" s="21">
        <f t="shared" si="4"/>
        <v>0.86130911401789967</v>
      </c>
      <c r="M56" s="22">
        <f t="shared" si="5"/>
        <v>-494.39999999999384</v>
      </c>
      <c r="N56" s="30" t="str">
        <f t="shared" si="6"/>
        <v>是</v>
      </c>
      <c r="O56" s="30"/>
      <c r="P56" s="30" t="str">
        <f t="shared" si="7"/>
        <v>5</v>
      </c>
      <c r="Q56" s="87">
        <v>231310</v>
      </c>
      <c r="R56" s="86">
        <v>111414</v>
      </c>
      <c r="S56" s="20">
        <f t="shared" si="8"/>
        <v>0.48166529765250099</v>
      </c>
      <c r="T56" s="87">
        <v>312079</v>
      </c>
      <c r="U56" s="86">
        <v>168435</v>
      </c>
      <c r="V56" s="20">
        <f t="shared" si="9"/>
        <v>0.53971910958443214</v>
      </c>
      <c r="W56" s="21">
        <f t="shared" si="10"/>
        <v>0.51500674470775076</v>
      </c>
      <c r="X56" s="164">
        <f t="shared" si="11"/>
        <v>187465.54</v>
      </c>
      <c r="Y56" s="70" t="str">
        <f t="shared" si="12"/>
        <v>否</v>
      </c>
      <c r="Z56" s="14"/>
      <c r="AA56" s="70" t="str">
        <f t="shared" si="13"/>
        <v>0</v>
      </c>
      <c r="AB56" s="14"/>
      <c r="AC56" s="14"/>
      <c r="AD56" s="12"/>
      <c r="AE56" s="12"/>
      <c r="AF56" s="12"/>
      <c r="AG56" s="12"/>
      <c r="AH56" s="12"/>
      <c r="AI56" s="12"/>
      <c r="AJ56" s="12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149"/>
      <c r="AY56" s="23"/>
      <c r="AZ56" s="12"/>
    </row>
    <row r="57" spans="1:52" ht="18" customHeight="1" x14ac:dyDescent="0.15">
      <c r="A57" s="14" t="s">
        <v>32</v>
      </c>
      <c r="B57" s="14" t="s">
        <v>160</v>
      </c>
      <c r="C57" s="50">
        <v>8</v>
      </c>
      <c r="D57" s="52">
        <f t="shared" si="0"/>
        <v>13</v>
      </c>
      <c r="E57" s="70">
        <f t="shared" si="1"/>
        <v>25</v>
      </c>
      <c r="F57" s="14">
        <v>90204</v>
      </c>
      <c r="G57" s="66">
        <f>VLOOKUP(B$3:B$60,[2]Sheet1!$C$2:$L$60,10,0)</f>
        <v>78819</v>
      </c>
      <c r="H57" s="20">
        <f t="shared" si="2"/>
        <v>0.873786084874285</v>
      </c>
      <c r="I57" s="14">
        <v>37985</v>
      </c>
      <c r="J57" s="66">
        <f>VLOOKUP(B$3:B$60,[2]Sheet1!$C$2:$Q$60,15,0)</f>
        <v>37985</v>
      </c>
      <c r="K57" s="20">
        <f t="shared" si="3"/>
        <v>1</v>
      </c>
      <c r="L57" s="21">
        <f t="shared" si="4"/>
        <v>0.91118582717705887</v>
      </c>
      <c r="M57" s="22">
        <f t="shared" si="5"/>
        <v>-6561.4600000000009</v>
      </c>
      <c r="N57" s="30" t="str">
        <f t="shared" si="6"/>
        <v>是</v>
      </c>
      <c r="O57" s="30"/>
      <c r="P57" s="30" t="str">
        <f t="shared" si="7"/>
        <v>5</v>
      </c>
      <c r="Q57" s="87">
        <v>113429</v>
      </c>
      <c r="R57" s="86">
        <v>64405</v>
      </c>
      <c r="S57" s="20">
        <f t="shared" si="8"/>
        <v>0.56780012166200888</v>
      </c>
      <c r="T57" s="87">
        <v>195411</v>
      </c>
      <c r="U57" s="86">
        <v>72934</v>
      </c>
      <c r="V57" s="20">
        <f t="shared" si="9"/>
        <v>0.37323385070441273</v>
      </c>
      <c r="W57" s="21">
        <f t="shared" si="10"/>
        <v>0.444693044942365</v>
      </c>
      <c r="X57" s="164">
        <f t="shared" si="11"/>
        <v>128263.4</v>
      </c>
      <c r="Y57" s="70" t="str">
        <f t="shared" si="12"/>
        <v>否</v>
      </c>
      <c r="Z57" s="14"/>
      <c r="AA57" s="70" t="str">
        <f t="shared" si="13"/>
        <v>0</v>
      </c>
      <c r="AB57" s="14"/>
      <c r="AC57" s="14"/>
      <c r="AD57" s="12"/>
      <c r="AE57" s="12"/>
      <c r="AF57" s="12"/>
      <c r="AG57" s="12"/>
      <c r="AH57" s="12"/>
      <c r="AI57" s="12"/>
      <c r="AJ57" s="12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149"/>
      <c r="AY57" s="23"/>
      <c r="AZ57" s="12"/>
    </row>
    <row r="58" spans="1:52" ht="18" customHeight="1" x14ac:dyDescent="0.15">
      <c r="A58" s="14" t="s">
        <v>3</v>
      </c>
      <c r="B58" s="14" t="s">
        <v>161</v>
      </c>
      <c r="C58" s="50">
        <v>15</v>
      </c>
      <c r="D58" s="52">
        <f t="shared" si="0"/>
        <v>15</v>
      </c>
      <c r="E58" s="70">
        <f t="shared" si="1"/>
        <v>15</v>
      </c>
      <c r="F58" s="14">
        <v>158661</v>
      </c>
      <c r="G58" s="66">
        <f>VLOOKUP(B$3:B$60,[2]Sheet1!$C$2:$L$60,10,0)</f>
        <v>97676</v>
      </c>
      <c r="H58" s="20">
        <f t="shared" si="2"/>
        <v>0.61562702869640307</v>
      </c>
      <c r="I58" s="14">
        <v>33488</v>
      </c>
      <c r="J58" s="66">
        <f>VLOOKUP(B$3:B$60,[2]Sheet1!$C$2:$Q$60,15,0)</f>
        <v>32388</v>
      </c>
      <c r="K58" s="20">
        <f t="shared" si="3"/>
        <v>0.96715241280458675</v>
      </c>
      <c r="L58" s="21">
        <f t="shared" si="4"/>
        <v>0.6768913707591504</v>
      </c>
      <c r="M58" s="22">
        <f t="shared" si="5"/>
        <v>35184.140000000007</v>
      </c>
      <c r="N58" s="30" t="str">
        <f t="shared" si="6"/>
        <v>否</v>
      </c>
      <c r="O58" s="30"/>
      <c r="P58" s="30" t="str">
        <f t="shared" si="7"/>
        <v>0</v>
      </c>
      <c r="Q58" s="87">
        <v>140812</v>
      </c>
      <c r="R58" s="86">
        <v>60054</v>
      </c>
      <c r="S58" s="20">
        <f t="shared" si="8"/>
        <v>0.42648353833480102</v>
      </c>
      <c r="T58" s="87">
        <v>738509</v>
      </c>
      <c r="U58" s="86">
        <v>70281</v>
      </c>
      <c r="V58" s="20">
        <f t="shared" si="9"/>
        <v>9.5166071097305516E-2</v>
      </c>
      <c r="W58" s="21">
        <f t="shared" si="10"/>
        <v>0.14822232154128015</v>
      </c>
      <c r="X58" s="164">
        <f t="shared" si="11"/>
        <v>625881.06000000006</v>
      </c>
      <c r="Y58" s="70" t="str">
        <f t="shared" si="12"/>
        <v>否</v>
      </c>
      <c r="Z58" s="14"/>
      <c r="AA58" s="70" t="str">
        <f t="shared" si="13"/>
        <v>0</v>
      </c>
      <c r="AB58" s="14"/>
      <c r="AC58" s="14"/>
      <c r="AD58" s="12"/>
      <c r="AE58" s="12"/>
      <c r="AF58" s="12"/>
      <c r="AG58" s="12"/>
      <c r="AH58" s="12"/>
      <c r="AI58" s="12"/>
      <c r="AJ58" s="12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149"/>
      <c r="AY58" s="23"/>
      <c r="AZ58" s="12"/>
    </row>
    <row r="59" spans="1:52" ht="18" customHeight="1" x14ac:dyDescent="0.15">
      <c r="A59" s="14" t="s">
        <v>4</v>
      </c>
      <c r="B59" s="14" t="s">
        <v>162</v>
      </c>
      <c r="C59" s="50">
        <v>-6</v>
      </c>
      <c r="D59" s="52">
        <f t="shared" si="0"/>
        <v>-6</v>
      </c>
      <c r="E59" s="70">
        <f t="shared" si="1"/>
        <v>53</v>
      </c>
      <c r="F59" s="14">
        <v>81301</v>
      </c>
      <c r="G59" s="66">
        <f>VLOOKUP(B$3:B$60,[2]Sheet1!$C$2:$L$60,10,0)</f>
        <v>31124</v>
      </c>
      <c r="H59" s="20">
        <f t="shared" si="2"/>
        <v>0.38282431950406515</v>
      </c>
      <c r="I59" s="14">
        <v>4873</v>
      </c>
      <c r="J59" s="66">
        <f>VLOOKUP(B$3:B$60,[2]Sheet1!$C$2:$Q$60,15,0)</f>
        <v>4873</v>
      </c>
      <c r="K59" s="20">
        <f t="shared" si="3"/>
        <v>1</v>
      </c>
      <c r="L59" s="21">
        <f t="shared" si="4"/>
        <v>0.41772460370877529</v>
      </c>
      <c r="M59" s="22">
        <f t="shared" si="5"/>
        <v>38112.639999999999</v>
      </c>
      <c r="N59" s="30" t="str">
        <f t="shared" si="6"/>
        <v>否</v>
      </c>
      <c r="O59" s="30"/>
      <c r="P59" s="30" t="str">
        <f t="shared" si="7"/>
        <v>0</v>
      </c>
      <c r="Q59" s="87">
        <v>96332</v>
      </c>
      <c r="R59" s="86">
        <v>50027</v>
      </c>
      <c r="S59" s="20">
        <f t="shared" si="8"/>
        <v>0.51931860648590289</v>
      </c>
      <c r="T59" s="87">
        <v>4817</v>
      </c>
      <c r="U59" s="86">
        <v>2474</v>
      </c>
      <c r="V59" s="20">
        <f t="shared" si="9"/>
        <v>0.51359767490139085</v>
      </c>
      <c r="W59" s="21">
        <f t="shared" si="10"/>
        <v>0.5190461596258984</v>
      </c>
      <c r="X59" s="164">
        <f t="shared" si="11"/>
        <v>34487.14</v>
      </c>
      <c r="Y59" s="70" t="str">
        <f t="shared" si="12"/>
        <v>否</v>
      </c>
      <c r="Z59" s="14"/>
      <c r="AA59" s="70" t="str">
        <f t="shared" si="13"/>
        <v>0</v>
      </c>
      <c r="AB59" s="14"/>
      <c r="AC59" s="14"/>
      <c r="AD59" s="12"/>
      <c r="AE59" s="12"/>
      <c r="AF59" s="12"/>
      <c r="AG59" s="12"/>
      <c r="AH59" s="12"/>
      <c r="AI59" s="12"/>
      <c r="AJ59" s="12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149"/>
      <c r="AY59" s="23"/>
      <c r="AZ59" s="12"/>
    </row>
    <row r="60" spans="1:52" ht="18" customHeight="1" x14ac:dyDescent="0.15">
      <c r="A60" s="14" t="s">
        <v>105</v>
      </c>
      <c r="B60" s="14" t="s">
        <v>163</v>
      </c>
      <c r="C60" s="50">
        <v>15</v>
      </c>
      <c r="D60" s="52">
        <f t="shared" si="0"/>
        <v>20</v>
      </c>
      <c r="E60" s="70">
        <f t="shared" si="1"/>
        <v>1</v>
      </c>
      <c r="F60" s="14">
        <v>82714</v>
      </c>
      <c r="G60" s="66">
        <f>VLOOKUP(B$3:B$60,[2]Sheet1!$C$2:$L$60,10,0)</f>
        <v>79879</v>
      </c>
      <c r="H60" s="20">
        <f t="shared" si="2"/>
        <v>0.96572527020818721</v>
      </c>
      <c r="I60" s="14">
        <v>41406</v>
      </c>
      <c r="J60" s="66">
        <f>VLOOKUP(B$3:B$60,[2]Sheet1!$C$2:$Q$60,15,0)</f>
        <v>39699</v>
      </c>
      <c r="K60" s="20">
        <f t="shared" si="3"/>
        <v>0.95877409071149111</v>
      </c>
      <c r="L60" s="21">
        <f t="shared" si="4"/>
        <v>0.96340638092168873</v>
      </c>
      <c r="M60" s="22">
        <f t="shared" si="5"/>
        <v>-12834.800000000007</v>
      </c>
      <c r="N60" s="30" t="str">
        <f t="shared" si="6"/>
        <v>是</v>
      </c>
      <c r="O60" s="30"/>
      <c r="P60" s="30" t="str">
        <f t="shared" si="7"/>
        <v>5</v>
      </c>
      <c r="Q60" s="87">
        <v>97956</v>
      </c>
      <c r="R60" s="86">
        <v>28256</v>
      </c>
      <c r="S60" s="20">
        <f t="shared" si="8"/>
        <v>0.28845604148801501</v>
      </c>
      <c r="T60" s="87">
        <v>239676</v>
      </c>
      <c r="U60" s="86">
        <v>42079</v>
      </c>
      <c r="V60" s="20">
        <f t="shared" si="9"/>
        <v>0.17556618101103155</v>
      </c>
      <c r="W60" s="21">
        <f t="shared" si="10"/>
        <v>0.20831852431049189</v>
      </c>
      <c r="X60" s="164">
        <f t="shared" si="11"/>
        <v>220028.52</v>
      </c>
      <c r="Y60" s="70" t="str">
        <f t="shared" si="12"/>
        <v>否</v>
      </c>
      <c r="Z60" s="14"/>
      <c r="AA60" s="70" t="str">
        <f t="shared" si="13"/>
        <v>0</v>
      </c>
      <c r="AB60" s="14"/>
      <c r="AC60" s="14"/>
      <c r="AD60" s="12"/>
      <c r="AE60" s="12"/>
      <c r="AF60" s="12"/>
      <c r="AG60" s="12"/>
      <c r="AH60" s="12"/>
      <c r="AI60" s="12"/>
      <c r="AJ60" s="12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150"/>
      <c r="AY60" s="23"/>
      <c r="AZ60" s="12"/>
    </row>
  </sheetData>
  <autoFilter ref="A2:AZ60"/>
  <mergeCells count="3">
    <mergeCell ref="F1:AZ1"/>
    <mergeCell ref="AX2:AX60"/>
    <mergeCell ref="A1:E1"/>
  </mergeCells>
  <phoneticPr fontId="1" type="noConversion"/>
  <conditionalFormatting sqref="N3 AB3:AB60 N4:O60 P3:P60 Y3:Z60">
    <cfRule type="cellIs" dxfId="5" priority="5" operator="equal">
      <formula>"是"</formula>
    </cfRule>
  </conditionalFormatting>
  <conditionalFormatting sqref="AA3:AA60">
    <cfRule type="cellIs" dxfId="4" priority="2" operator="equal">
      <formula>"是"</formula>
    </cfRule>
  </conditionalFormatting>
  <conditionalFormatting sqref="E1:E1048576">
    <cfRule type="cellIs" dxfId="3" priority="1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"/>
  <sheetViews>
    <sheetView topLeftCell="F13" workbookViewId="0">
      <selection activeCell="T7" sqref="T7"/>
    </sheetView>
  </sheetViews>
  <sheetFormatPr defaultColWidth="9.5" defaultRowHeight="13.5" x14ac:dyDescent="0.15"/>
  <cols>
    <col min="1" max="1" width="6.375" style="16" customWidth="1"/>
    <col min="2" max="2" width="7.875" style="16" customWidth="1"/>
    <col min="3" max="3" width="6.875" style="16" customWidth="1"/>
    <col min="4" max="4" width="9.125" style="16" customWidth="1"/>
    <col min="5" max="5" width="9.75" style="16" customWidth="1"/>
    <col min="6" max="6" width="8.25" style="16" customWidth="1"/>
    <col min="7" max="7" width="8" style="16" customWidth="1"/>
    <col min="8" max="8" width="7.625" style="16" customWidth="1"/>
    <col min="9" max="9" width="9.5" style="16" customWidth="1"/>
    <col min="10" max="10" width="8.375" style="16" customWidth="1"/>
    <col min="11" max="11" width="7.875" style="16" customWidth="1"/>
    <col min="12" max="12" width="8.375" style="16" customWidth="1"/>
    <col min="13" max="13" width="8.5" style="16" customWidth="1"/>
    <col min="14" max="14" width="7" style="16" customWidth="1"/>
    <col min="15" max="15" width="5.625" style="16" hidden="1" customWidth="1"/>
    <col min="16" max="16" width="6.125" style="16" customWidth="1"/>
    <col min="17" max="17" width="8.125" style="16" customWidth="1"/>
    <col min="18" max="18" width="7.875" style="16" customWidth="1"/>
    <col min="19" max="19" width="8" style="16" customWidth="1"/>
    <col min="20" max="20" width="7.625" style="16" customWidth="1"/>
    <col min="21" max="22" width="9.375" style="16" customWidth="1"/>
    <col min="23" max="24" width="9.5" style="16"/>
    <col min="25" max="26" width="7.75" style="16" customWidth="1"/>
    <col min="27" max="27" width="8.5" style="16" customWidth="1"/>
    <col min="28" max="49" width="9.5" style="16"/>
    <col min="50" max="50" width="2.375" style="16" customWidth="1"/>
    <col min="51" max="51" width="9.375" style="16" customWidth="1"/>
    <col min="52" max="16384" width="9.5" style="16"/>
  </cols>
  <sheetData>
    <row r="1" spans="1:52" ht="36.75" customHeight="1" x14ac:dyDescent="0.15">
      <c r="A1" s="151" t="s">
        <v>82</v>
      </c>
      <c r="B1" s="151"/>
      <c r="C1" s="151"/>
      <c r="D1" s="151"/>
      <c r="E1" s="151"/>
      <c r="F1" s="152" t="s">
        <v>83</v>
      </c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2"/>
      <c r="AZ1" s="152"/>
    </row>
    <row r="2" spans="1:52" s="24" customFormat="1" ht="36" customHeight="1" x14ac:dyDescent="0.15">
      <c r="A2" s="9" t="s">
        <v>0</v>
      </c>
      <c r="B2" s="9" t="s">
        <v>58</v>
      </c>
      <c r="C2" s="9" t="s">
        <v>71</v>
      </c>
      <c r="D2" s="9" t="s">
        <v>72</v>
      </c>
      <c r="E2" s="10" t="s">
        <v>73</v>
      </c>
      <c r="F2" s="10" t="s">
        <v>90</v>
      </c>
      <c r="G2" s="10" t="s">
        <v>91</v>
      </c>
      <c r="H2" s="9" t="s">
        <v>59</v>
      </c>
      <c r="I2" s="10" t="s">
        <v>92</v>
      </c>
      <c r="J2" s="10" t="s">
        <v>93</v>
      </c>
      <c r="K2" s="9" t="s">
        <v>59</v>
      </c>
      <c r="L2" s="9" t="s">
        <v>60</v>
      </c>
      <c r="M2" s="9" t="s">
        <v>176</v>
      </c>
      <c r="N2" s="19" t="s">
        <v>62</v>
      </c>
      <c r="O2" s="25" t="s">
        <v>64</v>
      </c>
      <c r="P2" s="26" t="s">
        <v>63</v>
      </c>
      <c r="Q2" s="10" t="s">
        <v>65</v>
      </c>
      <c r="R2" s="10" t="s">
        <v>66</v>
      </c>
      <c r="S2" s="9" t="s">
        <v>59</v>
      </c>
      <c r="T2" s="10" t="s">
        <v>67</v>
      </c>
      <c r="U2" s="10" t="s">
        <v>68</v>
      </c>
      <c r="V2" s="9" t="s">
        <v>59</v>
      </c>
      <c r="W2" s="9" t="s">
        <v>60</v>
      </c>
      <c r="X2" s="9" t="s">
        <v>61</v>
      </c>
      <c r="Y2" s="19" t="s">
        <v>62</v>
      </c>
      <c r="Z2" s="25" t="s">
        <v>64</v>
      </c>
      <c r="AA2" s="26" t="s">
        <v>63</v>
      </c>
      <c r="AB2" s="10" t="s">
        <v>69</v>
      </c>
      <c r="AC2" s="10" t="s">
        <v>70</v>
      </c>
      <c r="AD2" s="19" t="s">
        <v>59</v>
      </c>
      <c r="AE2" s="90" t="s">
        <v>75</v>
      </c>
      <c r="AF2" s="90" t="s">
        <v>76</v>
      </c>
      <c r="AG2" s="19" t="s">
        <v>59</v>
      </c>
      <c r="AH2" s="19" t="s">
        <v>60</v>
      </c>
      <c r="AI2" s="19" t="s">
        <v>61</v>
      </c>
      <c r="AJ2" s="19" t="s">
        <v>62</v>
      </c>
      <c r="AK2" s="25" t="s">
        <v>64</v>
      </c>
      <c r="AL2" s="26" t="s">
        <v>63</v>
      </c>
      <c r="AM2" s="10" t="s">
        <v>77</v>
      </c>
      <c r="AN2" s="10" t="s">
        <v>78</v>
      </c>
      <c r="AO2" s="19" t="s">
        <v>59</v>
      </c>
      <c r="AP2" s="90" t="s">
        <v>79</v>
      </c>
      <c r="AQ2" s="90" t="s">
        <v>80</v>
      </c>
      <c r="AR2" s="19" t="s">
        <v>59</v>
      </c>
      <c r="AS2" s="19" t="s">
        <v>60</v>
      </c>
      <c r="AT2" s="19" t="s">
        <v>61</v>
      </c>
      <c r="AU2" s="19" t="s">
        <v>62</v>
      </c>
      <c r="AV2" s="25" t="s">
        <v>64</v>
      </c>
      <c r="AW2" s="26" t="s">
        <v>63</v>
      </c>
      <c r="AX2" s="149"/>
      <c r="AY2" s="26" t="s">
        <v>81</v>
      </c>
      <c r="AZ2" s="5" t="s">
        <v>74</v>
      </c>
    </row>
    <row r="3" spans="1:52" ht="18" customHeight="1" x14ac:dyDescent="0.15">
      <c r="A3" s="89" t="s">
        <v>2</v>
      </c>
      <c r="B3" s="89" t="s">
        <v>164</v>
      </c>
      <c r="C3" s="89">
        <v>1</v>
      </c>
      <c r="D3" s="89">
        <f>C3+P3+AA3+AL3+AW3</f>
        <v>1</v>
      </c>
      <c r="E3" s="89">
        <f>RANK(D3,D$3:D$19,0)</f>
        <v>9</v>
      </c>
      <c r="F3" s="89">
        <v>920000</v>
      </c>
      <c r="G3" s="89">
        <f>VLOOKUP(B$3:B$19,[3]Sheet1!$C$2:$L$12,10,0)</f>
        <v>770000</v>
      </c>
      <c r="H3" s="20">
        <f>G3/F3</f>
        <v>0.83695652173913049</v>
      </c>
      <c r="I3" s="89">
        <v>512000</v>
      </c>
      <c r="J3" s="89">
        <f>VLOOKUP(B$3:B$19,[3]Sheet1!$C$2:$Q$13,15,0)</f>
        <v>512000</v>
      </c>
      <c r="K3" s="20">
        <f>J3/I3</f>
        <v>1</v>
      </c>
      <c r="L3" s="21">
        <f>(G3+J3)/(F3+I3)</f>
        <v>0.89525139664804465</v>
      </c>
      <c r="M3" s="22">
        <f>(94%-L3)*(F3+I3)</f>
        <v>64079.999999999985</v>
      </c>
      <c r="N3" s="89" t="str">
        <f>IF(L3&gt;=94%,"是","否")</f>
        <v>否</v>
      </c>
      <c r="O3" s="89"/>
      <c r="P3" s="89" t="str">
        <f t="shared" ref="P3:P19" si="0">IF(N3="是","5","0")</f>
        <v>0</v>
      </c>
      <c r="Q3" s="87">
        <v>780000</v>
      </c>
      <c r="R3" s="86">
        <v>160000</v>
      </c>
      <c r="S3" s="20">
        <f>R3/Q3</f>
        <v>0.20512820512820512</v>
      </c>
      <c r="T3" s="87">
        <v>150000</v>
      </c>
      <c r="U3" s="86">
        <v>50000</v>
      </c>
      <c r="V3" s="20">
        <f>U3/T3</f>
        <v>0.33333333333333331</v>
      </c>
      <c r="W3" s="21">
        <f>(R3+U3)/(Q3+T3)</f>
        <v>0.22580645161290322</v>
      </c>
      <c r="X3" s="22">
        <f>(94%-W3)*(Q3+T3)</f>
        <v>664199.99999999988</v>
      </c>
      <c r="Y3" s="89" t="str">
        <f>IF(W3&gt;=94%,"是","否")</f>
        <v>否</v>
      </c>
      <c r="Z3" s="89"/>
      <c r="AA3" s="89" t="str">
        <f t="shared" ref="AA3:AA19" si="1">IF(Y3="是","5","0")</f>
        <v>0</v>
      </c>
      <c r="AB3" s="89"/>
      <c r="AC3" s="89"/>
      <c r="AD3" s="12"/>
      <c r="AE3" s="12"/>
      <c r="AF3" s="12"/>
      <c r="AG3" s="12"/>
      <c r="AH3" s="12"/>
      <c r="AI3" s="12"/>
      <c r="AJ3" s="12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149"/>
      <c r="AY3" s="23"/>
      <c r="AZ3" s="12"/>
    </row>
    <row r="4" spans="1:52" ht="18" customHeight="1" x14ac:dyDescent="0.15">
      <c r="A4" s="89" t="s">
        <v>226</v>
      </c>
      <c r="B4" s="89" t="s">
        <v>227</v>
      </c>
      <c r="C4" s="89">
        <v>0</v>
      </c>
      <c r="D4" s="89">
        <f t="shared" ref="D4:D19" si="2">C4+P4+AA4+AL4+AW4</f>
        <v>0</v>
      </c>
      <c r="E4" s="89">
        <f t="shared" ref="E4:E19" si="3">RANK(D4,D$3:D$19,0)</f>
        <v>11</v>
      </c>
      <c r="F4" s="89"/>
      <c r="G4" s="89"/>
      <c r="H4" s="20"/>
      <c r="I4" s="89"/>
      <c r="J4" s="89"/>
      <c r="K4" s="20"/>
      <c r="L4" s="21"/>
      <c r="M4" s="22"/>
      <c r="N4" s="89" t="str">
        <f>IF(L4&gt;=94%,"是","否")</f>
        <v>否</v>
      </c>
      <c r="O4" s="89"/>
      <c r="P4" s="89" t="str">
        <f t="shared" si="0"/>
        <v>0</v>
      </c>
      <c r="Q4" s="87">
        <v>321000</v>
      </c>
      <c r="R4" s="86">
        <v>60000</v>
      </c>
      <c r="S4" s="20">
        <f t="shared" ref="S4:S19" si="4">R4/Q4</f>
        <v>0.18691588785046728</v>
      </c>
      <c r="T4" s="87">
        <v>146000</v>
      </c>
      <c r="U4" s="86">
        <v>23000</v>
      </c>
      <c r="V4" s="20">
        <f t="shared" ref="V4:V19" si="5">U4/T4</f>
        <v>0.15753424657534246</v>
      </c>
      <c r="W4" s="21">
        <f t="shared" ref="W4:W19" si="6">(R4+U4)/(Q4+T4)</f>
        <v>0.17773019271948609</v>
      </c>
      <c r="X4" s="22">
        <f t="shared" ref="X4:X19" si="7">(94%-W4)*(Q4+T4)</f>
        <v>355979.99999999994</v>
      </c>
      <c r="Y4" s="89" t="str">
        <f t="shared" ref="Y4:Y19" si="8">IF(W4&gt;=94%,"是","否")</f>
        <v>否</v>
      </c>
      <c r="Z4" s="89"/>
      <c r="AA4" s="89" t="str">
        <f t="shared" si="1"/>
        <v>0</v>
      </c>
      <c r="AB4" s="89"/>
      <c r="AC4" s="89"/>
      <c r="AD4" s="12"/>
      <c r="AE4" s="12"/>
      <c r="AF4" s="12"/>
      <c r="AG4" s="12"/>
      <c r="AH4" s="12"/>
      <c r="AI4" s="12"/>
      <c r="AJ4" s="12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149"/>
      <c r="AY4" s="23"/>
      <c r="AZ4" s="12"/>
    </row>
    <row r="5" spans="1:52" ht="18" customHeight="1" x14ac:dyDescent="0.15">
      <c r="A5" s="89" t="s">
        <v>35</v>
      </c>
      <c r="B5" s="89" t="s">
        <v>116</v>
      </c>
      <c r="C5" s="89">
        <v>-2</v>
      </c>
      <c r="D5" s="89">
        <f t="shared" si="2"/>
        <v>-2</v>
      </c>
      <c r="E5" s="89">
        <f t="shared" si="3"/>
        <v>14</v>
      </c>
      <c r="F5" s="89">
        <v>3633000</v>
      </c>
      <c r="G5" s="89">
        <v>3003000</v>
      </c>
      <c r="H5" s="20">
        <f t="shared" ref="H5:H19" si="9">G5/F5</f>
        <v>0.82658959537572252</v>
      </c>
      <c r="I5" s="89">
        <v>570000</v>
      </c>
      <c r="J5" s="89">
        <v>540000</v>
      </c>
      <c r="K5" s="20">
        <f t="shared" ref="K5:K19" si="10">J5/I5</f>
        <v>0.94736842105263153</v>
      </c>
      <c r="L5" s="21">
        <f t="shared" ref="L5:L19" si="11">(G5+J5)/(F5+I5)</f>
        <v>0.84296930763740185</v>
      </c>
      <c r="M5" s="22">
        <f t="shared" ref="M5:M19" si="12">(94%-L5)*(F5+I5)</f>
        <v>407819.99999999977</v>
      </c>
      <c r="N5" s="89" t="str">
        <f t="shared" ref="N5:N19" si="13">IF(L5&gt;=94%,"是","否")</f>
        <v>否</v>
      </c>
      <c r="O5" s="89"/>
      <c r="P5" s="89" t="str">
        <f t="shared" si="0"/>
        <v>0</v>
      </c>
      <c r="Q5" s="87">
        <v>2030000</v>
      </c>
      <c r="R5" s="86">
        <v>360000</v>
      </c>
      <c r="S5" s="20">
        <f t="shared" si="4"/>
        <v>0.17733990147783252</v>
      </c>
      <c r="T5" s="87">
        <v>234000</v>
      </c>
      <c r="U5" s="86">
        <v>10000</v>
      </c>
      <c r="V5" s="20">
        <f t="shared" si="5"/>
        <v>4.2735042735042736E-2</v>
      </c>
      <c r="W5" s="21">
        <f t="shared" si="6"/>
        <v>0.16342756183745583</v>
      </c>
      <c r="X5" s="22">
        <f t="shared" si="7"/>
        <v>1758159.9999999998</v>
      </c>
      <c r="Y5" s="89" t="str">
        <f t="shared" si="8"/>
        <v>否</v>
      </c>
      <c r="Z5" s="89"/>
      <c r="AA5" s="89" t="str">
        <f t="shared" si="1"/>
        <v>0</v>
      </c>
      <c r="AB5" s="89"/>
      <c r="AC5" s="89"/>
      <c r="AD5" s="12"/>
      <c r="AE5" s="12"/>
      <c r="AF5" s="12"/>
      <c r="AG5" s="12"/>
      <c r="AH5" s="12"/>
      <c r="AI5" s="12"/>
      <c r="AJ5" s="12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149"/>
      <c r="AY5" s="23"/>
      <c r="AZ5" s="12"/>
    </row>
    <row r="6" spans="1:52" ht="18" customHeight="1" x14ac:dyDescent="0.15">
      <c r="A6" s="89" t="s">
        <v>33</v>
      </c>
      <c r="B6" s="89" t="s">
        <v>165</v>
      </c>
      <c r="C6" s="89">
        <v>8</v>
      </c>
      <c r="D6" s="89">
        <f t="shared" si="2"/>
        <v>13</v>
      </c>
      <c r="E6" s="89">
        <f t="shared" si="3"/>
        <v>4</v>
      </c>
      <c r="F6" s="89">
        <v>2276000</v>
      </c>
      <c r="G6" s="89">
        <f>VLOOKUP(B$3:B$19,[3]Sheet1!$C$2:$L$12,10,0)</f>
        <v>2161000</v>
      </c>
      <c r="H6" s="20">
        <f t="shared" si="9"/>
        <v>0.94947275922671348</v>
      </c>
      <c r="I6" s="89">
        <v>156000</v>
      </c>
      <c r="J6" s="89">
        <f>VLOOKUP(B$3:B$19,[3]Sheet1!$C$2:$Q$13,15,0)</f>
        <v>146000</v>
      </c>
      <c r="K6" s="20">
        <f t="shared" si="10"/>
        <v>0.9358974358974359</v>
      </c>
      <c r="L6" s="21">
        <f t="shared" si="11"/>
        <v>0.94860197368421051</v>
      </c>
      <c r="M6" s="22">
        <f t="shared" si="12"/>
        <v>-20920.000000000087</v>
      </c>
      <c r="N6" s="89" t="str">
        <f t="shared" si="13"/>
        <v>是</v>
      </c>
      <c r="O6" s="89"/>
      <c r="P6" s="89" t="str">
        <f t="shared" si="0"/>
        <v>5</v>
      </c>
      <c r="Q6" s="87">
        <v>1633000</v>
      </c>
      <c r="R6" s="86">
        <v>545000</v>
      </c>
      <c r="S6" s="20">
        <f t="shared" si="4"/>
        <v>0.33374157991426823</v>
      </c>
      <c r="T6" s="87">
        <v>160000</v>
      </c>
      <c r="U6" s="86">
        <v>95000</v>
      </c>
      <c r="V6" s="20">
        <f t="shared" si="5"/>
        <v>0.59375</v>
      </c>
      <c r="W6" s="21">
        <f t="shared" si="6"/>
        <v>0.3569436698271054</v>
      </c>
      <c r="X6" s="22">
        <f t="shared" si="7"/>
        <v>1045420</v>
      </c>
      <c r="Y6" s="89" t="str">
        <f t="shared" si="8"/>
        <v>否</v>
      </c>
      <c r="Z6" s="89"/>
      <c r="AA6" s="89" t="str">
        <f t="shared" si="1"/>
        <v>0</v>
      </c>
      <c r="AB6" s="89"/>
      <c r="AC6" s="89"/>
      <c r="AD6" s="12"/>
      <c r="AE6" s="12"/>
      <c r="AF6" s="12"/>
      <c r="AG6" s="12"/>
      <c r="AH6" s="12"/>
      <c r="AI6" s="12"/>
      <c r="AJ6" s="12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149"/>
      <c r="AY6" s="23"/>
      <c r="AZ6" s="12"/>
    </row>
    <row r="7" spans="1:52" ht="18" customHeight="1" x14ac:dyDescent="0.15">
      <c r="A7" s="89" t="s">
        <v>3</v>
      </c>
      <c r="B7" s="89" t="s">
        <v>166</v>
      </c>
      <c r="C7" s="89">
        <v>15</v>
      </c>
      <c r="D7" s="89">
        <f t="shared" si="2"/>
        <v>15</v>
      </c>
      <c r="E7" s="89">
        <f t="shared" si="3"/>
        <v>3</v>
      </c>
      <c r="F7" s="89">
        <v>2616000</v>
      </c>
      <c r="G7" s="89">
        <f>VLOOKUP(B$3:B$19,[3]Sheet1!$C$2:$L$12,10,0)</f>
        <v>2366000</v>
      </c>
      <c r="H7" s="20">
        <f t="shared" si="9"/>
        <v>0.90443425076452599</v>
      </c>
      <c r="I7" s="89">
        <v>710000</v>
      </c>
      <c r="J7" s="89">
        <f>VLOOKUP(B$3:B$19,[3]Sheet1!$C$2:$Q$13,15,0)</f>
        <v>710000</v>
      </c>
      <c r="K7" s="20">
        <f t="shared" si="10"/>
        <v>1</v>
      </c>
      <c r="L7" s="21">
        <f t="shared" si="11"/>
        <v>0.92483463619963924</v>
      </c>
      <c r="M7" s="22">
        <f t="shared" si="12"/>
        <v>50439.999999999716</v>
      </c>
      <c r="N7" s="89" t="str">
        <f t="shared" si="13"/>
        <v>否</v>
      </c>
      <c r="O7" s="89"/>
      <c r="P7" s="89" t="str">
        <f t="shared" si="0"/>
        <v>0</v>
      </c>
      <c r="Q7" s="87">
        <v>2507000</v>
      </c>
      <c r="R7" s="86">
        <v>305000</v>
      </c>
      <c r="S7" s="20">
        <f t="shared" si="4"/>
        <v>0.12165935380933386</v>
      </c>
      <c r="T7" s="87">
        <v>376000</v>
      </c>
      <c r="U7" s="86">
        <v>251000</v>
      </c>
      <c r="V7" s="20">
        <f t="shared" si="5"/>
        <v>0.66755319148936165</v>
      </c>
      <c r="W7" s="21">
        <f t="shared" si="6"/>
        <v>0.19285466527922304</v>
      </c>
      <c r="X7" s="22">
        <f t="shared" si="7"/>
        <v>2154020</v>
      </c>
      <c r="Y7" s="89" t="str">
        <f t="shared" si="8"/>
        <v>否</v>
      </c>
      <c r="Z7" s="89"/>
      <c r="AA7" s="89" t="str">
        <f t="shared" si="1"/>
        <v>0</v>
      </c>
      <c r="AB7" s="89"/>
      <c r="AC7" s="89"/>
      <c r="AD7" s="12"/>
      <c r="AE7" s="12"/>
      <c r="AF7" s="12"/>
      <c r="AG7" s="12"/>
      <c r="AH7" s="12"/>
      <c r="AI7" s="12"/>
      <c r="AJ7" s="12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149"/>
      <c r="AY7" s="23"/>
      <c r="AZ7" s="12"/>
    </row>
    <row r="8" spans="1:52" ht="18" customHeight="1" x14ac:dyDescent="0.15">
      <c r="A8" s="89" t="s">
        <v>3</v>
      </c>
      <c r="B8" s="89" t="s">
        <v>167</v>
      </c>
      <c r="C8" s="89">
        <v>1</v>
      </c>
      <c r="D8" s="89">
        <f t="shared" si="2"/>
        <v>6</v>
      </c>
      <c r="E8" s="89">
        <f t="shared" si="3"/>
        <v>7</v>
      </c>
      <c r="F8" s="89">
        <v>1787000</v>
      </c>
      <c r="G8" s="89">
        <f>VLOOKUP(B$3:B$19,[3]Sheet1!$C$2:$L$12,10,0)</f>
        <v>1677000</v>
      </c>
      <c r="H8" s="20">
        <f t="shared" si="9"/>
        <v>0.93844432008953549</v>
      </c>
      <c r="I8" s="89">
        <v>468000</v>
      </c>
      <c r="J8" s="89">
        <f>VLOOKUP(B$3:B$19,[3]Sheet1!$C$2:$Q$13,15,0)</f>
        <v>465000</v>
      </c>
      <c r="K8" s="20">
        <f t="shared" si="10"/>
        <v>0.99358974358974361</v>
      </c>
      <c r="L8" s="21">
        <f t="shared" si="11"/>
        <v>0.94988913525498886</v>
      </c>
      <c r="M8" s="22">
        <f t="shared" si="12"/>
        <v>-22299.999999999996</v>
      </c>
      <c r="N8" s="89" t="str">
        <f t="shared" si="13"/>
        <v>是</v>
      </c>
      <c r="O8" s="89"/>
      <c r="P8" s="89" t="str">
        <f t="shared" si="0"/>
        <v>5</v>
      </c>
      <c r="Q8" s="87">
        <v>1931000</v>
      </c>
      <c r="R8" s="86">
        <v>345000</v>
      </c>
      <c r="S8" s="20">
        <f t="shared" si="4"/>
        <v>0.17866390471258414</v>
      </c>
      <c r="T8" s="87">
        <v>303000</v>
      </c>
      <c r="U8" s="86">
        <v>140000</v>
      </c>
      <c r="V8" s="20">
        <f t="shared" si="5"/>
        <v>0.46204620462046203</v>
      </c>
      <c r="W8" s="21">
        <f t="shared" si="6"/>
        <v>0.21709937332139659</v>
      </c>
      <c r="X8" s="22">
        <f t="shared" si="7"/>
        <v>1614959.9999999998</v>
      </c>
      <c r="Y8" s="89" t="str">
        <f t="shared" si="8"/>
        <v>否</v>
      </c>
      <c r="Z8" s="89"/>
      <c r="AA8" s="89" t="str">
        <f t="shared" si="1"/>
        <v>0</v>
      </c>
      <c r="AB8" s="89"/>
      <c r="AC8" s="89"/>
      <c r="AD8" s="12"/>
      <c r="AE8" s="12"/>
      <c r="AF8" s="12"/>
      <c r="AG8" s="12"/>
      <c r="AH8" s="12"/>
      <c r="AI8" s="12"/>
      <c r="AJ8" s="12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149"/>
      <c r="AY8" s="23"/>
      <c r="AZ8" s="12"/>
    </row>
    <row r="9" spans="1:52" ht="18" customHeight="1" x14ac:dyDescent="0.15">
      <c r="A9" s="89" t="s">
        <v>31</v>
      </c>
      <c r="B9" s="89" t="s">
        <v>168</v>
      </c>
      <c r="C9" s="89">
        <v>15</v>
      </c>
      <c r="D9" s="89">
        <f t="shared" si="2"/>
        <v>20</v>
      </c>
      <c r="E9" s="89">
        <f t="shared" si="3"/>
        <v>1</v>
      </c>
      <c r="F9" s="89">
        <v>422000</v>
      </c>
      <c r="G9" s="89">
        <f>VLOOKUP(B$3:B$19,[3]Sheet1!$C$2:$L$12,10,0)</f>
        <v>422000</v>
      </c>
      <c r="H9" s="20">
        <f t="shared" si="9"/>
        <v>1</v>
      </c>
      <c r="I9" s="89">
        <v>250000</v>
      </c>
      <c r="J9" s="89">
        <f>VLOOKUP(B$3:B$19,[3]Sheet1!$C$2:$Q$13,15,0)</f>
        <v>240000</v>
      </c>
      <c r="K9" s="20">
        <f t="shared" si="10"/>
        <v>0.96</v>
      </c>
      <c r="L9" s="21">
        <f t="shared" si="11"/>
        <v>0.98511904761904767</v>
      </c>
      <c r="M9" s="22">
        <f t="shared" si="12"/>
        <v>-30320.000000000073</v>
      </c>
      <c r="N9" s="89" t="str">
        <f t="shared" si="13"/>
        <v>是</v>
      </c>
      <c r="O9" s="89"/>
      <c r="P9" s="89" t="str">
        <f t="shared" si="0"/>
        <v>5</v>
      </c>
      <c r="Q9" s="87">
        <v>1494000</v>
      </c>
      <c r="R9" s="86">
        <v>208000</v>
      </c>
      <c r="S9" s="20">
        <f t="shared" si="4"/>
        <v>0.13922356091030791</v>
      </c>
      <c r="T9" s="87">
        <v>269000</v>
      </c>
      <c r="U9" s="86">
        <v>80000</v>
      </c>
      <c r="V9" s="20">
        <f t="shared" si="5"/>
        <v>0.29739776951672864</v>
      </c>
      <c r="W9" s="21">
        <f t="shared" si="6"/>
        <v>0.16335791264889393</v>
      </c>
      <c r="X9" s="22">
        <f t="shared" si="7"/>
        <v>1369219.9999999998</v>
      </c>
      <c r="Y9" s="89" t="str">
        <f t="shared" si="8"/>
        <v>否</v>
      </c>
      <c r="Z9" s="89"/>
      <c r="AA9" s="89" t="str">
        <f t="shared" si="1"/>
        <v>0</v>
      </c>
      <c r="AB9" s="89"/>
      <c r="AC9" s="89"/>
      <c r="AD9" s="12"/>
      <c r="AE9" s="12"/>
      <c r="AF9" s="12"/>
      <c r="AG9" s="12"/>
      <c r="AH9" s="12"/>
      <c r="AI9" s="12"/>
      <c r="AJ9" s="12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149"/>
      <c r="AY9" s="23"/>
      <c r="AZ9" s="12"/>
    </row>
    <row r="10" spans="1:52" ht="18" customHeight="1" x14ac:dyDescent="0.15">
      <c r="A10" s="89" t="s">
        <v>32</v>
      </c>
      <c r="B10" s="89" t="s">
        <v>126</v>
      </c>
      <c r="C10" s="89">
        <v>15</v>
      </c>
      <c r="D10" s="89">
        <f t="shared" si="2"/>
        <v>20</v>
      </c>
      <c r="E10" s="89">
        <f t="shared" si="3"/>
        <v>1</v>
      </c>
      <c r="F10" s="89">
        <v>509000</v>
      </c>
      <c r="G10" s="89">
        <f>VLOOKUP(B$3:B$19,[3]Sheet1!$C$2:$L$12,10,0)</f>
        <v>499000</v>
      </c>
      <c r="H10" s="20">
        <f t="shared" si="9"/>
        <v>0.98035363457760316</v>
      </c>
      <c r="I10" s="89">
        <v>130000</v>
      </c>
      <c r="J10" s="89">
        <f>VLOOKUP(B$3:B$19,[3]Sheet1!$C$2:$Q$13,15,0)</f>
        <v>125000</v>
      </c>
      <c r="K10" s="20">
        <f t="shared" si="10"/>
        <v>0.96153846153846156</v>
      </c>
      <c r="L10" s="21">
        <f t="shared" si="11"/>
        <v>0.97652582159624413</v>
      </c>
      <c r="M10" s="22">
        <f t="shared" si="12"/>
        <v>-23340.000000000029</v>
      </c>
      <c r="N10" s="89" t="str">
        <f t="shared" si="13"/>
        <v>是</v>
      </c>
      <c r="O10" s="89"/>
      <c r="P10" s="89" t="str">
        <f t="shared" si="0"/>
        <v>5</v>
      </c>
      <c r="Q10" s="87">
        <v>462000</v>
      </c>
      <c r="R10" s="86">
        <v>175000</v>
      </c>
      <c r="S10" s="20">
        <f t="shared" si="4"/>
        <v>0.37878787878787878</v>
      </c>
      <c r="T10" s="87">
        <v>90000</v>
      </c>
      <c r="U10" s="86">
        <v>60000</v>
      </c>
      <c r="V10" s="20">
        <f t="shared" si="5"/>
        <v>0.66666666666666663</v>
      </c>
      <c r="W10" s="21">
        <f t="shared" si="6"/>
        <v>0.42572463768115942</v>
      </c>
      <c r="X10" s="22">
        <f t="shared" si="7"/>
        <v>283879.99999999994</v>
      </c>
      <c r="Y10" s="89" t="str">
        <f t="shared" si="8"/>
        <v>否</v>
      </c>
      <c r="Z10" s="89"/>
      <c r="AA10" s="89" t="str">
        <f t="shared" si="1"/>
        <v>0</v>
      </c>
      <c r="AB10" s="89"/>
      <c r="AC10" s="89"/>
      <c r="AD10" s="12"/>
      <c r="AE10" s="12"/>
      <c r="AF10" s="12"/>
      <c r="AG10" s="12"/>
      <c r="AH10" s="12"/>
      <c r="AI10" s="12"/>
      <c r="AJ10" s="12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149"/>
      <c r="AY10" s="23"/>
      <c r="AZ10" s="12"/>
    </row>
    <row r="11" spans="1:52" ht="18" customHeight="1" x14ac:dyDescent="0.15">
      <c r="A11" s="89" t="s">
        <v>34</v>
      </c>
      <c r="B11" s="89" t="s">
        <v>130</v>
      </c>
      <c r="C11" s="89">
        <v>0</v>
      </c>
      <c r="D11" s="89">
        <f t="shared" si="2"/>
        <v>10</v>
      </c>
      <c r="E11" s="89">
        <f t="shared" si="3"/>
        <v>5</v>
      </c>
      <c r="F11" s="89">
        <v>819000</v>
      </c>
      <c r="G11" s="89">
        <v>799000</v>
      </c>
      <c r="H11" s="20">
        <f t="shared" si="9"/>
        <v>0.97557997557997556</v>
      </c>
      <c r="I11" s="89">
        <v>198000</v>
      </c>
      <c r="J11" s="89">
        <v>198000</v>
      </c>
      <c r="K11" s="20">
        <f t="shared" si="10"/>
        <v>1</v>
      </c>
      <c r="L11" s="21">
        <f t="shared" si="11"/>
        <v>0.98033431661750248</v>
      </c>
      <c r="M11" s="22">
        <f t="shared" si="12"/>
        <v>-41020.000000000073</v>
      </c>
      <c r="N11" s="89" t="str">
        <f t="shared" si="13"/>
        <v>是</v>
      </c>
      <c r="O11" s="89"/>
      <c r="P11" s="89" t="str">
        <f t="shared" si="0"/>
        <v>5</v>
      </c>
      <c r="Q11" s="87">
        <v>8000</v>
      </c>
      <c r="R11" s="86">
        <v>8000</v>
      </c>
      <c r="S11" s="20">
        <f t="shared" si="4"/>
        <v>1</v>
      </c>
      <c r="T11" s="87">
        <v>10000</v>
      </c>
      <c r="U11" s="86">
        <v>10000</v>
      </c>
      <c r="V11" s="20">
        <f t="shared" si="5"/>
        <v>1</v>
      </c>
      <c r="W11" s="21">
        <f t="shared" si="6"/>
        <v>1</v>
      </c>
      <c r="X11" s="22">
        <f t="shared" si="7"/>
        <v>-1080.0000000000009</v>
      </c>
      <c r="Y11" s="89" t="str">
        <f t="shared" si="8"/>
        <v>是</v>
      </c>
      <c r="Z11" s="89"/>
      <c r="AA11" s="89" t="str">
        <f t="shared" si="1"/>
        <v>5</v>
      </c>
      <c r="AB11" s="89"/>
      <c r="AC11" s="89"/>
      <c r="AD11" s="12"/>
      <c r="AE11" s="12"/>
      <c r="AF11" s="12"/>
      <c r="AG11" s="12"/>
      <c r="AH11" s="12"/>
      <c r="AI11" s="12"/>
      <c r="AJ11" s="12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149"/>
      <c r="AY11" s="23"/>
      <c r="AZ11" s="12"/>
    </row>
    <row r="12" spans="1:52" ht="18" customHeight="1" x14ac:dyDescent="0.15">
      <c r="A12" s="89" t="s">
        <v>228</v>
      </c>
      <c r="B12" s="89" t="s">
        <v>229</v>
      </c>
      <c r="C12" s="89">
        <v>0</v>
      </c>
      <c r="D12" s="89">
        <f t="shared" si="2"/>
        <v>0</v>
      </c>
      <c r="E12" s="89">
        <f t="shared" si="3"/>
        <v>11</v>
      </c>
      <c r="F12" s="89"/>
      <c r="G12" s="89"/>
      <c r="H12" s="20"/>
      <c r="I12" s="89"/>
      <c r="J12" s="89"/>
      <c r="K12" s="20"/>
      <c r="L12" s="21"/>
      <c r="M12" s="22"/>
      <c r="N12" s="89" t="str">
        <f t="shared" si="13"/>
        <v>否</v>
      </c>
      <c r="O12" s="89"/>
      <c r="P12" s="89" t="str">
        <f t="shared" si="0"/>
        <v>0</v>
      </c>
      <c r="Q12" s="87">
        <v>1841000</v>
      </c>
      <c r="R12" s="86">
        <v>174000</v>
      </c>
      <c r="S12" s="20">
        <f t="shared" si="4"/>
        <v>9.4513851167843568E-2</v>
      </c>
      <c r="T12" s="87">
        <v>498000</v>
      </c>
      <c r="U12" s="86">
        <v>160000</v>
      </c>
      <c r="V12" s="20">
        <f t="shared" si="5"/>
        <v>0.32128514056224899</v>
      </c>
      <c r="W12" s="21">
        <f t="shared" si="6"/>
        <v>0.14279606669516887</v>
      </c>
      <c r="X12" s="22">
        <f t="shared" si="7"/>
        <v>1864660</v>
      </c>
      <c r="Y12" s="89" t="str">
        <f t="shared" si="8"/>
        <v>否</v>
      </c>
      <c r="Z12" s="89"/>
      <c r="AA12" s="89" t="str">
        <f t="shared" si="1"/>
        <v>0</v>
      </c>
      <c r="AB12" s="89"/>
      <c r="AC12" s="89"/>
      <c r="AD12" s="12"/>
      <c r="AE12" s="12"/>
      <c r="AF12" s="12"/>
      <c r="AG12" s="12"/>
      <c r="AH12" s="12"/>
      <c r="AI12" s="12"/>
      <c r="AJ12" s="12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149"/>
      <c r="AY12" s="23"/>
      <c r="AZ12" s="12"/>
    </row>
    <row r="13" spans="1:52" ht="18" customHeight="1" x14ac:dyDescent="0.15">
      <c r="A13" s="89" t="s">
        <v>230</v>
      </c>
      <c r="B13" s="89" t="s">
        <v>231</v>
      </c>
      <c r="C13" s="89">
        <v>0</v>
      </c>
      <c r="D13" s="89">
        <f t="shared" si="2"/>
        <v>0</v>
      </c>
      <c r="E13" s="89">
        <f t="shared" si="3"/>
        <v>11</v>
      </c>
      <c r="F13" s="89"/>
      <c r="G13" s="89"/>
      <c r="H13" s="20"/>
      <c r="I13" s="89"/>
      <c r="J13" s="89"/>
      <c r="K13" s="20"/>
      <c r="L13" s="21"/>
      <c r="M13" s="22"/>
      <c r="N13" s="89" t="str">
        <f t="shared" si="13"/>
        <v>否</v>
      </c>
      <c r="O13" s="89"/>
      <c r="P13" s="89" t="str">
        <f t="shared" si="0"/>
        <v>0</v>
      </c>
      <c r="Q13" s="87">
        <v>389000</v>
      </c>
      <c r="R13" s="86">
        <v>70000</v>
      </c>
      <c r="S13" s="20">
        <f t="shared" si="4"/>
        <v>0.17994858611825193</v>
      </c>
      <c r="T13" s="87">
        <v>30000</v>
      </c>
      <c r="U13" s="86">
        <v>10000</v>
      </c>
      <c r="V13" s="20">
        <f t="shared" si="5"/>
        <v>0.33333333333333331</v>
      </c>
      <c r="W13" s="21">
        <f t="shared" si="6"/>
        <v>0.1909307875894988</v>
      </c>
      <c r="X13" s="22">
        <f t="shared" si="7"/>
        <v>313860</v>
      </c>
      <c r="Y13" s="89" t="str">
        <f t="shared" si="8"/>
        <v>否</v>
      </c>
      <c r="Z13" s="89"/>
      <c r="AA13" s="89" t="str">
        <f t="shared" si="1"/>
        <v>0</v>
      </c>
      <c r="AB13" s="89"/>
      <c r="AC13" s="89"/>
      <c r="AD13" s="12"/>
      <c r="AE13" s="12"/>
      <c r="AF13" s="12"/>
      <c r="AG13" s="12"/>
      <c r="AH13" s="12"/>
      <c r="AI13" s="12"/>
      <c r="AJ13" s="12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149"/>
      <c r="AY13" s="23"/>
      <c r="AZ13" s="12"/>
    </row>
    <row r="14" spans="1:52" ht="18" customHeight="1" x14ac:dyDescent="0.15">
      <c r="A14" s="89" t="s">
        <v>4</v>
      </c>
      <c r="B14" s="89" t="s">
        <v>169</v>
      </c>
      <c r="C14" s="89">
        <v>0</v>
      </c>
      <c r="D14" s="89">
        <f t="shared" si="2"/>
        <v>5</v>
      </c>
      <c r="E14" s="89">
        <f t="shared" si="3"/>
        <v>8</v>
      </c>
      <c r="F14" s="89">
        <v>1801000</v>
      </c>
      <c r="G14" s="89">
        <f>VLOOKUP(B$3:B$19,[3]Sheet1!$C$2:$L$12,10,0)</f>
        <v>1731000</v>
      </c>
      <c r="H14" s="20">
        <f t="shared" si="9"/>
        <v>0.96113270405330375</v>
      </c>
      <c r="I14" s="89">
        <v>153000</v>
      </c>
      <c r="J14" s="89">
        <f>VLOOKUP(B$3:B$19,[3]Sheet1!$C$2:$Q$13,15,0)</f>
        <v>133000</v>
      </c>
      <c r="K14" s="20">
        <f t="shared" si="10"/>
        <v>0.86928104575163401</v>
      </c>
      <c r="L14" s="21">
        <f t="shared" si="11"/>
        <v>0.95394063459570111</v>
      </c>
      <c r="M14" s="22">
        <f t="shared" si="12"/>
        <v>-27240.000000000073</v>
      </c>
      <c r="N14" s="89" t="str">
        <f t="shared" si="13"/>
        <v>是</v>
      </c>
      <c r="O14" s="89"/>
      <c r="P14" s="89" t="str">
        <f t="shared" si="0"/>
        <v>5</v>
      </c>
      <c r="Q14" s="87">
        <v>698000</v>
      </c>
      <c r="R14" s="86">
        <v>380000</v>
      </c>
      <c r="S14" s="20">
        <f t="shared" si="4"/>
        <v>0.54441260744985676</v>
      </c>
      <c r="T14" s="87">
        <v>110000</v>
      </c>
      <c r="U14" s="86">
        <v>60000</v>
      </c>
      <c r="V14" s="20">
        <f t="shared" si="5"/>
        <v>0.54545454545454541</v>
      </c>
      <c r="W14" s="21">
        <f t="shared" si="6"/>
        <v>0.54455445544554459</v>
      </c>
      <c r="X14" s="22">
        <f t="shared" si="7"/>
        <v>319519.99999999994</v>
      </c>
      <c r="Y14" s="89" t="str">
        <f t="shared" si="8"/>
        <v>否</v>
      </c>
      <c r="Z14" s="89"/>
      <c r="AA14" s="89" t="str">
        <f t="shared" si="1"/>
        <v>0</v>
      </c>
      <c r="AB14" s="89"/>
      <c r="AC14" s="89"/>
      <c r="AD14" s="12"/>
      <c r="AE14" s="12"/>
      <c r="AF14" s="12"/>
      <c r="AG14" s="12"/>
      <c r="AH14" s="12"/>
      <c r="AI14" s="12"/>
      <c r="AJ14" s="12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149"/>
      <c r="AY14" s="23"/>
      <c r="AZ14" s="12"/>
    </row>
    <row r="15" spans="1:52" ht="18" customHeight="1" x14ac:dyDescent="0.15">
      <c r="A15" s="89" t="s">
        <v>5</v>
      </c>
      <c r="B15" s="89" t="s">
        <v>152</v>
      </c>
      <c r="C15" s="89" t="s">
        <v>175</v>
      </c>
      <c r="D15" s="89">
        <f t="shared" si="2"/>
        <v>-2</v>
      </c>
      <c r="E15" s="89">
        <f t="shared" si="3"/>
        <v>14</v>
      </c>
      <c r="F15" s="89">
        <v>2641000</v>
      </c>
      <c r="G15" s="89">
        <v>2256000</v>
      </c>
      <c r="H15" s="20">
        <f t="shared" si="9"/>
        <v>0.85422188564937529</v>
      </c>
      <c r="I15" s="89">
        <v>248000</v>
      </c>
      <c r="J15" s="89">
        <v>196000</v>
      </c>
      <c r="K15" s="20">
        <f t="shared" si="10"/>
        <v>0.79032258064516125</v>
      </c>
      <c r="L15" s="21">
        <f t="shared" si="11"/>
        <v>0.84873658705434407</v>
      </c>
      <c r="M15" s="22">
        <f t="shared" si="12"/>
        <v>263659.99999999983</v>
      </c>
      <c r="N15" s="89" t="str">
        <f t="shared" si="13"/>
        <v>否</v>
      </c>
      <c r="O15" s="89"/>
      <c r="P15" s="89" t="str">
        <f t="shared" si="0"/>
        <v>0</v>
      </c>
      <c r="Q15" s="87">
        <v>1656000</v>
      </c>
      <c r="R15" s="86">
        <v>140000</v>
      </c>
      <c r="S15" s="20">
        <f t="shared" si="4"/>
        <v>8.4541062801932368E-2</v>
      </c>
      <c r="T15" s="87">
        <v>140000</v>
      </c>
      <c r="U15" s="86">
        <v>40000</v>
      </c>
      <c r="V15" s="20">
        <f t="shared" si="5"/>
        <v>0.2857142857142857</v>
      </c>
      <c r="W15" s="21">
        <f t="shared" si="6"/>
        <v>0.10022271714922049</v>
      </c>
      <c r="X15" s="22">
        <f t="shared" si="7"/>
        <v>1508240</v>
      </c>
      <c r="Y15" s="89" t="str">
        <f t="shared" si="8"/>
        <v>否</v>
      </c>
      <c r="Z15" s="89"/>
      <c r="AA15" s="89" t="str">
        <f t="shared" si="1"/>
        <v>0</v>
      </c>
      <c r="AB15" s="89"/>
      <c r="AC15" s="89"/>
      <c r="AD15" s="12"/>
      <c r="AE15" s="12"/>
      <c r="AF15" s="12"/>
      <c r="AG15" s="12"/>
      <c r="AH15" s="12"/>
      <c r="AI15" s="12"/>
      <c r="AJ15" s="12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149"/>
      <c r="AY15" s="23"/>
      <c r="AZ15" s="12"/>
    </row>
    <row r="16" spans="1:52" ht="18" customHeight="1" x14ac:dyDescent="0.15">
      <c r="A16" s="89" t="s">
        <v>6</v>
      </c>
      <c r="B16" s="89" t="s">
        <v>170</v>
      </c>
      <c r="C16" s="89">
        <v>8</v>
      </c>
      <c r="D16" s="89">
        <f t="shared" si="2"/>
        <v>8</v>
      </c>
      <c r="E16" s="89">
        <f t="shared" si="3"/>
        <v>6</v>
      </c>
      <c r="F16" s="89">
        <v>1714000</v>
      </c>
      <c r="G16" s="89">
        <f>VLOOKUP(B$3:B$19,[3]Sheet1!$C$2:$L$12,10,0)</f>
        <v>1630000</v>
      </c>
      <c r="H16" s="20">
        <f t="shared" si="9"/>
        <v>0.95099183197199533</v>
      </c>
      <c r="I16" s="89">
        <v>1017000</v>
      </c>
      <c r="J16" s="89">
        <f>VLOOKUP(B$3:B$19,[3]Sheet1!$C$2:$Q$13,15,0)</f>
        <v>837000</v>
      </c>
      <c r="K16" s="20">
        <f t="shared" si="10"/>
        <v>0.82300884955752207</v>
      </c>
      <c r="L16" s="21">
        <f t="shared" si="11"/>
        <v>0.90333211277920178</v>
      </c>
      <c r="M16" s="22">
        <f t="shared" si="12"/>
        <v>100139.9999999998</v>
      </c>
      <c r="N16" s="89" t="str">
        <f t="shared" si="13"/>
        <v>否</v>
      </c>
      <c r="O16" s="89"/>
      <c r="P16" s="89" t="str">
        <f t="shared" si="0"/>
        <v>0</v>
      </c>
      <c r="Q16" s="87">
        <v>1873000</v>
      </c>
      <c r="R16" s="86">
        <v>345000</v>
      </c>
      <c r="S16" s="20">
        <f t="shared" si="4"/>
        <v>0.18419647624132407</v>
      </c>
      <c r="T16" s="87">
        <v>693000</v>
      </c>
      <c r="U16" s="86">
        <v>115000</v>
      </c>
      <c r="V16" s="20">
        <f t="shared" si="5"/>
        <v>0.16594516594516595</v>
      </c>
      <c r="W16" s="21">
        <f t="shared" si="6"/>
        <v>0.17926734216679657</v>
      </c>
      <c r="X16" s="22">
        <f t="shared" si="7"/>
        <v>1952040</v>
      </c>
      <c r="Y16" s="89" t="str">
        <f t="shared" si="8"/>
        <v>否</v>
      </c>
      <c r="Z16" s="89"/>
      <c r="AA16" s="89" t="str">
        <f t="shared" si="1"/>
        <v>0</v>
      </c>
      <c r="AB16" s="89"/>
      <c r="AC16" s="89"/>
      <c r="AD16" s="12"/>
      <c r="AE16" s="12"/>
      <c r="AF16" s="12"/>
      <c r="AG16" s="12"/>
      <c r="AH16" s="12"/>
      <c r="AI16" s="12"/>
      <c r="AJ16" s="12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149"/>
      <c r="AY16" s="23"/>
      <c r="AZ16" s="12"/>
    </row>
    <row r="17" spans="1:52" ht="18" customHeight="1" x14ac:dyDescent="0.15">
      <c r="A17" s="89" t="s">
        <v>31</v>
      </c>
      <c r="B17" s="89" t="s">
        <v>171</v>
      </c>
      <c r="C17" s="89">
        <v>1</v>
      </c>
      <c r="D17" s="89">
        <f t="shared" si="2"/>
        <v>1</v>
      </c>
      <c r="E17" s="89">
        <f t="shared" si="3"/>
        <v>9</v>
      </c>
      <c r="F17" s="89">
        <v>687000</v>
      </c>
      <c r="G17" s="89">
        <f>VLOOKUP(B$3:B$19,[3]Sheet1!$C$2:$L$12,10,0)</f>
        <v>657000</v>
      </c>
      <c r="H17" s="20">
        <f t="shared" si="9"/>
        <v>0.95633187772925765</v>
      </c>
      <c r="I17" s="89">
        <v>222000</v>
      </c>
      <c r="J17" s="89">
        <f>VLOOKUP(B$3:B$19,[3]Sheet1!$C$2:$Q$13,15,0)</f>
        <v>192000</v>
      </c>
      <c r="K17" s="20">
        <f t="shared" si="10"/>
        <v>0.86486486486486491</v>
      </c>
      <c r="L17" s="21">
        <f t="shared" si="11"/>
        <v>0.93399339933993397</v>
      </c>
      <c r="M17" s="22">
        <f t="shared" si="12"/>
        <v>5459.9999999999709</v>
      </c>
      <c r="N17" s="89" t="str">
        <f t="shared" si="13"/>
        <v>否</v>
      </c>
      <c r="O17" s="89"/>
      <c r="P17" s="89" t="str">
        <f t="shared" si="0"/>
        <v>0</v>
      </c>
      <c r="Q17" s="87">
        <v>1083000</v>
      </c>
      <c r="R17" s="86">
        <v>223000</v>
      </c>
      <c r="S17" s="20">
        <f t="shared" si="4"/>
        <v>0.2059095106186519</v>
      </c>
      <c r="T17" s="87">
        <v>175000</v>
      </c>
      <c r="U17" s="86">
        <v>55000</v>
      </c>
      <c r="V17" s="20">
        <f t="shared" si="5"/>
        <v>0.31428571428571428</v>
      </c>
      <c r="W17" s="21">
        <f t="shared" si="6"/>
        <v>0.22098569157392686</v>
      </c>
      <c r="X17" s="22">
        <f t="shared" si="7"/>
        <v>904519.99999999988</v>
      </c>
      <c r="Y17" s="89" t="str">
        <f t="shared" si="8"/>
        <v>否</v>
      </c>
      <c r="Z17" s="89"/>
      <c r="AA17" s="89" t="str">
        <f t="shared" si="1"/>
        <v>0</v>
      </c>
      <c r="AB17" s="89"/>
      <c r="AC17" s="89"/>
      <c r="AD17" s="12"/>
      <c r="AE17" s="12"/>
      <c r="AF17" s="12"/>
      <c r="AG17" s="12"/>
      <c r="AH17" s="12"/>
      <c r="AI17" s="12"/>
      <c r="AJ17" s="12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149"/>
      <c r="AY17" s="23"/>
      <c r="AZ17" s="12"/>
    </row>
    <row r="18" spans="1:52" ht="18" customHeight="1" x14ac:dyDescent="0.15">
      <c r="A18" s="89" t="s">
        <v>6</v>
      </c>
      <c r="B18" s="89" t="s">
        <v>172</v>
      </c>
      <c r="C18" s="89">
        <v>-6</v>
      </c>
      <c r="D18" s="89">
        <f t="shared" si="2"/>
        <v>-6</v>
      </c>
      <c r="E18" s="89">
        <f t="shared" si="3"/>
        <v>16</v>
      </c>
      <c r="F18" s="89">
        <v>1961000</v>
      </c>
      <c r="G18" s="89">
        <f>VLOOKUP(B$3:B$19,[3]Sheet1!$C$2:$L$12,10,0)</f>
        <v>1769000</v>
      </c>
      <c r="H18" s="20">
        <f t="shared" si="9"/>
        <v>0.90209077001529836</v>
      </c>
      <c r="I18" s="89">
        <v>835000</v>
      </c>
      <c r="J18" s="89">
        <f>VLOOKUP(B$3:B$19,[3]Sheet1!$C$2:$Q$13,15,0)</f>
        <v>835000</v>
      </c>
      <c r="K18" s="20">
        <f t="shared" si="10"/>
        <v>1</v>
      </c>
      <c r="L18" s="21">
        <f t="shared" si="11"/>
        <v>0.93133047210300424</v>
      </c>
      <c r="M18" s="22">
        <f t="shared" si="12"/>
        <v>24240.000000000007</v>
      </c>
      <c r="N18" s="89" t="str">
        <f t="shared" si="13"/>
        <v>否</v>
      </c>
      <c r="O18" s="89"/>
      <c r="P18" s="89" t="str">
        <f t="shared" si="0"/>
        <v>0</v>
      </c>
      <c r="Q18" s="87">
        <v>1831000</v>
      </c>
      <c r="R18" s="86">
        <v>410000</v>
      </c>
      <c r="S18" s="20">
        <f t="shared" si="4"/>
        <v>0.2239213544511196</v>
      </c>
      <c r="T18" s="87">
        <v>594000</v>
      </c>
      <c r="U18" s="86">
        <v>208000</v>
      </c>
      <c r="V18" s="20">
        <f t="shared" si="5"/>
        <v>0.35016835016835018</v>
      </c>
      <c r="W18" s="21">
        <f t="shared" si="6"/>
        <v>0.2548453608247423</v>
      </c>
      <c r="X18" s="22">
        <f t="shared" si="7"/>
        <v>1661499.9999999998</v>
      </c>
      <c r="Y18" s="89" t="str">
        <f t="shared" si="8"/>
        <v>否</v>
      </c>
      <c r="Z18" s="89"/>
      <c r="AA18" s="89" t="str">
        <f t="shared" si="1"/>
        <v>0</v>
      </c>
      <c r="AB18" s="89"/>
      <c r="AC18" s="89"/>
      <c r="AD18" s="12"/>
      <c r="AE18" s="12"/>
      <c r="AF18" s="12"/>
      <c r="AG18" s="12"/>
      <c r="AH18" s="12"/>
      <c r="AI18" s="12"/>
      <c r="AJ18" s="12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149"/>
      <c r="AY18" s="23"/>
      <c r="AZ18" s="12"/>
    </row>
    <row r="19" spans="1:52" ht="18" customHeight="1" x14ac:dyDescent="0.15">
      <c r="A19" s="89" t="s">
        <v>123</v>
      </c>
      <c r="B19" s="89" t="s">
        <v>173</v>
      </c>
      <c r="C19" s="89">
        <v>-6</v>
      </c>
      <c r="D19" s="89">
        <f t="shared" si="2"/>
        <v>-6</v>
      </c>
      <c r="E19" s="89">
        <f t="shared" si="3"/>
        <v>16</v>
      </c>
      <c r="F19" s="89">
        <v>968000</v>
      </c>
      <c r="G19" s="89">
        <f>VLOOKUP(B$3:B$19,[3]Sheet1!$C$2:$L$12,10,0)</f>
        <v>858000</v>
      </c>
      <c r="H19" s="20">
        <f t="shared" si="9"/>
        <v>0.88636363636363635</v>
      </c>
      <c r="I19" s="89">
        <v>380000</v>
      </c>
      <c r="J19" s="89">
        <f>VLOOKUP(B$3:B$19,[3]Sheet1!$C$2:$Q$13,15,0)</f>
        <v>340000</v>
      </c>
      <c r="K19" s="20">
        <f t="shared" si="10"/>
        <v>0.89473684210526316</v>
      </c>
      <c r="L19" s="21">
        <f t="shared" si="11"/>
        <v>0.88872403560830859</v>
      </c>
      <c r="M19" s="22">
        <f t="shared" si="12"/>
        <v>69119.999999999942</v>
      </c>
      <c r="N19" s="89" t="str">
        <f t="shared" si="13"/>
        <v>否</v>
      </c>
      <c r="O19" s="89"/>
      <c r="P19" s="89" t="str">
        <f t="shared" si="0"/>
        <v>0</v>
      </c>
      <c r="Q19" s="87">
        <v>645000</v>
      </c>
      <c r="R19" s="86">
        <v>155000</v>
      </c>
      <c r="S19" s="20">
        <f t="shared" si="4"/>
        <v>0.24031007751937986</v>
      </c>
      <c r="T19" s="87">
        <v>90000</v>
      </c>
      <c r="U19" s="86">
        <v>40000</v>
      </c>
      <c r="V19" s="20">
        <f t="shared" si="5"/>
        <v>0.44444444444444442</v>
      </c>
      <c r="W19" s="21">
        <f t="shared" si="6"/>
        <v>0.26530612244897961</v>
      </c>
      <c r="X19" s="22">
        <f t="shared" si="7"/>
        <v>495899.99999999988</v>
      </c>
      <c r="Y19" s="89" t="str">
        <f t="shared" si="8"/>
        <v>否</v>
      </c>
      <c r="Z19" s="89"/>
      <c r="AA19" s="89" t="str">
        <f t="shared" si="1"/>
        <v>0</v>
      </c>
      <c r="AB19" s="89"/>
      <c r="AC19" s="89"/>
      <c r="AD19" s="12"/>
      <c r="AE19" s="12"/>
      <c r="AF19" s="12"/>
      <c r="AG19" s="12"/>
      <c r="AH19" s="12"/>
      <c r="AI19" s="12"/>
      <c r="AJ19" s="12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149"/>
      <c r="AY19" s="23"/>
      <c r="AZ19" s="12"/>
    </row>
    <row r="20" spans="1:52" ht="18" customHeight="1" x14ac:dyDescent="0.15">
      <c r="A20" s="89"/>
      <c r="B20" s="89"/>
      <c r="C20" s="89"/>
      <c r="D20" s="89"/>
      <c r="E20" s="89"/>
      <c r="F20" s="89"/>
      <c r="G20" s="89"/>
      <c r="H20" s="20"/>
      <c r="I20" s="89"/>
      <c r="J20" s="89"/>
      <c r="K20" s="20"/>
      <c r="L20" s="21"/>
      <c r="M20" s="22"/>
      <c r="N20" s="89"/>
      <c r="O20" s="89"/>
      <c r="P20" s="89"/>
      <c r="Q20" s="89"/>
      <c r="R20" s="89"/>
      <c r="S20" s="20"/>
      <c r="T20" s="89"/>
      <c r="U20" s="89"/>
      <c r="V20" s="20"/>
      <c r="W20" s="21"/>
      <c r="X20" s="22"/>
      <c r="Y20" s="89"/>
      <c r="Z20" s="89"/>
      <c r="AA20" s="89"/>
      <c r="AB20" s="89"/>
      <c r="AC20" s="89"/>
      <c r="AD20" s="12"/>
      <c r="AE20" s="12"/>
      <c r="AF20" s="12"/>
      <c r="AG20" s="12"/>
      <c r="AH20" s="12"/>
      <c r="AI20" s="12"/>
      <c r="AJ20" s="12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149"/>
      <c r="AY20" s="23"/>
      <c r="AZ20" s="12"/>
    </row>
  </sheetData>
  <autoFilter ref="A2:AZ19"/>
  <mergeCells count="3">
    <mergeCell ref="A1:E1"/>
    <mergeCell ref="F1:AZ1"/>
    <mergeCell ref="AX2:AX20"/>
  </mergeCells>
  <phoneticPr fontId="1" type="noConversion"/>
  <conditionalFormatting sqref="AB3:AB20 N3:O20 P3:P19 Y3:Z20">
    <cfRule type="cellIs" dxfId="2" priority="6" operator="equal">
      <formula>"是"</formula>
    </cfRule>
  </conditionalFormatting>
  <conditionalFormatting sqref="AA3:AA19">
    <cfRule type="cellIs" dxfId="1" priority="2" operator="equal">
      <formula>"是"</formula>
    </cfRule>
  </conditionalFormatting>
  <conditionalFormatting sqref="E3:E19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  <ignoredErrors>
    <ignoredError sqref="C15" numberStoredAsText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F10" sqref="F10"/>
    </sheetView>
  </sheetViews>
  <sheetFormatPr defaultRowHeight="24" customHeight="1" x14ac:dyDescent="0.15"/>
  <cols>
    <col min="1" max="2" width="9" style="11"/>
    <col min="3" max="3" width="8.5" style="11" customWidth="1"/>
    <col min="4" max="4" width="13.25" style="11" bestFit="1" customWidth="1"/>
    <col min="5" max="5" width="7.375" style="11" bestFit="1" customWidth="1"/>
    <col min="6" max="6" width="14" style="11" customWidth="1"/>
    <col min="7" max="7" width="5.5" style="11" bestFit="1" customWidth="1"/>
    <col min="8" max="8" width="13.25" style="11" bestFit="1" customWidth="1"/>
    <col min="9" max="9" width="5.5" style="11" bestFit="1" customWidth="1"/>
    <col min="10" max="12" width="9" style="11"/>
    <col min="13" max="13" width="9.625" style="11" bestFit="1" customWidth="1"/>
    <col min="14" max="16384" width="9" style="11"/>
  </cols>
  <sheetData>
    <row r="1" spans="1:13" ht="24" customHeight="1" x14ac:dyDescent="0.15">
      <c r="A1" s="153" t="s">
        <v>13</v>
      </c>
      <c r="B1" s="153" t="s">
        <v>37</v>
      </c>
      <c r="C1" s="156" t="s">
        <v>85</v>
      </c>
      <c r="D1" s="157" t="s">
        <v>86</v>
      </c>
      <c r="E1" s="157"/>
      <c r="F1" s="157"/>
      <c r="G1" s="157"/>
      <c r="H1" s="157"/>
      <c r="I1" s="157"/>
    </row>
    <row r="2" spans="1:13" ht="22.5" customHeight="1" x14ac:dyDescent="0.15">
      <c r="A2" s="154"/>
      <c r="B2" s="154"/>
      <c r="C2" s="156"/>
      <c r="D2" s="158" t="s">
        <v>57</v>
      </c>
      <c r="E2" s="159"/>
      <c r="F2" s="158" t="s">
        <v>51</v>
      </c>
      <c r="G2" s="159"/>
      <c r="H2" s="158" t="s">
        <v>52</v>
      </c>
      <c r="I2" s="159"/>
    </row>
    <row r="3" spans="1:13" ht="22.5" customHeight="1" x14ac:dyDescent="0.15">
      <c r="A3" s="155"/>
      <c r="B3" s="155"/>
      <c r="C3" s="156"/>
      <c r="D3" s="33" t="s">
        <v>88</v>
      </c>
      <c r="E3" s="33" t="s">
        <v>87</v>
      </c>
      <c r="F3" s="33" t="s">
        <v>88</v>
      </c>
      <c r="G3" s="33" t="s">
        <v>87</v>
      </c>
      <c r="H3" s="33" t="s">
        <v>88</v>
      </c>
      <c r="I3" s="33" t="s">
        <v>87</v>
      </c>
    </row>
    <row r="4" spans="1:13" ht="24" customHeight="1" x14ac:dyDescent="0.15">
      <c r="A4" s="3" t="s">
        <v>15</v>
      </c>
      <c r="B4" s="3" t="s">
        <v>2</v>
      </c>
      <c r="C4" s="46">
        <v>11</v>
      </c>
      <c r="D4" s="8"/>
      <c r="E4" s="47"/>
      <c r="F4" s="46"/>
      <c r="G4" s="49"/>
      <c r="H4" s="46"/>
      <c r="I4" s="49"/>
      <c r="K4" s="11">
        <v>5</v>
      </c>
      <c r="L4" s="11">
        <v>11</v>
      </c>
      <c r="M4" s="69">
        <f>K4/L4</f>
        <v>0.45454545454545453</v>
      </c>
    </row>
    <row r="5" spans="1:13" ht="24" customHeight="1" x14ac:dyDescent="0.15">
      <c r="A5" s="3" t="s">
        <v>16</v>
      </c>
      <c r="B5" s="3" t="s">
        <v>3</v>
      </c>
      <c r="C5" s="46">
        <v>6</v>
      </c>
      <c r="D5" s="46"/>
      <c r="E5" s="48"/>
      <c r="F5" s="46"/>
      <c r="G5" s="49"/>
      <c r="H5" s="46"/>
      <c r="I5" s="49"/>
      <c r="K5" s="11">
        <v>1</v>
      </c>
      <c r="L5" s="11">
        <v>6</v>
      </c>
      <c r="M5" s="69">
        <f t="shared" ref="M5:M14" si="0">K5/L5</f>
        <v>0.16666666666666666</v>
      </c>
    </row>
    <row r="6" spans="1:13" ht="24" customHeight="1" x14ac:dyDescent="0.15">
      <c r="A6" s="3" t="s">
        <v>16</v>
      </c>
      <c r="B6" s="3" t="s">
        <v>4</v>
      </c>
      <c r="C6" s="46">
        <v>6</v>
      </c>
      <c r="D6" s="46"/>
      <c r="E6" s="48"/>
      <c r="F6" s="46"/>
      <c r="G6" s="49"/>
      <c r="H6" s="46"/>
      <c r="I6" s="49"/>
      <c r="K6" s="11">
        <v>4</v>
      </c>
      <c r="L6" s="11">
        <v>6</v>
      </c>
      <c r="M6" s="69">
        <f t="shared" si="0"/>
        <v>0.66666666666666663</v>
      </c>
    </row>
    <row r="7" spans="1:13" ht="24" customHeight="1" x14ac:dyDescent="0.15">
      <c r="A7" s="3" t="s">
        <v>17</v>
      </c>
      <c r="B7" s="3" t="s">
        <v>5</v>
      </c>
      <c r="C7" s="46">
        <v>4</v>
      </c>
      <c r="D7" s="46"/>
      <c r="E7" s="48"/>
      <c r="F7" s="46"/>
      <c r="G7" s="49"/>
      <c r="H7" s="46"/>
      <c r="I7" s="49"/>
      <c r="K7" s="11">
        <v>1</v>
      </c>
      <c r="L7" s="11">
        <v>4</v>
      </c>
      <c r="M7" s="69">
        <f t="shared" si="0"/>
        <v>0.25</v>
      </c>
    </row>
    <row r="8" spans="1:13" ht="24" customHeight="1" x14ac:dyDescent="0.15">
      <c r="A8" s="3" t="s">
        <v>17</v>
      </c>
      <c r="B8" s="3" t="s">
        <v>6</v>
      </c>
      <c r="C8" s="46">
        <v>4</v>
      </c>
      <c r="D8" s="46"/>
      <c r="E8" s="48"/>
      <c r="F8" s="46"/>
      <c r="G8" s="49"/>
      <c r="H8" s="46"/>
      <c r="I8" s="49"/>
      <c r="K8" s="11">
        <v>1</v>
      </c>
      <c r="L8" s="11">
        <v>4</v>
      </c>
      <c r="M8" s="69">
        <f t="shared" si="0"/>
        <v>0.25</v>
      </c>
    </row>
    <row r="9" spans="1:13" ht="24" customHeight="1" x14ac:dyDescent="0.15">
      <c r="A9" s="9" t="s">
        <v>15</v>
      </c>
      <c r="B9" s="9" t="s">
        <v>31</v>
      </c>
      <c r="C9" s="46">
        <v>14</v>
      </c>
      <c r="D9" s="46"/>
      <c r="E9" s="48"/>
      <c r="F9" s="46"/>
      <c r="G9" s="49"/>
      <c r="H9" s="46"/>
      <c r="I9" s="49"/>
      <c r="K9" s="11">
        <v>8</v>
      </c>
      <c r="L9" s="11">
        <v>14</v>
      </c>
      <c r="M9" s="69">
        <f t="shared" si="0"/>
        <v>0.5714285714285714</v>
      </c>
    </row>
    <row r="10" spans="1:13" ht="24" customHeight="1" x14ac:dyDescent="0.15">
      <c r="A10" s="9" t="s">
        <v>16</v>
      </c>
      <c r="B10" s="9" t="s">
        <v>32</v>
      </c>
      <c r="C10" s="46">
        <v>10</v>
      </c>
      <c r="D10" s="46"/>
      <c r="E10" s="48"/>
      <c r="F10" s="46"/>
      <c r="G10" s="49"/>
      <c r="H10" s="46"/>
      <c r="I10" s="49"/>
      <c r="K10" s="11">
        <v>10</v>
      </c>
      <c r="L10" s="11">
        <v>10</v>
      </c>
      <c r="M10" s="69">
        <f t="shared" si="0"/>
        <v>1</v>
      </c>
    </row>
    <row r="11" spans="1:13" ht="24" customHeight="1" x14ac:dyDescent="0.15">
      <c r="A11" s="9" t="s">
        <v>16</v>
      </c>
      <c r="B11" s="9" t="s">
        <v>33</v>
      </c>
      <c r="C11" s="46">
        <v>6</v>
      </c>
      <c r="D11" s="46"/>
      <c r="E11" s="48"/>
      <c r="F11" s="46"/>
      <c r="G11" s="49"/>
      <c r="H11" s="46"/>
      <c r="I11" s="49"/>
      <c r="K11" s="11">
        <v>1</v>
      </c>
      <c r="L11" s="11">
        <v>6</v>
      </c>
      <c r="M11" s="69">
        <f t="shared" si="0"/>
        <v>0.16666666666666666</v>
      </c>
    </row>
    <row r="12" spans="1:13" ht="24" customHeight="1" x14ac:dyDescent="0.15">
      <c r="A12" s="9" t="s">
        <v>17</v>
      </c>
      <c r="B12" s="9" t="s">
        <v>34</v>
      </c>
      <c r="C12" s="46">
        <v>2</v>
      </c>
      <c r="D12" s="46"/>
      <c r="E12" s="48"/>
      <c r="F12" s="46"/>
      <c r="G12" s="49"/>
      <c r="H12" s="46"/>
      <c r="I12" s="49"/>
      <c r="K12" s="11">
        <v>1</v>
      </c>
      <c r="L12" s="11">
        <v>2</v>
      </c>
      <c r="M12" s="69">
        <f t="shared" si="0"/>
        <v>0.5</v>
      </c>
    </row>
    <row r="13" spans="1:13" ht="24" customHeight="1" x14ac:dyDescent="0.15">
      <c r="A13" s="9" t="s">
        <v>17</v>
      </c>
      <c r="B13" s="9" t="s">
        <v>35</v>
      </c>
      <c r="C13" s="46">
        <v>4</v>
      </c>
      <c r="D13" s="46"/>
      <c r="E13" s="48"/>
      <c r="F13" s="46"/>
      <c r="G13" s="49"/>
      <c r="H13" s="46"/>
      <c r="I13" s="49"/>
      <c r="K13" s="11">
        <v>1</v>
      </c>
      <c r="L13" s="11">
        <v>4</v>
      </c>
      <c r="M13" s="69">
        <f t="shared" si="0"/>
        <v>0.25</v>
      </c>
    </row>
    <row r="14" spans="1:13" ht="24" customHeight="1" x14ac:dyDescent="0.15">
      <c r="I14" s="11" t="s">
        <v>225</v>
      </c>
      <c r="K14" s="11">
        <v>1</v>
      </c>
      <c r="L14" s="11">
        <v>4</v>
      </c>
      <c r="M14" s="69">
        <f t="shared" si="0"/>
        <v>0.25</v>
      </c>
    </row>
  </sheetData>
  <mergeCells count="7">
    <mergeCell ref="A1:A3"/>
    <mergeCell ref="B1:B3"/>
    <mergeCell ref="C1:C3"/>
    <mergeCell ref="D1:I1"/>
    <mergeCell ref="D2:E2"/>
    <mergeCell ref="F2:G2"/>
    <mergeCell ref="H2:I2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topLeftCell="C1" workbookViewId="0">
      <selection activeCell="R4" sqref="R4:S8"/>
    </sheetView>
  </sheetViews>
  <sheetFormatPr defaultRowHeight="13.5" x14ac:dyDescent="0.15"/>
  <cols>
    <col min="12" max="13" width="10.75" bestFit="1" customWidth="1"/>
    <col min="14" max="14" width="9.125" bestFit="1" customWidth="1"/>
    <col min="16" max="17" width="9.625" bestFit="1" customWidth="1"/>
    <col min="18" max="18" width="9.125" bestFit="1" customWidth="1"/>
  </cols>
  <sheetData>
    <row r="1" spans="1:19" x14ac:dyDescent="0.15">
      <c r="A1" t="s">
        <v>181</v>
      </c>
    </row>
    <row r="2" spans="1:19" ht="18.75" customHeight="1" thickBot="1" x14ac:dyDescent="0.2">
      <c r="A2" t="s">
        <v>182</v>
      </c>
      <c r="B2" t="s">
        <v>183</v>
      </c>
      <c r="C2" t="s">
        <v>184</v>
      </c>
      <c r="D2" t="s">
        <v>185</v>
      </c>
      <c r="E2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L2" s="160" t="s">
        <v>236</v>
      </c>
      <c r="M2" s="160"/>
      <c r="N2" s="160"/>
      <c r="O2" s="160"/>
      <c r="P2" s="161" t="s">
        <v>237</v>
      </c>
      <c r="Q2" s="161"/>
      <c r="R2" s="161"/>
      <c r="S2" s="161"/>
    </row>
    <row r="3" spans="1:19" ht="14.25" thickBot="1" x14ac:dyDescent="0.2">
      <c r="A3" t="s">
        <v>192</v>
      </c>
      <c r="B3" t="s">
        <v>193</v>
      </c>
      <c r="C3" s="83" t="s">
        <v>194</v>
      </c>
      <c r="D3" s="83" t="s">
        <v>195</v>
      </c>
      <c r="E3" s="83" t="s">
        <v>196</v>
      </c>
      <c r="F3" s="84">
        <v>673</v>
      </c>
      <c r="G3" s="84">
        <v>609</v>
      </c>
      <c r="H3" s="84">
        <v>3775377</v>
      </c>
      <c r="I3" s="84">
        <v>3446456</v>
      </c>
      <c r="J3" s="84">
        <v>0.91290000000000004</v>
      </c>
      <c r="L3" s="55" t="s">
        <v>220</v>
      </c>
      <c r="M3" s="55" t="s">
        <v>221</v>
      </c>
      <c r="N3" s="55" t="s">
        <v>222</v>
      </c>
      <c r="O3" s="55" t="s">
        <v>191</v>
      </c>
      <c r="P3" s="59" t="s">
        <v>220</v>
      </c>
      <c r="Q3" s="56" t="s">
        <v>221</v>
      </c>
      <c r="R3" s="56" t="s">
        <v>222</v>
      </c>
      <c r="S3" s="56" t="s">
        <v>191</v>
      </c>
    </row>
    <row r="4" spans="1:19" ht="14.25" thickBot="1" x14ac:dyDescent="0.2">
      <c r="A4" t="s">
        <v>192</v>
      </c>
      <c r="B4" t="s">
        <v>193</v>
      </c>
      <c r="C4" s="83" t="s">
        <v>194</v>
      </c>
      <c r="D4" s="83" t="s">
        <v>197</v>
      </c>
      <c r="E4" s="83" t="s">
        <v>198</v>
      </c>
      <c r="F4" s="84">
        <v>106</v>
      </c>
      <c r="G4" s="84">
        <v>88</v>
      </c>
      <c r="H4" s="84">
        <v>675369</v>
      </c>
      <c r="I4" s="84">
        <v>584858</v>
      </c>
      <c r="J4" s="84">
        <v>0.86599999999999999</v>
      </c>
      <c r="L4" s="57" t="s">
        <v>192</v>
      </c>
      <c r="M4" s="57">
        <f>H3+H4+H5+H6+H7</f>
        <v>6947732</v>
      </c>
      <c r="N4" s="57">
        <f>I3+I4+I5+I6+I7</f>
        <v>6253376</v>
      </c>
      <c r="O4" s="61">
        <f>N4/M4</f>
        <v>0.90006004837261999</v>
      </c>
      <c r="P4" s="58" t="s">
        <v>192</v>
      </c>
      <c r="Q4" s="62">
        <f>H8+H9+H10+H11+H13</f>
        <v>7042221</v>
      </c>
      <c r="R4" s="62">
        <f>I8+I9+I10+I11+I13</f>
        <v>6294665</v>
      </c>
      <c r="S4" s="63">
        <f>R4/Q4</f>
        <v>0.89384655778340383</v>
      </c>
    </row>
    <row r="5" spans="1:19" ht="14.25" thickBot="1" x14ac:dyDescent="0.2">
      <c r="A5" t="s">
        <v>192</v>
      </c>
      <c r="B5" t="s">
        <v>193</v>
      </c>
      <c r="C5" t="s">
        <v>194</v>
      </c>
      <c r="D5" t="s">
        <v>199</v>
      </c>
      <c r="E5" t="s">
        <v>200</v>
      </c>
      <c r="F5" s="84">
        <v>164</v>
      </c>
      <c r="G5" s="84">
        <v>152</v>
      </c>
      <c r="H5" s="84">
        <v>1245279</v>
      </c>
      <c r="I5" s="84">
        <v>1179243</v>
      </c>
      <c r="J5" s="84">
        <v>0.94699999999999995</v>
      </c>
      <c r="L5" s="57" t="s">
        <v>192</v>
      </c>
      <c r="M5" s="57">
        <f>H29+H30+H31+H32+H33</f>
        <v>4165073</v>
      </c>
      <c r="N5" s="57">
        <f>I29+I30+I31+I32+I33</f>
        <v>3790343</v>
      </c>
      <c r="O5" s="61">
        <f t="shared" ref="O5" si="0">N5/M5</f>
        <v>0.91003038842296402</v>
      </c>
      <c r="P5" s="58" t="s">
        <v>192</v>
      </c>
      <c r="Q5" s="88">
        <f>H34+H35+H36+H37+H39</f>
        <v>4585619</v>
      </c>
      <c r="R5" s="88">
        <f>I34+I35+I36+I37+I39</f>
        <v>4250185</v>
      </c>
      <c r="S5" s="63">
        <f>R5/Q5</f>
        <v>0.92685087880174954</v>
      </c>
    </row>
    <row r="6" spans="1:19" ht="14.25" thickBot="1" x14ac:dyDescent="0.2">
      <c r="A6" t="s">
        <v>192</v>
      </c>
      <c r="B6" t="s">
        <v>193</v>
      </c>
      <c r="C6" t="s">
        <v>194</v>
      </c>
      <c r="D6" t="s">
        <v>201</v>
      </c>
      <c r="E6" t="s">
        <v>202</v>
      </c>
      <c r="F6" s="84">
        <v>65</v>
      </c>
      <c r="G6" s="84">
        <v>54</v>
      </c>
      <c r="H6" s="84">
        <v>247467</v>
      </c>
      <c r="I6" s="84">
        <v>196662</v>
      </c>
      <c r="J6" s="84">
        <v>0.79469999999999996</v>
      </c>
      <c r="L6" s="57" t="s">
        <v>216</v>
      </c>
      <c r="M6" s="57">
        <f>H15+H16+H17+H18+H19</f>
        <v>12393000</v>
      </c>
      <c r="N6" s="57">
        <f>I15+I16+I17+I18+I19</f>
        <v>11868000</v>
      </c>
      <c r="O6" s="61">
        <f t="shared" ref="O6" si="1">N6/M6</f>
        <v>0.95763737593802956</v>
      </c>
      <c r="P6" s="58" t="s">
        <v>216</v>
      </c>
      <c r="Q6" s="88">
        <f>H20+H21+H22+H23+H25</f>
        <v>8159000</v>
      </c>
      <c r="R6" s="88">
        <f>I20+I21+I22+I23+I25</f>
        <v>7902000</v>
      </c>
      <c r="S6" s="63">
        <f>R6/Q6</f>
        <v>0.96850104179433749</v>
      </c>
    </row>
    <row r="7" spans="1:19" x14ac:dyDescent="0.15">
      <c r="A7" t="s">
        <v>192</v>
      </c>
      <c r="B7" t="s">
        <v>193</v>
      </c>
      <c r="C7" t="s">
        <v>194</v>
      </c>
      <c r="D7" t="s">
        <v>203</v>
      </c>
      <c r="E7" t="s">
        <v>204</v>
      </c>
      <c r="F7" s="84">
        <v>206</v>
      </c>
      <c r="G7" s="84">
        <v>171</v>
      </c>
      <c r="H7" s="84">
        <v>1004240</v>
      </c>
      <c r="I7" s="84">
        <v>846157</v>
      </c>
      <c r="J7" s="84">
        <v>0.84260000000000002</v>
      </c>
      <c r="L7" s="57" t="s">
        <v>216</v>
      </c>
      <c r="M7" s="57">
        <f>H41+H42+H43+H44+H45</f>
        <v>5848000</v>
      </c>
      <c r="N7" s="57">
        <f>I41+I42+I43+I44+I45</f>
        <v>5698000</v>
      </c>
      <c r="O7" s="61">
        <f t="shared" ref="O7" si="2">N7/M7</f>
        <v>0.97435020519835847</v>
      </c>
      <c r="P7" s="58" t="s">
        <v>216</v>
      </c>
      <c r="Q7" s="88">
        <f>H46+H47+H48+H49+H51</f>
        <v>2558000</v>
      </c>
      <c r="R7" s="88">
        <f>I46+I47+I48+I49+I51</f>
        <v>2528000</v>
      </c>
      <c r="S7" s="63">
        <f>R7/Q7</f>
        <v>0.98827208756841278</v>
      </c>
    </row>
    <row r="8" spans="1:19" x14ac:dyDescent="0.15">
      <c r="A8" t="s">
        <v>192</v>
      </c>
      <c r="B8" t="s">
        <v>193</v>
      </c>
      <c r="C8" t="s">
        <v>194</v>
      </c>
      <c r="D8" t="s">
        <v>205</v>
      </c>
      <c r="E8" t="s">
        <v>206</v>
      </c>
      <c r="F8" s="84">
        <v>297</v>
      </c>
      <c r="G8" s="84">
        <v>265</v>
      </c>
      <c r="H8" s="84">
        <v>1244271</v>
      </c>
      <c r="I8" s="84">
        <v>1105853</v>
      </c>
      <c r="J8" s="84">
        <v>0.88880000000000003</v>
      </c>
      <c r="M8" s="162">
        <f>SUM(M4:M7)</f>
        <v>29353805</v>
      </c>
      <c r="N8" s="162">
        <f>SUM(N4:N7)</f>
        <v>27609719</v>
      </c>
      <c r="O8" s="163">
        <f>N8/M8</f>
        <v>0.94058398902629492</v>
      </c>
      <c r="P8" s="162"/>
      <c r="Q8" s="162">
        <f>SUM(Q4:Q7)</f>
        <v>22344840</v>
      </c>
      <c r="R8" s="162">
        <f>SUM(R4:R7)</f>
        <v>20974850</v>
      </c>
      <c r="S8" s="163">
        <f>R8/Q8</f>
        <v>0.93868875319760625</v>
      </c>
    </row>
    <row r="9" spans="1:19" x14ac:dyDescent="0.15">
      <c r="A9" t="s">
        <v>192</v>
      </c>
      <c r="B9" t="s">
        <v>193</v>
      </c>
      <c r="C9" t="s">
        <v>194</v>
      </c>
      <c r="D9" t="s">
        <v>207</v>
      </c>
      <c r="E9" t="s">
        <v>208</v>
      </c>
      <c r="F9" s="84">
        <v>488</v>
      </c>
      <c r="G9" s="84">
        <v>445</v>
      </c>
      <c r="H9" s="84">
        <v>2428569</v>
      </c>
      <c r="I9" s="84">
        <v>2204135</v>
      </c>
      <c r="J9" s="84">
        <v>0.90759999999999996</v>
      </c>
    </row>
    <row r="10" spans="1:19" x14ac:dyDescent="0.15">
      <c r="A10" t="s">
        <v>192</v>
      </c>
      <c r="B10" t="s">
        <v>193</v>
      </c>
      <c r="C10" t="s">
        <v>194</v>
      </c>
      <c r="D10" t="s">
        <v>209</v>
      </c>
      <c r="E10" t="s">
        <v>210</v>
      </c>
      <c r="F10" s="84">
        <v>404</v>
      </c>
      <c r="G10" s="84">
        <v>367</v>
      </c>
      <c r="H10" s="84">
        <v>1768228</v>
      </c>
      <c r="I10" s="84">
        <v>1631339</v>
      </c>
      <c r="J10" s="84">
        <v>0.92259999999999998</v>
      </c>
    </row>
    <row r="11" spans="1:19" x14ac:dyDescent="0.15">
      <c r="A11" t="s">
        <v>192</v>
      </c>
      <c r="B11" t="s">
        <v>193</v>
      </c>
      <c r="C11" t="s">
        <v>194</v>
      </c>
      <c r="D11" t="s">
        <v>211</v>
      </c>
      <c r="E11" t="s">
        <v>212</v>
      </c>
      <c r="F11" s="84">
        <v>111</v>
      </c>
      <c r="G11" s="84">
        <v>93</v>
      </c>
      <c r="H11" s="84">
        <v>523636</v>
      </c>
      <c r="I11" s="84">
        <v>431218</v>
      </c>
      <c r="J11" s="84">
        <v>0.82350000000000001</v>
      </c>
    </row>
    <row r="12" spans="1:19" x14ac:dyDescent="0.15">
      <c r="C12" t="s">
        <v>194</v>
      </c>
      <c r="D12" t="s">
        <v>217</v>
      </c>
      <c r="E12" t="s">
        <v>218</v>
      </c>
      <c r="F12" s="84">
        <v>190</v>
      </c>
      <c r="G12" s="84">
        <v>139</v>
      </c>
      <c r="H12" s="84">
        <v>833053</v>
      </c>
      <c r="I12" s="84">
        <v>635408</v>
      </c>
      <c r="J12" s="84">
        <v>0.76270000000000004</v>
      </c>
    </row>
    <row r="13" spans="1:19" x14ac:dyDescent="0.15">
      <c r="A13" t="s">
        <v>192</v>
      </c>
      <c r="B13" t="s">
        <v>193</v>
      </c>
      <c r="C13" t="s">
        <v>194</v>
      </c>
      <c r="D13" t="s">
        <v>213</v>
      </c>
      <c r="E13" t="s">
        <v>214</v>
      </c>
      <c r="F13" s="84">
        <v>250</v>
      </c>
      <c r="G13" s="84">
        <v>222</v>
      </c>
      <c r="H13" s="84">
        <v>1077517</v>
      </c>
      <c r="I13" s="84">
        <v>922120</v>
      </c>
      <c r="J13" s="84">
        <v>0.85580000000000001</v>
      </c>
    </row>
    <row r="14" spans="1:19" x14ac:dyDescent="0.15">
      <c r="A14" t="s">
        <v>192</v>
      </c>
      <c r="B14" t="s">
        <v>193</v>
      </c>
      <c r="C14" t="s">
        <v>194</v>
      </c>
      <c r="D14" t="s">
        <v>215</v>
      </c>
      <c r="F14" s="84">
        <v>2954</v>
      </c>
      <c r="G14" s="84">
        <v>2605</v>
      </c>
      <c r="H14" s="84">
        <v>14823006</v>
      </c>
      <c r="I14" s="84">
        <v>13183449</v>
      </c>
      <c r="J14" s="84">
        <v>0.88939999999999997</v>
      </c>
      <c r="K14">
        <f>H8+H9+H10+H11+H13</f>
        <v>7042221</v>
      </c>
    </row>
    <row r="15" spans="1:19" x14ac:dyDescent="0.15">
      <c r="A15" t="s">
        <v>216</v>
      </c>
      <c r="B15" t="s">
        <v>193</v>
      </c>
      <c r="C15" s="83" t="s">
        <v>194</v>
      </c>
      <c r="D15" s="83" t="s">
        <v>195</v>
      </c>
      <c r="E15" s="83" t="s">
        <v>196</v>
      </c>
      <c r="F15" s="85">
        <v>69</v>
      </c>
      <c r="G15" s="85">
        <v>68</v>
      </c>
      <c r="H15" s="85">
        <v>3276000</v>
      </c>
      <c r="I15" s="85">
        <v>3266000</v>
      </c>
      <c r="J15" s="85">
        <v>0.99690000000000001</v>
      </c>
    </row>
    <row r="16" spans="1:19" x14ac:dyDescent="0.15">
      <c r="A16" t="s">
        <v>216</v>
      </c>
      <c r="B16" t="s">
        <v>193</v>
      </c>
      <c r="C16" t="s">
        <v>194</v>
      </c>
      <c r="D16" t="s">
        <v>197</v>
      </c>
      <c r="E16" t="s">
        <v>198</v>
      </c>
      <c r="F16" s="85">
        <v>169</v>
      </c>
      <c r="G16" s="85">
        <v>158</v>
      </c>
      <c r="H16" s="85">
        <v>3706000</v>
      </c>
      <c r="I16" s="85">
        <v>3416000</v>
      </c>
      <c r="J16" s="85">
        <v>0.92169999999999996</v>
      </c>
    </row>
    <row r="17" spans="1:10" x14ac:dyDescent="0.15">
      <c r="A17" t="s">
        <v>216</v>
      </c>
      <c r="B17" t="s">
        <v>193</v>
      </c>
      <c r="C17" t="s">
        <v>194</v>
      </c>
      <c r="D17" t="s">
        <v>199</v>
      </c>
      <c r="E17" t="s">
        <v>200</v>
      </c>
      <c r="F17" s="85">
        <v>78</v>
      </c>
      <c r="G17" s="85">
        <v>78</v>
      </c>
      <c r="H17" s="85">
        <v>1137000</v>
      </c>
      <c r="I17" s="85">
        <v>1137000</v>
      </c>
      <c r="J17" s="85">
        <v>1</v>
      </c>
    </row>
    <row r="18" spans="1:10" x14ac:dyDescent="0.15">
      <c r="A18" t="s">
        <v>216</v>
      </c>
      <c r="B18" t="s">
        <v>193</v>
      </c>
      <c r="C18" t="s">
        <v>194</v>
      </c>
      <c r="D18" t="s">
        <v>201</v>
      </c>
      <c r="E18" t="s">
        <v>202</v>
      </c>
      <c r="F18" s="85">
        <v>105</v>
      </c>
      <c r="G18" s="85">
        <v>102</v>
      </c>
      <c r="H18" s="85">
        <v>2614000</v>
      </c>
      <c r="I18" s="85">
        <v>2574000</v>
      </c>
      <c r="J18" s="85">
        <v>0.98470000000000002</v>
      </c>
    </row>
    <row r="19" spans="1:10" x14ac:dyDescent="0.15">
      <c r="A19" t="s">
        <v>216</v>
      </c>
      <c r="B19" t="s">
        <v>193</v>
      </c>
      <c r="C19" t="s">
        <v>194</v>
      </c>
      <c r="D19" t="s">
        <v>203</v>
      </c>
      <c r="E19" t="s">
        <v>204</v>
      </c>
      <c r="F19" s="85">
        <v>98</v>
      </c>
      <c r="G19" s="85">
        <v>94</v>
      </c>
      <c r="H19" s="85">
        <v>1660000</v>
      </c>
      <c r="I19" s="85">
        <v>1475000</v>
      </c>
      <c r="J19" s="85">
        <v>0.88859999999999995</v>
      </c>
    </row>
    <row r="20" spans="1:10" x14ac:dyDescent="0.15">
      <c r="A20" t="s">
        <v>216</v>
      </c>
      <c r="B20" t="s">
        <v>193</v>
      </c>
      <c r="C20" t="s">
        <v>194</v>
      </c>
      <c r="D20" t="s">
        <v>205</v>
      </c>
      <c r="E20" t="s">
        <v>206</v>
      </c>
      <c r="F20" s="85">
        <v>91</v>
      </c>
      <c r="G20" s="85">
        <v>89</v>
      </c>
      <c r="H20" s="85">
        <v>1314000</v>
      </c>
      <c r="I20" s="85">
        <v>1294000</v>
      </c>
      <c r="J20" s="85">
        <v>0.98480000000000001</v>
      </c>
    </row>
    <row r="21" spans="1:10" x14ac:dyDescent="0.15">
      <c r="A21" t="s">
        <v>216</v>
      </c>
      <c r="B21" t="s">
        <v>193</v>
      </c>
      <c r="C21" t="s">
        <v>194</v>
      </c>
      <c r="D21" t="s">
        <v>207</v>
      </c>
      <c r="E21" t="s">
        <v>208</v>
      </c>
      <c r="F21" s="85">
        <v>98</v>
      </c>
      <c r="G21" s="85">
        <v>96</v>
      </c>
      <c r="H21" s="85">
        <v>1587000</v>
      </c>
      <c r="I21" s="85">
        <v>1487000</v>
      </c>
      <c r="J21" s="85">
        <v>0.93700000000000006</v>
      </c>
    </row>
    <row r="22" spans="1:10" x14ac:dyDescent="0.15">
      <c r="A22" t="s">
        <v>216</v>
      </c>
      <c r="B22" t="s">
        <v>193</v>
      </c>
      <c r="C22" t="s">
        <v>194</v>
      </c>
      <c r="D22" t="s">
        <v>209</v>
      </c>
      <c r="E22" t="s">
        <v>210</v>
      </c>
      <c r="F22" s="85">
        <v>65</v>
      </c>
      <c r="G22" s="85">
        <v>63</v>
      </c>
      <c r="H22" s="85">
        <v>1120000</v>
      </c>
      <c r="I22" s="85">
        <v>1080000</v>
      </c>
      <c r="J22" s="85">
        <v>0.96430000000000005</v>
      </c>
    </row>
    <row r="23" spans="1:10" x14ac:dyDescent="0.15">
      <c r="A23" t="s">
        <v>216</v>
      </c>
      <c r="B23" t="s">
        <v>193</v>
      </c>
      <c r="C23" t="s">
        <v>194</v>
      </c>
      <c r="D23" t="s">
        <v>211</v>
      </c>
      <c r="E23" t="s">
        <v>212</v>
      </c>
      <c r="F23" s="85">
        <v>189</v>
      </c>
      <c r="G23" s="85">
        <v>184</v>
      </c>
      <c r="H23" s="85">
        <v>3215000</v>
      </c>
      <c r="I23" s="85">
        <v>3150000</v>
      </c>
      <c r="J23" s="85">
        <v>0.9798</v>
      </c>
    </row>
    <row r="24" spans="1:10" x14ac:dyDescent="0.15">
      <c r="A24" t="s">
        <v>216</v>
      </c>
      <c r="B24" t="s">
        <v>193</v>
      </c>
      <c r="C24" t="s">
        <v>194</v>
      </c>
      <c r="D24" t="s">
        <v>217</v>
      </c>
      <c r="E24" t="s">
        <v>218</v>
      </c>
      <c r="F24" s="85">
        <v>16</v>
      </c>
      <c r="G24" s="85">
        <v>16</v>
      </c>
      <c r="H24" s="85">
        <v>310000</v>
      </c>
      <c r="I24" s="85">
        <v>310000</v>
      </c>
      <c r="J24" s="85">
        <v>1</v>
      </c>
    </row>
    <row r="25" spans="1:10" x14ac:dyDescent="0.15">
      <c r="A25" t="s">
        <v>216</v>
      </c>
      <c r="B25" t="s">
        <v>193</v>
      </c>
      <c r="C25" t="s">
        <v>194</v>
      </c>
      <c r="D25" t="s">
        <v>213</v>
      </c>
      <c r="E25" t="s">
        <v>214</v>
      </c>
      <c r="F25" s="85">
        <v>62</v>
      </c>
      <c r="G25" s="85">
        <v>59</v>
      </c>
      <c r="H25" s="85">
        <v>923000</v>
      </c>
      <c r="I25" s="85">
        <v>891000</v>
      </c>
      <c r="J25" s="85">
        <v>0.96530000000000005</v>
      </c>
    </row>
    <row r="26" spans="1:10" x14ac:dyDescent="0.15">
      <c r="A26" t="s">
        <v>216</v>
      </c>
      <c r="B26" t="s">
        <v>193</v>
      </c>
      <c r="C26" t="s">
        <v>194</v>
      </c>
      <c r="D26" t="s">
        <v>215</v>
      </c>
      <c r="F26" s="85">
        <v>1040</v>
      </c>
      <c r="G26" s="85">
        <v>1007</v>
      </c>
      <c r="H26" s="85">
        <v>20862000</v>
      </c>
      <c r="I26" s="85">
        <v>20080000</v>
      </c>
      <c r="J26" s="85">
        <v>0.96250000000000002</v>
      </c>
    </row>
    <row r="27" spans="1:10" x14ac:dyDescent="0.15">
      <c r="A27" t="s">
        <v>219</v>
      </c>
    </row>
    <row r="28" spans="1:10" x14ac:dyDescent="0.15">
      <c r="A28" t="s">
        <v>182</v>
      </c>
      <c r="B28" t="s">
        <v>183</v>
      </c>
      <c r="C28" t="s">
        <v>184</v>
      </c>
      <c r="D28" t="s">
        <v>185</v>
      </c>
      <c r="E28" t="s">
        <v>186</v>
      </c>
      <c r="F28" t="s">
        <v>187</v>
      </c>
      <c r="G28" t="s">
        <v>188</v>
      </c>
      <c r="H28" t="s">
        <v>189</v>
      </c>
      <c r="I28" t="s">
        <v>190</v>
      </c>
      <c r="J28" t="s">
        <v>191</v>
      </c>
    </row>
    <row r="29" spans="1:10" x14ac:dyDescent="0.15">
      <c r="A29" t="s">
        <v>192</v>
      </c>
      <c r="B29" t="s">
        <v>193</v>
      </c>
      <c r="C29" s="83" t="s">
        <v>194</v>
      </c>
      <c r="D29" s="83" t="s">
        <v>195</v>
      </c>
      <c r="E29" s="83" t="s">
        <v>196</v>
      </c>
      <c r="F29" s="84">
        <v>351</v>
      </c>
      <c r="G29" s="84">
        <v>320</v>
      </c>
      <c r="H29" s="84">
        <v>1806114</v>
      </c>
      <c r="I29" s="84">
        <v>1641063</v>
      </c>
      <c r="J29" s="84">
        <v>0.90859999999999996</v>
      </c>
    </row>
    <row r="30" spans="1:10" x14ac:dyDescent="0.15">
      <c r="A30" t="s">
        <v>192</v>
      </c>
      <c r="B30" t="s">
        <v>193</v>
      </c>
      <c r="C30" s="83" t="s">
        <v>194</v>
      </c>
      <c r="D30" s="83" t="s">
        <v>197</v>
      </c>
      <c r="E30" s="83" t="s">
        <v>198</v>
      </c>
      <c r="F30" s="84">
        <v>110</v>
      </c>
      <c r="G30" s="84">
        <v>102</v>
      </c>
      <c r="H30" s="84">
        <v>754845</v>
      </c>
      <c r="I30" s="84">
        <v>721696</v>
      </c>
      <c r="J30" s="84">
        <v>0.95609999999999995</v>
      </c>
    </row>
    <row r="31" spans="1:10" x14ac:dyDescent="0.15">
      <c r="A31" t="s">
        <v>192</v>
      </c>
      <c r="B31" t="s">
        <v>193</v>
      </c>
      <c r="C31" t="s">
        <v>194</v>
      </c>
      <c r="D31" t="s">
        <v>199</v>
      </c>
      <c r="E31" t="s">
        <v>200</v>
      </c>
      <c r="F31" s="84">
        <v>163</v>
      </c>
      <c r="G31" s="84">
        <v>156</v>
      </c>
      <c r="H31" s="84">
        <v>705637</v>
      </c>
      <c r="I31" s="84">
        <v>681239</v>
      </c>
      <c r="J31" s="84">
        <v>0.96540000000000004</v>
      </c>
    </row>
    <row r="32" spans="1:10" x14ac:dyDescent="0.15">
      <c r="A32" t="s">
        <v>192</v>
      </c>
      <c r="B32" t="s">
        <v>193</v>
      </c>
      <c r="C32" t="s">
        <v>194</v>
      </c>
      <c r="D32" t="s">
        <v>201</v>
      </c>
      <c r="E32" t="s">
        <v>202</v>
      </c>
      <c r="F32" s="84">
        <v>89</v>
      </c>
      <c r="G32" s="84">
        <v>80</v>
      </c>
      <c r="H32" s="84">
        <v>428876</v>
      </c>
      <c r="I32" s="84">
        <v>390044</v>
      </c>
      <c r="J32" s="84">
        <v>0.90949999999999998</v>
      </c>
    </row>
    <row r="33" spans="1:10" x14ac:dyDescent="0.15">
      <c r="A33" t="s">
        <v>192</v>
      </c>
      <c r="B33" t="s">
        <v>193</v>
      </c>
      <c r="C33" t="s">
        <v>194</v>
      </c>
      <c r="D33" t="s">
        <v>203</v>
      </c>
      <c r="E33" t="s">
        <v>204</v>
      </c>
      <c r="F33" s="84">
        <v>89</v>
      </c>
      <c r="G33" s="84">
        <v>69</v>
      </c>
      <c r="H33" s="84">
        <v>469601</v>
      </c>
      <c r="I33" s="84">
        <v>356301</v>
      </c>
      <c r="J33" s="84">
        <v>0.75870000000000004</v>
      </c>
    </row>
    <row r="34" spans="1:10" x14ac:dyDescent="0.15">
      <c r="A34" t="s">
        <v>192</v>
      </c>
      <c r="B34" t="s">
        <v>193</v>
      </c>
      <c r="C34" t="s">
        <v>194</v>
      </c>
      <c r="D34" t="s">
        <v>205</v>
      </c>
      <c r="E34" t="s">
        <v>206</v>
      </c>
      <c r="F34" s="84">
        <v>144</v>
      </c>
      <c r="G34" s="84">
        <v>133</v>
      </c>
      <c r="H34" s="84">
        <v>668554</v>
      </c>
      <c r="I34" s="84">
        <v>613404</v>
      </c>
      <c r="J34" s="84">
        <v>0.91749999999999998</v>
      </c>
    </row>
    <row r="35" spans="1:10" x14ac:dyDescent="0.15">
      <c r="A35" t="s">
        <v>192</v>
      </c>
      <c r="B35" t="s">
        <v>193</v>
      </c>
      <c r="C35" t="s">
        <v>194</v>
      </c>
      <c r="D35" t="s">
        <v>207</v>
      </c>
      <c r="E35" t="s">
        <v>208</v>
      </c>
      <c r="F35" s="84">
        <v>289</v>
      </c>
      <c r="G35" s="84">
        <v>276</v>
      </c>
      <c r="H35" s="84">
        <v>1447141</v>
      </c>
      <c r="I35" s="84">
        <v>1373039</v>
      </c>
      <c r="J35" s="84">
        <v>0.94879999999999998</v>
      </c>
    </row>
    <row r="36" spans="1:10" x14ac:dyDescent="0.15">
      <c r="A36" t="s">
        <v>192</v>
      </c>
      <c r="B36" t="s">
        <v>193</v>
      </c>
      <c r="C36" t="s">
        <v>194</v>
      </c>
      <c r="D36" t="s">
        <v>209</v>
      </c>
      <c r="E36" t="s">
        <v>210</v>
      </c>
      <c r="F36" s="84">
        <v>222</v>
      </c>
      <c r="G36" s="84">
        <v>215</v>
      </c>
      <c r="H36" s="84">
        <v>1086345</v>
      </c>
      <c r="I36" s="84">
        <v>1053343</v>
      </c>
      <c r="J36" s="84">
        <v>0.96960000000000002</v>
      </c>
    </row>
    <row r="37" spans="1:10" x14ac:dyDescent="0.15">
      <c r="A37" t="s">
        <v>192</v>
      </c>
      <c r="B37" t="s">
        <v>193</v>
      </c>
      <c r="C37" t="s">
        <v>194</v>
      </c>
      <c r="D37" t="s">
        <v>211</v>
      </c>
      <c r="E37" t="s">
        <v>212</v>
      </c>
      <c r="F37" s="84">
        <v>146</v>
      </c>
      <c r="G37" s="84">
        <v>128</v>
      </c>
      <c r="H37" s="84">
        <v>834607</v>
      </c>
      <c r="I37" s="84">
        <v>741377</v>
      </c>
      <c r="J37" s="84">
        <v>0.88829999999999998</v>
      </c>
    </row>
    <row r="38" spans="1:10" x14ac:dyDescent="0.15">
      <c r="A38" t="s">
        <v>192</v>
      </c>
      <c r="B38" t="s">
        <v>193</v>
      </c>
      <c r="C38" t="s">
        <v>194</v>
      </c>
      <c r="D38" t="s">
        <v>217</v>
      </c>
      <c r="E38" t="s">
        <v>218</v>
      </c>
      <c r="F38" s="84">
        <v>169</v>
      </c>
      <c r="G38" s="84">
        <v>148</v>
      </c>
      <c r="H38" s="84">
        <v>732311</v>
      </c>
      <c r="I38" s="84">
        <v>646912</v>
      </c>
      <c r="J38" s="84">
        <v>0.88339999999999996</v>
      </c>
    </row>
    <row r="39" spans="1:10" x14ac:dyDescent="0.15">
      <c r="A39" t="s">
        <v>192</v>
      </c>
      <c r="B39" t="s">
        <v>193</v>
      </c>
      <c r="C39" t="s">
        <v>194</v>
      </c>
      <c r="D39" t="s">
        <v>213</v>
      </c>
      <c r="E39" t="s">
        <v>214</v>
      </c>
      <c r="F39" s="84">
        <v>129</v>
      </c>
      <c r="G39" s="84">
        <v>112</v>
      </c>
      <c r="H39" s="84">
        <v>548972</v>
      </c>
      <c r="I39" s="84">
        <v>469022</v>
      </c>
      <c r="J39" s="84">
        <v>0.85440000000000005</v>
      </c>
    </row>
    <row r="40" spans="1:10" x14ac:dyDescent="0.15">
      <c r="A40" t="s">
        <v>192</v>
      </c>
      <c r="B40" t="s">
        <v>193</v>
      </c>
      <c r="C40" t="s">
        <v>194</v>
      </c>
      <c r="D40" t="s">
        <v>215</v>
      </c>
      <c r="F40" s="84">
        <v>1901</v>
      </c>
      <c r="G40" s="84">
        <v>1739</v>
      </c>
      <c r="H40" s="84">
        <v>9483003</v>
      </c>
      <c r="I40" s="84">
        <v>8687440</v>
      </c>
      <c r="J40" s="84">
        <v>0.91610000000000003</v>
      </c>
    </row>
    <row r="41" spans="1:10" x14ac:dyDescent="0.15">
      <c r="A41" t="s">
        <v>216</v>
      </c>
      <c r="B41" t="s">
        <v>193</v>
      </c>
      <c r="C41" s="83" t="s">
        <v>194</v>
      </c>
      <c r="D41" s="83" t="s">
        <v>195</v>
      </c>
      <c r="E41" s="83" t="s">
        <v>196</v>
      </c>
      <c r="F41" s="85">
        <v>28</v>
      </c>
      <c r="G41" s="85">
        <v>26</v>
      </c>
      <c r="H41" s="85">
        <v>625000</v>
      </c>
      <c r="I41" s="85">
        <v>600000</v>
      </c>
      <c r="J41" s="85">
        <v>0.96</v>
      </c>
    </row>
    <row r="42" spans="1:10" x14ac:dyDescent="0.15">
      <c r="A42" t="s">
        <v>216</v>
      </c>
      <c r="B42" t="s">
        <v>193</v>
      </c>
      <c r="C42" t="s">
        <v>194</v>
      </c>
      <c r="D42" t="s">
        <v>197</v>
      </c>
      <c r="E42" t="s">
        <v>198</v>
      </c>
      <c r="F42" s="85">
        <v>79</v>
      </c>
      <c r="G42" s="85">
        <v>79</v>
      </c>
      <c r="H42" s="85">
        <v>2300000</v>
      </c>
      <c r="I42" s="85">
        <v>2300000</v>
      </c>
      <c r="J42" s="85">
        <v>1</v>
      </c>
    </row>
    <row r="43" spans="1:10" x14ac:dyDescent="0.15">
      <c r="A43" t="s">
        <v>216</v>
      </c>
      <c r="B43" t="s">
        <v>193</v>
      </c>
      <c r="C43" t="s">
        <v>194</v>
      </c>
      <c r="D43" t="s">
        <v>199</v>
      </c>
      <c r="E43" t="s">
        <v>200</v>
      </c>
      <c r="F43" s="85">
        <v>14</v>
      </c>
      <c r="G43" s="85">
        <v>14</v>
      </c>
      <c r="H43" s="85">
        <v>264000</v>
      </c>
      <c r="I43" s="85">
        <v>264000</v>
      </c>
      <c r="J43" s="85">
        <v>1</v>
      </c>
    </row>
    <row r="44" spans="1:10" x14ac:dyDescent="0.15">
      <c r="A44" t="s">
        <v>216</v>
      </c>
      <c r="B44" t="s">
        <v>193</v>
      </c>
      <c r="C44" t="s">
        <v>194</v>
      </c>
      <c r="D44" t="s">
        <v>201</v>
      </c>
      <c r="E44" t="s">
        <v>202</v>
      </c>
      <c r="F44" s="85">
        <v>115</v>
      </c>
      <c r="G44" s="85">
        <v>114</v>
      </c>
      <c r="H44" s="85">
        <v>1855000</v>
      </c>
      <c r="I44" s="85">
        <v>1850000</v>
      </c>
      <c r="J44" s="85">
        <v>0.99729999999999996</v>
      </c>
    </row>
    <row r="45" spans="1:10" x14ac:dyDescent="0.15">
      <c r="A45" t="s">
        <v>216</v>
      </c>
      <c r="B45" t="s">
        <v>193</v>
      </c>
      <c r="C45" t="s">
        <v>194</v>
      </c>
      <c r="D45" t="s">
        <v>203</v>
      </c>
      <c r="E45" t="s">
        <v>204</v>
      </c>
      <c r="F45" s="85">
        <v>51</v>
      </c>
      <c r="G45" s="85">
        <v>48</v>
      </c>
      <c r="H45" s="85">
        <v>804000</v>
      </c>
      <c r="I45" s="85">
        <v>684000</v>
      </c>
      <c r="J45" s="85">
        <v>0.85070000000000001</v>
      </c>
    </row>
    <row r="46" spans="1:10" x14ac:dyDescent="0.15">
      <c r="A46" t="s">
        <v>216</v>
      </c>
      <c r="B46" t="s">
        <v>193</v>
      </c>
      <c r="C46" t="s">
        <v>194</v>
      </c>
      <c r="D46" t="s">
        <v>205</v>
      </c>
      <c r="E46" t="s">
        <v>206</v>
      </c>
      <c r="F46" s="85">
        <v>22</v>
      </c>
      <c r="G46" s="85">
        <v>22</v>
      </c>
      <c r="H46" s="85">
        <v>218000</v>
      </c>
      <c r="I46" s="85">
        <v>218000</v>
      </c>
      <c r="J46" s="85">
        <v>1</v>
      </c>
    </row>
    <row r="47" spans="1:10" x14ac:dyDescent="0.15">
      <c r="A47" t="s">
        <v>216</v>
      </c>
      <c r="B47" t="s">
        <v>193</v>
      </c>
      <c r="C47" t="s">
        <v>194</v>
      </c>
      <c r="D47" t="s">
        <v>207</v>
      </c>
      <c r="E47" t="s">
        <v>208</v>
      </c>
      <c r="F47" s="85">
        <v>68</v>
      </c>
      <c r="G47" s="85">
        <v>68</v>
      </c>
      <c r="H47" s="85">
        <v>910000</v>
      </c>
      <c r="I47" s="85">
        <v>910000</v>
      </c>
      <c r="J47" s="85">
        <v>1</v>
      </c>
    </row>
    <row r="48" spans="1:10" x14ac:dyDescent="0.15">
      <c r="A48" t="s">
        <v>216</v>
      </c>
      <c r="B48" t="s">
        <v>193</v>
      </c>
      <c r="C48" t="s">
        <v>194</v>
      </c>
      <c r="D48" t="s">
        <v>209</v>
      </c>
      <c r="E48" t="s">
        <v>210</v>
      </c>
      <c r="F48" s="85">
        <v>12</v>
      </c>
      <c r="G48" s="85">
        <v>12</v>
      </c>
      <c r="H48" s="85">
        <v>131000</v>
      </c>
      <c r="I48" s="85">
        <v>131000</v>
      </c>
      <c r="J48" s="85">
        <v>1</v>
      </c>
    </row>
    <row r="49" spans="1:10" x14ac:dyDescent="0.15">
      <c r="A49" t="s">
        <v>216</v>
      </c>
      <c r="B49" t="s">
        <v>193</v>
      </c>
      <c r="C49" t="s">
        <v>194</v>
      </c>
      <c r="D49" t="s">
        <v>211</v>
      </c>
      <c r="E49" t="s">
        <v>212</v>
      </c>
      <c r="F49" s="85">
        <v>34</v>
      </c>
      <c r="G49" s="85">
        <v>34</v>
      </c>
      <c r="H49" s="85">
        <v>410000</v>
      </c>
      <c r="I49" s="85">
        <v>410000</v>
      </c>
      <c r="J49" s="85">
        <v>1</v>
      </c>
    </row>
    <row r="50" spans="1:10" x14ac:dyDescent="0.15">
      <c r="A50" t="s">
        <v>216</v>
      </c>
      <c r="B50" t="s">
        <v>193</v>
      </c>
      <c r="C50" t="s">
        <v>194</v>
      </c>
      <c r="D50" t="s">
        <v>217</v>
      </c>
      <c r="E50" t="s">
        <v>218</v>
      </c>
      <c r="F50" s="85">
        <v>38</v>
      </c>
      <c r="G50" s="85">
        <v>39</v>
      </c>
      <c r="H50" s="85">
        <v>617000</v>
      </c>
      <c r="I50" s="85">
        <v>637000</v>
      </c>
      <c r="J50" s="85">
        <v>1.0324</v>
      </c>
    </row>
    <row r="51" spans="1:10" x14ac:dyDescent="0.15">
      <c r="A51" t="s">
        <v>216</v>
      </c>
      <c r="B51" t="s">
        <v>193</v>
      </c>
      <c r="C51" t="s">
        <v>194</v>
      </c>
      <c r="D51" t="s">
        <v>213</v>
      </c>
      <c r="E51" t="s">
        <v>214</v>
      </c>
      <c r="F51" s="85">
        <v>66</v>
      </c>
      <c r="G51" s="85">
        <v>64</v>
      </c>
      <c r="H51" s="85">
        <v>889000</v>
      </c>
      <c r="I51" s="85">
        <v>859000</v>
      </c>
      <c r="J51" s="85">
        <v>0.96630000000000005</v>
      </c>
    </row>
    <row r="52" spans="1:10" x14ac:dyDescent="0.15">
      <c r="A52" t="s">
        <v>216</v>
      </c>
      <c r="B52" t="s">
        <v>193</v>
      </c>
      <c r="C52" t="s">
        <v>194</v>
      </c>
      <c r="D52" t="s">
        <v>215</v>
      </c>
      <c r="F52" s="85">
        <v>527</v>
      </c>
      <c r="G52" s="85">
        <v>520</v>
      </c>
      <c r="H52" s="85">
        <v>9023000</v>
      </c>
      <c r="I52" s="85">
        <v>8863000</v>
      </c>
      <c r="J52" s="85">
        <v>0.98229999999999995</v>
      </c>
    </row>
  </sheetData>
  <mergeCells count="2">
    <mergeCell ref="L2:O2"/>
    <mergeCell ref="P2:S2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B6" sqref="B6"/>
    </sheetView>
  </sheetViews>
  <sheetFormatPr defaultRowHeight="20.25" customHeight="1" x14ac:dyDescent="0.15"/>
  <cols>
    <col min="1" max="1" width="9" style="60"/>
    <col min="2" max="3" width="10.75" style="60" bestFit="1" customWidth="1"/>
    <col min="4" max="4" width="9.125" style="60" bestFit="1" customWidth="1"/>
    <col min="5" max="5" width="9" style="60"/>
    <col min="6" max="7" width="10.75" style="60" bestFit="1" customWidth="1"/>
    <col min="8" max="8" width="9.125" style="60" bestFit="1" customWidth="1"/>
    <col min="9" max="16384" width="9" style="60"/>
  </cols>
  <sheetData>
    <row r="1" spans="1:8" ht="20.25" customHeight="1" thickBot="1" x14ac:dyDescent="0.2">
      <c r="A1" s="55" t="s">
        <v>220</v>
      </c>
      <c r="B1" s="55" t="s">
        <v>221</v>
      </c>
      <c r="C1" s="55" t="s">
        <v>222</v>
      </c>
      <c r="D1" s="55" t="s">
        <v>191</v>
      </c>
      <c r="E1" s="59" t="s">
        <v>220</v>
      </c>
      <c r="F1" s="56" t="s">
        <v>221</v>
      </c>
      <c r="G1" s="56" t="s">
        <v>222</v>
      </c>
      <c r="H1" s="56" t="s">
        <v>191</v>
      </c>
    </row>
    <row r="2" spans="1:8" ht="20.25" customHeight="1" thickBot="1" x14ac:dyDescent="0.2">
      <c r="A2" s="57" t="s">
        <v>192</v>
      </c>
      <c r="B2" s="57">
        <v>6947732</v>
      </c>
      <c r="C2" s="57">
        <v>6232992</v>
      </c>
      <c r="D2" s="61">
        <v>0.89712614130769586</v>
      </c>
      <c r="E2" s="58" t="s">
        <v>192</v>
      </c>
      <c r="F2" s="62">
        <v>7042221</v>
      </c>
      <c r="G2" s="62">
        <v>6234956</v>
      </c>
      <c r="H2" s="63">
        <v>0.88536784062868801</v>
      </c>
    </row>
    <row r="3" spans="1:8" ht="20.25" customHeight="1" thickBot="1" x14ac:dyDescent="0.2">
      <c r="A3" s="57" t="s">
        <v>192</v>
      </c>
      <c r="B3" s="57">
        <v>4165073</v>
      </c>
      <c r="C3" s="57">
        <v>3684328</v>
      </c>
      <c r="D3" s="61">
        <v>0.88457705303124334</v>
      </c>
      <c r="E3" s="58" t="s">
        <v>192</v>
      </c>
      <c r="F3" s="62">
        <v>4585619</v>
      </c>
      <c r="G3" s="62">
        <v>4195562</v>
      </c>
      <c r="H3" s="63">
        <v>0.91493907365614113</v>
      </c>
    </row>
    <row r="4" spans="1:8" ht="20.25" customHeight="1" thickBot="1" x14ac:dyDescent="0.2">
      <c r="A4" s="57" t="s">
        <v>216</v>
      </c>
      <c r="B4" s="57">
        <v>12393000</v>
      </c>
      <c r="C4" s="57">
        <v>11828000</v>
      </c>
      <c r="D4" s="61">
        <v>0.95440974743806983</v>
      </c>
      <c r="E4" s="58" t="s">
        <v>216</v>
      </c>
      <c r="F4" s="62">
        <v>8159000</v>
      </c>
      <c r="G4" s="62">
        <v>7892000</v>
      </c>
      <c r="H4" s="63">
        <v>0.96727540139723001</v>
      </c>
    </row>
    <row r="5" spans="1:8" ht="20.25" customHeight="1" x14ac:dyDescent="0.15">
      <c r="A5" s="57" t="s">
        <v>216</v>
      </c>
      <c r="B5" s="57">
        <v>5848000</v>
      </c>
      <c r="C5" s="57">
        <v>5668000</v>
      </c>
      <c r="D5" s="61">
        <v>0.96922024623803005</v>
      </c>
      <c r="E5" s="58" t="s">
        <v>216</v>
      </c>
      <c r="F5" s="62">
        <v>2558000</v>
      </c>
      <c r="G5" s="62">
        <v>2523000</v>
      </c>
      <c r="H5" s="63">
        <v>0.98631743549648165</v>
      </c>
    </row>
    <row r="6" spans="1:8" ht="20.25" customHeight="1" x14ac:dyDescent="0.25">
      <c r="A6" s="64"/>
      <c r="B6" s="64">
        <f>SUM(B2:B5)</f>
        <v>29353805</v>
      </c>
      <c r="C6" s="64">
        <f>SUM(C2:C5)</f>
        <v>27413320</v>
      </c>
      <c r="D6" s="65">
        <f>C6/B6</f>
        <v>0.93389323803166235</v>
      </c>
      <c r="E6" s="64"/>
      <c r="F6" s="64">
        <f>SUM(F2:F5)</f>
        <v>22344840</v>
      </c>
      <c r="G6" s="64">
        <f>SUM(G2:G5)</f>
        <v>20845518</v>
      </c>
      <c r="H6" s="65">
        <f>G6/F6</f>
        <v>0.93290075024032393</v>
      </c>
    </row>
    <row r="7" spans="1:8" ht="20.25" customHeight="1" x14ac:dyDescent="0.25">
      <c r="A7" s="64"/>
      <c r="B7" s="64"/>
      <c r="C7" s="64">
        <f>B4+B5-F4-F5</f>
        <v>7524000</v>
      </c>
      <c r="D7" s="64"/>
      <c r="E7" s="64"/>
      <c r="F7" s="64"/>
      <c r="G7" s="64"/>
      <c r="H7" s="64"/>
    </row>
    <row r="8" spans="1:8" ht="20.25" customHeight="1" x14ac:dyDescent="0.25">
      <c r="A8" s="64"/>
      <c r="B8" s="64"/>
      <c r="C8" s="64">
        <f>B2+B3-F2-F3</f>
        <v>-515035</v>
      </c>
      <c r="D8" s="64"/>
      <c r="E8" s="64"/>
      <c r="F8" s="64"/>
      <c r="G8" s="64"/>
      <c r="H8" s="6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方案战报</vt:lpstr>
      <vt:lpstr>上半场实时战况</vt:lpstr>
      <vt:lpstr>守门员守球</vt:lpstr>
      <vt:lpstr>【五月】红队</vt:lpstr>
      <vt:lpstr>【六月】红队</vt:lpstr>
      <vt:lpstr>【七月】红队</vt:lpstr>
      <vt:lpstr>【五月】蓝队</vt:lpstr>
      <vt:lpstr>【六月】蓝队</vt:lpstr>
      <vt:lpstr>【七月】蓝队</vt:lpstr>
      <vt:lpstr>【个险】个人篇</vt:lpstr>
      <vt:lpstr>【银险】个人篇</vt:lpstr>
      <vt:lpstr>价值球员机构占比</vt:lpstr>
      <vt:lpstr>团队继续率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2017-05-10T01:21:30Z</dcterms:modified>
</cp:coreProperties>
</file>