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3465" yWindow="-120" windowWidth="14805" windowHeight="8010"/>
  </bookViews>
  <sheets>
    <sheet name="Data" sheetId="12" r:id="rId1"/>
  </sheets>
  <calcPr calcId="162913"/>
</workbook>
</file>

<file path=xl/calcChain.xml><?xml version="1.0" encoding="utf-8"?>
<calcChain xmlns="http://schemas.openxmlformats.org/spreadsheetml/2006/main">
  <c r="I642" i="12" l="1"/>
  <c r="J642" i="12"/>
  <c r="K642" i="12"/>
  <c r="M852" i="12" l="1"/>
  <c r="M1025" i="12"/>
  <c r="K1121" i="12" l="1"/>
  <c r="M1121" i="12" s="1"/>
  <c r="O1121" i="12" s="1"/>
  <c r="K1109" i="12"/>
  <c r="M1109" i="12" s="1"/>
  <c r="K1097" i="12"/>
  <c r="M1097" i="12" s="1"/>
  <c r="S1096" i="12"/>
  <c r="S1095" i="12"/>
  <c r="S1094" i="12"/>
  <c r="S1093" i="12"/>
  <c r="S1092" i="12"/>
  <c r="S1091" i="12"/>
  <c r="S1090" i="12"/>
  <c r="S1089" i="12"/>
  <c r="S1088" i="12"/>
  <c r="S1087" i="12"/>
  <c r="S1086" i="12"/>
  <c r="S1085" i="12"/>
  <c r="S1084" i="12"/>
  <c r="S1083" i="12"/>
  <c r="S1082" i="12"/>
  <c r="S1081" i="12"/>
  <c r="S1080" i="12"/>
  <c r="S1079" i="12"/>
  <c r="S1078" i="12"/>
  <c r="S1077" i="12"/>
  <c r="S1076" i="12"/>
  <c r="S1075" i="12"/>
  <c r="S1074" i="12"/>
  <c r="S1073" i="12"/>
  <c r="S1072" i="12"/>
  <c r="S1071" i="12"/>
  <c r="Q1071" i="12"/>
  <c r="Q1072" i="12" s="1"/>
  <c r="Q1073" i="12" s="1"/>
  <c r="Q1074" i="12" s="1"/>
  <c r="Q1075" i="12" s="1"/>
  <c r="Q1076" i="12" s="1"/>
  <c r="Q1077" i="12" s="1"/>
  <c r="Q1078" i="12" s="1"/>
  <c r="Q1079" i="12" s="1"/>
  <c r="Q1080" i="12" s="1"/>
  <c r="Q1081" i="12" s="1"/>
  <c r="Q1082" i="12" s="1"/>
  <c r="Q1083" i="12" s="1"/>
  <c r="Q1084" i="12" s="1"/>
  <c r="Q1085" i="12" s="1"/>
  <c r="Q1086" i="12" s="1"/>
  <c r="Q1087" i="12" s="1"/>
  <c r="Q1088" i="12" s="1"/>
  <c r="Q1089" i="12" s="1"/>
  <c r="Q1090" i="12" s="1"/>
  <c r="Q1091" i="12" s="1"/>
  <c r="Q1092" i="12" s="1"/>
  <c r="Q1093" i="12" s="1"/>
  <c r="Q1094" i="12" s="1"/>
  <c r="Q1095" i="12" s="1"/>
  <c r="Q1096" i="12" s="1"/>
  <c r="S1070" i="12"/>
  <c r="K1070" i="12"/>
  <c r="M1070" i="12" s="1"/>
  <c r="Q1037" i="12"/>
  <c r="Q1038" i="12" s="1"/>
  <c r="Q1039" i="12" s="1"/>
  <c r="Q1040" i="12" s="1"/>
  <c r="Q1041" i="12" s="1"/>
  <c r="Q1042" i="12" s="1"/>
  <c r="Q1043" i="12" s="1"/>
  <c r="Q1044" i="12" s="1"/>
  <c r="Q1045" i="12" s="1"/>
  <c r="Q1046" i="12" s="1"/>
  <c r="Q1047" i="12" s="1"/>
  <c r="Q1048" i="12" s="1"/>
  <c r="Q1049" i="12" s="1"/>
  <c r="Q1050" i="12" s="1"/>
  <c r="Q1051" i="12" s="1"/>
  <c r="Q1052" i="12" s="1"/>
  <c r="Q1053" i="12" s="1"/>
  <c r="Q1054" i="12" s="1"/>
  <c r="Q1055" i="12" s="1"/>
  <c r="Q1056" i="12" s="1"/>
  <c r="Q1057" i="12" s="1"/>
  <c r="Q1058" i="12" s="1"/>
  <c r="Q1059" i="12" s="1"/>
  <c r="Q1060" i="12" s="1"/>
  <c r="Q1061" i="12" s="1"/>
  <c r="Q1062" i="12" s="1"/>
  <c r="Q1063" i="12" s="1"/>
  <c r="Q1064" i="12" s="1"/>
  <c r="Q1065" i="12" s="1"/>
  <c r="Q1066" i="12" s="1"/>
  <c r="Q1067" i="12" s="1"/>
  <c r="Q1068" i="12" s="1"/>
  <c r="Q1069" i="12" s="1"/>
  <c r="K1036" i="12"/>
  <c r="M1036" i="12" s="1"/>
  <c r="O1025" i="12"/>
  <c r="M1014" i="12"/>
  <c r="O1014" i="12" s="1"/>
  <c r="Q1002" i="12"/>
  <c r="Q1003" i="12" s="1"/>
  <c r="Q1004" i="12" s="1"/>
  <c r="Q1005" i="12" s="1"/>
  <c r="Q1006" i="12" s="1"/>
  <c r="Q1007" i="12" s="1"/>
  <c r="Q1008" i="12" s="1"/>
  <c r="Q1009" i="12" s="1"/>
  <c r="Q1010" i="12" s="1"/>
  <c r="Q1011" i="12" s="1"/>
  <c r="Q1012" i="12" s="1"/>
  <c r="Q1013" i="12" s="1"/>
  <c r="K1001" i="12"/>
  <c r="M1001" i="12" s="1"/>
  <c r="K989" i="12"/>
  <c r="M989" i="12" s="1"/>
  <c r="K977" i="12"/>
  <c r="M977" i="12" s="1"/>
  <c r="O977" i="12" s="1"/>
  <c r="K965" i="12"/>
  <c r="M965" i="12" s="1"/>
  <c r="K953" i="12"/>
  <c r="M953" i="12" s="1"/>
  <c r="K941" i="12"/>
  <c r="M941" i="12" s="1"/>
  <c r="O941" i="12" s="1"/>
  <c r="Q930" i="12"/>
  <c r="Q931" i="12" s="1"/>
  <c r="Q932" i="12" s="1"/>
  <c r="Q933" i="12" s="1"/>
  <c r="Q934" i="12" s="1"/>
  <c r="Q935" i="12" s="1"/>
  <c r="Q936" i="12" s="1"/>
  <c r="Q937" i="12" s="1"/>
  <c r="Q938" i="12" s="1"/>
  <c r="Q939" i="12" s="1"/>
  <c r="Q940" i="12" s="1"/>
  <c r="K929" i="12"/>
  <c r="M929" i="12" s="1"/>
  <c r="O929" i="12" s="1"/>
  <c r="Q922" i="12"/>
  <c r="Q923" i="12" s="1"/>
  <c r="Q924" i="12" s="1"/>
  <c r="Q925" i="12" s="1"/>
  <c r="Q926" i="12" s="1"/>
  <c r="Q927" i="12" s="1"/>
  <c r="Q928" i="12" s="1"/>
  <c r="K921" i="12"/>
  <c r="M921" i="12" s="1"/>
  <c r="J852" i="12"/>
  <c r="I852" i="12"/>
  <c r="J812" i="12"/>
  <c r="I812" i="12"/>
  <c r="J772" i="12"/>
  <c r="I772" i="12"/>
  <c r="S732" i="12"/>
  <c r="J732" i="12"/>
  <c r="I732" i="12"/>
  <c r="J688" i="12"/>
  <c r="I688" i="12"/>
  <c r="T641" i="12"/>
  <c r="S641" i="12"/>
  <c r="R641" i="12"/>
  <c r="T640" i="12"/>
  <c r="S640" i="12"/>
  <c r="R640" i="12"/>
  <c r="T639" i="12"/>
  <c r="S639" i="12"/>
  <c r="R639" i="12"/>
  <c r="T638" i="12"/>
  <c r="S638" i="12"/>
  <c r="R638" i="12"/>
  <c r="T637" i="12"/>
  <c r="S637" i="12"/>
  <c r="R637" i="12"/>
  <c r="T636" i="12"/>
  <c r="S636" i="12"/>
  <c r="R636" i="12"/>
  <c r="T635" i="12"/>
  <c r="S635" i="12"/>
  <c r="R635" i="12"/>
  <c r="T634" i="12"/>
  <c r="S634" i="12"/>
  <c r="R634" i="12"/>
  <c r="T633" i="12"/>
  <c r="S633" i="12"/>
  <c r="R633" i="12"/>
  <c r="T632" i="12"/>
  <c r="S632" i="12"/>
  <c r="R632" i="12"/>
  <c r="T631" i="12"/>
  <c r="S631" i="12"/>
  <c r="R631" i="12"/>
  <c r="T630" i="12"/>
  <c r="S630" i="12"/>
  <c r="R630" i="12"/>
  <c r="K630" i="12"/>
  <c r="M630" i="12" s="1"/>
  <c r="K608" i="12"/>
  <c r="M608" i="12" s="1"/>
  <c r="N608" i="12" s="1"/>
  <c r="Q592" i="12"/>
  <c r="Q593" i="12" s="1"/>
  <c r="Q594" i="12" s="1"/>
  <c r="Q595" i="12" s="1"/>
  <c r="Q596" i="12" s="1"/>
  <c r="Q597" i="12" s="1"/>
  <c r="Q598" i="12" s="1"/>
  <c r="Q599" i="12" s="1"/>
  <c r="Q600" i="12" s="1"/>
  <c r="Q601" i="12" s="1"/>
  <c r="Q602" i="12" s="1"/>
  <c r="Q603" i="12" s="1"/>
  <c r="Q604" i="12" s="1"/>
  <c r="Q605" i="12" s="1"/>
  <c r="Q606" i="12" s="1"/>
  <c r="Q607" i="12" s="1"/>
  <c r="K591" i="12"/>
  <c r="M591" i="12" s="1"/>
  <c r="J580" i="12"/>
  <c r="I580" i="12"/>
  <c r="T579" i="12"/>
  <c r="S579" i="12"/>
  <c r="R579" i="12"/>
  <c r="T578" i="12"/>
  <c r="S578" i="12"/>
  <c r="R578" i="12"/>
  <c r="T577" i="12"/>
  <c r="S577" i="12"/>
  <c r="R577" i="12"/>
  <c r="T576" i="12"/>
  <c r="S576" i="12"/>
  <c r="R576" i="12"/>
  <c r="T575" i="12"/>
  <c r="S575" i="12"/>
  <c r="R575" i="12"/>
  <c r="T574" i="12"/>
  <c r="S574" i="12"/>
  <c r="R574" i="12"/>
  <c r="T573" i="12"/>
  <c r="S573" i="12"/>
  <c r="R573" i="12"/>
  <c r="T572" i="12"/>
  <c r="S572" i="12"/>
  <c r="R572" i="12"/>
  <c r="T571" i="12"/>
  <c r="S571" i="12"/>
  <c r="R571" i="12"/>
  <c r="T570" i="12"/>
  <c r="S570" i="12"/>
  <c r="R570" i="12"/>
  <c r="T569" i="12"/>
  <c r="S569" i="12"/>
  <c r="R569" i="12"/>
  <c r="T568" i="12"/>
  <c r="S568" i="12"/>
  <c r="R568" i="12"/>
  <c r="T567" i="12"/>
  <c r="S567" i="12"/>
  <c r="R567" i="12"/>
  <c r="T566" i="12"/>
  <c r="S566" i="12"/>
  <c r="R566" i="12"/>
  <c r="T565" i="12"/>
  <c r="S565" i="12"/>
  <c r="R565" i="12"/>
  <c r="T564" i="12"/>
  <c r="S564" i="12"/>
  <c r="R564" i="12"/>
  <c r="K564" i="12"/>
  <c r="M564" i="12" s="1"/>
  <c r="Q552" i="12"/>
  <c r="Q553" i="12" s="1"/>
  <c r="Q554" i="12" s="1"/>
  <c r="Q555" i="12" s="1"/>
  <c r="Q556" i="12" s="1"/>
  <c r="Q557" i="12" s="1"/>
  <c r="Q558" i="12" s="1"/>
  <c r="Q559" i="12" s="1"/>
  <c r="Q560" i="12" s="1"/>
  <c r="Q561" i="12" s="1"/>
  <c r="Q562" i="12" s="1"/>
  <c r="Q563" i="12" s="1"/>
  <c r="K551" i="12"/>
  <c r="M551" i="12" s="1"/>
  <c r="Q539" i="12"/>
  <c r="Q540" i="12" s="1"/>
  <c r="Q541" i="12" s="1"/>
  <c r="Q542" i="12" s="1"/>
  <c r="Q543" i="12" s="1"/>
  <c r="Q544" i="12" s="1"/>
  <c r="Q545" i="12" s="1"/>
  <c r="Q546" i="12" s="1"/>
  <c r="Q547" i="12" s="1"/>
  <c r="Q548" i="12" s="1"/>
  <c r="Q549" i="12" s="1"/>
  <c r="Q550" i="12" s="1"/>
  <c r="K538" i="12"/>
  <c r="M538" i="12" s="1"/>
  <c r="K517" i="12"/>
  <c r="M517" i="12" s="1"/>
  <c r="Q496" i="12"/>
  <c r="Q497" i="12" s="1"/>
  <c r="Q498" i="12" s="1"/>
  <c r="Q499" i="12" s="1"/>
  <c r="Q500" i="12" s="1"/>
  <c r="Q501" i="12" s="1"/>
  <c r="Q502" i="12" s="1"/>
  <c r="Q503" i="12" s="1"/>
  <c r="Q504" i="12" s="1"/>
  <c r="Q505" i="12" s="1"/>
  <c r="Q506" i="12" s="1"/>
  <c r="Q507" i="12" s="1"/>
  <c r="Q508" i="12" s="1"/>
  <c r="Q509" i="12" s="1"/>
  <c r="Q510" i="12" s="1"/>
  <c r="Q511" i="12" s="1"/>
  <c r="Q512" i="12" s="1"/>
  <c r="Q513" i="12" s="1"/>
  <c r="Q514" i="12" s="1"/>
  <c r="Q515" i="12" s="1"/>
  <c r="Q516" i="12" s="1"/>
  <c r="Q517" i="12" s="1"/>
  <c r="Q518" i="12" s="1"/>
  <c r="Q519" i="12" s="1"/>
  <c r="Q520" i="12" s="1"/>
  <c r="Q521" i="12" s="1"/>
  <c r="Q522" i="12" s="1"/>
  <c r="Q523" i="12" s="1"/>
  <c r="Q524" i="12" s="1"/>
  <c r="Q525" i="12" s="1"/>
  <c r="Q526" i="12" s="1"/>
  <c r="Q527" i="12" s="1"/>
  <c r="Q528" i="12" s="1"/>
  <c r="Q529" i="12" s="1"/>
  <c r="Q530" i="12" s="1"/>
  <c r="Q531" i="12" s="1"/>
  <c r="Q532" i="12" s="1"/>
  <c r="Q533" i="12" s="1"/>
  <c r="Q534" i="12" s="1"/>
  <c r="Q535" i="12" s="1"/>
  <c r="Q536" i="12" s="1"/>
  <c r="Q537" i="12" s="1"/>
  <c r="K495" i="12"/>
  <c r="M495" i="12" s="1"/>
  <c r="O495" i="12" s="1"/>
  <c r="K482" i="12"/>
  <c r="M482" i="12" s="1"/>
  <c r="K464" i="12"/>
  <c r="M464" i="12" s="1"/>
  <c r="O464" i="12" s="1"/>
  <c r="Q448" i="12"/>
  <c r="Q449" i="12" s="1"/>
  <c r="Q450" i="12" s="1"/>
  <c r="Q451" i="12" s="1"/>
  <c r="Q452" i="12" s="1"/>
  <c r="Q453" i="12" s="1"/>
  <c r="Q454" i="12" s="1"/>
  <c r="Q455" i="12" s="1"/>
  <c r="Q456" i="12" s="1"/>
  <c r="Q457" i="12" s="1"/>
  <c r="Q458" i="12" s="1"/>
  <c r="Q459" i="12" s="1"/>
  <c r="Q460" i="12" s="1"/>
  <c r="Q461" i="12" s="1"/>
  <c r="Q462" i="12" s="1"/>
  <c r="Q463" i="12" s="1"/>
  <c r="Q464" i="12" s="1"/>
  <c r="Q465" i="12" s="1"/>
  <c r="Q466" i="12" s="1"/>
  <c r="Q467" i="12" s="1"/>
  <c r="Q468" i="12" s="1"/>
  <c r="Q469" i="12" s="1"/>
  <c r="Q470" i="12" s="1"/>
  <c r="Q471" i="12" s="1"/>
  <c r="Q472" i="12" s="1"/>
  <c r="Q473" i="12" s="1"/>
  <c r="Q474" i="12" s="1"/>
  <c r="Q475" i="12" s="1"/>
  <c r="Q476" i="12" s="1"/>
  <c r="Q477" i="12" s="1"/>
  <c r="Q478" i="12" s="1"/>
  <c r="Q479" i="12" s="1"/>
  <c r="Q480" i="12" s="1"/>
  <c r="Q481" i="12" s="1"/>
  <c r="Q482" i="12" s="1"/>
  <c r="Q483" i="12" s="1"/>
  <c r="Q484" i="12" s="1"/>
  <c r="Q485" i="12" s="1"/>
  <c r="Q486" i="12" s="1"/>
  <c r="Q487" i="12" s="1"/>
  <c r="Q488" i="12" s="1"/>
  <c r="Q489" i="12" s="1"/>
  <c r="Q490" i="12" s="1"/>
  <c r="Q491" i="12" s="1"/>
  <c r="Q492" i="12" s="1"/>
  <c r="Q493" i="12" s="1"/>
  <c r="Q494" i="12" s="1"/>
  <c r="K447" i="12"/>
  <c r="M447" i="12" s="1"/>
  <c r="L423" i="12"/>
  <c r="K423" i="12"/>
  <c r="K399" i="12"/>
  <c r="M399" i="12" s="1"/>
  <c r="O399" i="12" s="1"/>
  <c r="R391" i="12"/>
  <c r="P391" i="12"/>
  <c r="K375" i="12"/>
  <c r="M375" i="12" s="1"/>
  <c r="O375" i="12" s="1"/>
  <c r="Q351" i="12"/>
  <c r="Q352" i="12" s="1"/>
  <c r="Q353" i="12" s="1"/>
  <c r="Q354" i="12" s="1"/>
  <c r="Q355" i="12" s="1"/>
  <c r="Q356" i="12" s="1"/>
  <c r="Q357" i="12" s="1"/>
  <c r="Q358" i="12" s="1"/>
  <c r="Q359" i="12" s="1"/>
  <c r="Q360" i="12" s="1"/>
  <c r="Q361" i="12" s="1"/>
  <c r="Q362" i="12" s="1"/>
  <c r="Q363" i="12" s="1"/>
  <c r="Q364" i="12" s="1"/>
  <c r="Q365" i="12" s="1"/>
  <c r="Q366" i="12" s="1"/>
  <c r="Q367" i="12" s="1"/>
  <c r="Q368" i="12" s="1"/>
  <c r="Q369" i="12" s="1"/>
  <c r="Q370" i="12" s="1"/>
  <c r="Q371" i="12" s="1"/>
  <c r="Q372" i="12" s="1"/>
  <c r="Q373" i="12" s="1"/>
  <c r="Q374" i="12" s="1"/>
  <c r="Q375" i="12" s="1"/>
  <c r="Q376" i="12" s="1"/>
  <c r="Q377" i="12" s="1"/>
  <c r="Q378" i="12" s="1"/>
  <c r="Q379" i="12" s="1"/>
  <c r="Q380" i="12" s="1"/>
  <c r="Q381" i="12" s="1"/>
  <c r="Q382" i="12" s="1"/>
  <c r="Q383" i="12" s="1"/>
  <c r="Q384" i="12" s="1"/>
  <c r="Q385" i="12" s="1"/>
  <c r="Q386" i="12" s="1"/>
  <c r="Q387" i="12" s="1"/>
  <c r="Q388" i="12" s="1"/>
  <c r="Q389" i="12" s="1"/>
  <c r="Q390" i="12" s="1"/>
  <c r="K351" i="12"/>
  <c r="M351" i="12" s="1"/>
  <c r="K338" i="12"/>
  <c r="M338" i="12" s="1"/>
  <c r="O338" i="12" s="1"/>
  <c r="Q327" i="12"/>
  <c r="K326" i="12"/>
  <c r="M326" i="12" s="1"/>
  <c r="N326" i="12" s="1"/>
  <c r="T325" i="12"/>
  <c r="S325" i="12"/>
  <c r="T324" i="12"/>
  <c r="S324" i="12"/>
  <c r="T323" i="12"/>
  <c r="S323" i="12"/>
  <c r="T322" i="12"/>
  <c r="S322" i="12"/>
  <c r="T321" i="12"/>
  <c r="S321" i="12"/>
  <c r="T320" i="12"/>
  <c r="S320" i="12"/>
  <c r="T319" i="12"/>
  <c r="S319" i="12"/>
  <c r="T318" i="12"/>
  <c r="S318" i="12"/>
  <c r="T317" i="12"/>
  <c r="S317" i="12"/>
  <c r="T316" i="12"/>
  <c r="S316" i="12"/>
  <c r="T315" i="12"/>
  <c r="S315" i="12"/>
  <c r="R315" i="12"/>
  <c r="T314" i="12"/>
  <c r="S314" i="12"/>
  <c r="R314" i="12"/>
  <c r="K314" i="12"/>
  <c r="M314" i="12" s="1"/>
  <c r="T313" i="12"/>
  <c r="S313" i="12"/>
  <c r="R313" i="12"/>
  <c r="T312" i="12"/>
  <c r="S312" i="12"/>
  <c r="R312" i="12"/>
  <c r="T311" i="12"/>
  <c r="S311" i="12"/>
  <c r="R311" i="12"/>
  <c r="T310" i="12"/>
  <c r="S310" i="12"/>
  <c r="R310" i="12"/>
  <c r="T309" i="12"/>
  <c r="S309" i="12"/>
  <c r="R309" i="12"/>
  <c r="T308" i="12"/>
  <c r="S308" i="12"/>
  <c r="R308" i="12"/>
  <c r="T307" i="12"/>
  <c r="S307" i="12"/>
  <c r="R307" i="12"/>
  <c r="T306" i="12"/>
  <c r="S306" i="12"/>
  <c r="R306" i="12"/>
  <c r="T305" i="12"/>
  <c r="S305" i="12"/>
  <c r="R305" i="12"/>
  <c r="T304" i="12"/>
  <c r="S304" i="12"/>
  <c r="R304" i="12"/>
  <c r="T303" i="12"/>
  <c r="S303" i="12"/>
  <c r="R303" i="12"/>
  <c r="T302" i="12"/>
  <c r="S302" i="12"/>
  <c r="R302" i="12"/>
  <c r="Q302" i="12"/>
  <c r="Q303" i="12" s="1"/>
  <c r="Q304" i="12" s="1"/>
  <c r="Q305" i="12" s="1"/>
  <c r="Q306" i="12" s="1"/>
  <c r="Q307" i="12" s="1"/>
  <c r="Q308" i="12" s="1"/>
  <c r="Q309" i="12" s="1"/>
  <c r="Q310" i="12" s="1"/>
  <c r="Q311" i="12" s="1"/>
  <c r="Q312" i="12" s="1"/>
  <c r="Q313" i="12" s="1"/>
  <c r="Q314" i="12" s="1"/>
  <c r="Q315" i="12" s="1"/>
  <c r="Q316" i="12" s="1"/>
  <c r="Q317" i="12" s="1"/>
  <c r="Q318" i="12" s="1"/>
  <c r="Q319" i="12" s="1"/>
  <c r="Q320" i="12" s="1"/>
  <c r="Q321" i="12" s="1"/>
  <c r="Q322" i="12" s="1"/>
  <c r="Q323" i="12" s="1"/>
  <c r="Q324" i="12" s="1"/>
  <c r="Q325" i="12" s="1"/>
  <c r="K302" i="12"/>
  <c r="M302" i="12" s="1"/>
  <c r="T301" i="12"/>
  <c r="S301" i="12"/>
  <c r="R301" i="12"/>
  <c r="T300" i="12"/>
  <c r="S300" i="12"/>
  <c r="R300" i="12"/>
  <c r="T299" i="12"/>
  <c r="S299" i="12"/>
  <c r="R299" i="12"/>
  <c r="Q299" i="12"/>
  <c r="Q300" i="12" s="1"/>
  <c r="T298" i="12"/>
  <c r="S298" i="12"/>
  <c r="R298" i="12"/>
  <c r="T297" i="12"/>
  <c r="S297" i="12"/>
  <c r="R297" i="12"/>
  <c r="T296" i="12"/>
  <c r="S296" i="12"/>
  <c r="R296" i="12"/>
  <c r="T295" i="12"/>
  <c r="S295" i="12"/>
  <c r="R295" i="12"/>
  <c r="T294" i="12"/>
  <c r="S294" i="12"/>
  <c r="R294" i="12"/>
  <c r="T293" i="12"/>
  <c r="S293" i="12"/>
  <c r="R293" i="12"/>
  <c r="T292" i="12"/>
  <c r="S292" i="12"/>
  <c r="R292" i="12"/>
  <c r="T291" i="12"/>
  <c r="S291" i="12"/>
  <c r="R291" i="12"/>
  <c r="T290" i="12"/>
  <c r="S290" i="12"/>
  <c r="R290" i="12"/>
  <c r="K290" i="12"/>
  <c r="M290" i="12" s="1"/>
  <c r="N290" i="12" s="1"/>
  <c r="T289" i="12"/>
  <c r="S289" i="12"/>
  <c r="R289" i="12"/>
  <c r="T288" i="12"/>
  <c r="S288" i="12"/>
  <c r="R288" i="12"/>
  <c r="T287" i="12"/>
  <c r="S287" i="12"/>
  <c r="R287" i="12"/>
  <c r="T286" i="12"/>
  <c r="S286" i="12"/>
  <c r="R286" i="12"/>
  <c r="T285" i="12"/>
  <c r="S285" i="12"/>
  <c r="R285" i="12"/>
  <c r="T284" i="12"/>
  <c r="S284" i="12"/>
  <c r="R284" i="12"/>
  <c r="T283" i="12"/>
  <c r="S283" i="12"/>
  <c r="R283" i="12"/>
  <c r="T282" i="12"/>
  <c r="S282" i="12"/>
  <c r="R282" i="12"/>
  <c r="T281" i="12"/>
  <c r="S281" i="12"/>
  <c r="R281" i="12"/>
  <c r="T280" i="12"/>
  <c r="S280" i="12"/>
  <c r="R280" i="12"/>
  <c r="T279" i="12"/>
  <c r="S279" i="12"/>
  <c r="R279" i="12"/>
  <c r="T278" i="12"/>
  <c r="S278" i="12"/>
  <c r="Q278" i="12"/>
  <c r="Q279" i="12" s="1"/>
  <c r="Q280" i="12" s="1"/>
  <c r="Q281" i="12" s="1"/>
  <c r="Q282" i="12" s="1"/>
  <c r="Q283" i="12" s="1"/>
  <c r="Q284" i="12" s="1"/>
  <c r="Q285" i="12" s="1"/>
  <c r="Q286" i="12" s="1"/>
  <c r="Q287" i="12" s="1"/>
  <c r="Q288" i="12" s="1"/>
  <c r="Q289" i="12" s="1"/>
  <c r="Q290" i="12" s="1"/>
  <c r="Q291" i="12" s="1"/>
  <c r="Q292" i="12" s="1"/>
  <c r="Q293" i="12" s="1"/>
  <c r="Q294" i="12" s="1"/>
  <c r="Q295" i="12" s="1"/>
  <c r="Q296" i="12" s="1"/>
  <c r="Q297" i="12" s="1"/>
  <c r="K277" i="12"/>
  <c r="M277" i="12" s="1"/>
  <c r="Q268" i="12"/>
  <c r="Q270" i="12" s="1"/>
  <c r="Q272" i="12" s="1"/>
  <c r="Q274" i="12" s="1"/>
  <c r="Q276" i="12" s="1"/>
  <c r="Q267" i="12"/>
  <c r="Q269" i="12" s="1"/>
  <c r="Q271" i="12" s="1"/>
  <c r="Q273" i="12" s="1"/>
  <c r="Q275" i="12" s="1"/>
  <c r="L265" i="12"/>
  <c r="Q254" i="12"/>
  <c r="Q255" i="12" s="1"/>
  <c r="Q256" i="12" s="1"/>
  <c r="Q257" i="12" s="1"/>
  <c r="Q258" i="12" s="1"/>
  <c r="Q259" i="12" s="1"/>
  <c r="Q260" i="12" s="1"/>
  <c r="Q261" i="12" s="1"/>
  <c r="Q262" i="12" s="1"/>
  <c r="Q263" i="12" s="1"/>
  <c r="Q264" i="12" s="1"/>
  <c r="L253" i="12"/>
  <c r="I253" i="12" s="1"/>
  <c r="Q242" i="12"/>
  <c r="Q243" i="12" s="1"/>
  <c r="Q244" i="12" s="1"/>
  <c r="Q245" i="12" s="1"/>
  <c r="Q246" i="12" s="1"/>
  <c r="Q247" i="12" s="1"/>
  <c r="Q248" i="12" s="1"/>
  <c r="Q249" i="12" s="1"/>
  <c r="Q250" i="12" s="1"/>
  <c r="Q251" i="12" s="1"/>
  <c r="Q252" i="12" s="1"/>
  <c r="L241" i="12"/>
  <c r="Q229" i="12"/>
  <c r="Q230" i="12" s="1"/>
  <c r="Q231" i="12" s="1"/>
  <c r="Q232" i="12" s="1"/>
  <c r="Q233" i="12" s="1"/>
  <c r="Q234" i="12" s="1"/>
  <c r="Q235" i="12" s="1"/>
  <c r="Q236" i="12" s="1"/>
  <c r="Q237" i="12" s="1"/>
  <c r="Q238" i="12" s="1"/>
  <c r="Q239" i="12" s="1"/>
  <c r="Q240" i="12" s="1"/>
  <c r="L228" i="12"/>
  <c r="I228" i="12" s="1"/>
  <c r="K216" i="12"/>
  <c r="M216" i="12" s="1"/>
  <c r="O216" i="12" s="1"/>
  <c r="Q205" i="12"/>
  <c r="Q206" i="12" s="1"/>
  <c r="Q207" i="12" s="1"/>
  <c r="Q208" i="12" s="1"/>
  <c r="Q209" i="12" s="1"/>
  <c r="Q210" i="12" s="1"/>
  <c r="Q211" i="12" s="1"/>
  <c r="Q212" i="12" s="1"/>
  <c r="Q213" i="12" s="1"/>
  <c r="Q214" i="12" s="1"/>
  <c r="Q215" i="12" s="1"/>
  <c r="K204" i="12"/>
  <c r="M204" i="12" s="1"/>
  <c r="Q171" i="12"/>
  <c r="Q172" i="12" s="1"/>
  <c r="Q173" i="12" s="1"/>
  <c r="Q174" i="12" s="1"/>
  <c r="Q175" i="12" s="1"/>
  <c r="Q176" i="12" s="1"/>
  <c r="Q177" i="12" s="1"/>
  <c r="Q178" i="12" s="1"/>
  <c r="Q179" i="12" s="1"/>
  <c r="Q180" i="12" s="1"/>
  <c r="Q181" i="12" s="1"/>
  <c r="Q182" i="12" s="1"/>
  <c r="Q183" i="12" s="1"/>
  <c r="Q184" i="12" s="1"/>
  <c r="Q185" i="12" s="1"/>
  <c r="Q186" i="12" s="1"/>
  <c r="Q187" i="12" s="1"/>
  <c r="Q188" i="12" s="1"/>
  <c r="Q189" i="12" s="1"/>
  <c r="Q190" i="12" s="1"/>
  <c r="Q191" i="12" s="1"/>
  <c r="Q192" i="12" s="1"/>
  <c r="Q193" i="12" s="1"/>
  <c r="Q194" i="12" s="1"/>
  <c r="Q195" i="12" s="1"/>
  <c r="Q196" i="12" s="1"/>
  <c r="Q197" i="12" s="1"/>
  <c r="Q198" i="12" s="1"/>
  <c r="Q199" i="12" s="1"/>
  <c r="Q200" i="12" s="1"/>
  <c r="Q201" i="12" s="1"/>
  <c r="Q202" i="12" s="1"/>
  <c r="Q203" i="12" s="1"/>
  <c r="K170" i="12"/>
  <c r="M170" i="12" s="1"/>
  <c r="O170" i="12" s="1"/>
  <c r="K159" i="12"/>
  <c r="M159" i="12" s="1"/>
  <c r="K147" i="12"/>
  <c r="H147" i="12"/>
  <c r="G147" i="12"/>
  <c r="K135" i="12"/>
  <c r="M135" i="12" s="1"/>
  <c r="K123" i="12"/>
  <c r="M123" i="12" s="1"/>
  <c r="O123" i="12" s="1"/>
  <c r="Q111" i="12"/>
  <c r="Q112" i="12" s="1"/>
  <c r="Q113" i="12" s="1"/>
  <c r="Q114" i="12" s="1"/>
  <c r="Q115" i="12" s="1"/>
  <c r="Q116" i="12" s="1"/>
  <c r="Q117" i="12" s="1"/>
  <c r="Q118" i="12" s="1"/>
  <c r="Q119" i="12" s="1"/>
  <c r="Q120" i="12" s="1"/>
  <c r="Q121" i="12" s="1"/>
  <c r="Q122" i="12" s="1"/>
  <c r="Q123" i="12" s="1"/>
  <c r="Q124" i="12" s="1"/>
  <c r="Q125" i="12" s="1"/>
  <c r="Q126" i="12" s="1"/>
  <c r="Q127" i="12" s="1"/>
  <c r="Q128" i="12" s="1"/>
  <c r="Q129" i="12" s="1"/>
  <c r="Q130" i="12" s="1"/>
  <c r="Q131" i="12" s="1"/>
  <c r="Q132" i="12" s="1"/>
  <c r="Q133" i="12" s="1"/>
  <c r="Q134" i="12" s="1"/>
  <c r="Q135" i="12" s="1"/>
  <c r="Q136" i="12" s="1"/>
  <c r="Q137" i="12" s="1"/>
  <c r="Q138" i="12" s="1"/>
  <c r="Q139" i="12" s="1"/>
  <c r="Q140" i="12" s="1"/>
  <c r="Q141" i="12" s="1"/>
  <c r="Q142" i="12" s="1"/>
  <c r="Q143" i="12" s="1"/>
  <c r="Q144" i="12" s="1"/>
  <c r="Q145" i="12" s="1"/>
  <c r="Q146" i="12" s="1"/>
  <c r="K110" i="12"/>
  <c r="M110" i="12" s="1"/>
  <c r="K98" i="12"/>
  <c r="M98" i="12" s="1"/>
  <c r="O98" i="12" s="1"/>
  <c r="K87" i="12"/>
  <c r="M87" i="12" s="1"/>
  <c r="Q75" i="12"/>
  <c r="Q76" i="12" s="1"/>
  <c r="Q77" i="12" s="1"/>
  <c r="Q78" i="12" s="1"/>
  <c r="Q79" i="12" s="1"/>
  <c r="Q80" i="12" s="1"/>
  <c r="Q81" i="12" s="1"/>
  <c r="Q82" i="12" s="1"/>
  <c r="Q83" i="12" s="1"/>
  <c r="Q84" i="12" s="1"/>
  <c r="Q85" i="12" s="1"/>
  <c r="Q86" i="12" s="1"/>
  <c r="Q87" i="12" s="1"/>
  <c r="Q88" i="12" s="1"/>
  <c r="Q89" i="12" s="1"/>
  <c r="Q90" i="12" s="1"/>
  <c r="Q91" i="12" s="1"/>
  <c r="Q92" i="12" s="1"/>
  <c r="Q93" i="12" s="1"/>
  <c r="Q94" i="12" s="1"/>
  <c r="Q95" i="12" s="1"/>
  <c r="Q96" i="12" s="1"/>
  <c r="Q97" i="12" s="1"/>
  <c r="Q98" i="12" s="1"/>
  <c r="Q99" i="12" s="1"/>
  <c r="Q100" i="12" s="1"/>
  <c r="Q101" i="12" s="1"/>
  <c r="Q102" i="12" s="1"/>
  <c r="Q103" i="12" s="1"/>
  <c r="Q104" i="12" s="1"/>
  <c r="Q105" i="12" s="1"/>
  <c r="Q106" i="12" s="1"/>
  <c r="Q107" i="12" s="1"/>
  <c r="Q108" i="12" s="1"/>
  <c r="Q109" i="12" s="1"/>
  <c r="K74" i="12"/>
  <c r="M74" i="12" s="1"/>
  <c r="O74" i="12" s="1"/>
  <c r="K63" i="12"/>
  <c r="M63" i="12" s="1"/>
  <c r="N63" i="12" s="1"/>
  <c r="Q54" i="12"/>
  <c r="Q55" i="12" s="1"/>
  <c r="Q56" i="12" s="1"/>
  <c r="Q57" i="12" s="1"/>
  <c r="Q58" i="12" s="1"/>
  <c r="Q59" i="12" s="1"/>
  <c r="Q60" i="12" s="1"/>
  <c r="Q61" i="12" s="1"/>
  <c r="Q40" i="12"/>
  <c r="Q41" i="12" s="1"/>
  <c r="Q42" i="12" s="1"/>
  <c r="Q43" i="12" s="1"/>
  <c r="Q44" i="12" s="1"/>
  <c r="Q45" i="12" s="1"/>
  <c r="Q46" i="12" s="1"/>
  <c r="Q47" i="12" s="1"/>
  <c r="Q48" i="12" s="1"/>
  <c r="Q49" i="12" s="1"/>
  <c r="Q50" i="12" s="1"/>
  <c r="Q51" i="12" s="1"/>
  <c r="Q52" i="12" s="1"/>
  <c r="K39" i="12"/>
  <c r="M39" i="12" s="1"/>
  <c r="O39" i="12" s="1"/>
  <c r="K26" i="12"/>
  <c r="M26" i="12" s="1"/>
  <c r="K14" i="12"/>
  <c r="M14" i="12" s="1"/>
  <c r="Q3" i="12"/>
  <c r="Q4" i="12" s="1"/>
  <c r="Q5" i="12" s="1"/>
  <c r="Q6" i="12" s="1"/>
  <c r="Q7" i="12" s="1"/>
  <c r="Q8" i="12" s="1"/>
  <c r="Q9" i="12" s="1"/>
  <c r="Q10" i="12" s="1"/>
  <c r="Q11" i="12" s="1"/>
  <c r="Q12" i="12" s="1"/>
  <c r="Q13" i="12" s="1"/>
  <c r="Q14" i="12" s="1"/>
  <c r="Q15" i="12" s="1"/>
  <c r="Q16" i="12" s="1"/>
  <c r="Q17" i="12" s="1"/>
  <c r="Q18" i="12" s="1"/>
  <c r="Q19" i="12" s="1"/>
  <c r="Q20" i="12" s="1"/>
  <c r="Q21" i="12" s="1"/>
  <c r="Q22" i="12" s="1"/>
  <c r="Q23" i="12" s="1"/>
  <c r="Q24" i="12" s="1"/>
  <c r="Q25" i="12" s="1"/>
  <c r="Q26" i="12" s="1"/>
  <c r="Q27" i="12" s="1"/>
  <c r="Q28" i="12" s="1"/>
  <c r="Q29" i="12" s="1"/>
  <c r="Q30" i="12" s="1"/>
  <c r="Q31" i="12" s="1"/>
  <c r="Q32" i="12" s="1"/>
  <c r="Q33" i="12" s="1"/>
  <c r="Q34" i="12" s="1"/>
  <c r="Q35" i="12" s="1"/>
  <c r="Q36" i="12" s="1"/>
  <c r="Q37" i="12" s="1"/>
  <c r="Q38" i="12" s="1"/>
  <c r="K2" i="12"/>
  <c r="M2" i="12" s="1"/>
  <c r="K812" i="12" l="1"/>
  <c r="M812" i="12" s="1"/>
  <c r="O812" i="12" s="1"/>
  <c r="N375" i="12"/>
  <c r="K852" i="12"/>
  <c r="N1070" i="12"/>
  <c r="O1070" i="12"/>
  <c r="M423" i="12"/>
  <c r="O423" i="12" s="1"/>
  <c r="N1014" i="12"/>
  <c r="M147" i="12"/>
  <c r="O147" i="12" s="1"/>
  <c r="K580" i="12"/>
  <c r="M580" i="12" s="1"/>
  <c r="N580" i="12" s="1"/>
  <c r="O2" i="12"/>
  <c r="N2" i="12"/>
  <c r="O14" i="12"/>
  <c r="N14" i="12"/>
  <c r="O135" i="12"/>
  <c r="N135" i="12"/>
  <c r="N564" i="12"/>
  <c r="O564" i="12"/>
  <c r="O1036" i="12"/>
  <c r="N1036" i="12"/>
  <c r="N39" i="12"/>
  <c r="J228" i="12"/>
  <c r="K228" i="12" s="1"/>
  <c r="M228" i="12" s="1"/>
  <c r="N98" i="12"/>
  <c r="N338" i="12"/>
  <c r="K772" i="12"/>
  <c r="M772" i="12" s="1"/>
  <c r="N464" i="12"/>
  <c r="N1025" i="12"/>
  <c r="O63" i="12"/>
  <c r="N74" i="12"/>
  <c r="O290" i="12"/>
  <c r="O326" i="12"/>
  <c r="N26" i="12"/>
  <c r="O26" i="12"/>
  <c r="N110" i="12"/>
  <c r="O110" i="12"/>
  <c r="Q392" i="12"/>
  <c r="Q393" i="12" s="1"/>
  <c r="Q394" i="12" s="1"/>
  <c r="Q395" i="12" s="1"/>
  <c r="Q396" i="12" s="1"/>
  <c r="Q397" i="12" s="1"/>
  <c r="Q398" i="12" s="1"/>
  <c r="Q399" i="12" s="1"/>
  <c r="Q400" i="12" s="1"/>
  <c r="Q401" i="12" s="1"/>
  <c r="Q402" i="12" s="1"/>
  <c r="Q403" i="12" s="1"/>
  <c r="Q404" i="12" s="1"/>
  <c r="Q405" i="12" s="1"/>
  <c r="Q406" i="12" s="1"/>
  <c r="Q407" i="12" s="1"/>
  <c r="Q408" i="12" s="1"/>
  <c r="Q409" i="12" s="1"/>
  <c r="Q410" i="12" s="1"/>
  <c r="Q411" i="12" s="1"/>
  <c r="Q412" i="12" s="1"/>
  <c r="Q413" i="12" s="1"/>
  <c r="Q414" i="12" s="1"/>
  <c r="Q415" i="12" s="1"/>
  <c r="Q416" i="12" s="1"/>
  <c r="Q417" i="12" s="1"/>
  <c r="Q418" i="12" s="1"/>
  <c r="Q419" i="12" s="1"/>
  <c r="Q420" i="12" s="1"/>
  <c r="Q421" i="12" s="1"/>
  <c r="N314" i="12"/>
  <c r="O314" i="12"/>
  <c r="N216" i="12"/>
  <c r="O1109" i="12"/>
  <c r="N1109" i="12"/>
  <c r="N170" i="12"/>
  <c r="O921" i="12"/>
  <c r="N921" i="12"/>
  <c r="O204" i="12"/>
  <c r="N204" i="12"/>
  <c r="J265" i="12"/>
  <c r="I265" i="12"/>
  <c r="N399" i="12"/>
  <c r="O538" i="12"/>
  <c r="N538" i="12"/>
  <c r="O989" i="12"/>
  <c r="N989" i="12"/>
  <c r="O159" i="12"/>
  <c r="N159" i="12"/>
  <c r="N123" i="12"/>
  <c r="O482" i="12"/>
  <c r="N482" i="12"/>
  <c r="K688" i="12"/>
  <c r="M688" i="12" s="1"/>
  <c r="O1001" i="12"/>
  <c r="N1001" i="12"/>
  <c r="O277" i="12"/>
  <c r="N277" i="12"/>
  <c r="O591" i="12"/>
  <c r="N591" i="12"/>
  <c r="J241" i="12"/>
  <c r="I241" i="12"/>
  <c r="N147" i="12"/>
  <c r="O608" i="12"/>
  <c r="N87" i="12"/>
  <c r="O87" i="12"/>
  <c r="O302" i="12"/>
  <c r="N302" i="12"/>
  <c r="N551" i="12"/>
  <c r="O551" i="12"/>
  <c r="O351" i="12"/>
  <c r="N351" i="12"/>
  <c r="O447" i="12"/>
  <c r="N447" i="12"/>
  <c r="O1097" i="12"/>
  <c r="N1097" i="12"/>
  <c r="O953" i="12"/>
  <c r="N953" i="12"/>
  <c r="O517" i="12"/>
  <c r="N517" i="12"/>
  <c r="O630" i="12"/>
  <c r="N630" i="12"/>
  <c r="O965" i="12"/>
  <c r="N965" i="12"/>
  <c r="J253" i="12"/>
  <c r="N929" i="12"/>
  <c r="N495" i="12"/>
  <c r="M642" i="12"/>
  <c r="K732" i="12"/>
  <c r="M732" i="12" s="1"/>
  <c r="N941" i="12"/>
  <c r="N977" i="12"/>
  <c r="N1121" i="12"/>
  <c r="N812" i="12" l="1"/>
  <c r="N423" i="12"/>
  <c r="K241" i="12"/>
  <c r="M241" i="12" s="1"/>
  <c r="O580" i="12"/>
  <c r="O772" i="12"/>
  <c r="N772" i="12"/>
  <c r="Q391" i="12"/>
  <c r="O642" i="12"/>
  <c r="N642" i="12"/>
  <c r="O688" i="12"/>
  <c r="N688" i="12"/>
  <c r="O852" i="12"/>
  <c r="N852" i="12"/>
  <c r="K253" i="12"/>
  <c r="M253" i="12" s="1"/>
  <c r="N228" i="12"/>
  <c r="O228" i="12"/>
  <c r="K265" i="12"/>
  <c r="M265" i="12" s="1"/>
  <c r="O732" i="12"/>
  <c r="N732" i="12"/>
  <c r="O241" i="12" l="1"/>
  <c r="N241" i="12"/>
  <c r="O265" i="12"/>
  <c r="N265" i="12"/>
  <c r="O253" i="12"/>
  <c r="N253" i="12"/>
</calcChain>
</file>

<file path=xl/comments1.xml><?xml version="1.0" encoding="utf-8"?>
<comments xmlns="http://schemas.openxmlformats.org/spreadsheetml/2006/main">
  <authors>
    <author>作者</author>
  </authors>
  <commentList>
    <comment ref="T1" authorId="0" shapeId="0">
      <text>
        <r>
          <rPr>
            <b/>
            <sz val="9"/>
            <color indexed="81"/>
            <rFont val="宋体"/>
            <family val="3"/>
            <charset val="134"/>
          </rPr>
          <t>PC:</t>
        </r>
        <r>
          <rPr>
            <sz val="9"/>
            <color indexed="81"/>
            <rFont val="宋体"/>
            <family val="3"/>
            <charset val="134"/>
          </rPr>
          <t xml:space="preserve">
Some soil moisture data were unavailable at the Hailun, Dehui, Changping, Linze, Shijiazhuang, and Luancheng sites in literatures and in these cases the soil respiration was modeled using soil properties, soil temperature and LAI.</t>
        </r>
      </text>
    </comment>
    <comment ref="U1" authorId="0" shapeId="0">
      <text>
        <r>
          <rPr>
            <b/>
            <sz val="9"/>
            <color indexed="81"/>
            <rFont val="宋体"/>
            <family val="3"/>
            <charset val="134"/>
          </rPr>
          <t>PC:</t>
        </r>
        <r>
          <rPr>
            <sz val="9"/>
            <color indexed="81"/>
            <rFont val="宋体"/>
            <family val="3"/>
            <charset val="134"/>
          </rPr>
          <t xml:space="preserve">
The seasonal variations of LAI during the overwintering crops (e.g., winter wheat) growing season were modeled using Eq.(11) and those during the summer (e.g., soybean and maize) growing season were modeled using Eq. (12), if the LAI data were not reported in literatures.</t>
        </r>
      </text>
    </comment>
    <comment ref="U1097" authorId="0" shapeId="0">
      <text>
        <r>
          <rPr>
            <b/>
            <sz val="9"/>
            <color indexed="81"/>
            <rFont val="Times New Roman"/>
            <family val="1"/>
          </rPr>
          <t>PC:</t>
        </r>
        <r>
          <rPr>
            <sz val="9"/>
            <color indexed="81"/>
            <rFont val="Times New Roman"/>
            <family val="1"/>
          </rPr>
          <t xml:space="preserve">
The LAI data were not used in modelling soil respiration at this site. The model that included LAI reduced the modelling performance, because the sweet potato had different LAI and root dynamics compared with other crops.</t>
        </r>
      </text>
    </comment>
  </commentList>
</comments>
</file>

<file path=xl/sharedStrings.xml><?xml version="1.0" encoding="utf-8"?>
<sst xmlns="http://schemas.openxmlformats.org/spreadsheetml/2006/main" count="245" uniqueCount="169">
  <si>
    <t>LAI</t>
    <phoneticPr fontId="14" type="noConversion"/>
  </si>
  <si>
    <t>Site</t>
    <phoneticPr fontId="14" type="noConversion"/>
  </si>
  <si>
    <t>C/N</t>
    <phoneticPr fontId="14" type="noConversion"/>
  </si>
  <si>
    <t>AP (m)</t>
    <phoneticPr fontId="14" type="noConversion"/>
  </si>
  <si>
    <t>MAT (°C)</t>
    <phoneticPr fontId="14" type="noConversion"/>
  </si>
  <si>
    <t>References</t>
    <phoneticPr fontId="14" type="noConversion"/>
  </si>
  <si>
    <t>Xianning</t>
    <phoneticPr fontId="14" type="noConversion"/>
  </si>
  <si>
    <t>01/05/11‒30/04/12</t>
  </si>
  <si>
    <t>01/05/12‒30/04/13</t>
  </si>
  <si>
    <t>01/05/13‒30/04/14</t>
  </si>
  <si>
    <t>01/07/12‒30/06/13</t>
  </si>
  <si>
    <t>01/11/07‒31/10/08</t>
  </si>
  <si>
    <t>01/10/02‒30/09/03</t>
  </si>
  <si>
    <t>01/10/03‒30/09/04</t>
  </si>
  <si>
    <t>01/10/04‒30/09/05</t>
  </si>
  <si>
    <t>01/10/05‒30/09/06</t>
  </si>
  <si>
    <t>01/10/13‒30/09/14</t>
  </si>
  <si>
    <t>01/10/12‒30/09/13</t>
  </si>
  <si>
    <t>01/05/09‒30/04/10</t>
  </si>
  <si>
    <t>01/05/10‒30/04/11</t>
  </si>
  <si>
    <t>01/10/14‒30/09/15</t>
  </si>
  <si>
    <t>01/01/06‒31/12/06</t>
  </si>
  <si>
    <t>01/01/07‒31/12/07</t>
  </si>
  <si>
    <t>01/06/15‒31/05/16</t>
  </si>
  <si>
    <t>01/06/13‒31/05/14</t>
  </si>
  <si>
    <t>01/03/14‒28/02/15</t>
  </si>
  <si>
    <t>01/11/18‒31/10/19</t>
  </si>
  <si>
    <t>01/11/19‒31/10/20</t>
  </si>
  <si>
    <t>01/12/10‒30/11/11</t>
  </si>
  <si>
    <t>01/08/99‒31/07/00</t>
  </si>
  <si>
    <t>01/01/05‒31/12/05</t>
  </si>
  <si>
    <t>01/05/11‒30/04/12</t>
    <phoneticPr fontId="14" type="noConversion"/>
  </si>
  <si>
    <t>Crops</t>
    <phoneticPr fontId="14" type="noConversion"/>
  </si>
  <si>
    <t>Maize‒fallow</t>
    <phoneticPr fontId="14" type="noConversion"/>
  </si>
  <si>
    <t>Maize‒fallow</t>
    <phoneticPr fontId="14" type="noConversion"/>
  </si>
  <si>
    <t>Winter wheat‒maize</t>
    <phoneticPr fontId="14" type="noConversion"/>
  </si>
  <si>
    <t>Maize‒fallow</t>
    <phoneticPr fontId="14" type="noConversion"/>
  </si>
  <si>
    <t>Tomato</t>
    <phoneticPr fontId="14" type="noConversion"/>
  </si>
  <si>
    <t>Winter wheat‒maize</t>
    <phoneticPr fontId="14" type="noConversion"/>
  </si>
  <si>
    <t>Winter wheat‒soybean</t>
    <phoneticPr fontId="14" type="noConversion"/>
  </si>
  <si>
    <t>Winter wheat‒maize</t>
    <phoneticPr fontId="14" type="noConversion"/>
  </si>
  <si>
    <t>Winter wheat‒maize</t>
    <phoneticPr fontId="14" type="noConversion"/>
  </si>
  <si>
    <t>Winter wheat‒maize</t>
    <phoneticPr fontId="14" type="noConversion"/>
  </si>
  <si>
    <t>Winter wheat‒fallow</t>
    <phoneticPr fontId="14" type="noConversion"/>
  </si>
  <si>
    <t>Winter wheat‒fallow</t>
    <phoneticPr fontId="14" type="noConversion"/>
  </si>
  <si>
    <t>Winter wheat‒fallow</t>
    <phoneticPr fontId="14" type="noConversion"/>
  </si>
  <si>
    <t>Winter wheat‒millet</t>
    <phoneticPr fontId="14" type="noConversion"/>
  </si>
  <si>
    <t>Canola‒maize</t>
    <phoneticPr fontId="14" type="noConversion"/>
  </si>
  <si>
    <r>
      <t xml:space="preserve">Predicted </t>
    </r>
    <r>
      <rPr>
        <i/>
        <sz val="11"/>
        <color theme="1"/>
        <rFont val="Times New Roman"/>
        <family val="1"/>
      </rPr>
      <t>Q</t>
    </r>
    <r>
      <rPr>
        <vertAlign val="subscript"/>
        <sz val="11"/>
        <color theme="1"/>
        <rFont val="Times New Roman"/>
        <family val="1"/>
      </rPr>
      <t>10</t>
    </r>
    <r>
      <rPr>
        <sz val="11"/>
        <color theme="1"/>
        <rFont val="Times New Roman"/>
        <family val="1"/>
      </rPr>
      <t/>
    </r>
    <phoneticPr fontId="14" type="noConversion"/>
  </si>
  <si>
    <t>Reclaimed lands</t>
    <phoneticPr fontId="14" type="noConversion"/>
  </si>
  <si>
    <t>Chili‒Chinese cabbage</t>
    <phoneticPr fontId="14" type="noConversion"/>
  </si>
  <si>
    <t>Canola‒sweet potato</t>
    <phoneticPr fontId="14" type="noConversion"/>
  </si>
  <si>
    <t>Orange orchard</t>
    <phoneticPr fontId="14" type="noConversion"/>
  </si>
  <si>
    <t>Orange orchard</t>
    <phoneticPr fontId="14" type="noConversion"/>
  </si>
  <si>
    <t>Chinese cabbage‒radish</t>
    <phoneticPr fontId="14" type="noConversion"/>
  </si>
  <si>
    <t>Winter wheat</t>
    <phoneticPr fontId="14" type="noConversion"/>
  </si>
  <si>
    <t>Winter wheat</t>
    <phoneticPr fontId="14" type="noConversion"/>
  </si>
  <si>
    <t>Upland</t>
    <phoneticPr fontId="14" type="noConversion"/>
  </si>
  <si>
    <t>Millet‒barley</t>
    <phoneticPr fontId="14" type="noConversion"/>
  </si>
  <si>
    <t>Sweet potato</t>
    <phoneticPr fontId="14" type="noConversion"/>
  </si>
  <si>
    <t>Sweet potato</t>
    <phoneticPr fontId="14" type="noConversion"/>
  </si>
  <si>
    <t>Soil temperature (°C)</t>
    <phoneticPr fontId="14" type="noConversion"/>
  </si>
  <si>
    <t>Scales used to determined the measurement dates in Figures in literatures</t>
    <phoneticPr fontId="14" type="noConversion"/>
  </si>
  <si>
    <t>Latitude (°)</t>
    <phoneticPr fontId="14" type="noConversion"/>
  </si>
  <si>
    <t>Longitude (°)</t>
    <phoneticPr fontId="14" type="noConversion"/>
  </si>
  <si>
    <t>Jian'ou</t>
    <phoneticPr fontId="21" type="noConversion"/>
  </si>
  <si>
    <t>Yingtan</t>
    <phoneticPr fontId="21" type="noConversion"/>
  </si>
  <si>
    <t>Lhasa</t>
    <phoneticPr fontId="21" type="noConversion"/>
  </si>
  <si>
    <t>Zigui</t>
  </si>
  <si>
    <t>Zigui</t>
    <phoneticPr fontId="21" type="noConversion"/>
  </si>
  <si>
    <t>Hangzhou</t>
    <phoneticPr fontId="21" type="noConversion"/>
  </si>
  <si>
    <t>Zigui</t>
    <phoneticPr fontId="21" type="noConversion"/>
  </si>
  <si>
    <t>Hailun</t>
  </si>
  <si>
    <t>Dehui</t>
  </si>
  <si>
    <t>Changping</t>
  </si>
  <si>
    <t>Dunhuang</t>
  </si>
  <si>
    <t>Linze</t>
  </si>
  <si>
    <t>Shijiazhuang</t>
  </si>
  <si>
    <t>Luancheng</t>
  </si>
  <si>
    <t>Wuqiao</t>
  </si>
  <si>
    <t>Yucheng</t>
  </si>
  <si>
    <t>Huantai</t>
  </si>
  <si>
    <t>Quzhou</t>
  </si>
  <si>
    <t>Nanwang</t>
  </si>
  <si>
    <t>Changwu</t>
  </si>
  <si>
    <t>Fengqiu</t>
  </si>
  <si>
    <t>Lingbao</t>
  </si>
  <si>
    <t>Xiaoxian</t>
  </si>
  <si>
    <t>Wulongchi</t>
  </si>
  <si>
    <t>Nanjing</t>
  </si>
  <si>
    <t>Chongming</t>
  </si>
  <si>
    <t>Wuhan</t>
  </si>
  <si>
    <t>Chen, Z., Xu, Y., Zhou, X., Tang, J., Kuzyakov, Y., Yu, H., Fan, J., Ding, W., 2017. Extreme rainfall and snowfall alter responses of soil respiration to nitrogen fertilization: a 3-year field experiment. Global Change Biol. 23 (8), 3403‒3417. https://doi.org/10.1111/gcb.13620.</t>
    <phoneticPr fontId="14" type="noConversion"/>
  </si>
  <si>
    <r>
      <t>Shi, X., Zhang, X., Yang, X., Drury, C., McLaughlin, N., Liang, A., Fan, R., Jia, S., 2012. Contribution of winter soil respiration to annual soil CO</t>
    </r>
    <r>
      <rPr>
        <vertAlign val="subscript"/>
        <sz val="11"/>
        <color theme="1"/>
        <rFont val="Times New Roman"/>
        <family val="1"/>
      </rPr>
      <t>2</t>
    </r>
    <r>
      <rPr>
        <sz val="11"/>
        <color theme="1"/>
        <rFont val="Times New Roman"/>
        <family val="1"/>
      </rPr>
      <t xml:space="preserve"> emission in a Mollisol under different tillage practices in northeast China. Global Biogeochem. Cy. 26 (2), GB2007. https://doi.org/10.1029/2011GB004054.</t>
    </r>
    <phoneticPr fontId="14" type="noConversion"/>
  </si>
  <si>
    <t>Huang, N., Niu, Z., Zhan, Y., Xu, S., Tappert, M.C., Wu, C., Huang, W., Gao, S., Hou, X., Cai, D., 2012. Relationships between soil respiration and photosynthesis-related spectral vegetation indices in two cropland ecosystems. Agr. Forest Meteorol. 160 (4), 80–89. https://doi.org/10.1016/j.agrformet.2012.03.005.</t>
    <phoneticPr fontId="14" type="noConversion"/>
  </si>
  <si>
    <t>Ma, T., Zhu, G., Ma, J., Zhang, K., Wang, S., Han, T., Shang, S., 2020. Soil respiration in an irrigated oasis agroecosystem: linking environmental controls with plant activities on hourly, daily and monthly timescales. Plant Soil 447 (1), 347‒364. https://doi.org/10.1007/s11104-019-04354-w.</t>
    <phoneticPr fontId="14" type="noConversion"/>
  </si>
  <si>
    <r>
      <t>Zhang, Y., Zhao, W., Fu, L., Zhao, C., Jia, A., 2020. Land use conversion influences soil respiration across a desert-oasis ecoregion in Northwest China, with consideration of cold season CO</t>
    </r>
    <r>
      <rPr>
        <vertAlign val="subscript"/>
        <sz val="11"/>
        <color theme="1"/>
        <rFont val="Times New Roman"/>
        <family val="1"/>
      </rPr>
      <t>2</t>
    </r>
    <r>
      <rPr>
        <sz val="11"/>
        <color theme="1"/>
        <rFont val="Times New Roman"/>
        <family val="1"/>
      </rPr>
      <t xml:space="preserve"> efflux and its significance. Catena 188, 104460. https://doi.org/10.1016/j.catena.2020.104460.</t>
    </r>
    <phoneticPr fontId="14" type="noConversion"/>
  </si>
  <si>
    <r>
      <t>Shen, H., Cao, J., Zhang, W., Zeng, X., Wang, H., 2014. Winter soil CO</t>
    </r>
    <r>
      <rPr>
        <vertAlign val="subscript"/>
        <sz val="11"/>
        <color theme="1"/>
        <rFont val="Times New Roman"/>
        <family val="1"/>
      </rPr>
      <t>2</t>
    </r>
    <r>
      <rPr>
        <sz val="11"/>
        <color theme="1"/>
        <rFont val="Times New Roman"/>
        <family val="1"/>
      </rPr>
      <t xml:space="preserve"> flux from different mid-latitude sites from Middle Taihang Mountain in north China. PLoS ONE 9 (3), e91589. https://doi.org/10.1371/journal.pone.0091589.</t>
    </r>
    <phoneticPr fontId="14" type="noConversion"/>
  </si>
  <si>
    <t>Liu, X., Zhang, W., Zhang, B., Yang, Q., Chang, J., Hou, K., 2016. Diurnal variation in soil respiration under different land uses on Taihang Mountain, North China. Atmos. Environ. 125, 283‒292. https://doi.org/10.1016/j.atmosenv.2015.11.034.</t>
    <phoneticPr fontId="14" type="noConversion"/>
  </si>
  <si>
    <t>Wang, Y., Hu, C., Dong, W., Li, X., Zhang, Y., Qin, S., Oenema, O., 2015. Carbon budget of a winter-wheat and summer-maize rotation cropland in the North China Plain. Agr. Ecosyst. Environ. 206, 33‒45. https://doi.org/10.1016/j.agee.2015.03.016.</t>
    <phoneticPr fontId="14" type="noConversion"/>
  </si>
  <si>
    <r>
      <t>Liu, L., Hu, C., Yang, P., Ju, Z., Olesen, J.E., Tang, J., 2015. Effects of experimental warming and nitrogen addition on soil respiration and CH</t>
    </r>
    <r>
      <rPr>
        <vertAlign val="subscript"/>
        <sz val="11"/>
        <color theme="1"/>
        <rFont val="Times New Roman"/>
        <family val="1"/>
      </rPr>
      <t>4</t>
    </r>
    <r>
      <rPr>
        <sz val="11"/>
        <color theme="1"/>
        <rFont val="Times New Roman"/>
        <family val="1"/>
      </rPr>
      <t xml:space="preserve"> fluxes from crop rotations of winter wheat–soybean/fallow. Agr. Forest Meteorol. 207, 38‒47. https://doi.org/10.1016/j.agrformet.2015.03.013.</t>
    </r>
    <phoneticPr fontId="14" type="noConversion"/>
  </si>
  <si>
    <t>Li, Z., Wang, D., Sui, P., Long, P., Yan, L., Wang, X., Yan, P., Shen, Y., Dai, H., Yang, X., Cui, J., Chen, Y., 2018. Effects of different agricultural organic wastes on soil GHG emissions: During a 4-year field measurement in the North China Plain. Waste Manage. 81, 202‒210. https://doi.org/10.1016/j.wasman.2018.10.008.</t>
    <phoneticPr fontId="14" type="noConversion"/>
  </si>
  <si>
    <t>Tong, X., Li, J., Nolan, R.H., Yu, Q., 2017. Biophysical controls of soil respiration in a wheat-maize rotation system in the North China Plain. Agr. Forest Meteorol. 246, 231‒240. https://doi.org/10.1016/j.agrformet.2017.07.005.</t>
    <phoneticPr fontId="14" type="noConversion"/>
  </si>
  <si>
    <t>Tu, C., Li, F., Qiao, Y., Zhu, N., Gu, C., Zhao, X., 2017. Effect of experimental warming on soil respiration under conventional tillage and no-tillage farmland in the North China Plain. J. Integr. Agr. 16 (4), 967‒979. https://doi.org/10.1016/S2095-3119(16)61449-1.</t>
    <phoneticPr fontId="14" type="noConversion"/>
  </si>
  <si>
    <t>He, X., Du, Z., Wang, Y., Lu, N., Zhang, Q., 2016. Sensitivity of soil respiration to soil temperature decreased under deep biochar amended soils in temperate croplands. Appl. Soil Ecol. 108, 204‒210. https://doi.org/10.1016/j.apsoil.2016.08.018.</t>
    <phoneticPr fontId="14" type="noConversion"/>
  </si>
  <si>
    <t>Gao, B., Ju, X., Su, F., Gao, F., Cao, Q., Oenema, O., Christie, P., Chen, X., Zhang, F., 2013. Comparison of soil respiration in typical conventional and new alternative cereal cropping systems on the north China plain. PLoS ONE 8 (11), e80887. https://doi.org/10.1371/journal.pone.0080887.</t>
    <phoneticPr fontId="14" type="noConversion"/>
  </si>
  <si>
    <t>Yu, H., Li, Y., Oshunsanya, S.O., Are, K.S., Geng, Y., Saggar, S., Liu, W., 2019. Re-introduction of light grazing reduces soil erosion and soil respiration in a converted grassland on the Loess Plateau, China. Agr. Ecosyst. Environ. 280, 43‒52. https://doi.org/10.1016/j.agee.2019.04.020.</t>
    <phoneticPr fontId="14" type="noConversion"/>
  </si>
  <si>
    <t>Zhang, Y., Guo, S., Liu, Q., Jiang, J., Wang, R., Li, N., 2015. Responses of soil respiration to land use conversions in degraded ecosystem of the semi-arid Loess Plateau. Ecol. Eng. 74, 196‒205. https://doi.org/10.1016/j.ecoleng.2014.10.003.</t>
    <phoneticPr fontId="14" type="noConversion"/>
  </si>
  <si>
    <t>Wang, R., Wang, Z., Sun, Q., Zhao, M., Du, L., Wu, D., Li, J., Gao, X., Guo, S., 2016. Effects of crop types and nitrogen fertilization on temperature sensitivity of soil respiration in the semi-arid Loess Plateau. Soil Till. Res. 163, 1‒9. https://doi.org/10.1016/j.still.2016.05.005.</t>
    <phoneticPr fontId="14" type="noConversion"/>
  </si>
  <si>
    <r>
      <t>Zhang, H., Zhou, X., Lu, F., Pang, J., Feng, Z., Liu, W., Ouyang, Z., Wang, X., 2011. Seasonal dynamics of soil CO</t>
    </r>
    <r>
      <rPr>
        <vertAlign val="subscript"/>
        <sz val="11"/>
        <color theme="1"/>
        <rFont val="Times New Roman"/>
        <family val="1"/>
      </rPr>
      <t>2</t>
    </r>
    <r>
      <rPr>
        <sz val="11"/>
        <color theme="1"/>
        <rFont val="Times New Roman"/>
        <family val="1"/>
      </rPr>
      <t xml:space="preserve"> efflux in a conventional tilled wheat field of the Loess Plateau, China. Ecol. Res. 26 (4), 735–743. https://doi.org/10.1007/s11284-011-0832-5.</t>
    </r>
    <phoneticPr fontId="14" type="noConversion"/>
  </si>
  <si>
    <t>Jiang, J., Guo, S., Zhang, Y., Liu, Q., Wang, R., 2015. Changes in temperature sensitivity of soil respiration in the phases of a three-year crop rotation system. Soil Till. Res. 150, 139–146. https://doi.org/10.1016/j.still.2015.02.002.</t>
    <phoneticPr fontId="14" type="noConversion"/>
  </si>
  <si>
    <t>Zhang, X., Zhang, J., Zheng, C., Guan, D., Li, S., Xie, F., Chen, J., Hang, X., Jiang, Y., Deng, A., Afreh, D., Zhang, W., 2017. Significant residual effects of wheat fertilization on greenhouse gas emissions in succeeding soybean growing season. Soil Till. Res. 169, 7‒15. https://doi.org/10.1016/j.still.2017.01.008.</t>
    <phoneticPr fontId="14" type="noConversion"/>
  </si>
  <si>
    <t>Zhang, X., Xin, X., Yang, W., Ding, S., Ren, G., Li, M., Zhu, A., 2021. Soil respiration and net carbon flux response to long-term reduced/no-tillage with and without residues in a wheat-maize cropping system. Soil Till. Res. 214, 105182. https://doi.org/10.1016/j.still.2021.105182.</t>
    <phoneticPr fontId="14" type="noConversion"/>
  </si>
  <si>
    <t>Li, Y., Hou, C., Wang, Q., Chen, Y., Ma, J., Mohammad, Z., 2016. Effect of no-till farming and straw mulch on spatial variability of soil respiration in sloping cropland. Pol. J. environ. Stud. 25 (6), 2489–2498. https://doi.org/10.15244/pjoes/64281.</t>
    <phoneticPr fontId="14" type="noConversion"/>
  </si>
  <si>
    <r>
      <t>Zhang, Q., Wu, J., Lie, Y., Yang, F., Zhang, D., Zhang, K., Zhang, Q., Cheng, X., 2018a. Agricultural land use change impacts soil CO</t>
    </r>
    <r>
      <rPr>
        <vertAlign val="subscript"/>
        <sz val="11"/>
        <color theme="1"/>
        <rFont val="Times New Roman"/>
        <family val="1"/>
      </rPr>
      <t>2</t>
    </r>
    <r>
      <rPr>
        <sz val="11"/>
        <color theme="1"/>
        <rFont val="Times New Roman"/>
        <family val="1"/>
      </rPr>
      <t xml:space="preserve"> emission and its 13C-isotopic signature in central China. Soil Till. Res. 177, 105‒112. https://doi.org/10.1016/j.still.2017.11.017.</t>
    </r>
    <phoneticPr fontId="14" type="noConversion"/>
  </si>
  <si>
    <t>Yao, X., Chen, S., Ding, S., Zhang, M., Cui, Z., Lingshu, S., Xu, J., 2021. Temperature, moisture, hyperspectral vegetation indexes, and leaf traits regulated soil respiration in different crop planting fields. J. Soil Sci. Plant Nut. 21 (4), 3203‒3220. https://doi.org/10.1007/s42729-021-00600-2.</t>
    <phoneticPr fontId="14" type="noConversion"/>
  </si>
  <si>
    <t>Chen, S., Wang, J., Zhang, T., Hu, Z., Zhou, G., 2021. Warming and straw application increased soil respiration during the different growing seasons by changing crop biomass and leaf area index in a winter wheat–soybean rotation cropland. Geoderma 391, 114985. https://doi.org/10.1016/j.geoderma.2021.114985.</t>
    <phoneticPr fontId="14" type="noConversion"/>
  </si>
  <si>
    <t>Bu, N., Qu, J., Li, G., Zhao, B., Zhang, R., Fang, C., 2015. Reclamation of coastal salt marshes promoted carbon loss from previously-sequestered soil carbon pool. Ecol. Eng. 81, 335‒339. https://doi.org/10.1016/j.ecoleng.2015.04.051.</t>
    <phoneticPr fontId="14" type="noConversion"/>
  </si>
  <si>
    <t>Zhang, Y., Hu, X., Zou, J., Zhang, D., Chen, W., Liu, Y., Chen, Y., Wang, X., 2018b. Response of surface albedo and soil carbon dioxide fluxes to biochar amendment in farmland. J. Soil Sediment 18 (4), 1590‒1601. https://doi.org/10.1016/j.still.2017.11.017.</t>
    <phoneticPr fontId="14" type="noConversion"/>
  </si>
  <si>
    <t>Iqbal, J., Hu, R., Feng, M., Lin, S., Malghani, S., Ali, I.M., 2010. Microbial biomass, and dissolved organic carbon and nitrogen strongly affect soil respiration in different land uses: A case study at Three Gorges Reservoir Area, South China. Agr. Ecosyst. Environ. 137 (3‒4), 294‒307. https://doi.org/10.1016/j.agee.2010.02.015.</t>
    <phoneticPr fontId="14" type="noConversion"/>
  </si>
  <si>
    <t>Fan, L., Yang, M., Han, W., 2015. Soil respiration under different land uses in eastern China. PLoS ONE 10 (4), e0124198. https://doi.org/10.1371/journal.pone.0124198.</t>
    <phoneticPr fontId="14" type="noConversion"/>
  </si>
  <si>
    <r>
      <t>Shi, P., Zhang, X., Zhong, Z., Hua, O., 2006. Diurnal and seasonal variability of soil CO</t>
    </r>
    <r>
      <rPr>
        <vertAlign val="subscript"/>
        <sz val="11"/>
        <color theme="1"/>
        <rFont val="Times New Roman"/>
        <family val="1"/>
      </rPr>
      <t>2</t>
    </r>
    <r>
      <rPr>
        <sz val="11"/>
        <color theme="1"/>
        <rFont val="Times New Roman"/>
        <family val="1"/>
      </rPr>
      <t xml:space="preserve"> efflux in a cropland ecosystem on the Tibetan Plateau. Agr. Forest Meteorol. 137 (3–4), 220–233. https://doi.org/10.1016/j.agrformet.2006.02.008.</t>
    </r>
    <phoneticPr fontId="14" type="noConversion"/>
  </si>
  <si>
    <r>
      <t>Iqbal, J., Hu, R., Du, L., Lu, L., Lin, S., Chen, T., Ruan, L., 2008. Differences in soil CO</t>
    </r>
    <r>
      <rPr>
        <vertAlign val="subscript"/>
        <sz val="11"/>
        <color theme="1"/>
        <rFont val="Times New Roman"/>
        <family val="1"/>
      </rPr>
      <t>2</t>
    </r>
    <r>
      <rPr>
        <sz val="11"/>
        <color theme="1"/>
        <rFont val="Times New Roman"/>
        <family val="1"/>
      </rPr>
      <t xml:space="preserve"> flux between different land use types in mid-subtropical China. Soil Biol. Biochem. 40 (9), 2324‒2333. https://doi.org/10.1016/j.soilbio.2008.05.010.</t>
    </r>
    <phoneticPr fontId="14" type="noConversion"/>
  </si>
  <si>
    <t>Sheng, H., Yang, Y., Yang, Z., Chen, G., Xie, J., Guo, J., Zou, S., 2010. The dynamic response of soil respiration to land-use changes in subtropical China. Global Change Biol. 16 (3), 1107–1121. https://doi.org/10.1111/j.1365-2486.2009.01988.x.</t>
    <phoneticPr fontId="14" type="noConversion"/>
  </si>
  <si>
    <t>Soil moisture</t>
    <phoneticPr fontId="14" type="noConversion"/>
  </si>
  <si>
    <t>01/04/15‒31/03/17</t>
    <phoneticPr fontId="14" type="noConversion"/>
  </si>
  <si>
    <t>01/04/11‒30/06/11</t>
    <phoneticPr fontId="14" type="noConversion"/>
  </si>
  <si>
    <t>Grape</t>
    <phoneticPr fontId="14" type="noConversion"/>
  </si>
  <si>
    <t>Site number</t>
    <phoneticPr fontId="14" type="noConversion"/>
  </si>
  <si>
    <t>Canola‒maize</t>
    <phoneticPr fontId="14" type="noConversion"/>
  </si>
  <si>
    <t>Winter wheat‒soybean 1</t>
    <phoneticPr fontId="14" type="noConversion"/>
  </si>
  <si>
    <t>Fallow‒peanut</t>
    <phoneticPr fontId="14" type="noConversion"/>
  </si>
  <si>
    <t>Canola‒pea</t>
    <phoneticPr fontId="14" type="noConversion"/>
  </si>
  <si>
    <t>Garlic‒sesame</t>
    <phoneticPr fontId="14" type="noConversion"/>
  </si>
  <si>
    <t>Winter wheat‒soybean 2</t>
    <phoneticPr fontId="14" type="noConversion"/>
  </si>
  <si>
    <r>
      <t>SOC (kg C m</t>
    </r>
    <r>
      <rPr>
        <vertAlign val="superscript"/>
        <sz val="11"/>
        <color theme="1"/>
        <rFont val="Times New Roman"/>
        <family val="1"/>
      </rPr>
      <t>−2</t>
    </r>
    <r>
      <rPr>
        <sz val="11"/>
        <color theme="1"/>
        <rFont val="Times New Roman"/>
        <family val="1"/>
      </rPr>
      <t>)</t>
    </r>
    <phoneticPr fontId="14" type="noConversion"/>
  </si>
  <si>
    <r>
      <t>STN (kg N m</t>
    </r>
    <r>
      <rPr>
        <vertAlign val="superscript"/>
        <sz val="11"/>
        <color theme="1"/>
        <rFont val="Times New Roman"/>
        <family val="1"/>
      </rPr>
      <t>−2</t>
    </r>
    <r>
      <rPr>
        <sz val="11"/>
        <color theme="1"/>
        <rFont val="Times New Roman"/>
        <family val="1"/>
      </rPr>
      <t>)</t>
    </r>
    <phoneticPr fontId="14" type="noConversion"/>
  </si>
  <si>
    <r>
      <t>BD (g cm</t>
    </r>
    <r>
      <rPr>
        <vertAlign val="superscript"/>
        <sz val="11"/>
        <color theme="1"/>
        <rFont val="Times New Roman"/>
        <family val="1"/>
      </rPr>
      <t>−3</t>
    </r>
    <r>
      <rPr>
        <sz val="11"/>
        <color theme="1"/>
        <rFont val="Times New Roman"/>
        <family val="1"/>
      </rPr>
      <t>)</t>
    </r>
    <phoneticPr fontId="14" type="noConversion"/>
  </si>
  <si>
    <r>
      <t xml:space="preserve">Predicted </t>
    </r>
    <r>
      <rPr>
        <i/>
        <sz val="11"/>
        <color theme="1"/>
        <rFont val="Times New Roman"/>
        <family val="1"/>
      </rPr>
      <t>Ln</t>
    </r>
    <r>
      <rPr>
        <sz val="11"/>
        <color theme="1"/>
        <rFont val="Times New Roman"/>
        <family val="1"/>
      </rPr>
      <t>(</t>
    </r>
    <r>
      <rPr>
        <i/>
        <sz val="11"/>
        <color theme="1"/>
        <rFont val="Times New Roman"/>
        <family val="1"/>
      </rPr>
      <t>Q</t>
    </r>
    <r>
      <rPr>
        <vertAlign val="subscript"/>
        <sz val="11"/>
        <color theme="1"/>
        <rFont val="Times New Roman"/>
        <family val="1"/>
      </rPr>
      <t>10</t>
    </r>
    <r>
      <rPr>
        <sz val="11"/>
        <color theme="1"/>
        <rFont val="Times New Roman"/>
        <family val="1"/>
      </rPr>
      <t>)/10</t>
    </r>
    <phoneticPr fontId="14" type="noConversion"/>
  </si>
  <si>
    <r>
      <t xml:space="preserve">Predicted </t>
    </r>
    <r>
      <rPr>
        <i/>
        <sz val="11"/>
        <color theme="1"/>
        <rFont val="Times New Roman"/>
        <family val="1"/>
      </rPr>
      <t>R</t>
    </r>
    <r>
      <rPr>
        <vertAlign val="subscript"/>
        <sz val="11"/>
        <color theme="1"/>
        <rFont val="Times New Roman"/>
        <family val="1"/>
      </rPr>
      <t>0</t>
    </r>
    <r>
      <rPr>
        <sz val="11"/>
        <color theme="1"/>
        <rFont val="Times New Roman"/>
        <family val="1"/>
      </rPr>
      <t xml:space="preserve"> (µmol m</t>
    </r>
    <r>
      <rPr>
        <vertAlign val="superscript"/>
        <sz val="11"/>
        <color theme="1"/>
        <rFont val="Times New Roman"/>
        <family val="1"/>
      </rPr>
      <t>−2</t>
    </r>
    <r>
      <rPr>
        <sz val="11"/>
        <color theme="1"/>
        <rFont val="Times New Roman"/>
        <family val="1"/>
      </rPr>
      <t xml:space="preserve"> s</t>
    </r>
    <r>
      <rPr>
        <vertAlign val="superscript"/>
        <sz val="11"/>
        <color theme="1"/>
        <rFont val="Times New Roman"/>
        <family val="1"/>
      </rPr>
      <t>−1</t>
    </r>
    <r>
      <rPr>
        <sz val="11"/>
        <color theme="1"/>
        <rFont val="Times New Roman"/>
        <family val="1"/>
      </rPr>
      <t>)</t>
    </r>
    <phoneticPr fontId="14" type="noConversion"/>
  </si>
  <si>
    <r>
      <t xml:space="preserve">Measured </t>
    </r>
    <r>
      <rPr>
        <i/>
        <sz val="11"/>
        <color theme="1"/>
        <rFont val="Times New Roman"/>
        <family val="1"/>
      </rPr>
      <t>R</t>
    </r>
    <r>
      <rPr>
        <vertAlign val="subscript"/>
        <sz val="11"/>
        <color theme="1"/>
        <rFont val="Times New Roman"/>
        <family val="1"/>
      </rPr>
      <t>s</t>
    </r>
    <r>
      <rPr>
        <sz val="11"/>
        <color theme="1"/>
        <rFont val="Times New Roman"/>
        <family val="1"/>
      </rPr>
      <t xml:space="preserve"> (µmol m</t>
    </r>
    <r>
      <rPr>
        <vertAlign val="superscript"/>
        <sz val="11"/>
        <color theme="1"/>
        <rFont val="Times New Roman"/>
        <family val="1"/>
      </rPr>
      <t>−2</t>
    </r>
    <r>
      <rPr>
        <sz val="11"/>
        <color theme="1"/>
        <rFont val="Times New Roman"/>
        <family val="1"/>
      </rPr>
      <t xml:space="preserve"> s</t>
    </r>
    <r>
      <rPr>
        <vertAlign val="superscript"/>
        <sz val="11"/>
        <color theme="1"/>
        <rFont val="Times New Roman"/>
        <family val="1"/>
      </rPr>
      <t>−1</t>
    </r>
    <r>
      <rPr>
        <sz val="11"/>
        <color theme="1"/>
        <rFont val="Times New Roman"/>
        <family val="1"/>
      </rPr>
      <t>)</t>
    </r>
    <phoneticPr fontId="14" type="noConversion"/>
  </si>
  <si>
    <t>01/07/13‒30/06/14</t>
    <phoneticPr fontId="14" type="noConversion"/>
  </si>
  <si>
    <t>01/08/09‒31/07/10</t>
    <phoneticPr fontId="14" type="noConversion"/>
  </si>
  <si>
    <t>01/08/11‒31/07/12</t>
    <phoneticPr fontId="14" type="noConversion"/>
  </si>
  <si>
    <t>01/09/99‒31/08/00</t>
    <phoneticPr fontId="14" type="noConversion"/>
  </si>
  <si>
    <t>01/09/00‒31/08/01</t>
    <phoneticPr fontId="14" type="noConversion"/>
  </si>
  <si>
    <t>01/11/18‒31/10/19</t>
    <phoneticPr fontId="14" type="noConversion"/>
  </si>
  <si>
    <t>01/04/08‒30/09/09</t>
    <phoneticPr fontId="14" type="noConversion"/>
  </si>
  <si>
    <t>01/07/14‒30/06/15</t>
    <phoneticPr fontId="14" type="noConversion"/>
  </si>
  <si>
    <t>01/07/15‒30/06/16</t>
    <phoneticPr fontId="14" type="noConversion"/>
  </si>
  <si>
    <t>01/10/12‒30/09/13</t>
    <phoneticPr fontId="14" type="noConversion"/>
  </si>
  <si>
    <t>01/10/13‒30/09/14</t>
    <phoneticPr fontId="14" type="noConversion"/>
  </si>
  <si>
    <t>01/10/14‒30/09/15</t>
    <phoneticPr fontId="14" type="noConversion"/>
  </si>
  <si>
    <t>01/10/15‒30/09/16</t>
    <phoneticPr fontId="14" type="noConversion"/>
  </si>
  <si>
    <t>01/02/11‒31/01/12</t>
    <phoneticPr fontId="14" type="noConversion"/>
  </si>
  <si>
    <t>01/02/12‒31/01/13</t>
    <phoneticPr fontId="14" type="noConversion"/>
  </si>
  <si>
    <t>01/02/13‒31/01/14</t>
    <phoneticPr fontId="14" type="noConversion"/>
  </si>
  <si>
    <t>01/10/10‒30/09/11</t>
    <phoneticPr fontId="14" type="noConversion"/>
  </si>
  <si>
    <t>01/12/14‒30/11/15</t>
    <phoneticPr fontId="14" type="noConversion"/>
  </si>
  <si>
    <t>01/01/08‒31/12/08</t>
    <phoneticPr fontId="14" type="noConversion"/>
  </si>
  <si>
    <t>01/01/08‒31/12/08</t>
    <phoneticPr fontId="14" type="noConversion"/>
  </si>
  <si>
    <t>01/08/04‒31/07/07</t>
    <phoneticPr fontId="14" type="noConversion"/>
  </si>
  <si>
    <t>01/04/16‒31/03/17</t>
    <phoneticPr fontId="14" type="noConversion"/>
  </si>
  <si>
    <t>01/04/17‒31/03/18</t>
    <phoneticPr fontId="14" type="noConversion"/>
  </si>
  <si>
    <t>01/04/18‒31/03/19</t>
    <phoneticPr fontId="14" type="noConversion"/>
  </si>
  <si>
    <t>Period (dd/mm/yy‒dd/mm/yy)</t>
    <phoneticPr fontId="14" type="noConversion"/>
  </si>
  <si>
    <t>Date (dd/mm/yy)</t>
    <phoneticPr fontId="14" type="noConversion"/>
  </si>
  <si>
    <t xml:space="preserve">Yao X., Chen, S., Wang, J., Deng, X., Zhang, T., Hu, Z., 2020. Relationships between soil respiration and hyperspectrum in different croplands. J. Agro-Environ. Sci. 2020, 39 (5), 1140‒1149. https://doi.org/10.11654/jaes.2019-1097. (In Chinese with English abstract) </t>
    <phoneticPr fontId="14" type="noConversion"/>
  </si>
  <si>
    <r>
      <t>Lou, Y., Li, Z., Zhang, T., Liang, Y., 2004. CO</t>
    </r>
    <r>
      <rPr>
        <vertAlign val="subscript"/>
        <sz val="11"/>
        <color theme="1"/>
        <rFont val="Times New Roman"/>
        <family val="1"/>
      </rPr>
      <t>2</t>
    </r>
    <r>
      <rPr>
        <sz val="11"/>
        <color theme="1"/>
        <rFont val="Times New Roman"/>
        <family val="1"/>
      </rPr>
      <t xml:space="preserve"> emissions from subtropical arable soils of China. Soil Biol. Biochem. 36 (11), 1835‒1842. https://doi.org/10.1016/j.soilbio.2004.05.006.</t>
    </r>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</si>
</sst>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000"/>
    <numFmt numFmtId="177" formatCode="0.000_ "/>
    <numFmt numFmtId="178" formatCode="0.00_ "/>
    <numFmt numFmtId="179" formatCode="0.0;_蠀"/>
    <numFmt numFmtId="180" formatCode="0.000_);[Red]\(0.000\)"/>
    <numFmt numFmtId="181" formatCode="0.00_);[Red]\(0.00\)"/>
    <numFmt numFmtId="182" formatCode="dd/mm/yy"/>
  </numFmts>
  <fonts count="30"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color theme="1"/>
      <name val="Times New Roman"/>
      <family val="1"/>
    </font>
    <font>
      <i/>
      <sz val="11"/>
      <color theme="1"/>
      <name val="Times New Roman"/>
      <family val="1"/>
    </font>
    <font>
      <vertAlign val="subscript"/>
      <sz val="11"/>
      <color theme="1"/>
      <name val="Times New Roman"/>
      <family val="1"/>
    </font>
    <font>
      <vertAlign val="superscript"/>
      <sz val="11"/>
      <color theme="1"/>
      <name val="Times New Roman"/>
      <family val="1"/>
    </font>
    <font>
      <sz val="9"/>
      <name val="宋体"/>
      <family val="3"/>
      <charset val="134"/>
    </font>
    <font>
      <b/>
      <sz val="11"/>
      <color theme="1"/>
      <name val="Times New Roman"/>
      <family val="1"/>
    </font>
    <font>
      <sz val="12"/>
      <name val="宋体"/>
      <family val="3"/>
      <charset val="134"/>
    </font>
    <font>
      <sz val="12"/>
      <name val="宋体"/>
      <family val="3"/>
      <charset val="134"/>
    </font>
    <font>
      <u/>
      <sz val="12"/>
      <color indexed="12"/>
      <name val="宋体"/>
      <family val="3"/>
      <charset val="134"/>
    </font>
    <font>
      <b/>
      <sz val="11"/>
      <color rgb="FFFF0000"/>
      <name val="Times New Roman"/>
      <family val="1"/>
    </font>
    <font>
      <sz val="11"/>
      <name val="Times New Roman"/>
      <family val="1"/>
    </font>
    <font>
      <sz val="9"/>
      <color indexed="81"/>
      <name val="Times New Roman"/>
      <family val="1"/>
    </font>
    <font>
      <b/>
      <sz val="9"/>
      <color indexed="81"/>
      <name val="Times New Roman"/>
      <family val="1"/>
    </font>
  </fonts>
  <fills count="2">
    <fill>
      <patternFill patternType="none"/>
    </fill>
    <fill>
      <patternFill patternType="gray125"/>
    </fill>
  </fills>
  <borders count="3">
    <border>
      <left/>
      <right/>
      <top/>
      <bottom/>
      <diagonal/>
    </border>
    <border>
      <left/>
      <right/>
      <top style="thin">
        <color auto="1"/>
      </top>
      <bottom/>
      <diagonal/>
    </border>
    <border>
      <left/>
      <right/>
      <top/>
      <bottom style="thin">
        <color auto="1"/>
      </bottom>
      <diagonal/>
    </border>
  </borders>
  <cellStyleXfs count="17">
    <xf numFmtId="0" fontId="0" fillId="0" borderId="0"/>
    <xf numFmtId="0" fontId="13" fillId="0" borderId="0">
      <alignment vertical="center"/>
    </xf>
    <xf numFmtId="0" fontId="23" fillId="0" borderId="0">
      <alignment vertical="center"/>
    </xf>
    <xf numFmtId="0" fontId="24" fillId="0" borderId="0">
      <alignment vertical="center"/>
    </xf>
    <xf numFmtId="0" fontId="25" fillId="0" borderId="0" applyNumberFormat="0" applyFill="0" applyBorder="0" applyAlignment="0" applyProtection="0">
      <alignment vertical="top"/>
      <protection locked="0"/>
    </xf>
    <xf numFmtId="0" fontId="12" fillId="0" borderId="0">
      <alignment vertical="center"/>
    </xf>
    <xf numFmtId="0" fontId="11" fillId="0" borderId="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162">
    <xf numFmtId="0" fontId="0" fillId="0" borderId="0" xfId="0"/>
    <xf numFmtId="0" fontId="17" fillId="0" borderId="0" xfId="0" applyFont="1" applyAlignment="1">
      <alignment horizontal="left"/>
    </xf>
    <xf numFmtId="14" fontId="17" fillId="0" borderId="0" xfId="0" applyNumberFormat="1" applyFont="1" applyAlignment="1">
      <alignment horizontal="left"/>
    </xf>
    <xf numFmtId="176" fontId="17" fillId="0" borderId="0" xfId="0" applyNumberFormat="1" applyFont="1" applyAlignment="1">
      <alignment horizontal="left"/>
    </xf>
    <xf numFmtId="176" fontId="17" fillId="0" borderId="0" xfId="0" applyNumberFormat="1" applyFont="1" applyAlignment="1">
      <alignment horizontal="left" vertical="center"/>
    </xf>
    <xf numFmtId="180" fontId="17" fillId="0" borderId="0" xfId="0" applyNumberFormat="1" applyFont="1" applyAlignment="1">
      <alignment horizontal="left"/>
    </xf>
    <xf numFmtId="0" fontId="17" fillId="0" borderId="1" xfId="0" applyFont="1" applyBorder="1" applyAlignment="1">
      <alignment horizontal="left"/>
    </xf>
    <xf numFmtId="176" fontId="17" fillId="0" borderId="1" xfId="0" applyNumberFormat="1" applyFont="1" applyBorder="1" applyAlignment="1">
      <alignment horizontal="left" vertical="center"/>
    </xf>
    <xf numFmtId="0" fontId="17" fillId="0" borderId="0" xfId="0" applyFont="1" applyBorder="1" applyAlignment="1">
      <alignment horizontal="left"/>
    </xf>
    <xf numFmtId="176" fontId="17" fillId="0" borderId="0" xfId="0" applyNumberFormat="1" applyFont="1" applyBorder="1" applyAlignment="1">
      <alignment horizontal="left"/>
    </xf>
    <xf numFmtId="180" fontId="17" fillId="0" borderId="1" xfId="0" applyNumberFormat="1" applyFont="1" applyBorder="1" applyAlignment="1">
      <alignment horizontal="left"/>
    </xf>
    <xf numFmtId="176" fontId="17" fillId="0" borderId="1" xfId="0" applyNumberFormat="1" applyFont="1" applyBorder="1" applyAlignment="1">
      <alignment horizontal="left"/>
    </xf>
    <xf numFmtId="177" fontId="17" fillId="0" borderId="0" xfId="0" applyNumberFormat="1" applyFont="1" applyAlignment="1">
      <alignment horizontal="left"/>
    </xf>
    <xf numFmtId="177" fontId="17" fillId="0" borderId="1" xfId="0" applyNumberFormat="1" applyFont="1" applyBorder="1" applyAlignment="1">
      <alignment horizontal="left"/>
    </xf>
    <xf numFmtId="2" fontId="17" fillId="0" borderId="1" xfId="0" applyNumberFormat="1" applyFont="1" applyBorder="1" applyAlignment="1">
      <alignment horizontal="left"/>
    </xf>
    <xf numFmtId="177" fontId="17" fillId="0" borderId="0" xfId="0" applyNumberFormat="1" applyFont="1" applyBorder="1" applyAlignment="1">
      <alignment horizontal="left"/>
    </xf>
    <xf numFmtId="177" fontId="17" fillId="0" borderId="1" xfId="1" applyNumberFormat="1" applyFont="1" applyBorder="1" applyAlignment="1" applyProtection="1">
      <alignment horizontal="left" vertical="center"/>
      <protection locked="0"/>
    </xf>
    <xf numFmtId="181" fontId="17" fillId="0" borderId="0" xfId="0" applyNumberFormat="1" applyFont="1" applyAlignment="1">
      <alignment horizontal="left"/>
    </xf>
    <xf numFmtId="176" fontId="17" fillId="0" borderId="0" xfId="0" applyNumberFormat="1" applyFont="1" applyBorder="1" applyAlignment="1">
      <alignment horizontal="left" vertical="center"/>
    </xf>
    <xf numFmtId="178" fontId="17" fillId="0" borderId="0" xfId="0" applyNumberFormat="1" applyFont="1" applyAlignment="1">
      <alignment horizontal="left"/>
    </xf>
    <xf numFmtId="177" fontId="17" fillId="0" borderId="0" xfId="1" applyNumberFormat="1" applyFont="1" applyBorder="1" applyAlignment="1" applyProtection="1">
      <alignment horizontal="left" vertical="center"/>
      <protection locked="0"/>
    </xf>
    <xf numFmtId="181" fontId="17" fillId="0" borderId="0" xfId="0" applyNumberFormat="1" applyFont="1" applyBorder="1" applyAlignment="1">
      <alignment horizontal="left"/>
    </xf>
    <xf numFmtId="180" fontId="17" fillId="0" borderId="0" xfId="0" applyNumberFormat="1" applyFont="1" applyBorder="1" applyAlignment="1">
      <alignment horizontal="left"/>
    </xf>
    <xf numFmtId="177" fontId="17" fillId="0" borderId="0" xfId="1" applyNumberFormat="1" applyFont="1" applyFill="1" applyBorder="1" applyAlignment="1" applyProtection="1">
      <alignment horizontal="left" vertical="center"/>
      <protection locked="0"/>
    </xf>
    <xf numFmtId="177" fontId="17" fillId="0" borderId="0" xfId="5" applyNumberFormat="1" applyFont="1" applyAlignment="1" applyProtection="1">
      <alignment horizontal="left" vertical="center"/>
      <protection locked="0"/>
    </xf>
    <xf numFmtId="178" fontId="17" fillId="0" borderId="1" xfId="0" applyNumberFormat="1" applyFont="1" applyBorder="1" applyAlignment="1">
      <alignment horizontal="left"/>
    </xf>
    <xf numFmtId="178" fontId="17" fillId="0" borderId="0" xfId="0" applyNumberFormat="1" applyFont="1" applyBorder="1" applyAlignment="1">
      <alignment horizontal="left"/>
    </xf>
    <xf numFmtId="181" fontId="17" fillId="0" borderId="1" xfId="0" applyNumberFormat="1" applyFont="1" applyBorder="1" applyAlignment="1">
      <alignment horizontal="left"/>
    </xf>
    <xf numFmtId="178" fontId="17" fillId="0" borderId="1" xfId="13" applyNumberFormat="1" applyFont="1" applyBorder="1" applyAlignment="1" applyProtection="1">
      <alignment horizontal="left" vertical="center"/>
      <protection locked="0"/>
    </xf>
    <xf numFmtId="178" fontId="17" fillId="0" borderId="0" xfId="13" applyNumberFormat="1" applyFont="1" applyAlignment="1" applyProtection="1">
      <alignment horizontal="left" vertical="center"/>
      <protection locked="0"/>
    </xf>
    <xf numFmtId="178" fontId="17" fillId="0" borderId="0" xfId="14" applyNumberFormat="1" applyFont="1" applyBorder="1" applyAlignment="1" applyProtection="1">
      <alignment horizontal="left" vertical="center"/>
      <protection locked="0"/>
    </xf>
    <xf numFmtId="0" fontId="17" fillId="0" borderId="1" xfId="0" applyFont="1" applyFill="1" applyBorder="1" applyAlignment="1">
      <alignment horizontal="left"/>
    </xf>
    <xf numFmtId="2" fontId="17" fillId="0" borderId="0" xfId="0" applyNumberFormat="1" applyFont="1" applyBorder="1" applyAlignment="1">
      <alignment horizontal="left"/>
    </xf>
    <xf numFmtId="0" fontId="27" fillId="0" borderId="1" xfId="0" applyFont="1" applyFill="1" applyBorder="1" applyAlignment="1">
      <alignment horizontal="left" vertical="center"/>
    </xf>
    <xf numFmtId="0" fontId="27" fillId="0" borderId="0" xfId="0" applyFont="1" applyFill="1" applyBorder="1" applyAlignment="1">
      <alignment horizontal="left" vertical="center"/>
    </xf>
    <xf numFmtId="179" fontId="27" fillId="0" borderId="1" xfId="0" applyNumberFormat="1" applyFont="1" applyFill="1" applyBorder="1" applyAlignment="1">
      <alignment horizontal="left" vertical="center"/>
    </xf>
    <xf numFmtId="0" fontId="17" fillId="0" borderId="2" xfId="0" applyFont="1" applyBorder="1" applyAlignment="1">
      <alignment horizontal="left"/>
    </xf>
    <xf numFmtId="178" fontId="17" fillId="0" borderId="0" xfId="13" applyNumberFormat="1" applyFont="1" applyBorder="1" applyAlignment="1" applyProtection="1">
      <alignment horizontal="left" vertical="center"/>
      <protection locked="0"/>
    </xf>
    <xf numFmtId="178" fontId="17" fillId="0" borderId="2" xfId="13" applyNumberFormat="1" applyFont="1" applyBorder="1" applyAlignment="1" applyProtection="1">
      <alignment horizontal="left" vertical="center"/>
      <protection locked="0"/>
    </xf>
    <xf numFmtId="178" fontId="17" fillId="0" borderId="2" xfId="0" applyNumberFormat="1" applyFont="1" applyBorder="1" applyAlignment="1">
      <alignment horizontal="left"/>
    </xf>
    <xf numFmtId="2" fontId="17" fillId="0" borderId="0" xfId="0" applyNumberFormat="1" applyFont="1" applyAlignment="1">
      <alignment horizontal="left"/>
    </xf>
    <xf numFmtId="2" fontId="27" fillId="0" borderId="1" xfId="0" applyNumberFormat="1" applyFont="1" applyFill="1" applyBorder="1" applyAlignment="1">
      <alignment horizontal="left" vertical="center"/>
    </xf>
    <xf numFmtId="2" fontId="27" fillId="0" borderId="0" xfId="0" applyNumberFormat="1" applyFont="1" applyFill="1" applyBorder="1" applyAlignment="1">
      <alignment horizontal="left" vertical="center"/>
    </xf>
    <xf numFmtId="2" fontId="17" fillId="0" borderId="2" xfId="0" applyNumberFormat="1" applyFont="1" applyBorder="1" applyAlignment="1">
      <alignment horizontal="left"/>
    </xf>
    <xf numFmtId="176" fontId="27" fillId="0" borderId="1" xfId="0" applyNumberFormat="1" applyFont="1" applyFill="1" applyBorder="1" applyAlignment="1">
      <alignment horizontal="left" vertical="center"/>
    </xf>
    <xf numFmtId="176" fontId="27" fillId="0" borderId="0" xfId="0" applyNumberFormat="1" applyFont="1" applyFill="1" applyBorder="1" applyAlignment="1">
      <alignment horizontal="left" vertical="center"/>
    </xf>
    <xf numFmtId="176" fontId="17" fillId="0" borderId="2" xfId="0" applyNumberFormat="1" applyFont="1" applyBorder="1" applyAlignment="1">
      <alignment horizontal="left"/>
    </xf>
    <xf numFmtId="176" fontId="27" fillId="0" borderId="1" xfId="0" applyNumberFormat="1" applyFont="1" applyFill="1" applyBorder="1" applyAlignment="1">
      <alignment horizontal="left"/>
    </xf>
    <xf numFmtId="178" fontId="17" fillId="0" borderId="0" xfId="10" applyNumberFormat="1" applyFont="1" applyAlignment="1" applyProtection="1">
      <alignment horizontal="left" vertical="center"/>
      <protection locked="0"/>
    </xf>
    <xf numFmtId="178" fontId="17" fillId="0" borderId="1" xfId="10" applyNumberFormat="1" applyFont="1" applyBorder="1" applyAlignment="1" applyProtection="1">
      <alignment horizontal="left" vertical="center"/>
      <protection locked="0"/>
    </xf>
    <xf numFmtId="178" fontId="17" fillId="0" borderId="1" xfId="15" applyNumberFormat="1" applyFont="1" applyBorder="1" applyAlignment="1" applyProtection="1">
      <alignment horizontal="left" vertical="center"/>
      <protection locked="0"/>
    </xf>
    <xf numFmtId="178" fontId="17" fillId="0" borderId="0" xfId="15" applyNumberFormat="1" applyFont="1" applyBorder="1" applyAlignment="1" applyProtection="1">
      <alignment horizontal="left" vertical="center"/>
      <protection locked="0"/>
    </xf>
    <xf numFmtId="178" fontId="17" fillId="0" borderId="1" xfId="6" applyNumberFormat="1" applyFont="1" applyBorder="1" applyAlignment="1" applyProtection="1">
      <alignment horizontal="left" vertical="center"/>
      <protection locked="0"/>
    </xf>
    <xf numFmtId="178" fontId="17" fillId="0" borderId="0" xfId="6" applyNumberFormat="1" applyFont="1" applyBorder="1" applyAlignment="1" applyProtection="1">
      <alignment horizontal="left" vertical="center"/>
      <protection locked="0"/>
    </xf>
    <xf numFmtId="178" fontId="17" fillId="0" borderId="0" xfId="12" applyNumberFormat="1" applyFont="1" applyBorder="1" applyAlignment="1" applyProtection="1">
      <alignment horizontal="left" vertical="center"/>
      <protection locked="0"/>
    </xf>
    <xf numFmtId="178" fontId="17" fillId="0" borderId="0" xfId="9" applyNumberFormat="1" applyFont="1" applyAlignment="1" applyProtection="1">
      <alignment horizontal="left" vertical="center"/>
      <protection locked="0"/>
    </xf>
    <xf numFmtId="177" fontId="17" fillId="0" borderId="0" xfId="8" applyNumberFormat="1" applyFont="1" applyAlignment="1" applyProtection="1">
      <alignment horizontal="left" vertical="center"/>
      <protection locked="0"/>
    </xf>
    <xf numFmtId="178" fontId="17" fillId="0" borderId="0" xfId="8" applyNumberFormat="1" applyFont="1" applyAlignment="1" applyProtection="1">
      <alignment horizontal="left" vertical="center"/>
      <protection locked="0"/>
    </xf>
    <xf numFmtId="177" fontId="17" fillId="0" borderId="1" xfId="8" applyNumberFormat="1" applyFont="1" applyBorder="1" applyAlignment="1" applyProtection="1">
      <alignment horizontal="left" vertical="center"/>
      <protection locked="0"/>
    </xf>
    <xf numFmtId="178" fontId="17" fillId="0" borderId="1" xfId="8" applyNumberFormat="1" applyFont="1" applyBorder="1" applyAlignment="1" applyProtection="1">
      <alignment horizontal="left" vertical="center"/>
      <protection locked="0"/>
    </xf>
    <xf numFmtId="177" fontId="17" fillId="0" borderId="0" xfId="7" applyNumberFormat="1" applyFont="1" applyBorder="1" applyAlignment="1" applyProtection="1">
      <alignment horizontal="left" vertical="center"/>
      <protection locked="0"/>
    </xf>
    <xf numFmtId="178" fontId="17" fillId="0" borderId="1" xfId="14" applyNumberFormat="1" applyFont="1" applyBorder="1" applyAlignment="1" applyProtection="1">
      <alignment horizontal="left" vertical="center"/>
      <protection locked="0"/>
    </xf>
    <xf numFmtId="178" fontId="17" fillId="0" borderId="2" xfId="14" applyNumberFormat="1" applyFont="1" applyBorder="1" applyAlignment="1" applyProtection="1">
      <alignment horizontal="left" vertical="center"/>
      <protection locked="0"/>
    </xf>
    <xf numFmtId="178" fontId="17" fillId="0" borderId="0" xfId="7" applyNumberFormat="1" applyFont="1" applyBorder="1" applyAlignment="1" applyProtection="1">
      <alignment horizontal="left" vertical="center"/>
      <protection locked="0"/>
    </xf>
    <xf numFmtId="178" fontId="17" fillId="0" borderId="1" xfId="7" applyNumberFormat="1" applyFont="1" applyBorder="1" applyAlignment="1" applyProtection="1">
      <alignment horizontal="left" vertical="center"/>
      <protection locked="0"/>
    </xf>
    <xf numFmtId="178" fontId="17" fillId="0" borderId="1" xfId="5" applyNumberFormat="1" applyFont="1" applyBorder="1" applyAlignment="1" applyProtection="1">
      <alignment horizontal="left" vertical="center"/>
      <protection locked="0"/>
    </xf>
    <xf numFmtId="177" fontId="17" fillId="0" borderId="1" xfId="5" applyNumberFormat="1" applyFont="1" applyBorder="1" applyAlignment="1" applyProtection="1">
      <alignment horizontal="left" vertical="center"/>
      <protection locked="0"/>
    </xf>
    <xf numFmtId="178" fontId="17" fillId="0" borderId="0" xfId="5" applyNumberFormat="1" applyFont="1" applyBorder="1" applyAlignment="1" applyProtection="1">
      <alignment horizontal="left" vertical="center"/>
      <protection locked="0"/>
    </xf>
    <xf numFmtId="177" fontId="17" fillId="0" borderId="0" xfId="5" applyNumberFormat="1" applyFont="1" applyBorder="1" applyAlignment="1" applyProtection="1">
      <alignment horizontal="left" vertical="center"/>
      <protection locked="0"/>
    </xf>
    <xf numFmtId="178" fontId="17" fillId="0" borderId="0" xfId="5" applyNumberFormat="1" applyFont="1" applyFill="1" applyAlignment="1" applyProtection="1">
      <alignment horizontal="left" vertical="center"/>
      <protection locked="0"/>
    </xf>
    <xf numFmtId="0" fontId="27" fillId="0" borderId="1" xfId="0" applyFont="1" applyBorder="1" applyAlignment="1">
      <alignment horizontal="left" vertical="center"/>
    </xf>
    <xf numFmtId="178" fontId="17" fillId="0" borderId="1" xfId="16" applyNumberFormat="1" applyFont="1" applyBorder="1" applyAlignment="1" applyProtection="1">
      <alignment horizontal="left" vertical="center"/>
      <protection locked="0"/>
    </xf>
    <xf numFmtId="178" fontId="17" fillId="0" borderId="0" xfId="16" applyNumberFormat="1" applyFont="1" applyBorder="1" applyAlignment="1" applyProtection="1">
      <alignment horizontal="left" vertical="center"/>
      <protection locked="0"/>
    </xf>
    <xf numFmtId="178" fontId="17" fillId="0" borderId="0" xfId="16" applyNumberFormat="1" applyFont="1" applyAlignment="1" applyProtection="1">
      <alignment horizontal="left" vertical="center"/>
      <protection locked="0"/>
    </xf>
    <xf numFmtId="178" fontId="17" fillId="0" borderId="1" xfId="9" applyNumberFormat="1" applyFont="1" applyBorder="1" applyAlignment="1" applyProtection="1">
      <alignment horizontal="left" vertical="center"/>
      <protection locked="0"/>
    </xf>
    <xf numFmtId="178" fontId="17" fillId="0" borderId="2" xfId="15" applyNumberFormat="1" applyFont="1" applyBorder="1" applyAlignment="1" applyProtection="1">
      <alignment horizontal="left" vertical="center"/>
      <protection locked="0"/>
    </xf>
    <xf numFmtId="178" fontId="17" fillId="0" borderId="0" xfId="1" applyNumberFormat="1" applyFont="1" applyBorder="1" applyAlignment="1" applyProtection="1">
      <alignment horizontal="left" vertical="center"/>
      <protection locked="0"/>
    </xf>
    <xf numFmtId="178" fontId="17" fillId="0" borderId="1" xfId="1" applyNumberFormat="1" applyFont="1" applyBorder="1" applyAlignment="1" applyProtection="1">
      <alignment horizontal="left" vertical="center"/>
      <protection locked="0"/>
    </xf>
    <xf numFmtId="178" fontId="17" fillId="0" borderId="0" xfId="1" applyNumberFormat="1" applyFont="1" applyAlignment="1" applyProtection="1">
      <alignment horizontal="left" vertical="center"/>
      <protection locked="0"/>
    </xf>
    <xf numFmtId="178" fontId="17" fillId="0" borderId="0" xfId="15" applyNumberFormat="1" applyFont="1" applyAlignment="1" applyProtection="1">
      <alignment horizontal="left" vertical="center"/>
      <protection locked="0"/>
    </xf>
    <xf numFmtId="176" fontId="27" fillId="0" borderId="0" xfId="0" applyNumberFormat="1" applyFont="1" applyFill="1" applyAlignment="1">
      <alignment horizontal="left" vertical="center"/>
    </xf>
    <xf numFmtId="14" fontId="27" fillId="0" borderId="0" xfId="0" applyNumberFormat="1" applyFont="1" applyAlignment="1">
      <alignment horizontal="left" vertical="center"/>
    </xf>
    <xf numFmtId="0" fontId="17" fillId="0" borderId="0" xfId="0" applyFont="1" applyAlignment="1">
      <alignment horizontal="left" vertical="center"/>
    </xf>
    <xf numFmtId="176" fontId="27" fillId="0" borderId="0" xfId="0" applyNumberFormat="1" applyFont="1" applyFill="1" applyAlignment="1">
      <alignment horizontal="left"/>
    </xf>
    <xf numFmtId="14" fontId="17" fillId="0" borderId="0" xfId="0" applyNumberFormat="1" applyFont="1" applyAlignment="1">
      <alignment horizontal="left" vertical="center"/>
    </xf>
    <xf numFmtId="176" fontId="26" fillId="0" borderId="0" xfId="0" applyNumberFormat="1" applyFont="1" applyAlignment="1">
      <alignment horizontal="left" vertical="center"/>
    </xf>
    <xf numFmtId="176" fontId="27" fillId="0" borderId="1" xfId="0" applyNumberFormat="1" applyFont="1" applyBorder="1" applyAlignment="1">
      <alignment horizontal="left" vertical="center"/>
    </xf>
    <xf numFmtId="176" fontId="27" fillId="0" borderId="0" xfId="0" applyNumberFormat="1" applyFont="1" applyAlignment="1">
      <alignment horizontal="left" vertical="center"/>
    </xf>
    <xf numFmtId="176" fontId="27" fillId="0" borderId="0" xfId="0" applyNumberFormat="1" applyFont="1" applyBorder="1" applyAlignment="1">
      <alignment horizontal="left" vertical="center"/>
    </xf>
    <xf numFmtId="176" fontId="27" fillId="0" borderId="0" xfId="0" applyNumberFormat="1" applyFont="1" applyBorder="1" applyAlignment="1">
      <alignment horizontal="left"/>
    </xf>
    <xf numFmtId="176" fontId="22" fillId="0" borderId="0" xfId="0" applyNumberFormat="1" applyFont="1" applyBorder="1" applyAlignment="1">
      <alignment horizontal="left" vertical="center"/>
    </xf>
    <xf numFmtId="178" fontId="17" fillId="0" borderId="2" xfId="16" applyNumberFormat="1" applyFont="1" applyBorder="1" applyAlignment="1" applyProtection="1">
      <alignment horizontal="left" vertical="center"/>
      <protection locked="0"/>
    </xf>
    <xf numFmtId="180" fontId="17" fillId="0" borderId="0" xfId="10" applyNumberFormat="1" applyFont="1" applyAlignment="1" applyProtection="1">
      <alignment horizontal="left" vertical="center"/>
      <protection locked="0"/>
    </xf>
    <xf numFmtId="180" fontId="17" fillId="0" borderId="1" xfId="10" applyNumberFormat="1" applyFont="1" applyBorder="1" applyAlignment="1" applyProtection="1">
      <alignment horizontal="left" vertical="center"/>
      <protection locked="0"/>
    </xf>
    <xf numFmtId="180" fontId="17" fillId="0" borderId="0" xfId="5" applyNumberFormat="1" applyFont="1" applyAlignment="1" applyProtection="1">
      <alignment horizontal="left" vertical="center"/>
      <protection locked="0"/>
    </xf>
    <xf numFmtId="180" fontId="17" fillId="0" borderId="1" xfId="15" applyNumberFormat="1" applyFont="1" applyBorder="1" applyAlignment="1" applyProtection="1">
      <alignment horizontal="left" vertical="center"/>
      <protection locked="0"/>
    </xf>
    <xf numFmtId="180" fontId="17" fillId="0" borderId="0" xfId="15" applyNumberFormat="1" applyFont="1" applyBorder="1" applyAlignment="1" applyProtection="1">
      <alignment horizontal="left" vertical="center"/>
      <protection locked="0"/>
    </xf>
    <xf numFmtId="180" fontId="17" fillId="0" borderId="0" xfId="13" applyNumberFormat="1" applyFont="1" applyBorder="1" applyAlignment="1" applyProtection="1">
      <alignment horizontal="left" vertical="center"/>
      <protection locked="0"/>
    </xf>
    <xf numFmtId="180" fontId="17" fillId="0" borderId="1" xfId="13" applyNumberFormat="1" applyFont="1" applyBorder="1" applyAlignment="1" applyProtection="1">
      <alignment horizontal="left" vertical="center"/>
      <protection locked="0"/>
    </xf>
    <xf numFmtId="180" fontId="17" fillId="0" borderId="0" xfId="12" applyNumberFormat="1" applyFont="1" applyBorder="1" applyAlignment="1" applyProtection="1">
      <alignment horizontal="left" vertical="center"/>
      <protection locked="0"/>
    </xf>
    <xf numFmtId="180" fontId="17" fillId="0" borderId="1" xfId="9" applyNumberFormat="1" applyFont="1" applyBorder="1" applyAlignment="1" applyProtection="1">
      <alignment horizontal="left" vertical="center"/>
      <protection locked="0"/>
    </xf>
    <xf numFmtId="180" fontId="17" fillId="0" borderId="0" xfId="9" applyNumberFormat="1" applyFont="1" applyAlignment="1" applyProtection="1">
      <alignment horizontal="left" vertical="center"/>
      <protection locked="0"/>
    </xf>
    <xf numFmtId="180" fontId="17" fillId="0" borderId="0" xfId="8" applyNumberFormat="1" applyFont="1" applyAlignment="1" applyProtection="1">
      <alignment horizontal="left" vertical="center"/>
      <protection locked="0"/>
    </xf>
    <xf numFmtId="180" fontId="17" fillId="0" borderId="1" xfId="8" applyNumberFormat="1" applyFont="1" applyBorder="1" applyAlignment="1" applyProtection="1">
      <alignment horizontal="left" vertical="center"/>
      <protection locked="0"/>
    </xf>
    <xf numFmtId="180" fontId="17" fillId="0" borderId="0" xfId="7" applyNumberFormat="1" applyFont="1" applyBorder="1" applyAlignment="1" applyProtection="1">
      <alignment horizontal="left" vertical="center"/>
      <protection locked="0"/>
    </xf>
    <xf numFmtId="180" fontId="17" fillId="0" borderId="2" xfId="0" applyNumberFormat="1" applyFont="1" applyBorder="1" applyAlignment="1">
      <alignment horizontal="left"/>
    </xf>
    <xf numFmtId="180" fontId="17" fillId="0" borderId="1" xfId="1" applyNumberFormat="1" applyFont="1" applyBorder="1" applyAlignment="1" applyProtection="1">
      <alignment horizontal="left" vertical="center"/>
      <protection locked="0"/>
    </xf>
    <xf numFmtId="180" fontId="17" fillId="0" borderId="0" xfId="1" applyNumberFormat="1" applyFont="1" applyBorder="1" applyAlignment="1" applyProtection="1">
      <alignment horizontal="left" vertical="center"/>
      <protection locked="0"/>
    </xf>
    <xf numFmtId="180" fontId="17" fillId="0" borderId="1" xfId="14" applyNumberFormat="1" applyFont="1" applyBorder="1" applyAlignment="1" applyProtection="1">
      <alignment horizontal="left" vertical="center"/>
      <protection locked="0"/>
    </xf>
    <xf numFmtId="180" fontId="17" fillId="0" borderId="0" xfId="14" applyNumberFormat="1" applyFont="1" applyBorder="1" applyAlignment="1" applyProtection="1">
      <alignment horizontal="left" vertical="center"/>
      <protection locked="0"/>
    </xf>
    <xf numFmtId="180" fontId="17" fillId="0" borderId="2" xfId="15" applyNumberFormat="1" applyFont="1" applyFill="1" applyBorder="1" applyAlignment="1" applyProtection="1">
      <alignment horizontal="left" vertical="center"/>
      <protection locked="0"/>
    </xf>
    <xf numFmtId="180" fontId="17" fillId="0" borderId="2" xfId="15" applyNumberFormat="1" applyFont="1" applyBorder="1" applyAlignment="1" applyProtection="1">
      <alignment horizontal="left" vertical="center"/>
      <protection locked="0"/>
    </xf>
    <xf numFmtId="180" fontId="17" fillId="0" borderId="1" xfId="7" applyNumberFormat="1" applyFont="1" applyBorder="1" applyAlignment="1" applyProtection="1">
      <alignment horizontal="left" vertical="center"/>
      <protection locked="0"/>
    </xf>
    <xf numFmtId="180" fontId="17" fillId="0" borderId="0" xfId="15" applyNumberFormat="1" applyFont="1" applyAlignment="1" applyProtection="1">
      <alignment horizontal="left" vertical="center"/>
      <protection locked="0"/>
    </xf>
    <xf numFmtId="180" fontId="17" fillId="0" borderId="1" xfId="15" applyNumberFormat="1" applyFont="1" applyFill="1" applyBorder="1" applyAlignment="1" applyProtection="1">
      <alignment horizontal="left" vertical="center"/>
      <protection locked="0"/>
    </xf>
    <xf numFmtId="180" fontId="17" fillId="0" borderId="1" xfId="0" applyNumberFormat="1" applyFont="1" applyFill="1" applyBorder="1" applyAlignment="1">
      <alignment horizontal="left"/>
    </xf>
    <xf numFmtId="180" fontId="17" fillId="0" borderId="0" xfId="0" applyNumberFormat="1" applyFont="1" applyFill="1" applyBorder="1" applyAlignment="1">
      <alignment horizontal="left"/>
    </xf>
    <xf numFmtId="180" fontId="17" fillId="0" borderId="0" xfId="13" applyNumberFormat="1" applyFont="1" applyAlignment="1" applyProtection="1">
      <alignment horizontal="left" vertical="center"/>
      <protection locked="0"/>
    </xf>
    <xf numFmtId="180" fontId="17" fillId="0" borderId="0" xfId="16" applyNumberFormat="1" applyFont="1" applyBorder="1" applyAlignment="1" applyProtection="1">
      <alignment horizontal="left" vertical="center"/>
      <protection locked="0"/>
    </xf>
    <xf numFmtId="180" fontId="17" fillId="0" borderId="0" xfId="5" applyNumberFormat="1" applyFont="1" applyBorder="1" applyAlignment="1" applyProtection="1">
      <alignment horizontal="left" vertical="center"/>
      <protection locked="0"/>
    </xf>
    <xf numFmtId="177" fontId="17" fillId="0" borderId="0" xfId="10" applyNumberFormat="1" applyFont="1" applyAlignment="1" applyProtection="1">
      <alignment horizontal="left" vertical="center"/>
      <protection locked="0"/>
    </xf>
    <xf numFmtId="177" fontId="17" fillId="0" borderId="1" xfId="10" applyNumberFormat="1" applyFont="1" applyBorder="1" applyAlignment="1" applyProtection="1">
      <alignment horizontal="left" vertical="center"/>
      <protection locked="0"/>
    </xf>
    <xf numFmtId="177" fontId="17" fillId="0" borderId="1" xfId="15" applyNumberFormat="1" applyFont="1" applyBorder="1" applyAlignment="1" applyProtection="1">
      <alignment horizontal="left" vertical="center"/>
      <protection locked="0"/>
    </xf>
    <xf numFmtId="177" fontId="17" fillId="0" borderId="0" xfId="15" applyNumberFormat="1" applyFont="1" applyBorder="1" applyAlignment="1" applyProtection="1">
      <alignment horizontal="left" vertical="center"/>
      <protection locked="0"/>
    </xf>
    <xf numFmtId="177" fontId="17" fillId="0" borderId="0" xfId="13" applyNumberFormat="1" applyFont="1" applyBorder="1" applyAlignment="1" applyProtection="1">
      <alignment horizontal="left" vertical="center"/>
      <protection locked="0"/>
    </xf>
    <xf numFmtId="177" fontId="17" fillId="0" borderId="1" xfId="13" applyNumberFormat="1" applyFont="1" applyBorder="1" applyAlignment="1" applyProtection="1">
      <alignment horizontal="left" vertical="center"/>
      <protection locked="0"/>
    </xf>
    <xf numFmtId="177" fontId="17" fillId="0" borderId="1" xfId="16" applyNumberFormat="1" applyFont="1" applyBorder="1" applyAlignment="1" applyProtection="1">
      <alignment horizontal="left" vertical="center"/>
      <protection locked="0"/>
    </xf>
    <xf numFmtId="177" fontId="17" fillId="0" borderId="0" xfId="16" applyNumberFormat="1" applyFont="1" applyBorder="1" applyAlignment="1" applyProtection="1">
      <alignment horizontal="left" vertical="center"/>
      <protection locked="0"/>
    </xf>
    <xf numFmtId="177" fontId="17" fillId="0" borderId="0" xfId="16" applyNumberFormat="1" applyFont="1" applyAlignment="1" applyProtection="1">
      <alignment horizontal="left" vertical="center"/>
      <protection locked="0"/>
    </xf>
    <xf numFmtId="177" fontId="17" fillId="0" borderId="0" xfId="12" applyNumberFormat="1" applyFont="1" applyBorder="1" applyAlignment="1" applyProtection="1">
      <alignment horizontal="left" vertical="center"/>
      <protection locked="0"/>
    </xf>
    <xf numFmtId="177" fontId="17" fillId="0" borderId="0" xfId="9" applyNumberFormat="1" applyFont="1" applyAlignment="1" applyProtection="1">
      <alignment horizontal="left" vertical="center"/>
      <protection locked="0"/>
    </xf>
    <xf numFmtId="177" fontId="17" fillId="0" borderId="1" xfId="9" applyNumberFormat="1" applyFont="1" applyBorder="1" applyAlignment="1" applyProtection="1">
      <alignment horizontal="left" vertical="center"/>
      <protection locked="0"/>
    </xf>
    <xf numFmtId="177" fontId="17" fillId="0" borderId="2" xfId="15" applyNumberFormat="1" applyFont="1" applyBorder="1" applyAlignment="1" applyProtection="1">
      <alignment horizontal="left" vertical="center"/>
      <protection locked="0"/>
    </xf>
    <xf numFmtId="177" fontId="17" fillId="0" borderId="1" xfId="14" applyNumberFormat="1" applyFont="1" applyBorder="1" applyAlignment="1" applyProtection="1">
      <alignment horizontal="left" vertical="center"/>
      <protection locked="0"/>
    </xf>
    <xf numFmtId="177" fontId="17" fillId="0" borderId="0" xfId="14" applyNumberFormat="1" applyFont="1" applyBorder="1" applyAlignment="1" applyProtection="1">
      <alignment horizontal="left" vertical="center"/>
      <protection locked="0"/>
    </xf>
    <xf numFmtId="177" fontId="17" fillId="0" borderId="2" xfId="14" applyNumberFormat="1" applyFont="1" applyBorder="1" applyAlignment="1" applyProtection="1">
      <alignment horizontal="left" vertical="center"/>
      <protection locked="0"/>
    </xf>
    <xf numFmtId="177" fontId="17" fillId="0" borderId="2" xfId="0" applyNumberFormat="1" applyFont="1" applyBorder="1" applyAlignment="1">
      <alignment horizontal="left"/>
    </xf>
    <xf numFmtId="177" fontId="17" fillId="0" borderId="1" xfId="7" applyNumberFormat="1" applyFont="1" applyBorder="1" applyAlignment="1" applyProtection="1">
      <alignment horizontal="left" vertical="center"/>
      <protection locked="0"/>
    </xf>
    <xf numFmtId="177" fontId="17" fillId="0" borderId="0" xfId="15" applyNumberFormat="1" applyFont="1" applyAlignment="1" applyProtection="1">
      <alignment horizontal="left" vertical="center"/>
      <protection locked="0"/>
    </xf>
    <xf numFmtId="177" fontId="17" fillId="0" borderId="1" xfId="0" applyNumberFormat="1" applyFont="1" applyBorder="1" applyAlignment="1">
      <alignment horizontal="left" vertical="center"/>
    </xf>
    <xf numFmtId="177" fontId="17" fillId="0" borderId="0" xfId="0" applyNumberFormat="1" applyFont="1" applyAlignment="1">
      <alignment horizontal="left" vertical="center"/>
    </xf>
    <xf numFmtId="177" fontId="17" fillId="0" borderId="0" xfId="13" applyNumberFormat="1" applyFont="1" applyAlignment="1" applyProtection="1">
      <alignment horizontal="left" vertical="center"/>
      <protection locked="0"/>
    </xf>
    <xf numFmtId="177" fontId="17" fillId="0" borderId="2" xfId="13" applyNumberFormat="1" applyFont="1" applyBorder="1" applyAlignment="1" applyProtection="1">
      <alignment horizontal="left" vertical="center"/>
      <protection locked="0"/>
    </xf>
    <xf numFmtId="177" fontId="17" fillId="0" borderId="2" xfId="16" applyNumberFormat="1" applyFont="1" applyBorder="1" applyAlignment="1" applyProtection="1">
      <alignment horizontal="left" vertical="center"/>
      <protection locked="0"/>
    </xf>
    <xf numFmtId="177" fontId="17" fillId="0" borderId="0" xfId="1" applyNumberFormat="1" applyFont="1" applyAlignment="1" applyProtection="1">
      <alignment horizontal="left" vertical="center"/>
      <protection locked="0"/>
    </xf>
    <xf numFmtId="177" fontId="17" fillId="0" borderId="1" xfId="11" applyNumberFormat="1" applyFont="1" applyBorder="1" applyAlignment="1" applyProtection="1">
      <alignment horizontal="left" vertical="center"/>
      <protection locked="0"/>
    </xf>
    <xf numFmtId="178" fontId="17" fillId="0" borderId="1" xfId="0" applyNumberFormat="1" applyFont="1" applyBorder="1" applyAlignment="1">
      <alignment horizontal="left" vertical="center"/>
    </xf>
    <xf numFmtId="178" fontId="17" fillId="0" borderId="1" xfId="11" applyNumberFormat="1" applyFont="1" applyBorder="1" applyAlignment="1" applyProtection="1">
      <alignment horizontal="left" vertical="center"/>
      <protection locked="0"/>
    </xf>
    <xf numFmtId="177" fontId="17" fillId="0" borderId="0" xfId="11" applyNumberFormat="1" applyFont="1" applyBorder="1" applyAlignment="1" applyProtection="1">
      <alignment horizontal="left" vertical="center"/>
      <protection locked="0"/>
    </xf>
    <xf numFmtId="182" fontId="17" fillId="0" borderId="1" xfId="0" applyNumberFormat="1" applyFont="1" applyBorder="1" applyAlignment="1">
      <alignment horizontal="left"/>
    </xf>
    <xf numFmtId="182" fontId="17" fillId="0" borderId="0" xfId="0" applyNumberFormat="1" applyFont="1" applyAlignment="1">
      <alignment horizontal="left"/>
    </xf>
    <xf numFmtId="182" fontId="17" fillId="0" borderId="0" xfId="0" applyNumberFormat="1" applyFont="1" applyBorder="1" applyAlignment="1">
      <alignment horizontal="left"/>
    </xf>
    <xf numFmtId="182" fontId="17" fillId="0" borderId="2" xfId="0" applyNumberFormat="1" applyFont="1" applyBorder="1" applyAlignment="1">
      <alignment horizontal="left"/>
    </xf>
    <xf numFmtId="182" fontId="27" fillId="0" borderId="1" xfId="0" applyNumberFormat="1" applyFont="1" applyBorder="1" applyAlignment="1">
      <alignment horizontal="left" vertical="center"/>
    </xf>
    <xf numFmtId="182" fontId="27" fillId="0" borderId="0" xfId="0" applyNumberFormat="1" applyFont="1" applyAlignment="1">
      <alignment horizontal="left" vertical="center"/>
    </xf>
    <xf numFmtId="182" fontId="27" fillId="0" borderId="0" xfId="0" applyNumberFormat="1" applyFont="1" applyFill="1" applyAlignment="1">
      <alignment horizontal="left" vertical="center"/>
    </xf>
    <xf numFmtId="182" fontId="17" fillId="0" borderId="0" xfId="0" applyNumberFormat="1" applyFont="1" applyAlignment="1">
      <alignment horizontal="left" vertical="center"/>
    </xf>
    <xf numFmtId="182" fontId="17" fillId="0" borderId="0" xfId="0" applyNumberFormat="1" applyFont="1" applyFill="1" applyAlignment="1">
      <alignment horizontal="left" vertical="center"/>
    </xf>
    <xf numFmtId="182" fontId="17" fillId="0" borderId="1" xfId="0" applyNumberFormat="1" applyFont="1" applyBorder="1" applyAlignment="1">
      <alignment horizontal="left" vertical="center"/>
    </xf>
    <xf numFmtId="182" fontId="17" fillId="0" borderId="0" xfId="0" applyNumberFormat="1" applyFont="1" applyBorder="1" applyAlignment="1">
      <alignment horizontal="left" vertical="center"/>
    </xf>
    <xf numFmtId="182" fontId="17" fillId="0" borderId="0" xfId="0" applyNumberFormat="1" applyFont="1" applyFill="1" applyBorder="1" applyAlignment="1">
      <alignment horizontal="left" vertical="center"/>
    </xf>
    <xf numFmtId="182" fontId="27" fillId="0" borderId="0" xfId="0" applyNumberFormat="1" applyFont="1" applyBorder="1" applyAlignment="1">
      <alignment horizontal="left" vertical="center"/>
    </xf>
  </cellXfs>
  <cellStyles count="17">
    <cellStyle name="常规" xfId="0" builtinId="0"/>
    <cellStyle name="常规 10" xfId="10"/>
    <cellStyle name="常规 11" xfId="11"/>
    <cellStyle name="常规 12" xfId="12"/>
    <cellStyle name="常规 13" xfId="13"/>
    <cellStyle name="常规 14" xfId="14"/>
    <cellStyle name="常规 15" xfId="15"/>
    <cellStyle name="常规 16" xfId="16"/>
    <cellStyle name="常规 2" xfId="1"/>
    <cellStyle name="常规 3" xfId="2"/>
    <cellStyle name="常规 4" xfId="3"/>
    <cellStyle name="常规 5" xfId="5"/>
    <cellStyle name="常规 6" xfId="6"/>
    <cellStyle name="常规 7" xfId="7"/>
    <cellStyle name="常规 8" xfId="8"/>
    <cellStyle name="常规 9" xfId="9"/>
    <cellStyle name="超链接 2" xfId="4"/>
  </cellStyles>
  <dxfs count="0"/>
  <tableStyles count="0" defaultTableStyle="TableStyleMedium2" defaultPivotStyle="PivotStyleMedium9"/>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33"/>
  <sheetViews>
    <sheetView tabSelected="1" workbookViewId="0"/>
  </sheetViews>
  <sheetFormatPr defaultRowHeight="15" x14ac:dyDescent="0.25"/>
  <cols>
    <col min="1" max="1" width="12.125" style="1" customWidth="1"/>
    <col min="2" max="2" width="10.5" style="1" customWidth="1"/>
    <col min="3" max="3" width="9.625" style="1" customWidth="1"/>
    <col min="4" max="4" width="10.75" style="1" customWidth="1"/>
    <col min="5" max="5" width="22.75" style="1" customWidth="1"/>
    <col min="6" max="6" width="19.25" style="1" customWidth="1"/>
    <col min="7" max="7" width="9.5" style="1" bestFit="1" customWidth="1"/>
    <col min="8" max="8" width="9.125" style="1" customWidth="1"/>
    <col min="9" max="9" width="13.125" style="1" customWidth="1"/>
    <col min="10" max="10" width="14.125" style="1" customWidth="1"/>
    <col min="11" max="11" width="11.75" style="1" bestFit="1" customWidth="1"/>
    <col min="12" max="12" width="10.375" style="1" customWidth="1"/>
    <col min="13" max="13" width="11.75" style="1" customWidth="1"/>
    <col min="14" max="14" width="17.125" style="1" customWidth="1"/>
    <col min="15" max="15" width="21.125" style="1" customWidth="1"/>
    <col min="16" max="16" width="54.625" style="17" customWidth="1"/>
    <col min="17" max="17" width="14.375" style="1" customWidth="1"/>
    <col min="18" max="18" width="21.375" style="1" customWidth="1"/>
    <col min="19" max="19" width="16.5" style="1" customWidth="1"/>
    <col min="20" max="20" width="13" style="1" customWidth="1"/>
    <col min="21" max="22" width="6.875" style="1" customWidth="1"/>
    <col min="23" max="23" width="26.5" style="1" customWidth="1"/>
  </cols>
  <sheetData>
    <row r="1" spans="1:23" ht="18.75" x14ac:dyDescent="0.3">
      <c r="A1" s="1" t="s">
        <v>128</v>
      </c>
      <c r="B1" s="1" t="s">
        <v>1</v>
      </c>
      <c r="C1" s="1" t="s">
        <v>63</v>
      </c>
      <c r="D1" s="1" t="s">
        <v>64</v>
      </c>
      <c r="E1" s="1" t="s">
        <v>165</v>
      </c>
      <c r="F1" s="1" t="s">
        <v>32</v>
      </c>
      <c r="G1" s="1" t="s">
        <v>3</v>
      </c>
      <c r="H1" s="1" t="s">
        <v>4</v>
      </c>
      <c r="I1" s="1" t="s">
        <v>135</v>
      </c>
      <c r="J1" s="1" t="s">
        <v>136</v>
      </c>
      <c r="K1" s="1" t="s">
        <v>2</v>
      </c>
      <c r="L1" s="1" t="s">
        <v>137</v>
      </c>
      <c r="M1" s="1" t="s">
        <v>48</v>
      </c>
      <c r="N1" s="1" t="s">
        <v>138</v>
      </c>
      <c r="O1" s="1" t="s">
        <v>139</v>
      </c>
      <c r="P1" s="17" t="s">
        <v>62</v>
      </c>
      <c r="Q1" s="1" t="s">
        <v>166</v>
      </c>
      <c r="R1" s="1" t="s">
        <v>140</v>
      </c>
      <c r="S1" s="1" t="s">
        <v>61</v>
      </c>
      <c r="T1" s="1" t="s">
        <v>124</v>
      </c>
      <c r="U1" s="1" t="s">
        <v>0</v>
      </c>
      <c r="W1" s="1" t="s">
        <v>5</v>
      </c>
    </row>
    <row r="2" spans="1:23" x14ac:dyDescent="0.25">
      <c r="A2" s="6">
        <v>1</v>
      </c>
      <c r="B2" s="6" t="s">
        <v>72</v>
      </c>
      <c r="C2" s="33">
        <v>47.433</v>
      </c>
      <c r="D2" s="33">
        <v>126.633</v>
      </c>
      <c r="E2" s="33" t="s">
        <v>31</v>
      </c>
      <c r="F2" s="33" t="s">
        <v>33</v>
      </c>
      <c r="G2" s="11">
        <v>0.54400000000000004</v>
      </c>
      <c r="H2" s="11">
        <v>2</v>
      </c>
      <c r="I2" s="11">
        <v>5.7600000000000007</v>
      </c>
      <c r="J2" s="11">
        <v>0.39688000000000007</v>
      </c>
      <c r="K2" s="11">
        <f>I2/J2</f>
        <v>14.513202983269501</v>
      </c>
      <c r="L2" s="41">
        <v>1</v>
      </c>
      <c r="M2" s="7">
        <f>9.353*EXP(-0.023*H2-0.622*L2-0.182*J2-0.009*K2)*(I2/(I2+0.567))</f>
        <v>3.5642635159970504</v>
      </c>
      <c r="N2" s="7">
        <f>LN(M2)/10</f>
        <v>0.12709574451460409</v>
      </c>
      <c r="O2" s="11">
        <f>4.3573*EXP(-1.002*M2)</f>
        <v>0.12251283934040355</v>
      </c>
      <c r="P2" s="27"/>
      <c r="Q2" s="149">
        <v>40664</v>
      </c>
      <c r="R2" s="6"/>
      <c r="S2" s="6"/>
      <c r="T2" s="13"/>
      <c r="U2" s="13"/>
      <c r="V2" s="13"/>
      <c r="W2" s="13" t="s">
        <v>92</v>
      </c>
    </row>
    <row r="3" spans="1:23" x14ac:dyDescent="0.25">
      <c r="G3" s="3"/>
      <c r="H3" s="3"/>
      <c r="I3" s="3"/>
      <c r="J3" s="3"/>
      <c r="K3" s="3"/>
      <c r="L3" s="40"/>
      <c r="N3" s="18"/>
      <c r="O3" s="18"/>
      <c r="P3" s="92">
        <v>9.8241744257566432E-3</v>
      </c>
      <c r="Q3" s="150">
        <f t="shared" ref="Q3:Q38" si="0">Q2+(P3-P2)*365*3</f>
        <v>40674.757470996206</v>
      </c>
      <c r="R3" s="120">
        <v>0.52443082332369473</v>
      </c>
      <c r="S3" s="48">
        <v>11.02570684660237</v>
      </c>
      <c r="T3" s="12"/>
      <c r="U3" s="12">
        <v>1.6581363737290149</v>
      </c>
      <c r="V3" s="12"/>
      <c r="W3" s="12"/>
    </row>
    <row r="4" spans="1:23" x14ac:dyDescent="0.25">
      <c r="G4" s="3"/>
      <c r="H4" s="3"/>
      <c r="I4" s="3"/>
      <c r="J4" s="3"/>
      <c r="K4" s="3"/>
      <c r="L4" s="40"/>
      <c r="N4" s="9"/>
      <c r="O4" s="9"/>
      <c r="P4" s="92">
        <v>6.3424462873019574E-2</v>
      </c>
      <c r="Q4" s="150">
        <f t="shared" si="0"/>
        <v>40733.449786845958</v>
      </c>
      <c r="R4" s="120">
        <v>3.2777589250154948</v>
      </c>
      <c r="S4" s="48">
        <v>18.072994975980052</v>
      </c>
      <c r="T4" s="12"/>
      <c r="U4" s="12">
        <v>1.7290170860337917</v>
      </c>
      <c r="V4" s="12"/>
      <c r="W4" s="12"/>
    </row>
    <row r="5" spans="1:23" x14ac:dyDescent="0.25">
      <c r="G5" s="3"/>
      <c r="H5" s="3"/>
      <c r="I5" s="3"/>
      <c r="J5" s="3"/>
      <c r="K5" s="3"/>
      <c r="L5" s="40"/>
      <c r="M5" s="3"/>
      <c r="N5" s="3"/>
      <c r="O5" s="3"/>
      <c r="P5" s="92">
        <v>9.11408513436128E-2</v>
      </c>
      <c r="Q5" s="150">
        <f t="shared" si="0"/>
        <v>40763.799232221259</v>
      </c>
      <c r="R5" s="120">
        <v>4.5234257354344738</v>
      </c>
      <c r="S5" s="48">
        <v>24.207708386812865</v>
      </c>
      <c r="T5" s="12"/>
      <c r="U5" s="12">
        <v>5.1247686677217361</v>
      </c>
      <c r="V5" s="12"/>
      <c r="W5" s="12"/>
    </row>
    <row r="6" spans="1:23" x14ac:dyDescent="0.25">
      <c r="G6" s="3"/>
      <c r="H6" s="3"/>
      <c r="I6" s="3"/>
      <c r="J6" s="3"/>
      <c r="K6" s="3"/>
      <c r="L6" s="40"/>
      <c r="M6" s="3"/>
      <c r="N6" s="3"/>
      <c r="O6" s="3"/>
      <c r="P6" s="92">
        <v>0.11025896625591211</v>
      </c>
      <c r="Q6" s="150">
        <f t="shared" si="0"/>
        <v>40784.733568050229</v>
      </c>
      <c r="R6" s="120">
        <v>2.7224272460120513</v>
      </c>
      <c r="S6" s="48">
        <v>17.480564010414756</v>
      </c>
      <c r="T6" s="12"/>
      <c r="U6" s="12">
        <v>5.9660397489541763</v>
      </c>
      <c r="V6" s="12"/>
      <c r="W6" s="12"/>
    </row>
    <row r="7" spans="1:23" x14ac:dyDescent="0.25">
      <c r="G7" s="3"/>
      <c r="H7" s="3"/>
      <c r="I7" s="3"/>
      <c r="J7" s="3"/>
      <c r="K7" s="3"/>
      <c r="L7" s="40"/>
      <c r="M7" s="3"/>
      <c r="N7" s="3"/>
      <c r="O7" s="3"/>
      <c r="P7" s="92">
        <v>0.13568050223758724</v>
      </c>
      <c r="Q7" s="150">
        <f t="shared" si="0"/>
        <v>40812.570149950167</v>
      </c>
      <c r="R7" s="120">
        <v>0.85612160974310758</v>
      </c>
      <c r="S7" s="48">
        <v>8.6130771205398062</v>
      </c>
      <c r="T7" s="12"/>
      <c r="U7" s="12">
        <v>2.6846745304609603</v>
      </c>
      <c r="V7" s="12"/>
      <c r="W7" s="12"/>
    </row>
    <row r="8" spans="1:23" x14ac:dyDescent="0.25">
      <c r="G8" s="3"/>
      <c r="H8" s="3"/>
      <c r="I8" s="3"/>
      <c r="J8" s="3"/>
      <c r="K8" s="3"/>
      <c r="L8" s="40"/>
      <c r="M8" s="3"/>
      <c r="N8" s="3"/>
      <c r="O8" s="3"/>
      <c r="P8" s="92">
        <v>0.1681053680884006</v>
      </c>
      <c r="Q8" s="150">
        <f t="shared" si="0"/>
        <v>40848.075378056805</v>
      </c>
      <c r="R8" s="120">
        <v>0.4641019840175708</v>
      </c>
      <c r="S8" s="48">
        <v>2.1925996552862221</v>
      </c>
      <c r="T8" s="12"/>
      <c r="U8" s="12"/>
      <c r="V8" s="12"/>
      <c r="W8" s="12"/>
    </row>
    <row r="9" spans="1:23" x14ac:dyDescent="0.25">
      <c r="G9" s="3"/>
      <c r="H9" s="3"/>
      <c r="I9" s="3"/>
      <c r="J9" s="3"/>
      <c r="K9" s="3"/>
      <c r="L9" s="40"/>
      <c r="M9" s="3"/>
      <c r="N9" s="3"/>
      <c r="O9" s="3"/>
      <c r="P9" s="92">
        <v>0.2086237247873762</v>
      </c>
      <c r="Q9" s="150">
        <f t="shared" si="0"/>
        <v>40892.442978642182</v>
      </c>
      <c r="R9" s="120">
        <v>7.2347475261640995E-2</v>
      </c>
      <c r="S9" s="48">
        <v>-5.7559866515090397</v>
      </c>
      <c r="T9" s="12"/>
      <c r="U9" s="12">
        <v>1.0899379314748643</v>
      </c>
      <c r="V9" s="12"/>
      <c r="W9" s="12"/>
    </row>
    <row r="10" spans="1:23" x14ac:dyDescent="0.25">
      <c r="G10" s="3"/>
      <c r="H10" s="3"/>
      <c r="I10" s="3"/>
      <c r="J10" s="3"/>
      <c r="K10" s="3"/>
      <c r="L10" s="40"/>
      <c r="M10" s="3"/>
      <c r="N10" s="3"/>
      <c r="O10" s="3"/>
      <c r="P10" s="92">
        <v>0.23559778574306983</v>
      </c>
      <c r="Q10" s="150">
        <f t="shared" si="0"/>
        <v>40921.979575388665</v>
      </c>
      <c r="R10" s="120">
        <v>0.10598787296066135</v>
      </c>
      <c r="S10" s="48">
        <v>-8.1974953243609949</v>
      </c>
      <c r="T10" s="12"/>
      <c r="U10" s="12">
        <v>1.5886448385473777</v>
      </c>
      <c r="V10" s="12"/>
      <c r="W10" s="12"/>
    </row>
    <row r="11" spans="1:23" x14ac:dyDescent="0.25">
      <c r="G11" s="3"/>
      <c r="H11" s="3"/>
      <c r="I11" s="3"/>
      <c r="J11" s="3"/>
      <c r="K11" s="3"/>
      <c r="L11" s="40"/>
      <c r="M11" s="3"/>
      <c r="N11" s="3"/>
      <c r="O11" s="3"/>
      <c r="P11" s="92">
        <v>0.25178476743939426</v>
      </c>
      <c r="Q11" s="150">
        <f t="shared" si="0"/>
        <v>40939.704320346144</v>
      </c>
      <c r="R11" s="120">
        <v>0.10651810689987533</v>
      </c>
      <c r="S11" s="48">
        <v>-13.393230408155782</v>
      </c>
      <c r="T11" s="12"/>
      <c r="U11" s="12">
        <v>1.9916695532030944</v>
      </c>
      <c r="V11" s="12"/>
      <c r="W11" s="12"/>
    </row>
    <row r="12" spans="1:23" x14ac:dyDescent="0.25">
      <c r="G12" s="3"/>
      <c r="H12" s="3"/>
      <c r="I12" s="3"/>
      <c r="J12" s="3"/>
      <c r="K12" s="3"/>
      <c r="L12" s="40"/>
      <c r="M12" s="3"/>
      <c r="N12" s="3"/>
      <c r="O12" s="3"/>
      <c r="P12" s="92">
        <v>0.27696451674478778</v>
      </c>
      <c r="Q12" s="150">
        <f t="shared" si="0"/>
        <v>40967.276145835553</v>
      </c>
      <c r="R12" s="120">
        <v>0.10734291524976376</v>
      </c>
      <c r="S12" s="48">
        <v>-10.936594667937952</v>
      </c>
      <c r="T12" s="12"/>
      <c r="U12" s="12">
        <v>2.831118271928609</v>
      </c>
      <c r="V12" s="12"/>
      <c r="W12" s="12"/>
    </row>
    <row r="13" spans="1:23" x14ac:dyDescent="0.25">
      <c r="G13" s="3"/>
      <c r="H13" s="3"/>
      <c r="I13" s="3"/>
      <c r="J13" s="3"/>
      <c r="K13" s="3"/>
      <c r="L13" s="40"/>
      <c r="M13" s="3"/>
      <c r="N13" s="3"/>
      <c r="O13" s="3"/>
      <c r="P13" s="92">
        <v>0.30123650554624698</v>
      </c>
      <c r="Q13" s="150">
        <f t="shared" si="0"/>
        <v>40993.853973573154</v>
      </c>
      <c r="R13" s="120">
        <v>0.17365161509257881</v>
      </c>
      <c r="S13" s="48">
        <v>-3.2743224907404009</v>
      </c>
      <c r="T13" s="12"/>
      <c r="U13" s="12">
        <v>3.9736741629197878</v>
      </c>
      <c r="V13" s="12"/>
      <c r="W13" s="12"/>
    </row>
    <row r="14" spans="1:23" x14ac:dyDescent="0.25">
      <c r="A14" s="6"/>
      <c r="B14" s="6" t="s">
        <v>72</v>
      </c>
      <c r="C14" s="44">
        <v>47.433</v>
      </c>
      <c r="D14" s="44">
        <v>126.633</v>
      </c>
      <c r="E14" s="33" t="s">
        <v>8</v>
      </c>
      <c r="F14" s="33" t="s">
        <v>33</v>
      </c>
      <c r="G14" s="11">
        <v>0.69299999999999995</v>
      </c>
      <c r="H14" s="11">
        <v>1.2</v>
      </c>
      <c r="I14" s="11">
        <v>5.82</v>
      </c>
      <c r="J14" s="11">
        <v>0.39688000000000007</v>
      </c>
      <c r="K14" s="11">
        <f>I14/J14</f>
        <v>14.664382181011892</v>
      </c>
      <c r="L14" s="41">
        <v>1</v>
      </c>
      <c r="M14" s="7">
        <f>9.353*EXP(-0.023*H14-0.622*L14-0.182*J14-0.009*K14)*(I14/(I14+0.567))</f>
        <v>3.628869382869178</v>
      </c>
      <c r="N14" s="7">
        <f>LN(M14)/10</f>
        <v>0.12889211349872015</v>
      </c>
      <c r="O14" s="11">
        <f>4.3573*EXP(-1.002*M14)</f>
        <v>0.1148332133375112</v>
      </c>
      <c r="P14" s="93">
        <v>0.33537508748859995</v>
      </c>
      <c r="Q14" s="149">
        <f t="shared" si="0"/>
        <v>41031.235720800032</v>
      </c>
      <c r="R14" s="121">
        <v>0.43682439358911818</v>
      </c>
      <c r="S14" s="49">
        <v>8.6741354651802407</v>
      </c>
      <c r="T14" s="13"/>
      <c r="U14" s="13">
        <v>2.5685859636656936</v>
      </c>
      <c r="V14" s="13"/>
      <c r="W14" s="13"/>
    </row>
    <row r="15" spans="1:23" x14ac:dyDescent="0.25">
      <c r="C15" s="3"/>
      <c r="D15" s="3"/>
      <c r="G15" s="3"/>
      <c r="H15" s="3"/>
      <c r="I15" s="3"/>
      <c r="J15" s="3"/>
      <c r="K15" s="3"/>
      <c r="L15" s="40"/>
      <c r="N15" s="18"/>
      <c r="O15" s="18"/>
      <c r="P15" s="92">
        <v>0.36139472735370848</v>
      </c>
      <c r="Q15" s="150">
        <f t="shared" si="0"/>
        <v>41059.727226452327</v>
      </c>
      <c r="R15" s="120">
        <v>0.89627210191803286</v>
      </c>
      <c r="S15" s="48">
        <v>15.72004840661557</v>
      </c>
      <c r="T15" s="12"/>
      <c r="U15" s="12"/>
      <c r="V15" s="12"/>
      <c r="W15" s="12"/>
    </row>
    <row r="16" spans="1:23" x14ac:dyDescent="0.25">
      <c r="C16" s="3"/>
      <c r="D16" s="3"/>
      <c r="G16" s="3"/>
      <c r="H16" s="3"/>
      <c r="I16" s="3"/>
      <c r="J16" s="3"/>
      <c r="K16" s="3"/>
      <c r="L16" s="40"/>
      <c r="N16" s="9"/>
      <c r="O16" s="9"/>
      <c r="P16" s="92">
        <v>0.38279072726887103</v>
      </c>
      <c r="Q16" s="150">
        <f t="shared" si="0"/>
        <v>41083.155846359434</v>
      </c>
      <c r="R16" s="120">
        <v>2.3382727570515227</v>
      </c>
      <c r="S16" s="48">
        <v>19.401976603469141</v>
      </c>
      <c r="T16" s="12"/>
      <c r="U16" s="12">
        <v>0.96485072944575556</v>
      </c>
      <c r="V16" s="12"/>
      <c r="W16" s="12"/>
    </row>
    <row r="17" spans="1:23" x14ac:dyDescent="0.25">
      <c r="C17" s="3"/>
      <c r="D17" s="3"/>
      <c r="G17" s="3"/>
      <c r="H17" s="3"/>
      <c r="I17" s="3"/>
      <c r="J17" s="3"/>
      <c r="K17" s="3"/>
      <c r="L17" s="40"/>
      <c r="M17" s="3"/>
      <c r="N17" s="3"/>
      <c r="O17" s="3"/>
      <c r="P17" s="92">
        <v>0.41682326242338119</v>
      </c>
      <c r="Q17" s="150">
        <f t="shared" si="0"/>
        <v>41120.421472353621</v>
      </c>
      <c r="R17" s="120">
        <v>3.4203623972229886</v>
      </c>
      <c r="S17" s="48">
        <v>23.08390480032271</v>
      </c>
      <c r="T17" s="12"/>
      <c r="U17" s="12">
        <v>3.6632646754578055</v>
      </c>
      <c r="V17" s="12"/>
      <c r="W17" s="12"/>
    </row>
    <row r="18" spans="1:23" x14ac:dyDescent="0.25">
      <c r="C18" s="3"/>
      <c r="D18" s="3"/>
      <c r="G18" s="3"/>
      <c r="H18" s="3"/>
      <c r="I18" s="3"/>
      <c r="J18" s="3"/>
      <c r="K18" s="3"/>
      <c r="L18" s="40"/>
      <c r="M18" s="3"/>
      <c r="N18" s="3"/>
      <c r="O18" s="3"/>
      <c r="P18" s="92">
        <v>0.44397124011113703</v>
      </c>
      <c r="Q18" s="150">
        <f t="shared" si="0"/>
        <v>41150.148507921716</v>
      </c>
      <c r="R18" s="120">
        <v>2.1109791417751289</v>
      </c>
      <c r="S18" s="48">
        <v>17.583703106091164</v>
      </c>
      <c r="T18" s="12"/>
      <c r="U18" s="12">
        <v>6.0670134166165699</v>
      </c>
      <c r="V18" s="12"/>
      <c r="W18" s="12"/>
    </row>
    <row r="19" spans="1:23" x14ac:dyDescent="0.25">
      <c r="C19" s="3"/>
      <c r="D19" s="3"/>
      <c r="G19" s="3"/>
      <c r="H19" s="3"/>
      <c r="I19" s="3"/>
      <c r="J19" s="3"/>
      <c r="K19" s="3"/>
      <c r="L19" s="40"/>
      <c r="M19" s="3"/>
      <c r="N19" s="3"/>
      <c r="O19" s="3"/>
      <c r="P19" s="92">
        <v>0.47290080383465183</v>
      </c>
      <c r="Q19" s="150">
        <f t="shared" si="0"/>
        <v>41181.826380198967</v>
      </c>
      <c r="R19" s="120">
        <v>0.93268149907739284</v>
      </c>
      <c r="S19" s="48">
        <v>13.612985441343652</v>
      </c>
      <c r="T19" s="12"/>
      <c r="U19" s="12">
        <v>2.4452585265442175</v>
      </c>
      <c r="V19" s="12"/>
      <c r="W19" s="12"/>
    </row>
    <row r="20" spans="1:23" x14ac:dyDescent="0.25">
      <c r="C20" s="3"/>
      <c r="D20" s="3"/>
      <c r="G20" s="3"/>
      <c r="H20" s="3"/>
      <c r="I20" s="3"/>
      <c r="J20" s="3"/>
      <c r="K20" s="3"/>
      <c r="L20" s="40"/>
      <c r="M20" s="3"/>
      <c r="N20" s="3"/>
      <c r="O20" s="3"/>
      <c r="P20" s="92">
        <v>0.49904345797365796</v>
      </c>
      <c r="Q20" s="150">
        <f t="shared" si="0"/>
        <v>41210.45258648118</v>
      </c>
      <c r="R20" s="120">
        <v>0.44218564786339293</v>
      </c>
      <c r="S20" s="48">
        <v>1.9885217646411677</v>
      </c>
      <c r="T20" s="12"/>
      <c r="U20" s="12">
        <v>0.61829999999999996</v>
      </c>
      <c r="V20" s="12"/>
      <c r="W20" s="12"/>
    </row>
    <row r="21" spans="1:23" x14ac:dyDescent="0.25">
      <c r="C21" s="3"/>
      <c r="D21" s="3"/>
      <c r="G21" s="3"/>
      <c r="H21" s="3"/>
      <c r="I21" s="3"/>
      <c r="J21" s="3"/>
      <c r="K21" s="3"/>
      <c r="L21" s="40"/>
      <c r="M21" s="3"/>
      <c r="N21" s="3"/>
      <c r="O21" s="3"/>
      <c r="P21" s="92">
        <v>0.54405395660565437</v>
      </c>
      <c r="Q21" s="150">
        <f t="shared" si="0"/>
        <v>41259.739082483218</v>
      </c>
      <c r="R21" s="120">
        <v>8.3335100779797389E-2</v>
      </c>
      <c r="S21" s="48">
        <v>-2.8994462576552129</v>
      </c>
      <c r="T21" s="12"/>
      <c r="U21" s="12">
        <v>1.1113446354457728</v>
      </c>
      <c r="V21" s="12"/>
      <c r="W21" s="12"/>
    </row>
    <row r="22" spans="1:23" x14ac:dyDescent="0.25">
      <c r="C22" s="3"/>
      <c r="D22" s="3"/>
      <c r="G22" s="3"/>
      <c r="H22" s="3"/>
      <c r="I22" s="3"/>
      <c r="J22" s="3"/>
      <c r="K22" s="3"/>
      <c r="L22" s="40"/>
      <c r="M22" s="3"/>
      <c r="N22" s="3"/>
      <c r="O22" s="3"/>
      <c r="P22" s="92">
        <v>0.57103225943286173</v>
      </c>
      <c r="Q22" s="150">
        <f t="shared" si="0"/>
        <v>41289.280324079009</v>
      </c>
      <c r="R22" s="120">
        <v>8.4218824011820695E-2</v>
      </c>
      <c r="S22" s="48">
        <v>-3.5039788771132052</v>
      </c>
      <c r="T22" s="12"/>
      <c r="U22" s="12">
        <v>1.6229972791738991</v>
      </c>
      <c r="V22" s="12"/>
      <c r="W22" s="12"/>
    </row>
    <row r="23" spans="1:23" x14ac:dyDescent="0.25">
      <c r="C23" s="3"/>
      <c r="D23" s="3"/>
      <c r="G23" s="3"/>
      <c r="H23" s="3"/>
      <c r="I23" s="3"/>
      <c r="J23" s="3"/>
      <c r="K23" s="3"/>
      <c r="L23" s="40"/>
      <c r="M23" s="3"/>
      <c r="N23" s="3"/>
      <c r="O23" s="3"/>
      <c r="P23" s="92">
        <v>0.58452141084646547</v>
      </c>
      <c r="Q23" s="150">
        <f t="shared" si="0"/>
        <v>41304.050944876908</v>
      </c>
      <c r="R23" s="120">
        <v>8.4660685627832355E-2</v>
      </c>
      <c r="S23" s="48">
        <v>-5.0268620044739452</v>
      </c>
      <c r="T23" s="12"/>
      <c r="U23" s="12">
        <v>1.9613373959665763</v>
      </c>
      <c r="V23" s="12"/>
      <c r="W23" s="12"/>
    </row>
    <row r="24" spans="1:23" x14ac:dyDescent="0.25">
      <c r="C24" s="3"/>
      <c r="D24" s="3"/>
      <c r="G24" s="3"/>
      <c r="H24" s="3"/>
      <c r="I24" s="3"/>
      <c r="J24" s="3"/>
      <c r="K24" s="3"/>
      <c r="L24" s="40"/>
      <c r="M24" s="3"/>
      <c r="N24" s="3"/>
      <c r="O24" s="3"/>
      <c r="P24" s="92">
        <v>0.60428853210036271</v>
      </c>
      <c r="Q24" s="150">
        <f t="shared" si="0"/>
        <v>41325.695942649923</v>
      </c>
      <c r="R24" s="120">
        <v>0.21633544719930431</v>
      </c>
      <c r="S24" s="48">
        <v>-4.4055520921192564</v>
      </c>
      <c r="T24" s="12"/>
      <c r="U24" s="12">
        <v>2.5885675012548193</v>
      </c>
      <c r="V24" s="12"/>
      <c r="W24" s="12"/>
    </row>
    <row r="25" spans="1:23" x14ac:dyDescent="0.25">
      <c r="C25" s="3"/>
      <c r="D25" s="3"/>
      <c r="G25" s="3"/>
      <c r="H25" s="3"/>
      <c r="I25" s="3"/>
      <c r="J25" s="3"/>
      <c r="K25" s="3"/>
      <c r="L25" s="40"/>
      <c r="M25" s="3"/>
      <c r="N25" s="3"/>
      <c r="O25" s="3"/>
      <c r="P25" s="92">
        <v>0.63397739082483195</v>
      </c>
      <c r="Q25" s="150">
        <f t="shared" si="0"/>
        <v>41358.20524295322</v>
      </c>
      <c r="R25" s="120">
        <v>0.11903751935353879</v>
      </c>
      <c r="S25" s="48">
        <v>-1.946716051193663</v>
      </c>
      <c r="T25" s="12"/>
      <c r="U25" s="12">
        <v>3.9269286628653548</v>
      </c>
      <c r="V25" s="12"/>
      <c r="W25" s="12"/>
    </row>
    <row r="26" spans="1:23" x14ac:dyDescent="0.25">
      <c r="A26" s="6"/>
      <c r="B26" s="6" t="s">
        <v>72</v>
      </c>
      <c r="C26" s="44">
        <v>47.433</v>
      </c>
      <c r="D26" s="44">
        <v>126.633</v>
      </c>
      <c r="E26" s="33" t="s">
        <v>9</v>
      </c>
      <c r="F26" s="33" t="s">
        <v>34</v>
      </c>
      <c r="G26" s="11">
        <v>0.83099999999999996</v>
      </c>
      <c r="H26" s="11">
        <v>2.4</v>
      </c>
      <c r="I26" s="11">
        <v>5.78</v>
      </c>
      <c r="J26" s="11">
        <v>0.40590000000000004</v>
      </c>
      <c r="K26" s="11">
        <f>I26/J26</f>
        <v>14.239960581423995</v>
      </c>
      <c r="L26" s="41">
        <v>1</v>
      </c>
      <c r="M26" s="7">
        <f>9.353*EXP(-0.023*H26-0.622*L26-0.182*J26-0.009*K26)*(I26/(I26+0.567))</f>
        <v>3.5356074543781371</v>
      </c>
      <c r="N26" s="7">
        <f>LN(M26)/10</f>
        <v>0.12628851245795508</v>
      </c>
      <c r="O26" s="11">
        <f>4.3573*EXP(-1.002*M26)</f>
        <v>0.12608158648308776</v>
      </c>
      <c r="P26" s="93">
        <v>0.66896434706992725</v>
      </c>
      <c r="Q26" s="149">
        <f t="shared" si="0"/>
        <v>41396.515960041601</v>
      </c>
      <c r="R26" s="121">
        <v>0.7753198488951103</v>
      </c>
      <c r="S26" s="49">
        <v>7.8578239026000221</v>
      </c>
      <c r="T26" s="13"/>
      <c r="U26" s="13">
        <v>2.5458235832875546</v>
      </c>
      <c r="V26" s="13"/>
      <c r="W26" s="13"/>
    </row>
    <row r="27" spans="1:23" x14ac:dyDescent="0.25">
      <c r="C27" s="3"/>
      <c r="D27" s="3"/>
      <c r="G27" s="3"/>
      <c r="H27" s="3"/>
      <c r="I27" s="3"/>
      <c r="J27" s="3"/>
      <c r="K27" s="3"/>
      <c r="L27" s="40"/>
      <c r="N27" s="18"/>
      <c r="O27" s="18"/>
      <c r="P27" s="92">
        <v>0.69507730810833734</v>
      </c>
      <c r="Q27" s="150">
        <f t="shared" si="0"/>
        <v>41425.109652378662</v>
      </c>
      <c r="R27" s="120">
        <v>0.51412071895008971</v>
      </c>
      <c r="S27" s="48">
        <v>13.373702739374382</v>
      </c>
      <c r="T27" s="12"/>
      <c r="U27" s="12"/>
      <c r="V27" s="12"/>
      <c r="W27" s="12"/>
    </row>
    <row r="28" spans="1:23" x14ac:dyDescent="0.25">
      <c r="C28" s="3"/>
      <c r="D28" s="3"/>
      <c r="G28" s="3"/>
      <c r="H28" s="3"/>
      <c r="I28" s="3"/>
      <c r="J28" s="3"/>
      <c r="K28" s="3"/>
      <c r="L28" s="40"/>
      <c r="N28" s="9"/>
      <c r="O28" s="9"/>
      <c r="P28" s="92">
        <v>0.71924749199346749</v>
      </c>
      <c r="Q28" s="150">
        <f t="shared" si="0"/>
        <v>41451.57600373288</v>
      </c>
      <c r="R28" s="120">
        <v>1.3665896060008342</v>
      </c>
      <c r="S28" s="48">
        <v>20.423466207048296</v>
      </c>
      <c r="T28" s="12"/>
      <c r="U28" s="12">
        <v>1.0905282984657922</v>
      </c>
      <c r="V28" s="12"/>
      <c r="W28" s="12"/>
    </row>
    <row r="29" spans="1:23" x14ac:dyDescent="0.25">
      <c r="C29" s="3"/>
      <c r="D29" s="3"/>
      <c r="G29" s="3"/>
      <c r="H29" s="3"/>
      <c r="I29" s="3"/>
      <c r="J29" s="3"/>
      <c r="K29" s="3"/>
      <c r="L29" s="40"/>
      <c r="M29" s="3"/>
      <c r="N29" s="3"/>
      <c r="O29" s="3"/>
      <c r="P29" s="92">
        <v>0.74973806443402824</v>
      </c>
      <c r="Q29" s="150">
        <f t="shared" si="0"/>
        <v>41484.963180555293</v>
      </c>
      <c r="R29" s="120">
        <v>2.0227246483370682</v>
      </c>
      <c r="S29" s="48">
        <v>23.189794271883823</v>
      </c>
      <c r="T29" s="12"/>
      <c r="U29" s="12">
        <v>3.6036512109926342</v>
      </c>
      <c r="V29" s="12"/>
      <c r="W29" s="12"/>
    </row>
    <row r="30" spans="1:23" x14ac:dyDescent="0.25">
      <c r="C30" s="3"/>
      <c r="D30" s="3"/>
      <c r="G30" s="3"/>
      <c r="H30" s="3"/>
      <c r="I30" s="3"/>
      <c r="J30" s="3"/>
      <c r="K30" s="3"/>
      <c r="L30" s="40"/>
      <c r="M30" s="3"/>
      <c r="N30" s="3"/>
      <c r="O30" s="3"/>
      <c r="P30" s="92">
        <v>0.78133152346815415</v>
      </c>
      <c r="Q30" s="150">
        <f t="shared" si="0"/>
        <v>41519.558018197662</v>
      </c>
      <c r="R30" s="120">
        <v>1.1065687736985115</v>
      </c>
      <c r="S30" s="48">
        <v>17.075708680186292</v>
      </c>
      <c r="T30" s="12"/>
      <c r="U30" s="12">
        <v>5.3461392732517821</v>
      </c>
      <c r="V30" s="12"/>
      <c r="W30" s="12"/>
    </row>
    <row r="31" spans="1:23" x14ac:dyDescent="0.25">
      <c r="C31" s="3"/>
      <c r="D31" s="3"/>
      <c r="G31" s="3"/>
      <c r="H31" s="3"/>
      <c r="I31" s="3"/>
      <c r="J31" s="3"/>
      <c r="K31" s="3"/>
      <c r="L31" s="40"/>
      <c r="M31" s="3"/>
      <c r="N31" s="3"/>
      <c r="O31" s="3"/>
      <c r="P31" s="92">
        <v>0.80746993573564652</v>
      </c>
      <c r="Q31" s="150">
        <f t="shared" si="0"/>
        <v>41548.179579630567</v>
      </c>
      <c r="R31" s="120">
        <v>0.64882959695150833</v>
      </c>
      <c r="S31" s="48">
        <v>11.570831346950751</v>
      </c>
      <c r="T31" s="12"/>
      <c r="U31" s="12">
        <v>2.352157042264087</v>
      </c>
      <c r="V31" s="12"/>
      <c r="W31" s="12"/>
    </row>
    <row r="32" spans="1:23" x14ac:dyDescent="0.25">
      <c r="C32" s="3"/>
      <c r="D32" s="3"/>
      <c r="G32" s="3"/>
      <c r="H32" s="3"/>
      <c r="I32" s="3"/>
      <c r="J32" s="3"/>
      <c r="K32" s="3"/>
      <c r="L32" s="40"/>
      <c r="M32" s="3"/>
      <c r="N32" s="3"/>
      <c r="O32" s="3"/>
      <c r="P32" s="92">
        <v>0.83541114339646649</v>
      </c>
      <c r="Q32" s="150">
        <f t="shared" si="0"/>
        <v>41578.775202019162</v>
      </c>
      <c r="R32" s="120">
        <v>0.15839266061964313</v>
      </c>
      <c r="S32" s="48">
        <v>4.5375701345850601</v>
      </c>
      <c r="T32" s="12"/>
      <c r="U32" s="12"/>
      <c r="V32" s="12"/>
      <c r="W32" s="12"/>
    </row>
    <row r="33" spans="1:23" x14ac:dyDescent="0.25">
      <c r="C33" s="3"/>
      <c r="D33" s="3"/>
      <c r="G33" s="3"/>
      <c r="H33" s="3"/>
      <c r="I33" s="3"/>
      <c r="J33" s="3"/>
      <c r="K33" s="3"/>
      <c r="L33" s="40"/>
      <c r="M33" s="3"/>
      <c r="N33" s="3"/>
      <c r="O33" s="3"/>
      <c r="P33" s="92">
        <v>0.86239368809518757</v>
      </c>
      <c r="Q33" s="150">
        <f t="shared" si="0"/>
        <v>41608.321088464261</v>
      </c>
      <c r="R33" s="120">
        <v>0.12651970938466942</v>
      </c>
      <c r="S33" s="48">
        <v>-0.35204811324214308</v>
      </c>
      <c r="T33" s="12"/>
      <c r="U33" s="12">
        <v>0.90041473165454122</v>
      </c>
      <c r="V33" s="12"/>
      <c r="W33" s="12"/>
    </row>
    <row r="34" spans="1:23" x14ac:dyDescent="0.25">
      <c r="C34" s="3"/>
      <c r="D34" s="3"/>
      <c r="G34" s="3"/>
      <c r="H34" s="3"/>
      <c r="I34" s="3"/>
      <c r="J34" s="3"/>
      <c r="K34" s="3"/>
      <c r="L34" s="40"/>
      <c r="M34" s="3"/>
      <c r="N34" s="3"/>
      <c r="O34" s="3"/>
      <c r="P34" s="92">
        <v>0.88937623279390865</v>
      </c>
      <c r="Q34" s="150">
        <f t="shared" si="0"/>
        <v>41637.866974909361</v>
      </c>
      <c r="R34" s="120">
        <v>9.4646758149695642E-2</v>
      </c>
      <c r="S34" s="48">
        <v>-1.8724559023066485</v>
      </c>
      <c r="T34" s="12"/>
      <c r="U34" s="12">
        <v>1.3150355275761345</v>
      </c>
      <c r="V34" s="12"/>
      <c r="W34" s="12"/>
    </row>
    <row r="35" spans="1:23" x14ac:dyDescent="0.25">
      <c r="C35" s="3"/>
      <c r="D35" s="3"/>
      <c r="G35" s="3"/>
      <c r="H35" s="3"/>
      <c r="I35" s="3"/>
      <c r="J35" s="3"/>
      <c r="K35" s="3"/>
      <c r="L35" s="40"/>
      <c r="M35" s="3"/>
      <c r="N35" s="3"/>
      <c r="O35" s="3"/>
      <c r="P35" s="92">
        <v>0.91635029374960231</v>
      </c>
      <c r="Q35" s="150">
        <f t="shared" si="0"/>
        <v>41667.403571655843</v>
      </c>
      <c r="R35" s="120">
        <v>0.12828715584871603</v>
      </c>
      <c r="S35" s="48">
        <v>-3.3923136161942131</v>
      </c>
      <c r="T35" s="12"/>
      <c r="U35" s="12">
        <v>1.9203511970144682</v>
      </c>
      <c r="V35" s="12"/>
      <c r="W35" s="12"/>
    </row>
    <row r="36" spans="1:23" x14ac:dyDescent="0.25">
      <c r="C36" s="3"/>
      <c r="D36" s="3"/>
      <c r="G36" s="3"/>
      <c r="H36" s="3"/>
      <c r="I36" s="3"/>
      <c r="J36" s="3"/>
      <c r="K36" s="3"/>
      <c r="L36" s="40"/>
      <c r="M36" s="3"/>
      <c r="N36" s="3"/>
      <c r="O36" s="3"/>
      <c r="P36" s="92">
        <v>0.94512290822710976</v>
      </c>
      <c r="Q36" s="150">
        <f t="shared" si="0"/>
        <v>41698.909584508714</v>
      </c>
      <c r="R36" s="120">
        <v>0.16198646842987124</v>
      </c>
      <c r="S36" s="48">
        <v>-2.161795445377535</v>
      </c>
      <c r="T36" s="12"/>
      <c r="U36" s="12">
        <v>2.8759970559353443</v>
      </c>
      <c r="V36" s="12"/>
      <c r="W36" s="12"/>
    </row>
    <row r="37" spans="1:23" x14ac:dyDescent="0.25">
      <c r="C37" s="3"/>
      <c r="D37" s="3"/>
      <c r="G37" s="3"/>
      <c r="H37" s="3"/>
      <c r="I37" s="3"/>
      <c r="J37" s="3"/>
      <c r="K37" s="3"/>
      <c r="L37" s="40"/>
      <c r="M37" s="3"/>
      <c r="N37" s="3"/>
      <c r="O37" s="3"/>
      <c r="P37" s="92">
        <v>0.96849986213917583</v>
      </c>
      <c r="Q37" s="150">
        <f t="shared" si="0"/>
        <v>41724.507349042426</v>
      </c>
      <c r="R37" s="120">
        <v>0.19550903636462186</v>
      </c>
      <c r="S37" s="48">
        <v>-0.31684330191792881</v>
      </c>
      <c r="T37" s="12"/>
      <c r="U37" s="12">
        <v>3.9930284723903657</v>
      </c>
      <c r="V37" s="12"/>
      <c r="W37" s="12"/>
    </row>
    <row r="38" spans="1:23" x14ac:dyDescent="0.25">
      <c r="C38" s="3"/>
      <c r="D38" s="3"/>
      <c r="G38" s="3"/>
      <c r="H38" s="3"/>
      <c r="I38" s="3"/>
      <c r="J38" s="3"/>
      <c r="K38" s="3"/>
      <c r="L38" s="40"/>
      <c r="M38" s="3"/>
      <c r="N38" s="3"/>
      <c r="O38" s="3"/>
      <c r="P38" s="92">
        <v>0.99547816496638319</v>
      </c>
      <c r="Q38" s="150">
        <f t="shared" si="0"/>
        <v>41754.048590638216</v>
      </c>
      <c r="R38" s="120">
        <v>0.19639275959664518</v>
      </c>
      <c r="S38" s="48">
        <v>7.0384869265466277</v>
      </c>
      <c r="T38" s="12"/>
      <c r="U38" s="12">
        <v>3.5998882722238461</v>
      </c>
      <c r="V38" s="12"/>
      <c r="W38" s="12"/>
    </row>
    <row r="39" spans="1:23" ht="16.5" x14ac:dyDescent="0.3">
      <c r="A39" s="6">
        <v>2</v>
      </c>
      <c r="B39" s="33" t="s">
        <v>73</v>
      </c>
      <c r="C39" s="44">
        <v>44.2</v>
      </c>
      <c r="D39" s="44">
        <v>125.55</v>
      </c>
      <c r="E39" s="33" t="s">
        <v>147</v>
      </c>
      <c r="F39" s="33" t="s">
        <v>34</v>
      </c>
      <c r="G39" s="11">
        <v>0.59930000000000005</v>
      </c>
      <c r="H39" s="11">
        <v>5.45</v>
      </c>
      <c r="I39" s="11">
        <v>3.9737610000000001</v>
      </c>
      <c r="J39" s="47">
        <v>0.37884000000000007</v>
      </c>
      <c r="K39" s="11">
        <f>I39/J39</f>
        <v>10.489285714285712</v>
      </c>
      <c r="L39" s="41">
        <v>1.335</v>
      </c>
      <c r="M39" s="7">
        <f>9.353*EXP(-0.023*H39-0.622*L39-0.182*J39-0.009*K39)*(I39/(I39+0.567))</f>
        <v>2.6731113090323784</v>
      </c>
      <c r="N39" s="7">
        <f>LN(M39)/10</f>
        <v>9.8324307827720031E-2</v>
      </c>
      <c r="O39" s="11">
        <f>4.3573*EXP(-1.002*M39)</f>
        <v>0.29921139995045581</v>
      </c>
      <c r="P39" s="10"/>
      <c r="Q39" s="149">
        <v>39534</v>
      </c>
      <c r="R39" s="13"/>
      <c r="S39" s="25"/>
      <c r="T39" s="13"/>
      <c r="U39" s="13"/>
      <c r="V39" s="13"/>
      <c r="W39" s="13" t="s">
        <v>93</v>
      </c>
    </row>
    <row r="40" spans="1:23" x14ac:dyDescent="0.25">
      <c r="C40" s="3"/>
      <c r="D40" s="3"/>
      <c r="G40" s="3"/>
      <c r="H40" s="3"/>
      <c r="I40" s="3"/>
      <c r="J40" s="3"/>
      <c r="K40" s="3"/>
      <c r="L40" s="40"/>
      <c r="O40" s="18"/>
      <c r="P40" s="94">
        <v>8.4033613445378148E-3</v>
      </c>
      <c r="Q40" s="150">
        <f t="shared" ref="Q40:Q52" si="1">Q39+(P40-P39)*365*2</f>
        <v>39540.134453781509</v>
      </c>
      <c r="R40" s="24">
        <v>0.40365289725903536</v>
      </c>
      <c r="S40" s="69">
        <v>16.760754271389501</v>
      </c>
      <c r="T40" s="12"/>
      <c r="U40" s="12"/>
      <c r="V40" s="12"/>
      <c r="W40" s="12"/>
    </row>
    <row r="41" spans="1:23" x14ac:dyDescent="0.25">
      <c r="C41" s="3"/>
      <c r="D41" s="3"/>
      <c r="G41" s="3"/>
      <c r="H41" s="3"/>
      <c r="I41" s="3"/>
      <c r="J41" s="3"/>
      <c r="K41" s="3"/>
      <c r="L41" s="40"/>
      <c r="N41" s="9"/>
      <c r="O41" s="9"/>
      <c r="P41" s="94">
        <v>2.8011204481792718E-2</v>
      </c>
      <c r="Q41" s="150">
        <f t="shared" si="1"/>
        <v>39554.448179271705</v>
      </c>
      <c r="R41" s="24">
        <v>0.64584463561445649</v>
      </c>
      <c r="S41" s="69">
        <v>13.523448811694232</v>
      </c>
      <c r="T41" s="12"/>
      <c r="U41" s="12"/>
      <c r="V41" s="12"/>
      <c r="W41" s="12"/>
    </row>
    <row r="42" spans="1:23" x14ac:dyDescent="0.25">
      <c r="C42" s="3"/>
      <c r="D42" s="3"/>
      <c r="G42" s="3"/>
      <c r="H42" s="3"/>
      <c r="I42" s="3"/>
      <c r="J42" s="3"/>
      <c r="K42" s="3"/>
      <c r="L42" s="40"/>
      <c r="M42" s="3"/>
      <c r="N42" s="3"/>
      <c r="O42" s="3"/>
      <c r="P42" s="94">
        <v>4.6218487394957986E-2</v>
      </c>
      <c r="Q42" s="150">
        <f t="shared" si="1"/>
        <v>39567.739495798312</v>
      </c>
      <c r="R42" s="24">
        <v>1.1033179191746965</v>
      </c>
      <c r="S42" s="69">
        <v>14.821614181534057</v>
      </c>
      <c r="T42" s="12"/>
      <c r="U42" s="12"/>
      <c r="V42" s="12"/>
      <c r="W42" s="12"/>
    </row>
    <row r="43" spans="1:23" x14ac:dyDescent="0.25">
      <c r="C43" s="3"/>
      <c r="D43" s="3"/>
      <c r="G43" s="3"/>
      <c r="H43" s="3"/>
      <c r="I43" s="3"/>
      <c r="J43" s="3"/>
      <c r="K43" s="3"/>
      <c r="L43" s="40"/>
      <c r="M43" s="3"/>
      <c r="N43" s="3"/>
      <c r="O43" s="3"/>
      <c r="P43" s="94">
        <v>5.8823529411764705E-2</v>
      </c>
      <c r="Q43" s="150">
        <f t="shared" si="1"/>
        <v>39576.94117647058</v>
      </c>
      <c r="R43" s="24">
        <v>1.9644440999939718</v>
      </c>
      <c r="S43" s="69">
        <v>16.37709606394062</v>
      </c>
      <c r="T43" s="12"/>
      <c r="U43" s="12">
        <v>0.6310848846406657</v>
      </c>
      <c r="V43" s="12"/>
      <c r="W43" s="12"/>
    </row>
    <row r="44" spans="1:23" x14ac:dyDescent="0.25">
      <c r="C44" s="3"/>
      <c r="D44" s="3"/>
      <c r="G44" s="3"/>
      <c r="H44" s="3"/>
      <c r="I44" s="3"/>
      <c r="J44" s="3"/>
      <c r="K44" s="3"/>
      <c r="L44" s="40"/>
      <c r="M44" s="3"/>
      <c r="N44" s="3"/>
      <c r="O44" s="3"/>
      <c r="P44" s="94">
        <v>8.5434173669467789E-2</v>
      </c>
      <c r="Q44" s="150">
        <f t="shared" si="1"/>
        <v>39596.366946778704</v>
      </c>
      <c r="R44" s="24">
        <v>1.8298931342409599</v>
      </c>
      <c r="S44" s="69">
        <v>18.971466636280763</v>
      </c>
      <c r="T44" s="12"/>
      <c r="U44" s="12">
        <v>1.1860902817387491</v>
      </c>
      <c r="V44" s="12"/>
      <c r="W44" s="12"/>
    </row>
    <row r="45" spans="1:23" x14ac:dyDescent="0.25">
      <c r="C45" s="3"/>
      <c r="D45" s="3"/>
      <c r="G45" s="3"/>
      <c r="H45" s="3"/>
      <c r="I45" s="3"/>
      <c r="J45" s="3"/>
      <c r="K45" s="3"/>
      <c r="L45" s="40"/>
      <c r="M45" s="3"/>
      <c r="N45" s="3"/>
      <c r="O45" s="3"/>
      <c r="P45" s="94">
        <v>0.10644257703081232</v>
      </c>
      <c r="Q45" s="150">
        <f t="shared" si="1"/>
        <v>39611.703081232488</v>
      </c>
      <c r="R45" s="24">
        <v>4.8438347671084241</v>
      </c>
      <c r="S45" s="69">
        <v>22.211979642531574</v>
      </c>
      <c r="T45" s="12"/>
      <c r="U45" s="12">
        <v>1.9518983496426261</v>
      </c>
      <c r="V45" s="12"/>
      <c r="W45" s="12"/>
    </row>
    <row r="46" spans="1:23" x14ac:dyDescent="0.25">
      <c r="C46" s="3"/>
      <c r="D46" s="3"/>
      <c r="G46" s="3"/>
      <c r="H46" s="3"/>
      <c r="I46" s="3"/>
      <c r="J46" s="3"/>
      <c r="K46" s="3"/>
      <c r="L46" s="40"/>
      <c r="M46" s="3"/>
      <c r="N46" s="3"/>
      <c r="O46" s="3"/>
      <c r="P46" s="94">
        <v>0.12605042016806722</v>
      </c>
      <c r="Q46" s="150">
        <f t="shared" si="1"/>
        <v>39626.016806722684</v>
      </c>
      <c r="R46" s="24">
        <v>3.0677620191686694</v>
      </c>
      <c r="S46" s="69">
        <v>20.529799671181145</v>
      </c>
      <c r="T46" s="12"/>
      <c r="U46" s="12">
        <v>3.1072343996845864</v>
      </c>
      <c r="V46" s="12"/>
      <c r="W46" s="12"/>
    </row>
    <row r="47" spans="1:23" x14ac:dyDescent="0.25">
      <c r="C47" s="3"/>
      <c r="D47" s="3"/>
      <c r="G47" s="3"/>
      <c r="H47" s="3"/>
      <c r="I47" s="3"/>
      <c r="J47" s="3"/>
      <c r="K47" s="3"/>
      <c r="L47" s="40"/>
      <c r="M47" s="3"/>
      <c r="N47" s="3"/>
      <c r="O47" s="3"/>
      <c r="P47" s="94">
        <v>0.15966386554621848</v>
      </c>
      <c r="Q47" s="150">
        <f t="shared" si="1"/>
        <v>39650.554621848736</v>
      </c>
      <c r="R47" s="24">
        <v>3.0139416328674633</v>
      </c>
      <c r="S47" s="69">
        <v>19.238940379606717</v>
      </c>
      <c r="T47" s="12"/>
      <c r="U47" s="12">
        <v>6.8947279598381428</v>
      </c>
      <c r="V47" s="12"/>
      <c r="W47" s="12"/>
    </row>
    <row r="48" spans="1:23" x14ac:dyDescent="0.25">
      <c r="C48" s="3"/>
      <c r="D48" s="3"/>
      <c r="G48" s="3"/>
      <c r="H48" s="3"/>
      <c r="I48" s="3"/>
      <c r="J48" s="3"/>
      <c r="K48" s="3"/>
      <c r="L48" s="40"/>
      <c r="M48" s="3"/>
      <c r="N48" s="3"/>
      <c r="O48" s="3"/>
      <c r="P48" s="94">
        <v>0.18487394957983194</v>
      </c>
      <c r="Q48" s="150">
        <f t="shared" si="1"/>
        <v>39668.957983193272</v>
      </c>
      <c r="R48" s="24">
        <v>1.9106237136927675</v>
      </c>
      <c r="S48" s="69">
        <v>18.07959049680948</v>
      </c>
      <c r="T48" s="12"/>
      <c r="U48" s="12">
        <v>5.3117363575153638</v>
      </c>
      <c r="V48" s="12"/>
      <c r="W48" s="12"/>
    </row>
    <row r="49" spans="1:23" x14ac:dyDescent="0.25">
      <c r="C49" s="3"/>
      <c r="D49" s="3"/>
      <c r="G49" s="3"/>
      <c r="H49" s="3"/>
      <c r="I49" s="3"/>
      <c r="J49" s="3"/>
      <c r="K49" s="3"/>
      <c r="L49" s="40"/>
      <c r="M49" s="3"/>
      <c r="N49" s="3"/>
      <c r="O49" s="3"/>
      <c r="P49" s="94">
        <v>0.20728291316526612</v>
      </c>
      <c r="Q49" s="150">
        <f t="shared" si="1"/>
        <v>39685.316526610637</v>
      </c>
      <c r="R49" s="24">
        <v>1.4262402369819247</v>
      </c>
      <c r="S49" s="69">
        <v>14.586037706732643</v>
      </c>
      <c r="T49" s="12"/>
      <c r="U49" s="12">
        <v>3.4700302506961371</v>
      </c>
      <c r="V49" s="12"/>
      <c r="W49" s="12"/>
    </row>
    <row r="50" spans="1:23" x14ac:dyDescent="0.25">
      <c r="C50" s="3"/>
      <c r="D50" s="3"/>
      <c r="G50" s="3"/>
      <c r="H50" s="3"/>
      <c r="I50" s="3"/>
      <c r="J50" s="3"/>
      <c r="K50" s="3"/>
      <c r="L50" s="40"/>
      <c r="M50" s="3"/>
      <c r="N50" s="3"/>
      <c r="O50" s="3"/>
      <c r="P50" s="94">
        <v>0.23249299719887956</v>
      </c>
      <c r="Q50" s="150">
        <f t="shared" si="1"/>
        <v>39703.719887955172</v>
      </c>
      <c r="R50" s="24">
        <v>0.64584463561445649</v>
      </c>
      <c r="S50" s="69">
        <v>11.609078109128792</v>
      </c>
      <c r="T50" s="12"/>
      <c r="U50" s="12">
        <v>2.1493993058664635</v>
      </c>
      <c r="V50" s="12"/>
      <c r="W50" s="12"/>
    </row>
    <row r="51" spans="1:23" x14ac:dyDescent="0.25">
      <c r="C51" s="3"/>
      <c r="D51" s="3"/>
      <c r="G51" s="3"/>
      <c r="H51" s="3"/>
      <c r="I51" s="3"/>
      <c r="J51" s="3"/>
      <c r="K51" s="3"/>
      <c r="L51" s="40"/>
      <c r="M51" s="3"/>
      <c r="N51" s="3"/>
      <c r="O51" s="3"/>
      <c r="P51" s="94">
        <v>0.25070028011204482</v>
      </c>
      <c r="Q51" s="150">
        <f t="shared" si="1"/>
        <v>39717.01120448178</v>
      </c>
      <c r="R51" s="24">
        <v>0.43056309040963775</v>
      </c>
      <c r="S51" s="69">
        <v>7.9852632894908204</v>
      </c>
      <c r="T51" s="12"/>
      <c r="U51" s="12">
        <v>1.5208389036916241</v>
      </c>
      <c r="V51" s="12"/>
      <c r="W51" s="12"/>
    </row>
    <row r="52" spans="1:23" x14ac:dyDescent="0.25">
      <c r="C52" s="3"/>
      <c r="D52" s="3"/>
      <c r="G52" s="3"/>
      <c r="H52" s="3"/>
      <c r="I52" s="3"/>
      <c r="J52" s="3"/>
      <c r="K52" s="3"/>
      <c r="L52" s="40"/>
      <c r="M52" s="3"/>
      <c r="N52" s="3"/>
      <c r="O52" s="3"/>
      <c r="P52" s="94">
        <v>0.29131652661064428</v>
      </c>
      <c r="Q52" s="150">
        <f t="shared" si="1"/>
        <v>39746.66106442576</v>
      </c>
      <c r="R52" s="24">
        <v>0.18837135205421646</v>
      </c>
      <c r="S52" s="69">
        <v>0.34809494074749203</v>
      </c>
      <c r="T52" s="12"/>
      <c r="U52" s="12"/>
      <c r="V52" s="12"/>
      <c r="W52" s="12"/>
    </row>
    <row r="53" spans="1:23" x14ac:dyDescent="0.25">
      <c r="C53" s="3"/>
      <c r="D53" s="3"/>
      <c r="G53" s="3"/>
      <c r="H53" s="3"/>
      <c r="I53" s="3"/>
      <c r="J53" s="3"/>
      <c r="K53" s="3"/>
      <c r="L53" s="40"/>
      <c r="M53" s="3"/>
      <c r="N53" s="3"/>
      <c r="O53" s="3"/>
      <c r="P53" s="94">
        <v>0.50280112044817926</v>
      </c>
      <c r="Q53" s="150">
        <v>39904</v>
      </c>
      <c r="R53" s="24">
        <v>0.51129366986144476</v>
      </c>
      <c r="S53" s="69">
        <v>0.23796917567391418</v>
      </c>
      <c r="T53" s="12"/>
      <c r="U53" s="12"/>
      <c r="V53" s="12"/>
      <c r="W53" s="12"/>
    </row>
    <row r="54" spans="1:23" x14ac:dyDescent="0.25">
      <c r="C54" s="3"/>
      <c r="D54" s="3"/>
      <c r="G54" s="3"/>
      <c r="H54" s="3"/>
      <c r="I54" s="3"/>
      <c r="J54" s="3"/>
      <c r="K54" s="3"/>
      <c r="L54" s="40"/>
      <c r="M54" s="3"/>
      <c r="N54" s="3"/>
      <c r="O54" s="3"/>
      <c r="P54" s="94">
        <v>0.5490196078431373</v>
      </c>
      <c r="Q54" s="150">
        <f t="shared" ref="Q54:Q61" si="2">Q53+(P54-P53)*365*2</f>
        <v>39937.73949579832</v>
      </c>
      <c r="R54" s="24">
        <v>1.6415217821867436</v>
      </c>
      <c r="S54" s="69">
        <v>6.3291000846464387</v>
      </c>
      <c r="T54" s="12"/>
      <c r="U54" s="12">
        <v>0.5687523627561466</v>
      </c>
      <c r="V54" s="12"/>
      <c r="W54" s="12"/>
    </row>
    <row r="55" spans="1:23" x14ac:dyDescent="0.25">
      <c r="C55" s="3"/>
      <c r="D55" s="3"/>
      <c r="G55" s="3"/>
      <c r="H55" s="3"/>
      <c r="I55" s="3"/>
      <c r="J55" s="3"/>
      <c r="K55" s="3"/>
      <c r="L55" s="40"/>
      <c r="M55" s="3"/>
      <c r="N55" s="3"/>
      <c r="O55" s="3"/>
      <c r="P55" s="94">
        <v>0.58403361344537819</v>
      </c>
      <c r="Q55" s="150">
        <f t="shared" si="2"/>
        <v>39963.299719887953</v>
      </c>
      <c r="R55" s="24">
        <v>1.6415217821867436</v>
      </c>
      <c r="S55" s="69">
        <v>15.015492551113427</v>
      </c>
      <c r="T55" s="12"/>
      <c r="U55" s="12">
        <v>1.3046348119985132</v>
      </c>
      <c r="V55" s="12"/>
      <c r="W55" s="12"/>
    </row>
    <row r="56" spans="1:23" x14ac:dyDescent="0.25">
      <c r="C56" s="3"/>
      <c r="D56" s="3"/>
      <c r="G56" s="3"/>
      <c r="H56" s="3"/>
      <c r="I56" s="3"/>
      <c r="J56" s="3"/>
      <c r="K56" s="3"/>
      <c r="L56" s="40"/>
      <c r="M56" s="3"/>
      <c r="N56" s="3"/>
      <c r="O56" s="3"/>
      <c r="P56" s="94">
        <v>0.60224089635854339</v>
      </c>
      <c r="Q56" s="150">
        <f t="shared" si="2"/>
        <v>39976.59103641456</v>
      </c>
      <c r="R56" s="24">
        <v>6.5391769355963749</v>
      </c>
      <c r="S56" s="69">
        <v>20.33004079958328</v>
      </c>
      <c r="T56" s="12"/>
      <c r="U56" s="12">
        <v>2.0090148743841358</v>
      </c>
      <c r="V56" s="12"/>
      <c r="W56" s="12"/>
    </row>
    <row r="57" spans="1:23" x14ac:dyDescent="0.25">
      <c r="C57" s="3"/>
      <c r="D57" s="3"/>
      <c r="G57" s="3"/>
      <c r="H57" s="3"/>
      <c r="I57" s="3"/>
      <c r="J57" s="3"/>
      <c r="K57" s="3"/>
      <c r="L57" s="40"/>
      <c r="M57" s="3"/>
      <c r="N57" s="3"/>
      <c r="O57" s="3"/>
      <c r="P57" s="94">
        <v>0.65266106442577032</v>
      </c>
      <c r="Q57" s="150">
        <f t="shared" si="2"/>
        <v>40013.397759103638</v>
      </c>
      <c r="R57" s="24">
        <v>5.3013080506686636</v>
      </c>
      <c r="S57" s="69">
        <v>18.133762394191951</v>
      </c>
      <c r="T57" s="12"/>
      <c r="U57" s="12">
        <v>6.6404548875963663</v>
      </c>
      <c r="V57" s="12"/>
      <c r="W57" s="12"/>
    </row>
    <row r="58" spans="1:23" x14ac:dyDescent="0.25">
      <c r="C58" s="3"/>
      <c r="D58" s="3"/>
      <c r="G58" s="3"/>
      <c r="H58" s="3"/>
      <c r="I58" s="3"/>
      <c r="J58" s="3"/>
      <c r="K58" s="3"/>
      <c r="L58" s="40"/>
      <c r="M58" s="3"/>
      <c r="N58" s="3"/>
      <c r="O58" s="3"/>
      <c r="P58" s="94">
        <v>0.67787114845938379</v>
      </c>
      <c r="Q58" s="150">
        <f t="shared" si="2"/>
        <v>40031.801120448174</v>
      </c>
      <c r="R58" s="24">
        <v>4.8169245739578219</v>
      </c>
      <c r="S58" s="69">
        <v>21.121057419585881</v>
      </c>
      <c r="T58" s="12"/>
      <c r="U58" s="12">
        <v>5.4740998771909064</v>
      </c>
      <c r="V58" s="12"/>
      <c r="W58" s="12"/>
    </row>
    <row r="59" spans="1:23" x14ac:dyDescent="0.25">
      <c r="C59" s="3"/>
      <c r="D59" s="3"/>
      <c r="G59" s="3"/>
      <c r="H59" s="3"/>
      <c r="I59" s="3"/>
      <c r="J59" s="3"/>
      <c r="K59" s="3"/>
      <c r="L59" s="40"/>
      <c r="M59" s="3"/>
      <c r="N59" s="3"/>
      <c r="O59" s="3"/>
      <c r="P59" s="94">
        <v>0.70588235294117652</v>
      </c>
      <c r="Q59" s="150">
        <f t="shared" si="2"/>
        <v>40052.249299719879</v>
      </c>
      <c r="R59" s="24">
        <v>3.0139416328674633</v>
      </c>
      <c r="S59" s="69">
        <v>17.626613644354734</v>
      </c>
      <c r="T59" s="12"/>
      <c r="U59" s="12">
        <v>3.2150198167323465</v>
      </c>
      <c r="V59" s="12"/>
      <c r="W59" s="12"/>
    </row>
    <row r="60" spans="1:23" x14ac:dyDescent="0.25">
      <c r="C60" s="3"/>
      <c r="D60" s="3"/>
      <c r="G60" s="3"/>
      <c r="H60" s="3"/>
      <c r="I60" s="3"/>
      <c r="J60" s="3"/>
      <c r="K60" s="3"/>
      <c r="L60" s="40"/>
      <c r="M60" s="3"/>
      <c r="N60" s="3"/>
      <c r="O60" s="3"/>
      <c r="P60" s="94">
        <v>0.72408963585434172</v>
      </c>
      <c r="Q60" s="150">
        <f t="shared" si="2"/>
        <v>40065.540616246486</v>
      </c>
      <c r="R60" s="24">
        <v>1.8029829410903584</v>
      </c>
      <c r="S60" s="69">
        <v>10.766918941268395</v>
      </c>
      <c r="T60" s="12"/>
      <c r="U60" s="12">
        <v>2.2748342758280584</v>
      </c>
      <c r="V60" s="12"/>
      <c r="W60" s="12"/>
    </row>
    <row r="61" spans="1:23" x14ac:dyDescent="0.25">
      <c r="C61" s="3"/>
      <c r="D61" s="3"/>
      <c r="G61" s="3"/>
      <c r="H61" s="3"/>
      <c r="I61" s="3"/>
      <c r="J61" s="3"/>
      <c r="K61" s="3"/>
      <c r="L61" s="40"/>
      <c r="M61" s="3"/>
      <c r="N61" s="3"/>
      <c r="O61" s="3"/>
      <c r="P61" s="94">
        <v>0.73949579831932777</v>
      </c>
      <c r="Q61" s="150">
        <f t="shared" si="2"/>
        <v>40076.787114845923</v>
      </c>
      <c r="R61" s="24">
        <v>1.2378688849277082</v>
      </c>
      <c r="S61" s="69">
        <v>5.2000436970959729</v>
      </c>
      <c r="T61" s="12"/>
      <c r="U61" s="12">
        <v>1.6975742493077122</v>
      </c>
      <c r="V61" s="12"/>
      <c r="W61" s="12"/>
    </row>
    <row r="62" spans="1:23" x14ac:dyDescent="0.25">
      <c r="C62" s="3"/>
      <c r="D62" s="3"/>
      <c r="G62" s="3"/>
      <c r="H62" s="3"/>
      <c r="I62" s="3"/>
      <c r="J62" s="3"/>
      <c r="K62" s="3"/>
      <c r="L62" s="40"/>
      <c r="M62" s="3"/>
      <c r="N62" s="3"/>
      <c r="O62" s="3"/>
      <c r="P62" s="94">
        <v>0.7591036414565826</v>
      </c>
      <c r="Q62" s="150">
        <v>40086</v>
      </c>
      <c r="R62" s="24">
        <v>0.45747328356023997</v>
      </c>
      <c r="S62" s="69">
        <v>-0.10969323154056632</v>
      </c>
      <c r="T62" s="12"/>
      <c r="U62" s="12">
        <v>1.3356542623236178</v>
      </c>
      <c r="V62" s="12"/>
      <c r="W62" s="12"/>
    </row>
    <row r="63" spans="1:23" x14ac:dyDescent="0.25">
      <c r="A63" s="6">
        <v>3</v>
      </c>
      <c r="B63" s="6" t="s">
        <v>74</v>
      </c>
      <c r="C63" s="11">
        <v>40.332999999999998</v>
      </c>
      <c r="D63" s="11">
        <v>115.783</v>
      </c>
      <c r="E63" s="6" t="s">
        <v>126</v>
      </c>
      <c r="F63" s="6" t="s">
        <v>35</v>
      </c>
      <c r="G63" s="11">
        <v>0.55030000000000001</v>
      </c>
      <c r="H63" s="11">
        <v>11.8</v>
      </c>
      <c r="I63" s="11">
        <v>2.7222523872996707</v>
      </c>
      <c r="J63" s="11">
        <v>0.28793054096438819</v>
      </c>
      <c r="K63" s="11">
        <f>I63/J63</f>
        <v>9.4545454545454568</v>
      </c>
      <c r="L63" s="14">
        <v>1.3354848838793516</v>
      </c>
      <c r="M63" s="7">
        <f>9.353*EXP(-0.023*H63-0.622*L63-0.182*J63-0.009*K63)*(I63/(I63+0.567))</f>
        <v>2.2410188412063974</v>
      </c>
      <c r="N63" s="7">
        <f>LN(M63)/10</f>
        <v>8.0693060228295505E-2</v>
      </c>
      <c r="O63" s="11">
        <f>4.3573*EXP(-1.002*M63)</f>
        <v>0.46132694486369108</v>
      </c>
      <c r="P63" s="95"/>
      <c r="Q63" s="149">
        <v>40635</v>
      </c>
      <c r="R63" s="122">
        <v>2.5622253328558875</v>
      </c>
      <c r="S63" s="50">
        <v>13.007633587786259</v>
      </c>
      <c r="T63" s="13"/>
      <c r="U63" s="122">
        <v>1.6119402985074627</v>
      </c>
      <c r="V63" s="122"/>
      <c r="W63" s="122" t="s">
        <v>94</v>
      </c>
    </row>
    <row r="64" spans="1:23" x14ac:dyDescent="0.25">
      <c r="B64" s="8"/>
      <c r="C64" s="9"/>
      <c r="D64" s="9"/>
      <c r="E64" s="8"/>
      <c r="F64" s="8"/>
      <c r="G64" s="9"/>
      <c r="H64" s="9"/>
      <c r="I64" s="9"/>
      <c r="J64" s="9"/>
      <c r="K64" s="9"/>
      <c r="L64" s="42"/>
      <c r="M64" s="8"/>
      <c r="N64" s="8"/>
      <c r="O64" s="18"/>
      <c r="P64" s="96"/>
      <c r="Q64" s="151">
        <v>40642</v>
      </c>
      <c r="R64" s="123">
        <v>2.6073439890621439</v>
      </c>
      <c r="S64" s="51">
        <v>15.389312977099237</v>
      </c>
      <c r="T64" s="15"/>
      <c r="U64" s="123">
        <v>2.0820895522388061</v>
      </c>
      <c r="V64" s="123"/>
      <c r="W64" s="123"/>
    </row>
    <row r="65" spans="1:23" x14ac:dyDescent="0.25">
      <c r="B65" s="8"/>
      <c r="C65" s="9"/>
      <c r="D65" s="9"/>
      <c r="E65" s="8"/>
      <c r="F65" s="8"/>
      <c r="G65" s="9"/>
      <c r="H65" s="9"/>
      <c r="I65" s="9"/>
      <c r="J65" s="9"/>
      <c r="K65" s="9"/>
      <c r="L65" s="32"/>
      <c r="M65" s="8"/>
      <c r="N65" s="9"/>
      <c r="O65" s="9"/>
      <c r="P65" s="96"/>
      <c r="Q65" s="151">
        <v>40649</v>
      </c>
      <c r="R65" s="123">
        <v>3.6668999641915425</v>
      </c>
      <c r="S65" s="51">
        <v>17.679389312977101</v>
      </c>
      <c r="T65" s="15"/>
      <c r="U65" s="123">
        <v>3.4589552238805972</v>
      </c>
      <c r="V65" s="123"/>
      <c r="W65" s="123"/>
    </row>
    <row r="66" spans="1:23" x14ac:dyDescent="0.25">
      <c r="B66" s="8"/>
      <c r="C66" s="9"/>
      <c r="D66" s="9"/>
      <c r="E66" s="8"/>
      <c r="F66" s="8"/>
      <c r="G66" s="9"/>
      <c r="H66" s="9"/>
      <c r="I66" s="9"/>
      <c r="J66" s="9"/>
      <c r="K66" s="9"/>
      <c r="L66" s="32"/>
      <c r="M66" s="9"/>
      <c r="N66" s="9"/>
      <c r="O66" s="9"/>
      <c r="P66" s="96"/>
      <c r="Q66" s="151">
        <v>40656</v>
      </c>
      <c r="R66" s="123">
        <v>3.8415150232754973</v>
      </c>
      <c r="S66" s="51">
        <v>16.488549618320612</v>
      </c>
      <c r="T66" s="15"/>
      <c r="U66" s="123">
        <v>4.3656716417910451</v>
      </c>
      <c r="V66" s="123"/>
      <c r="W66" s="123"/>
    </row>
    <row r="67" spans="1:23" x14ac:dyDescent="0.25">
      <c r="B67" s="8"/>
      <c r="C67" s="9"/>
      <c r="D67" s="9"/>
      <c r="E67" s="8"/>
      <c r="F67" s="8"/>
      <c r="G67" s="9"/>
      <c r="H67" s="9"/>
      <c r="I67" s="9"/>
      <c r="J67" s="9"/>
      <c r="K67" s="9"/>
      <c r="L67" s="32"/>
      <c r="M67" s="9"/>
      <c r="N67" s="9"/>
      <c r="O67" s="9"/>
      <c r="P67" s="96"/>
      <c r="Q67" s="151">
        <v>40663</v>
      </c>
      <c r="R67" s="123">
        <v>4.4478824180474623</v>
      </c>
      <c r="S67" s="51">
        <v>17.31297709923664</v>
      </c>
      <c r="T67" s="15"/>
      <c r="U67" s="123">
        <v>4.7686567164179099</v>
      </c>
      <c r="V67" s="123"/>
      <c r="W67" s="123"/>
    </row>
    <row r="68" spans="1:23" x14ac:dyDescent="0.25">
      <c r="B68" s="8"/>
      <c r="C68" s="9"/>
      <c r="D68" s="9"/>
      <c r="E68" s="8"/>
      <c r="F68" s="8"/>
      <c r="G68" s="9"/>
      <c r="H68" s="9"/>
      <c r="I68" s="9"/>
      <c r="J68" s="9"/>
      <c r="K68" s="9"/>
      <c r="L68" s="32"/>
      <c r="M68" s="9"/>
      <c r="N68" s="9"/>
      <c r="O68" s="9"/>
      <c r="P68" s="96"/>
      <c r="Q68" s="151">
        <v>40670</v>
      </c>
      <c r="R68" s="123">
        <v>4.6441290406588758</v>
      </c>
      <c r="S68" s="51">
        <v>18.320610687022899</v>
      </c>
      <c r="T68" s="15"/>
      <c r="U68" s="123">
        <v>4.8358208955223878</v>
      </c>
      <c r="V68" s="123"/>
      <c r="W68" s="123"/>
    </row>
    <row r="69" spans="1:23" x14ac:dyDescent="0.25">
      <c r="B69" s="8"/>
      <c r="C69" s="9"/>
      <c r="D69" s="9"/>
      <c r="E69" s="8"/>
      <c r="F69" s="8"/>
      <c r="G69" s="9"/>
      <c r="H69" s="9"/>
      <c r="I69" s="9"/>
      <c r="J69" s="9"/>
      <c r="K69" s="9"/>
      <c r="L69" s="32"/>
      <c r="M69" s="9"/>
      <c r="N69" s="9"/>
      <c r="O69" s="9"/>
      <c r="P69" s="96"/>
      <c r="Q69" s="151">
        <v>40677</v>
      </c>
      <c r="R69" s="123">
        <v>5.0562030013997852</v>
      </c>
      <c r="S69" s="51">
        <v>19.786259541984734</v>
      </c>
      <c r="T69" s="15"/>
      <c r="U69" s="123">
        <v>4.9365671641791042</v>
      </c>
      <c r="V69" s="123"/>
      <c r="W69" s="123"/>
    </row>
    <row r="70" spans="1:23" x14ac:dyDescent="0.25">
      <c r="B70" s="8"/>
      <c r="C70" s="9"/>
      <c r="D70" s="9"/>
      <c r="E70" s="8"/>
      <c r="F70" s="8"/>
      <c r="G70" s="9"/>
      <c r="H70" s="9"/>
      <c r="I70" s="9"/>
      <c r="J70" s="9"/>
      <c r="K70" s="9"/>
      <c r="L70" s="32"/>
      <c r="M70" s="9"/>
      <c r="N70" s="9"/>
      <c r="O70" s="9"/>
      <c r="P70" s="96"/>
      <c r="Q70" s="151">
        <v>40685</v>
      </c>
      <c r="R70" s="123">
        <v>4.5185878446564018</v>
      </c>
      <c r="S70" s="51">
        <v>18.503816793893129</v>
      </c>
      <c r="T70" s="15"/>
      <c r="U70" s="123">
        <v>4.7350746268656714</v>
      </c>
      <c r="V70" s="123"/>
      <c r="W70" s="123"/>
    </row>
    <row r="71" spans="1:23" x14ac:dyDescent="0.25">
      <c r="B71" s="8"/>
      <c r="C71" s="9"/>
      <c r="D71" s="9"/>
      <c r="E71" s="8"/>
      <c r="F71" s="8"/>
      <c r="G71" s="9"/>
      <c r="H71" s="9"/>
      <c r="I71" s="9"/>
      <c r="J71" s="9"/>
      <c r="K71" s="9"/>
      <c r="L71" s="32"/>
      <c r="M71" s="9"/>
      <c r="N71" s="9"/>
      <c r="O71" s="9"/>
      <c r="P71" s="96"/>
      <c r="Q71" s="151">
        <v>40692</v>
      </c>
      <c r="R71" s="123">
        <v>4.3048113545362803</v>
      </c>
      <c r="S71" s="51">
        <v>22.625954198473281</v>
      </c>
      <c r="T71" s="15"/>
      <c r="U71" s="123">
        <v>4.3656716417910451</v>
      </c>
      <c r="V71" s="123"/>
      <c r="W71" s="123"/>
    </row>
    <row r="72" spans="1:23" x14ac:dyDescent="0.25">
      <c r="B72" s="8"/>
      <c r="C72" s="9"/>
      <c r="D72" s="9"/>
      <c r="E72" s="8"/>
      <c r="F72" s="8"/>
      <c r="G72" s="9"/>
      <c r="H72" s="9"/>
      <c r="I72" s="9"/>
      <c r="J72" s="9"/>
      <c r="K72" s="9"/>
      <c r="L72" s="32"/>
      <c r="M72" s="9"/>
      <c r="N72" s="9"/>
      <c r="O72" s="9"/>
      <c r="P72" s="96"/>
      <c r="Q72" s="151">
        <v>40696</v>
      </c>
      <c r="R72" s="123">
        <v>3.9398580682964939</v>
      </c>
      <c r="S72" s="51">
        <v>23.358778625954198</v>
      </c>
      <c r="T72" s="15"/>
      <c r="U72" s="123">
        <v>2.6865671641791042</v>
      </c>
      <c r="V72" s="123"/>
      <c r="W72" s="123"/>
    </row>
    <row r="73" spans="1:23" x14ac:dyDescent="0.25">
      <c r="B73" s="8"/>
      <c r="C73" s="9"/>
      <c r="D73" s="9"/>
      <c r="E73" s="8"/>
      <c r="F73" s="8"/>
      <c r="G73" s="9"/>
      <c r="H73" s="9"/>
      <c r="I73" s="9"/>
      <c r="J73" s="9"/>
      <c r="K73" s="9"/>
      <c r="L73" s="32"/>
      <c r="M73" s="9"/>
      <c r="N73" s="9"/>
      <c r="O73" s="9"/>
      <c r="P73" s="96"/>
      <c r="Q73" s="151">
        <v>40703</v>
      </c>
      <c r="R73" s="123">
        <v>3.7476643119893227</v>
      </c>
      <c r="S73" s="51">
        <v>26.015267175572518</v>
      </c>
      <c r="T73" s="15"/>
      <c r="U73" s="123">
        <v>1.6791044776119404</v>
      </c>
      <c r="V73" s="123"/>
      <c r="W73" s="123"/>
    </row>
    <row r="74" spans="1:23" x14ac:dyDescent="0.25">
      <c r="A74" s="6">
        <v>4</v>
      </c>
      <c r="B74" s="33" t="s">
        <v>75</v>
      </c>
      <c r="C74" s="44">
        <v>39.875999999999998</v>
      </c>
      <c r="D74" s="44">
        <v>94.105000000000004</v>
      </c>
      <c r="E74" s="70" t="s">
        <v>141</v>
      </c>
      <c r="F74" s="70" t="s">
        <v>127</v>
      </c>
      <c r="G74" s="11">
        <v>0.26719999999999999</v>
      </c>
      <c r="H74" s="11">
        <v>7.7</v>
      </c>
      <c r="I74" s="11">
        <v>1.8301500000000002</v>
      </c>
      <c r="J74" s="11">
        <v>0.5819877</v>
      </c>
      <c r="K74" s="11">
        <f>I74/J74</f>
        <v>3.1446540880503147</v>
      </c>
      <c r="L74" s="14">
        <v>1.2450000000000001</v>
      </c>
      <c r="M74" s="7">
        <f>9.353*EXP(-0.023*H74-0.622*L74-0.182*J74-0.009*K74)*(I74/(I74+0.567))</f>
        <v>2.4111429742514057</v>
      </c>
      <c r="N74" s="7">
        <f>LN(M74)/10</f>
        <v>8.801008982501865E-2</v>
      </c>
      <c r="O74" s="11">
        <f>4.3573*EXP(-1.002*M74)</f>
        <v>0.38902461461573773</v>
      </c>
      <c r="P74" s="10"/>
      <c r="Q74" s="149">
        <v>41456</v>
      </c>
      <c r="R74" s="13"/>
      <c r="S74" s="25"/>
      <c r="T74" s="13"/>
      <c r="U74" s="13"/>
      <c r="V74" s="13"/>
      <c r="W74" s="13" t="s">
        <v>95</v>
      </c>
    </row>
    <row r="75" spans="1:23" x14ac:dyDescent="0.25">
      <c r="B75" s="8"/>
      <c r="C75" s="9"/>
      <c r="D75" s="9"/>
      <c r="E75" s="8"/>
      <c r="F75" s="8"/>
      <c r="G75" s="9"/>
      <c r="H75" s="9"/>
      <c r="I75" s="9"/>
      <c r="J75" s="9"/>
      <c r="K75" s="9"/>
      <c r="L75" s="32"/>
      <c r="M75" s="8"/>
      <c r="N75" s="8"/>
      <c r="O75" s="18"/>
      <c r="P75" s="97">
        <v>9.712846887388835E-3</v>
      </c>
      <c r="Q75" s="151">
        <f t="shared" ref="Q75:Q109" si="3">Q74+(P75-P74)*365*4</f>
        <v>41470.180756455586</v>
      </c>
      <c r="R75" s="124">
        <v>4.0235294117647058</v>
      </c>
      <c r="S75" s="37">
        <v>22.857142857142854</v>
      </c>
      <c r="T75" s="124">
        <v>0.33750000000000002</v>
      </c>
      <c r="U75" s="124">
        <v>3.8214569793384423</v>
      </c>
      <c r="V75" s="124"/>
      <c r="W75" s="124"/>
    </row>
    <row r="76" spans="1:23" x14ac:dyDescent="0.25">
      <c r="B76" s="8"/>
      <c r="C76" s="9"/>
      <c r="D76" s="9"/>
      <c r="E76" s="8"/>
      <c r="F76" s="8"/>
      <c r="G76" s="9"/>
      <c r="H76" s="9"/>
      <c r="I76" s="9"/>
      <c r="J76" s="9"/>
      <c r="K76" s="9"/>
      <c r="L76" s="32"/>
      <c r="M76" s="8"/>
      <c r="N76" s="9"/>
      <c r="O76" s="9"/>
      <c r="P76" s="97">
        <v>3.1442194364084429E-2</v>
      </c>
      <c r="Q76" s="151">
        <f t="shared" si="3"/>
        <v>41501.905603771564</v>
      </c>
      <c r="R76" s="124">
        <v>3.1764705882352944</v>
      </c>
      <c r="S76" s="37">
        <v>19.761904761904763</v>
      </c>
      <c r="T76" s="124">
        <v>0.31041666666666667</v>
      </c>
      <c r="U76" s="124">
        <v>4.0773110873993597</v>
      </c>
      <c r="V76" s="124"/>
      <c r="W76" s="124"/>
    </row>
    <row r="77" spans="1:23" x14ac:dyDescent="0.25">
      <c r="B77" s="8"/>
      <c r="C77" s="9"/>
      <c r="D77" s="9"/>
      <c r="E77" s="8"/>
      <c r="F77" s="8"/>
      <c r="G77" s="9"/>
      <c r="H77" s="9"/>
      <c r="I77" s="9"/>
      <c r="J77" s="9"/>
      <c r="K77" s="9"/>
      <c r="L77" s="32"/>
      <c r="M77" s="9"/>
      <c r="N77" s="9"/>
      <c r="O77" s="9"/>
      <c r="P77" s="97">
        <v>4.7669559627129543E-2</v>
      </c>
      <c r="Q77" s="151">
        <f t="shared" si="3"/>
        <v>41525.597557055611</v>
      </c>
      <c r="R77" s="124">
        <v>2.0823529411764703</v>
      </c>
      <c r="S77" s="37">
        <v>15.714285714285715</v>
      </c>
      <c r="T77" s="124">
        <v>0.27500000000000002</v>
      </c>
      <c r="U77" s="124">
        <v>4.6029618133022927</v>
      </c>
      <c r="V77" s="124"/>
      <c r="W77" s="124"/>
    </row>
    <row r="78" spans="1:23" x14ac:dyDescent="0.25">
      <c r="B78" s="8"/>
      <c r="C78" s="9"/>
      <c r="D78" s="9"/>
      <c r="E78" s="8"/>
      <c r="F78" s="8"/>
      <c r="G78" s="9"/>
      <c r="H78" s="9"/>
      <c r="I78" s="9"/>
      <c r="J78" s="9"/>
      <c r="K78" s="9"/>
      <c r="L78" s="32"/>
      <c r="M78" s="9"/>
      <c r="N78" s="9"/>
      <c r="O78" s="9"/>
      <c r="P78" s="97">
        <v>6.758812814743384E-2</v>
      </c>
      <c r="Q78" s="151">
        <f t="shared" si="3"/>
        <v>41554.678667095257</v>
      </c>
      <c r="R78" s="124">
        <v>1.3058823529411765</v>
      </c>
      <c r="S78" s="37">
        <v>8.8095238095238102</v>
      </c>
      <c r="T78" s="124">
        <v>0.21458333333333332</v>
      </c>
      <c r="U78" s="124">
        <v>3.6802729007016528</v>
      </c>
      <c r="V78" s="124"/>
      <c r="W78" s="124"/>
    </row>
    <row r="79" spans="1:23" x14ac:dyDescent="0.25">
      <c r="B79" s="8"/>
      <c r="C79" s="9"/>
      <c r="D79" s="9"/>
      <c r="E79" s="8"/>
      <c r="F79" s="8"/>
      <c r="G79" s="9"/>
      <c r="H79" s="9"/>
      <c r="I79" s="9"/>
      <c r="J79" s="9"/>
      <c r="K79" s="9"/>
      <c r="L79" s="32"/>
      <c r="M79" s="9"/>
      <c r="N79" s="9"/>
      <c r="O79" s="9"/>
      <c r="P79" s="97">
        <v>9.6619522125790211E-2</v>
      </c>
      <c r="Q79" s="151">
        <f t="shared" si="3"/>
        <v>41597.064502303656</v>
      </c>
      <c r="R79" s="124">
        <v>0.56470588235294117</v>
      </c>
      <c r="S79" s="37">
        <v>1.071428571428573</v>
      </c>
      <c r="T79" s="124">
        <v>0.14687500000000001</v>
      </c>
      <c r="U79" s="15"/>
      <c r="V79" s="15"/>
      <c r="W79" s="15"/>
    </row>
    <row r="80" spans="1:23" x14ac:dyDescent="0.25">
      <c r="B80" s="8"/>
      <c r="C80" s="9"/>
      <c r="D80" s="9"/>
      <c r="E80" s="8"/>
      <c r="F80" s="8"/>
      <c r="G80" s="9"/>
      <c r="H80" s="9"/>
      <c r="I80" s="9"/>
      <c r="J80" s="9"/>
      <c r="K80" s="9"/>
      <c r="L80" s="32"/>
      <c r="M80" s="9"/>
      <c r="N80" s="9"/>
      <c r="O80" s="9"/>
      <c r="P80" s="97">
        <v>0.12845280188578165</v>
      </c>
      <c r="Q80" s="151">
        <f t="shared" si="3"/>
        <v>41643.541090753242</v>
      </c>
      <c r="R80" s="124">
        <v>0.28235294117647058</v>
      </c>
      <c r="S80" s="37">
        <v>-5.1190476190476195</v>
      </c>
      <c r="T80" s="124">
        <v>9.2708333333333323E-2</v>
      </c>
      <c r="U80" s="15"/>
      <c r="V80" s="15"/>
      <c r="W80" s="15"/>
    </row>
    <row r="81" spans="1:23" x14ac:dyDescent="0.25">
      <c r="B81" s="8"/>
      <c r="C81" s="9"/>
      <c r="D81" s="9"/>
      <c r="E81" s="8"/>
      <c r="F81" s="8"/>
      <c r="G81" s="9"/>
      <c r="H81" s="9"/>
      <c r="I81" s="9"/>
      <c r="J81" s="9"/>
      <c r="K81" s="9"/>
      <c r="L81" s="32"/>
      <c r="M81" s="9"/>
      <c r="N81" s="9"/>
      <c r="O81" s="9"/>
      <c r="P81" s="97">
        <v>0.14668381013607629</v>
      </c>
      <c r="Q81" s="151">
        <f t="shared" si="3"/>
        <v>41670.158362798669</v>
      </c>
      <c r="R81" s="124">
        <v>0.38823529411764712</v>
      </c>
      <c r="S81" s="37">
        <v>-2.5</v>
      </c>
      <c r="T81" s="124">
        <v>0.11562500000000001</v>
      </c>
      <c r="U81" s="15"/>
      <c r="V81" s="15"/>
      <c r="W81" s="15"/>
    </row>
    <row r="82" spans="1:23" x14ac:dyDescent="0.25">
      <c r="B82" s="8"/>
      <c r="C82" s="9"/>
      <c r="D82" s="9"/>
      <c r="E82" s="8"/>
      <c r="F82" s="8"/>
      <c r="G82" s="9"/>
      <c r="H82" s="9"/>
      <c r="I82" s="9"/>
      <c r="J82" s="9"/>
      <c r="K82" s="9"/>
      <c r="L82" s="32"/>
      <c r="M82" s="9"/>
      <c r="N82" s="9"/>
      <c r="O82" s="9"/>
      <c r="P82" s="97">
        <v>0.1667630986820958</v>
      </c>
      <c r="Q82" s="151">
        <f t="shared" si="3"/>
        <v>41699.474124075859</v>
      </c>
      <c r="R82" s="124">
        <v>0.67058823529411771</v>
      </c>
      <c r="S82" s="37">
        <v>-1.0714285714285712</v>
      </c>
      <c r="T82" s="124">
        <v>0.12812499999999999</v>
      </c>
      <c r="U82" s="15"/>
      <c r="V82" s="15"/>
      <c r="W82" s="15"/>
    </row>
    <row r="83" spans="1:23" x14ac:dyDescent="0.25">
      <c r="B83" s="8"/>
      <c r="C83" s="9"/>
      <c r="D83" s="9"/>
      <c r="E83" s="8"/>
      <c r="F83" s="8"/>
      <c r="G83" s="9"/>
      <c r="H83" s="9"/>
      <c r="I83" s="9"/>
      <c r="J83" s="9"/>
      <c r="K83" s="9"/>
      <c r="L83" s="32"/>
      <c r="M83" s="9"/>
      <c r="N83" s="9"/>
      <c r="O83" s="9"/>
      <c r="P83" s="97">
        <v>0.18689060323582984</v>
      </c>
      <c r="Q83" s="151">
        <f t="shared" si="3"/>
        <v>41728.860280724308</v>
      </c>
      <c r="R83" s="124">
        <v>1.2705882352941176</v>
      </c>
      <c r="S83" s="37">
        <v>0.83333333333333215</v>
      </c>
      <c r="T83" s="124">
        <v>0.14479166666666665</v>
      </c>
      <c r="U83" s="15"/>
      <c r="V83" s="15"/>
      <c r="W83" s="15"/>
    </row>
    <row r="84" spans="1:23" x14ac:dyDescent="0.25">
      <c r="B84" s="8"/>
      <c r="C84" s="9"/>
      <c r="D84" s="9"/>
      <c r="E84" s="8"/>
      <c r="F84" s="8"/>
      <c r="G84" s="9"/>
      <c r="H84" s="9"/>
      <c r="I84" s="9"/>
      <c r="J84" s="9"/>
      <c r="K84" s="9"/>
      <c r="L84" s="32"/>
      <c r="M84" s="9"/>
      <c r="N84" s="9"/>
      <c r="O84" s="9"/>
      <c r="P84" s="97">
        <v>0.20612343297974928</v>
      </c>
      <c r="Q84" s="151">
        <f t="shared" si="3"/>
        <v>41756.940212150432</v>
      </c>
      <c r="R84" s="124">
        <v>1.9764705882352942</v>
      </c>
      <c r="S84" s="37">
        <v>6.1904761904761898</v>
      </c>
      <c r="T84" s="124">
        <v>0.19166666666666665</v>
      </c>
      <c r="U84" s="15"/>
      <c r="V84" s="15"/>
      <c r="W84" s="15"/>
    </row>
    <row r="85" spans="1:23" x14ac:dyDescent="0.25">
      <c r="B85" s="8"/>
      <c r="C85" s="9"/>
      <c r="D85" s="9"/>
      <c r="E85" s="8"/>
      <c r="F85" s="8"/>
      <c r="G85" s="9"/>
      <c r="H85" s="9"/>
      <c r="I85" s="9"/>
      <c r="J85" s="9"/>
      <c r="K85" s="9"/>
      <c r="L85" s="32"/>
      <c r="M85" s="9"/>
      <c r="N85" s="9"/>
      <c r="O85" s="9"/>
      <c r="P85" s="97">
        <v>0.22718847101682202</v>
      </c>
      <c r="Q85" s="151">
        <f t="shared" si="3"/>
        <v>41787.695167684557</v>
      </c>
      <c r="R85" s="124">
        <v>2.7529411764705882</v>
      </c>
      <c r="S85" s="37">
        <v>13.571428571428573</v>
      </c>
      <c r="T85" s="124">
        <v>0.25624999999999998</v>
      </c>
      <c r="U85" s="15"/>
      <c r="V85" s="15"/>
      <c r="W85" s="15"/>
    </row>
    <row r="86" spans="1:23" x14ac:dyDescent="0.25">
      <c r="B86" s="8"/>
      <c r="C86" s="9"/>
      <c r="D86" s="9"/>
      <c r="E86" s="8"/>
      <c r="F86" s="8"/>
      <c r="G86" s="9"/>
      <c r="H86" s="9"/>
      <c r="I86" s="9"/>
      <c r="J86" s="9"/>
      <c r="K86" s="9"/>
      <c r="L86" s="32"/>
      <c r="M86" s="9"/>
      <c r="N86" s="9"/>
      <c r="O86" s="9"/>
      <c r="P86" s="97">
        <v>0.2464641594342655</v>
      </c>
      <c r="Q86" s="151">
        <f t="shared" si="3"/>
        <v>41815.837672774025</v>
      </c>
      <c r="R86" s="124">
        <v>3.7411764705882353</v>
      </c>
      <c r="S86" s="37">
        <v>23.214285714285715</v>
      </c>
      <c r="T86" s="124">
        <v>0.34062500000000001</v>
      </c>
      <c r="U86" s="124">
        <v>1.1832056132182236</v>
      </c>
      <c r="V86" s="124"/>
      <c r="W86" s="124"/>
    </row>
    <row r="87" spans="1:23" x14ac:dyDescent="0.25">
      <c r="A87" s="6"/>
      <c r="B87" s="33" t="s">
        <v>75</v>
      </c>
      <c r="C87" s="44">
        <v>39.875999999999998</v>
      </c>
      <c r="D87" s="44">
        <v>94.105000000000004</v>
      </c>
      <c r="E87" s="70" t="s">
        <v>148</v>
      </c>
      <c r="F87" s="70" t="s">
        <v>127</v>
      </c>
      <c r="G87" s="11">
        <v>0.26719999999999999</v>
      </c>
      <c r="H87" s="11">
        <v>8.3000000000000007</v>
      </c>
      <c r="I87" s="11">
        <v>1.8301500000000002</v>
      </c>
      <c r="J87" s="11">
        <v>0.5819877</v>
      </c>
      <c r="K87" s="11">
        <f t="shared" ref="K87" si="4">I87/J87</f>
        <v>3.1446540880503147</v>
      </c>
      <c r="L87" s="14">
        <v>1.2450000000000001</v>
      </c>
      <c r="M87" s="7">
        <f>9.353*EXP(-0.023*H87-0.622*L87-0.182*J87-0.009*K87)*(I87/(I87+0.567))</f>
        <v>2.3780977377647323</v>
      </c>
      <c r="N87" s="7">
        <f>LN(M87)/10</f>
        <v>8.663008982501863E-2</v>
      </c>
      <c r="O87" s="11">
        <f>4.3573*EXP(-1.002*M87)</f>
        <v>0.40212136467138299</v>
      </c>
      <c r="P87" s="98">
        <v>0.2610896817743491</v>
      </c>
      <c r="Q87" s="149">
        <f t="shared" si="3"/>
        <v>41837.19093539055</v>
      </c>
      <c r="R87" s="125">
        <v>4.0941176470588232</v>
      </c>
      <c r="S87" s="28">
        <v>21.785714285714285</v>
      </c>
      <c r="T87" s="125">
        <v>0.328125</v>
      </c>
      <c r="U87" s="125">
        <v>2.2202153458143368</v>
      </c>
      <c r="V87" s="125"/>
      <c r="W87" s="125"/>
    </row>
    <row r="88" spans="1:23" x14ac:dyDescent="0.25">
      <c r="B88" s="8"/>
      <c r="C88" s="9"/>
      <c r="D88" s="9"/>
      <c r="E88" s="8"/>
      <c r="F88" s="8"/>
      <c r="G88" s="9"/>
      <c r="H88" s="9"/>
      <c r="I88" s="9"/>
      <c r="J88" s="9"/>
      <c r="K88" s="9"/>
      <c r="L88" s="32"/>
      <c r="M88" s="8"/>
      <c r="N88" s="8"/>
      <c r="O88" s="18"/>
      <c r="P88" s="97">
        <v>0.2745526625950927</v>
      </c>
      <c r="Q88" s="151">
        <f t="shared" si="3"/>
        <v>41856.846887388834</v>
      </c>
      <c r="R88" s="124">
        <v>2.7882352941176469</v>
      </c>
      <c r="S88" s="37">
        <v>17.38095238095238</v>
      </c>
      <c r="T88" s="124">
        <v>0.2895833333333333</v>
      </c>
      <c r="U88" s="124">
        <v>2.8025544023021958</v>
      </c>
      <c r="V88" s="124"/>
      <c r="W88" s="124"/>
    </row>
    <row r="89" spans="1:23" x14ac:dyDescent="0.25">
      <c r="B89" s="8"/>
      <c r="C89" s="9"/>
      <c r="D89" s="9"/>
      <c r="E89" s="8"/>
      <c r="F89" s="8"/>
      <c r="G89" s="9"/>
      <c r="H89" s="9"/>
      <c r="I89" s="9"/>
      <c r="J89" s="9"/>
      <c r="K89" s="9"/>
      <c r="L89" s="32"/>
      <c r="M89" s="8"/>
      <c r="N89" s="9"/>
      <c r="O89" s="9"/>
      <c r="P89" s="97">
        <v>0.30365905925211617</v>
      </c>
      <c r="Q89" s="151">
        <f t="shared" si="3"/>
        <v>41899.342226508088</v>
      </c>
      <c r="R89" s="124">
        <v>2.5411764705882351</v>
      </c>
      <c r="S89" s="37">
        <v>12.976190476190474</v>
      </c>
      <c r="T89" s="124">
        <v>0.25104166666666666</v>
      </c>
      <c r="U89" s="124">
        <v>4.6632198402690204</v>
      </c>
      <c r="V89" s="124"/>
      <c r="W89" s="124"/>
    </row>
    <row r="90" spans="1:23" x14ac:dyDescent="0.25">
      <c r="B90" s="8"/>
      <c r="C90" s="9"/>
      <c r="D90" s="9"/>
      <c r="E90" s="8"/>
      <c r="F90" s="8"/>
      <c r="G90" s="9"/>
      <c r="H90" s="9"/>
      <c r="I90" s="9"/>
      <c r="J90" s="9"/>
      <c r="K90" s="9"/>
      <c r="L90" s="32"/>
      <c r="M90" s="9"/>
      <c r="N90" s="9"/>
      <c r="O90" s="9"/>
      <c r="P90" s="97">
        <v>0.31898639237115611</v>
      </c>
      <c r="Q90" s="151">
        <f t="shared" si="3"/>
        <v>41921.720132861883</v>
      </c>
      <c r="R90" s="124">
        <v>1.5176470588235293</v>
      </c>
      <c r="S90" s="37">
        <v>7.7380952380952372</v>
      </c>
      <c r="T90" s="124">
        <v>0.20520833333333333</v>
      </c>
      <c r="U90" s="124">
        <v>4.1522488440521226</v>
      </c>
      <c r="V90" s="124"/>
      <c r="W90" s="124"/>
    </row>
    <row r="91" spans="1:23" x14ac:dyDescent="0.25">
      <c r="B91" s="8"/>
      <c r="C91" s="9"/>
      <c r="D91" s="9"/>
      <c r="E91" s="8"/>
      <c r="F91" s="8"/>
      <c r="G91" s="9"/>
      <c r="H91" s="9"/>
      <c r="I91" s="9"/>
      <c r="J91" s="9"/>
      <c r="K91" s="9"/>
      <c r="L91" s="32"/>
      <c r="M91" s="9"/>
      <c r="N91" s="9"/>
      <c r="O91" s="9"/>
      <c r="P91" s="97">
        <v>0.34255866280938607</v>
      </c>
      <c r="Q91" s="151">
        <f t="shared" si="3"/>
        <v>41956.135647701696</v>
      </c>
      <c r="R91" s="124">
        <v>0.81176470588235294</v>
      </c>
      <c r="S91" s="37">
        <v>1.6666666666666679</v>
      </c>
      <c r="T91" s="124">
        <v>0.15208333333333335</v>
      </c>
      <c r="U91" s="124">
        <v>1.5252885827917351</v>
      </c>
      <c r="V91" s="124"/>
      <c r="W91" s="124"/>
    </row>
    <row r="92" spans="1:23" x14ac:dyDescent="0.25">
      <c r="B92" s="8"/>
      <c r="C92" s="9"/>
      <c r="D92" s="9"/>
      <c r="E92" s="8"/>
      <c r="F92" s="8"/>
      <c r="G92" s="9"/>
      <c r="H92" s="9"/>
      <c r="I92" s="9"/>
      <c r="J92" s="9"/>
      <c r="K92" s="9"/>
      <c r="L92" s="32"/>
      <c r="M92" s="9"/>
      <c r="N92" s="9"/>
      <c r="O92" s="9"/>
      <c r="P92" s="97">
        <v>0.37619200685738774</v>
      </c>
      <c r="Q92" s="151">
        <f t="shared" si="3"/>
        <v>42005.24033001178</v>
      </c>
      <c r="R92" s="124">
        <v>0.38823529411764712</v>
      </c>
      <c r="S92" s="37">
        <v>-4.4047619047619051</v>
      </c>
      <c r="T92" s="124">
        <v>9.8958333333333315E-2</v>
      </c>
      <c r="U92" s="15"/>
      <c r="V92" s="15"/>
      <c r="W92" s="15"/>
    </row>
    <row r="93" spans="1:23" x14ac:dyDescent="0.25">
      <c r="B93" s="8"/>
      <c r="C93" s="9"/>
      <c r="D93" s="9"/>
      <c r="E93" s="8"/>
      <c r="F93" s="8"/>
      <c r="G93" s="9"/>
      <c r="H93" s="9"/>
      <c r="I93" s="9"/>
      <c r="J93" s="9"/>
      <c r="K93" s="9"/>
      <c r="L93" s="32"/>
      <c r="M93" s="9"/>
      <c r="N93" s="9"/>
      <c r="O93" s="9"/>
      <c r="P93" s="97">
        <v>0.39622843672988323</v>
      </c>
      <c r="Q93" s="151">
        <f t="shared" si="3"/>
        <v>42034.493517625626</v>
      </c>
      <c r="R93" s="124">
        <v>0.38823529411764712</v>
      </c>
      <c r="S93" s="37">
        <v>-3.8095238095238093</v>
      </c>
      <c r="T93" s="124">
        <v>0.10416666666666669</v>
      </c>
      <c r="U93" s="15"/>
      <c r="V93" s="15"/>
      <c r="W93" s="15"/>
    </row>
    <row r="94" spans="1:23" x14ac:dyDescent="0.25">
      <c r="B94" s="8"/>
      <c r="C94" s="9"/>
      <c r="D94" s="9"/>
      <c r="E94" s="8"/>
      <c r="F94" s="8"/>
      <c r="G94" s="9"/>
      <c r="H94" s="9"/>
      <c r="I94" s="9"/>
      <c r="J94" s="9"/>
      <c r="K94" s="9"/>
      <c r="L94" s="32"/>
      <c r="M94" s="9"/>
      <c r="N94" s="9"/>
      <c r="O94" s="9"/>
      <c r="P94" s="97">
        <v>0.42902067930997534</v>
      </c>
      <c r="Q94" s="151">
        <f t="shared" si="3"/>
        <v>42082.370191792557</v>
      </c>
      <c r="R94" s="124">
        <v>0.42352941176470588</v>
      </c>
      <c r="S94" s="37">
        <v>-0.71428571428571352</v>
      </c>
      <c r="T94" s="124">
        <v>0.13125000000000001</v>
      </c>
      <c r="U94" s="15"/>
      <c r="V94" s="15"/>
      <c r="W94" s="15"/>
    </row>
    <row r="95" spans="1:23" x14ac:dyDescent="0.25">
      <c r="B95" s="8"/>
      <c r="C95" s="9"/>
      <c r="D95" s="9"/>
      <c r="E95" s="8"/>
      <c r="F95" s="8"/>
      <c r="G95" s="9"/>
      <c r="H95" s="9"/>
      <c r="I95" s="9"/>
      <c r="J95" s="9"/>
      <c r="K95" s="9"/>
      <c r="L95" s="32"/>
      <c r="M95" s="9"/>
      <c r="N95" s="9"/>
      <c r="O95" s="9"/>
      <c r="P95" s="97">
        <v>0.44824279438551379</v>
      </c>
      <c r="Q95" s="151">
        <f t="shared" si="3"/>
        <v>42110.434479802847</v>
      </c>
      <c r="R95" s="124">
        <v>1.0588235294117647</v>
      </c>
      <c r="S95" s="37">
        <v>2.3809523809523814</v>
      </c>
      <c r="T95" s="124">
        <v>0.15833333333333333</v>
      </c>
      <c r="U95" s="15"/>
      <c r="V95" s="15"/>
      <c r="W95" s="15"/>
    </row>
    <row r="96" spans="1:23" x14ac:dyDescent="0.25">
      <c r="B96" s="8"/>
      <c r="C96" s="9"/>
      <c r="D96" s="9"/>
      <c r="E96" s="8"/>
      <c r="F96" s="8"/>
      <c r="G96" s="9"/>
      <c r="H96" s="9"/>
      <c r="I96" s="9"/>
      <c r="J96" s="9"/>
      <c r="K96" s="9"/>
      <c r="L96" s="32"/>
      <c r="M96" s="9"/>
      <c r="N96" s="9"/>
      <c r="O96" s="9"/>
      <c r="P96" s="97">
        <v>0.46930247508839601</v>
      </c>
      <c r="Q96" s="151">
        <f t="shared" si="3"/>
        <v>42141.181613629058</v>
      </c>
      <c r="R96" s="124">
        <v>1.7999999999999998</v>
      </c>
      <c r="S96" s="37">
        <v>9.2857142857142847</v>
      </c>
      <c r="T96" s="124">
        <v>0.21875</v>
      </c>
      <c r="U96" s="15"/>
      <c r="V96" s="15"/>
      <c r="W96" s="15"/>
    </row>
    <row r="97" spans="1:23" x14ac:dyDescent="0.25">
      <c r="B97" s="8"/>
      <c r="C97" s="9"/>
      <c r="D97" s="9"/>
      <c r="E97" s="8"/>
      <c r="F97" s="8"/>
      <c r="G97" s="9"/>
      <c r="H97" s="9"/>
      <c r="I97" s="9"/>
      <c r="J97" s="9"/>
      <c r="K97" s="9"/>
      <c r="L97" s="32"/>
      <c r="M97" s="9"/>
      <c r="N97" s="9"/>
      <c r="O97" s="9"/>
      <c r="P97" s="97">
        <v>0.48489767491696134</v>
      </c>
      <c r="Q97" s="151">
        <f t="shared" si="3"/>
        <v>42163.950605378763</v>
      </c>
      <c r="R97" s="124">
        <v>2.5411764705882351</v>
      </c>
      <c r="S97" s="37">
        <v>16.547619047619047</v>
      </c>
      <c r="T97" s="124">
        <v>0.28229166666666666</v>
      </c>
      <c r="U97" s="15">
        <v>2.7773984000000005</v>
      </c>
      <c r="V97" s="15"/>
      <c r="W97" s="15"/>
    </row>
    <row r="98" spans="1:23" x14ac:dyDescent="0.25">
      <c r="A98" s="6"/>
      <c r="B98" s="33" t="s">
        <v>75</v>
      </c>
      <c r="C98" s="44">
        <v>39.875999999999998</v>
      </c>
      <c r="D98" s="44">
        <v>94.105000000000004</v>
      </c>
      <c r="E98" s="70" t="s">
        <v>149</v>
      </c>
      <c r="F98" s="70" t="s">
        <v>127</v>
      </c>
      <c r="G98" s="11">
        <v>0.26719999999999999</v>
      </c>
      <c r="H98" s="11">
        <v>8.1999999999999993</v>
      </c>
      <c r="I98" s="11">
        <v>1.8301500000000002</v>
      </c>
      <c r="J98" s="11">
        <v>0.5819877</v>
      </c>
      <c r="K98" s="11">
        <f t="shared" ref="K98" si="5">I98/J98</f>
        <v>3.1446540880503147</v>
      </c>
      <c r="L98" s="14">
        <v>1.2450000000000001</v>
      </c>
      <c r="M98" s="7">
        <f>9.353*EXP(-0.023*H98-0.622*L98-0.182*J98-0.009*K98)*(I98/(I98+0.567))</f>
        <v>2.3835736574552682</v>
      </c>
      <c r="N98" s="7">
        <f>LN(M98)/10</f>
        <v>8.6860089825018666E-2</v>
      </c>
      <c r="O98" s="11">
        <f>4.3573*EXP(-1.002*M98)</f>
        <v>0.39992101843281747</v>
      </c>
      <c r="P98" s="98">
        <v>0.50242687238829953</v>
      </c>
      <c r="Q98" s="149">
        <f t="shared" si="3"/>
        <v>42189.54323368692</v>
      </c>
      <c r="R98" s="125">
        <v>4.0235294117647058</v>
      </c>
      <c r="S98" s="28">
        <v>20.357142857142854</v>
      </c>
      <c r="T98" s="125">
        <v>0.31562499999999999</v>
      </c>
      <c r="U98" s="125">
        <v>3.1896207197594335</v>
      </c>
      <c r="V98" s="125"/>
      <c r="W98" s="125"/>
    </row>
    <row r="99" spans="1:23" x14ac:dyDescent="0.25">
      <c r="B99" s="8"/>
      <c r="C99" s="9"/>
      <c r="D99" s="9"/>
      <c r="E99" s="8"/>
      <c r="F99" s="8"/>
      <c r="G99" s="9"/>
      <c r="H99" s="9"/>
      <c r="I99" s="9"/>
      <c r="J99" s="9"/>
      <c r="K99" s="9"/>
      <c r="L99" s="32"/>
      <c r="M99" s="8"/>
      <c r="N99" s="8"/>
      <c r="O99" s="18"/>
      <c r="P99" s="97">
        <v>0.52063645130183223</v>
      </c>
      <c r="Q99" s="151">
        <f t="shared" si="3"/>
        <v>42216.129218900678</v>
      </c>
      <c r="R99" s="124">
        <v>3.9882352941176471</v>
      </c>
      <c r="S99" s="37">
        <v>21.666666666666664</v>
      </c>
      <c r="T99" s="124">
        <v>0.32708333333333328</v>
      </c>
      <c r="U99" s="124">
        <v>4.0703786335564391</v>
      </c>
      <c r="V99" s="124"/>
      <c r="W99" s="124"/>
    </row>
    <row r="100" spans="1:23" x14ac:dyDescent="0.25">
      <c r="B100" s="8"/>
      <c r="C100" s="9"/>
      <c r="D100" s="9"/>
      <c r="E100" s="8"/>
      <c r="F100" s="8"/>
      <c r="G100" s="9"/>
      <c r="H100" s="9"/>
      <c r="I100" s="9"/>
      <c r="J100" s="9"/>
      <c r="K100" s="9"/>
      <c r="L100" s="32"/>
      <c r="M100" s="8"/>
      <c r="N100" s="9"/>
      <c r="O100" s="9"/>
      <c r="P100" s="97">
        <v>0.54046394514089791</v>
      </c>
      <c r="Q100" s="151">
        <f t="shared" si="3"/>
        <v>42245.077359905714</v>
      </c>
      <c r="R100" s="124">
        <v>2.611764705882353</v>
      </c>
      <c r="S100" s="37">
        <v>20.11904761904762</v>
      </c>
      <c r="T100" s="124">
        <v>0.31354166666666666</v>
      </c>
      <c r="U100" s="124">
        <v>3.0765285996055227</v>
      </c>
      <c r="V100" s="124"/>
      <c r="W100" s="124"/>
    </row>
    <row r="101" spans="1:23" x14ac:dyDescent="0.25">
      <c r="B101" s="8"/>
      <c r="C101" s="9"/>
      <c r="D101" s="9"/>
      <c r="E101" s="8"/>
      <c r="F101" s="8"/>
      <c r="G101" s="9"/>
      <c r="H101" s="9"/>
      <c r="I101" s="9"/>
      <c r="J101" s="9"/>
      <c r="K101" s="9"/>
      <c r="L101" s="32"/>
      <c r="M101" s="9"/>
      <c r="N101" s="9"/>
      <c r="O101" s="9"/>
      <c r="P101" s="97">
        <v>0.5522286510232508</v>
      </c>
      <c r="Q101" s="151">
        <f t="shared" si="3"/>
        <v>42262.253830493952</v>
      </c>
      <c r="R101" s="124">
        <v>2.1176470588235294</v>
      </c>
      <c r="S101" s="37">
        <v>13.214285714285715</v>
      </c>
      <c r="T101" s="124">
        <v>0.25312499999999999</v>
      </c>
      <c r="U101" s="124">
        <v>1.5714359621043101</v>
      </c>
      <c r="V101" s="124"/>
      <c r="W101" s="124"/>
    </row>
    <row r="102" spans="1:23" x14ac:dyDescent="0.25">
      <c r="B102" s="8"/>
      <c r="C102" s="9"/>
      <c r="D102" s="9"/>
      <c r="E102" s="8"/>
      <c r="F102" s="8"/>
      <c r="G102" s="9"/>
      <c r="H102" s="9"/>
      <c r="I102" s="9"/>
      <c r="J102" s="9"/>
      <c r="K102" s="9"/>
      <c r="L102" s="32"/>
      <c r="M102" s="9"/>
      <c r="N102" s="9"/>
      <c r="O102" s="9"/>
      <c r="P102" s="97">
        <v>0.57212579020679311</v>
      </c>
      <c r="Q102" s="151">
        <f t="shared" si="3"/>
        <v>42291.303653701922</v>
      </c>
      <c r="R102" s="124">
        <v>1.2000000000000002</v>
      </c>
      <c r="S102" s="37">
        <v>6.428571428571427</v>
      </c>
      <c r="T102" s="124">
        <v>0.19375000000000001</v>
      </c>
      <c r="U102" s="15"/>
      <c r="V102" s="15"/>
      <c r="W102" s="15"/>
    </row>
    <row r="103" spans="1:23" x14ac:dyDescent="0.25">
      <c r="B103" s="8"/>
      <c r="C103" s="9"/>
      <c r="D103" s="9"/>
      <c r="E103" s="8"/>
      <c r="F103" s="8"/>
      <c r="G103" s="9"/>
      <c r="H103" s="9"/>
      <c r="I103" s="9"/>
      <c r="J103" s="9"/>
      <c r="K103" s="9"/>
      <c r="L103" s="32"/>
      <c r="M103" s="9"/>
      <c r="N103" s="9"/>
      <c r="O103" s="9"/>
      <c r="P103" s="97">
        <v>0.5948194578377799</v>
      </c>
      <c r="Q103" s="151">
        <f t="shared" si="3"/>
        <v>42324.436408443165</v>
      </c>
      <c r="R103" s="124">
        <v>0.70588235294117641</v>
      </c>
      <c r="S103" s="37">
        <v>2.1428571428571423</v>
      </c>
      <c r="T103" s="124">
        <v>0.15625</v>
      </c>
      <c r="U103" s="15"/>
      <c r="V103" s="15"/>
      <c r="W103" s="15"/>
    </row>
    <row r="104" spans="1:23" x14ac:dyDescent="0.25">
      <c r="B104" s="8"/>
      <c r="C104" s="9"/>
      <c r="D104" s="9"/>
      <c r="E104" s="8"/>
      <c r="F104" s="8"/>
      <c r="G104" s="9"/>
      <c r="H104" s="9"/>
      <c r="I104" s="9"/>
      <c r="J104" s="9"/>
      <c r="K104" s="9"/>
      <c r="L104" s="32"/>
      <c r="M104" s="9"/>
      <c r="N104" s="9"/>
      <c r="O104" s="9"/>
      <c r="P104" s="97">
        <v>0.6302903675131255</v>
      </c>
      <c r="Q104" s="151">
        <f t="shared" si="3"/>
        <v>42376.223936569171</v>
      </c>
      <c r="R104" s="124">
        <v>0.38823529411764712</v>
      </c>
      <c r="S104" s="37">
        <v>-3.0952380952380949</v>
      </c>
      <c r="T104" s="124">
        <v>0.11041666666666668</v>
      </c>
      <c r="U104" s="15"/>
      <c r="V104" s="15"/>
      <c r="W104" s="15"/>
    </row>
    <row r="105" spans="1:23" x14ac:dyDescent="0.25">
      <c r="B105" s="8"/>
      <c r="C105" s="9"/>
      <c r="D105" s="9"/>
      <c r="E105" s="8"/>
      <c r="F105" s="8"/>
      <c r="G105" s="9"/>
      <c r="H105" s="9"/>
      <c r="I105" s="9"/>
      <c r="J105" s="9"/>
      <c r="K105" s="9"/>
      <c r="L105" s="32"/>
      <c r="M105" s="9"/>
      <c r="N105" s="9"/>
      <c r="O105" s="9"/>
      <c r="P105" s="97">
        <v>0.65855566270223942</v>
      </c>
      <c r="Q105" s="151">
        <f t="shared" si="3"/>
        <v>42417.49126754528</v>
      </c>
      <c r="R105" s="124">
        <v>0.60000000000000009</v>
      </c>
      <c r="S105" s="37">
        <v>-2.9761904761904763</v>
      </c>
      <c r="T105" s="124">
        <v>0.11145833333333333</v>
      </c>
      <c r="U105" s="15"/>
      <c r="V105" s="15"/>
      <c r="W105" s="15"/>
    </row>
    <row r="106" spans="1:23" x14ac:dyDescent="0.25">
      <c r="B106" s="8"/>
      <c r="C106" s="9"/>
      <c r="D106" s="9"/>
      <c r="E106" s="8"/>
      <c r="F106" s="8"/>
      <c r="G106" s="9"/>
      <c r="H106" s="9"/>
      <c r="I106" s="9"/>
      <c r="J106" s="9"/>
      <c r="K106" s="9"/>
      <c r="L106" s="32"/>
      <c r="M106" s="9"/>
      <c r="N106" s="9"/>
      <c r="O106" s="9"/>
      <c r="P106" s="97">
        <v>0.67684560162862961</v>
      </c>
      <c r="Q106" s="151">
        <f t="shared" si="3"/>
        <v>42444.194578377806</v>
      </c>
      <c r="R106" s="124">
        <v>1.0941176470588234</v>
      </c>
      <c r="S106" s="37">
        <v>-0.35714285714285765</v>
      </c>
      <c r="T106" s="124">
        <v>0.13437499999999999</v>
      </c>
      <c r="U106" s="15"/>
      <c r="V106" s="15"/>
      <c r="W106" s="15"/>
    </row>
    <row r="107" spans="1:23" x14ac:dyDescent="0.25">
      <c r="B107" s="8"/>
      <c r="C107" s="9"/>
      <c r="D107" s="9"/>
      <c r="E107" s="8"/>
      <c r="F107" s="8"/>
      <c r="G107" s="9"/>
      <c r="H107" s="9"/>
      <c r="I107" s="9"/>
      <c r="J107" s="9"/>
      <c r="K107" s="9"/>
      <c r="L107" s="32"/>
      <c r="M107" s="9"/>
      <c r="N107" s="9"/>
      <c r="O107" s="9"/>
      <c r="P107" s="97">
        <v>0.6942944390871103</v>
      </c>
      <c r="Q107" s="151">
        <f t="shared" si="3"/>
        <v>42469.669881067188</v>
      </c>
      <c r="R107" s="124">
        <v>2.0470588235294116</v>
      </c>
      <c r="S107" s="37">
        <v>3.8095238095238102</v>
      </c>
      <c r="T107" s="124">
        <v>0.17083333333333336</v>
      </c>
      <c r="U107" s="15"/>
      <c r="V107" s="15"/>
      <c r="W107" s="15"/>
    </row>
    <row r="108" spans="1:23" x14ac:dyDescent="0.25">
      <c r="B108" s="8"/>
      <c r="C108" s="9"/>
      <c r="D108" s="9"/>
      <c r="E108" s="8"/>
      <c r="F108" s="8"/>
      <c r="G108" s="9"/>
      <c r="H108" s="9"/>
      <c r="I108" s="9"/>
      <c r="J108" s="9"/>
      <c r="K108" s="9"/>
      <c r="L108" s="32"/>
      <c r="M108" s="9"/>
      <c r="N108" s="9"/>
      <c r="O108" s="9"/>
      <c r="P108" s="97">
        <v>0.71167898853530487</v>
      </c>
      <c r="Q108" s="151">
        <f t="shared" si="3"/>
        <v>42495.051323261549</v>
      </c>
      <c r="R108" s="124">
        <v>2.5764705882352938</v>
      </c>
      <c r="S108" s="37">
        <v>8.571428571428573</v>
      </c>
      <c r="T108" s="124">
        <v>0.21249999999999999</v>
      </c>
      <c r="U108" s="124">
        <v>0.40899537620849097</v>
      </c>
      <c r="V108" s="124"/>
      <c r="W108" s="124"/>
    </row>
    <row r="109" spans="1:23" x14ac:dyDescent="0.25">
      <c r="B109" s="8"/>
      <c r="C109" s="9"/>
      <c r="D109" s="9"/>
      <c r="E109" s="8"/>
      <c r="F109" s="8"/>
      <c r="G109" s="9"/>
      <c r="H109" s="9"/>
      <c r="I109" s="9"/>
      <c r="J109" s="9"/>
      <c r="K109" s="9"/>
      <c r="L109" s="32"/>
      <c r="M109" s="9"/>
      <c r="N109" s="9"/>
      <c r="O109" s="9"/>
      <c r="P109" s="97">
        <v>0.73090646094503375</v>
      </c>
      <c r="Q109" s="151">
        <f t="shared" si="3"/>
        <v>42523.123432979752</v>
      </c>
      <c r="R109" s="124">
        <v>3.2470588235294118</v>
      </c>
      <c r="S109" s="37">
        <v>15</v>
      </c>
      <c r="T109" s="124">
        <v>0.26874999999999999</v>
      </c>
      <c r="U109" s="124">
        <v>3.3206518576001551</v>
      </c>
      <c r="V109" s="124"/>
      <c r="W109" s="124"/>
    </row>
    <row r="110" spans="1:23" ht="16.5" x14ac:dyDescent="0.3">
      <c r="A110" s="6">
        <v>5</v>
      </c>
      <c r="B110" s="33" t="s">
        <v>76</v>
      </c>
      <c r="C110" s="44">
        <v>39.332999999999998</v>
      </c>
      <c r="D110" s="44">
        <v>100.117</v>
      </c>
      <c r="E110" s="70" t="s">
        <v>162</v>
      </c>
      <c r="F110" s="70" t="s">
        <v>34</v>
      </c>
      <c r="G110" s="44">
        <v>9.1999999999999998E-2</v>
      </c>
      <c r="H110" s="11">
        <v>9.2083333333333339</v>
      </c>
      <c r="I110" s="11">
        <v>2.8517999999999999</v>
      </c>
      <c r="J110" s="11">
        <v>0.2646</v>
      </c>
      <c r="K110" s="11">
        <f>I110/J110</f>
        <v>10.777777777777777</v>
      </c>
      <c r="L110" s="14">
        <v>1.5</v>
      </c>
      <c r="M110" s="7">
        <f>9.353*EXP(-0.023*H110-0.622*L110-0.182*J110-0.009*K110)*(I110/(I110+0.567))</f>
        <v>2.1477247851460808</v>
      </c>
      <c r="N110" s="7">
        <f>LN(M110)/10</f>
        <v>7.6440904234190338E-2</v>
      </c>
      <c r="O110" s="11">
        <f>4.3573*EXP(-1.002*M110)</f>
        <v>0.50653207262504096</v>
      </c>
      <c r="P110" s="98">
        <v>0</v>
      </c>
      <c r="Q110" s="149">
        <v>42452</v>
      </c>
      <c r="R110" s="125"/>
      <c r="S110" s="25"/>
      <c r="T110" s="125"/>
      <c r="U110" s="125"/>
      <c r="V110" s="125"/>
      <c r="W110" s="6" t="s">
        <v>96</v>
      </c>
    </row>
    <row r="111" spans="1:23" x14ac:dyDescent="0.25">
      <c r="B111" s="8"/>
      <c r="C111" s="9"/>
      <c r="D111" s="9"/>
      <c r="E111" s="8"/>
      <c r="F111" s="8"/>
      <c r="G111" s="9"/>
      <c r="H111" s="9"/>
      <c r="I111" s="9"/>
      <c r="J111" s="9"/>
      <c r="K111" s="9"/>
      <c r="L111" s="32"/>
      <c r="M111" s="8"/>
      <c r="N111" s="8"/>
      <c r="O111" s="18"/>
      <c r="P111" s="97">
        <v>4.2301184433164128E-2</v>
      </c>
      <c r="Q111" s="151">
        <f t="shared" ref="Q111:Q146" si="6">Q110+(P111-P110)*365*3</f>
        <v>42498.319796954318</v>
      </c>
      <c r="R111" s="124">
        <v>1.0446262279516487</v>
      </c>
      <c r="S111" s="37">
        <v>12.898804499817338</v>
      </c>
      <c r="T111" s="124"/>
      <c r="U111" s="124">
        <v>1.9396143361711287</v>
      </c>
      <c r="V111" s="124"/>
      <c r="W111" s="124"/>
    </row>
    <row r="112" spans="1:23" x14ac:dyDescent="0.25">
      <c r="B112" s="8"/>
      <c r="C112" s="9"/>
      <c r="D112" s="9"/>
      <c r="E112" s="8"/>
      <c r="F112" s="8"/>
      <c r="G112" s="9"/>
      <c r="H112" s="9"/>
      <c r="I112" s="9"/>
      <c r="J112" s="9"/>
      <c r="K112" s="9"/>
      <c r="L112" s="32"/>
      <c r="M112" s="8"/>
      <c r="N112" s="9"/>
      <c r="O112" s="9"/>
      <c r="P112" s="97">
        <v>7.6142131979695438E-2</v>
      </c>
      <c r="Q112" s="151">
        <f t="shared" si="6"/>
        <v>42535.375634517768</v>
      </c>
      <c r="R112" s="124">
        <v>2.0530377728274232</v>
      </c>
      <c r="S112" s="37">
        <v>18.683312127587204</v>
      </c>
      <c r="T112" s="124"/>
      <c r="U112" s="124"/>
      <c r="V112" s="124"/>
      <c r="W112" s="124"/>
    </row>
    <row r="113" spans="1:23" x14ac:dyDescent="0.25">
      <c r="B113" s="8"/>
      <c r="C113" s="9"/>
      <c r="D113" s="9"/>
      <c r="E113" s="8"/>
      <c r="F113" s="8"/>
      <c r="G113" s="9"/>
      <c r="H113" s="9"/>
      <c r="I113" s="9"/>
      <c r="J113" s="9"/>
      <c r="K113" s="9"/>
      <c r="L113" s="32"/>
      <c r="M113" s="9"/>
      <c r="N113" s="9"/>
      <c r="O113" s="9"/>
      <c r="P113" s="97">
        <v>8.6294416243654817E-2</v>
      </c>
      <c r="Q113" s="151">
        <f t="shared" si="6"/>
        <v>42546.492385786805</v>
      </c>
      <c r="R113" s="124">
        <v>4.1757051211822418</v>
      </c>
      <c r="S113" s="37">
        <v>28.685831622176593</v>
      </c>
      <c r="T113" s="124"/>
      <c r="U113" s="124"/>
      <c r="V113" s="124"/>
      <c r="W113" s="124"/>
    </row>
    <row r="114" spans="1:23" x14ac:dyDescent="0.25">
      <c r="B114" s="8"/>
      <c r="C114" s="9"/>
      <c r="D114" s="9"/>
      <c r="E114" s="8"/>
      <c r="F114" s="8"/>
      <c r="G114" s="9"/>
      <c r="H114" s="9"/>
      <c r="I114" s="9"/>
      <c r="J114" s="9"/>
      <c r="K114" s="9"/>
      <c r="L114" s="32"/>
      <c r="M114" s="9"/>
      <c r="N114" s="9"/>
      <c r="O114" s="9"/>
      <c r="P114" s="97">
        <v>0.12182741116751269</v>
      </c>
      <c r="Q114" s="151">
        <f t="shared" si="6"/>
        <v>42585.401015228432</v>
      </c>
      <c r="R114" s="124">
        <v>4.7884940778341791</v>
      </c>
      <c r="S114" s="37">
        <v>22.471246267998644</v>
      </c>
      <c r="T114" s="124"/>
      <c r="U114" s="15">
        <v>4.2241804993834915</v>
      </c>
      <c r="V114" s="15"/>
      <c r="W114" s="15"/>
    </row>
    <row r="115" spans="1:23" x14ac:dyDescent="0.25">
      <c r="B115" s="8"/>
      <c r="C115" s="9"/>
      <c r="D115" s="9"/>
      <c r="E115" s="8"/>
      <c r="F115" s="8"/>
      <c r="G115" s="9"/>
      <c r="H115" s="9"/>
      <c r="I115" s="9"/>
      <c r="J115" s="9"/>
      <c r="K115" s="9"/>
      <c r="L115" s="32"/>
      <c r="M115" s="9"/>
      <c r="N115" s="9"/>
      <c r="O115" s="9"/>
      <c r="P115" s="97">
        <v>0.15905245346869712</v>
      </c>
      <c r="Q115" s="151">
        <f t="shared" si="6"/>
        <v>42626.162436548228</v>
      </c>
      <c r="R115" s="124">
        <v>1.5164518131687543</v>
      </c>
      <c r="S115" s="37">
        <v>17.590355374711834</v>
      </c>
      <c r="T115" s="124"/>
      <c r="U115" s="15">
        <v>3.9439191267939182</v>
      </c>
      <c r="V115" s="15"/>
      <c r="W115" s="15"/>
    </row>
    <row r="116" spans="1:23" x14ac:dyDescent="0.25">
      <c r="B116" s="8"/>
      <c r="C116" s="9"/>
      <c r="D116" s="9"/>
      <c r="E116" s="8"/>
      <c r="F116" s="8"/>
      <c r="G116" s="9"/>
      <c r="H116" s="9"/>
      <c r="I116" s="9"/>
      <c r="J116" s="9"/>
      <c r="K116" s="9"/>
      <c r="L116" s="32"/>
      <c r="M116" s="9"/>
      <c r="N116" s="9"/>
      <c r="O116" s="9"/>
      <c r="P116" s="97">
        <v>0.16920473773265651</v>
      </c>
      <c r="Q116" s="151">
        <f t="shared" si="6"/>
        <v>42637.279187817265</v>
      </c>
      <c r="R116" s="124">
        <v>2.2362414636818464</v>
      </c>
      <c r="S116" s="37">
        <v>16.481903730111739</v>
      </c>
      <c r="T116" s="124"/>
      <c r="U116" s="15">
        <v>2.8670348536240353</v>
      </c>
      <c r="V116" s="15"/>
      <c r="W116" s="15"/>
    </row>
    <row r="117" spans="1:23" x14ac:dyDescent="0.25">
      <c r="B117" s="8"/>
      <c r="C117" s="9"/>
      <c r="D117" s="9"/>
      <c r="E117" s="8"/>
      <c r="F117" s="8"/>
      <c r="G117" s="9"/>
      <c r="H117" s="9"/>
      <c r="I117" s="9"/>
      <c r="J117" s="9"/>
      <c r="K117" s="9"/>
      <c r="L117" s="32"/>
      <c r="M117" s="9"/>
      <c r="N117" s="9"/>
      <c r="O117" s="9"/>
      <c r="P117" s="97">
        <v>0.19966159052453469</v>
      </c>
      <c r="Q117" s="151">
        <f t="shared" si="6"/>
        <v>42670.629441624369</v>
      </c>
      <c r="R117" s="124">
        <v>0.97834422817076283</v>
      </c>
      <c r="S117" s="37">
        <v>9.8221236819893925</v>
      </c>
      <c r="T117" s="124"/>
      <c r="U117" s="15">
        <v>1.1014071407437414</v>
      </c>
      <c r="V117" s="15"/>
      <c r="W117" s="15"/>
    </row>
    <row r="118" spans="1:23" x14ac:dyDescent="0.25">
      <c r="B118" s="8"/>
      <c r="C118" s="9"/>
      <c r="D118" s="9"/>
      <c r="E118" s="8"/>
      <c r="F118" s="8"/>
      <c r="G118" s="9"/>
      <c r="H118" s="9"/>
      <c r="I118" s="9"/>
      <c r="J118" s="9"/>
      <c r="K118" s="9"/>
      <c r="L118" s="32"/>
      <c r="M118" s="9"/>
      <c r="N118" s="9"/>
      <c r="O118" s="9"/>
      <c r="P118" s="97">
        <v>0.22673434856175972</v>
      </c>
      <c r="Q118" s="151">
        <f t="shared" si="6"/>
        <v>42700.274111675128</v>
      </c>
      <c r="R118" s="124">
        <v>0.11600871586994363</v>
      </c>
      <c r="S118" s="37">
        <v>-0.39354505486199542</v>
      </c>
      <c r="T118" s="124"/>
      <c r="U118" s="15">
        <v>0.85489209063141991</v>
      </c>
      <c r="V118" s="15"/>
      <c r="W118" s="15"/>
    </row>
    <row r="119" spans="1:23" x14ac:dyDescent="0.25">
      <c r="B119" s="8"/>
      <c r="C119" s="9"/>
      <c r="D119" s="9"/>
      <c r="E119" s="8"/>
      <c r="F119" s="8"/>
      <c r="G119" s="9"/>
      <c r="H119" s="9"/>
      <c r="I119" s="9"/>
      <c r="J119" s="9"/>
      <c r="K119" s="9"/>
      <c r="L119" s="32"/>
      <c r="M119" s="9"/>
      <c r="N119" s="9"/>
      <c r="O119" s="9"/>
      <c r="P119" s="97">
        <v>0.25042301184433163</v>
      </c>
      <c r="Q119" s="151">
        <f t="shared" si="6"/>
        <v>42726.21319796954</v>
      </c>
      <c r="R119" s="124">
        <v>0.11686082605996422</v>
      </c>
      <c r="S119" s="37">
        <v>-4.8326425719000774</v>
      </c>
      <c r="T119" s="124"/>
      <c r="U119" s="15">
        <v>1.1921353238900843</v>
      </c>
      <c r="V119" s="15"/>
      <c r="W119" s="15"/>
    </row>
    <row r="120" spans="1:23" x14ac:dyDescent="0.25">
      <c r="B120" s="8"/>
      <c r="C120" s="9"/>
      <c r="D120" s="9"/>
      <c r="E120" s="8"/>
      <c r="F120" s="8"/>
      <c r="G120" s="9"/>
      <c r="H120" s="9"/>
      <c r="I120" s="9"/>
      <c r="J120" s="9"/>
      <c r="K120" s="9"/>
      <c r="L120" s="32"/>
      <c r="M120" s="9"/>
      <c r="N120" s="9"/>
      <c r="O120" s="9"/>
      <c r="P120" s="97">
        <v>0.27580372250423013</v>
      </c>
      <c r="Q120" s="151">
        <f t="shared" si="6"/>
        <v>42754.00507614213</v>
      </c>
      <c r="R120" s="124">
        <v>9.8601321988094799E-3</v>
      </c>
      <c r="S120" s="37">
        <v>-9.7161789345057379</v>
      </c>
      <c r="T120" s="124"/>
      <c r="U120" s="15">
        <v>1.7023745510487622</v>
      </c>
      <c r="V120" s="15"/>
      <c r="W120" s="15"/>
    </row>
    <row r="121" spans="1:23" x14ac:dyDescent="0.25">
      <c r="B121" s="8"/>
      <c r="C121" s="9"/>
      <c r="D121" s="9"/>
      <c r="E121" s="8"/>
      <c r="F121" s="8"/>
      <c r="G121" s="9"/>
      <c r="H121" s="9"/>
      <c r="I121" s="9"/>
      <c r="J121" s="9"/>
      <c r="K121" s="9"/>
      <c r="L121" s="32"/>
      <c r="M121" s="9"/>
      <c r="N121" s="9"/>
      <c r="O121" s="9"/>
      <c r="P121" s="97">
        <v>0.30456852791878175</v>
      </c>
      <c r="Q121" s="151">
        <f t="shared" si="6"/>
        <v>42785.502538071065</v>
      </c>
      <c r="R121" s="124">
        <v>0.47852073671012429</v>
      </c>
      <c r="S121" s="37">
        <v>1.6238142628588701</v>
      </c>
      <c r="T121" s="124"/>
      <c r="U121" s="15">
        <v>2.5492667897273198</v>
      </c>
      <c r="V121" s="15"/>
      <c r="W121" s="15"/>
    </row>
    <row r="122" spans="1:23" x14ac:dyDescent="0.25">
      <c r="B122" s="8"/>
      <c r="C122" s="9"/>
      <c r="D122" s="9"/>
      <c r="E122" s="8"/>
      <c r="F122" s="8"/>
      <c r="G122" s="9"/>
      <c r="H122" s="9"/>
      <c r="I122" s="9"/>
      <c r="J122" s="9"/>
      <c r="K122" s="9"/>
      <c r="L122" s="32"/>
      <c r="M122" s="9"/>
      <c r="N122" s="9"/>
      <c r="O122" s="9"/>
      <c r="P122" s="97">
        <v>0.32994923857868019</v>
      </c>
      <c r="Q122" s="151">
        <f t="shared" si="6"/>
        <v>42813.294416243654</v>
      </c>
      <c r="R122" s="124">
        <v>0.80317471910796234</v>
      </c>
      <c r="S122" s="37">
        <v>9.1845655761454275</v>
      </c>
      <c r="T122" s="124"/>
      <c r="U122" s="15">
        <v>3.6403643275196651</v>
      </c>
      <c r="V122" s="15"/>
      <c r="W122" s="15"/>
    </row>
    <row r="123" spans="1:23" x14ac:dyDescent="0.25">
      <c r="A123" s="6"/>
      <c r="B123" s="33" t="s">
        <v>76</v>
      </c>
      <c r="C123" s="44">
        <v>39.332999999999998</v>
      </c>
      <c r="D123" s="44">
        <v>100.117</v>
      </c>
      <c r="E123" s="70" t="s">
        <v>163</v>
      </c>
      <c r="F123" s="70" t="s">
        <v>36</v>
      </c>
      <c r="G123" s="44">
        <v>9.1999999999999998E-2</v>
      </c>
      <c r="H123" s="11">
        <v>7.8916666666666684</v>
      </c>
      <c r="I123" s="11">
        <v>2.8517999999999999</v>
      </c>
      <c r="J123" s="11">
        <v>0.2646</v>
      </c>
      <c r="K123" s="11">
        <f>I123/J123</f>
        <v>10.777777777777777</v>
      </c>
      <c r="L123" s="14">
        <v>1.5</v>
      </c>
      <c r="M123" s="7">
        <f>9.353*EXP(-0.023*H123-0.622*L123-0.182*J123-0.009*K123)*(I123/(I123+0.567))</f>
        <v>2.2137598856562533</v>
      </c>
      <c r="N123" s="7">
        <f>LN(M123)/10</f>
        <v>7.9469237567523637E-2</v>
      </c>
      <c r="O123" s="11">
        <f>4.3573*EXP(-1.002*M123)</f>
        <v>0.47410104450412344</v>
      </c>
      <c r="P123" s="98">
        <v>0.35702199661590522</v>
      </c>
      <c r="Q123" s="149">
        <f t="shared" si="6"/>
        <v>42842.939086294413</v>
      </c>
      <c r="R123" s="125">
        <v>1.1998320125625388</v>
      </c>
      <c r="S123" s="28">
        <v>15.634975623889847</v>
      </c>
      <c r="T123" s="13"/>
      <c r="U123" s="13">
        <v>5.3234075452418042</v>
      </c>
      <c r="V123" s="13"/>
      <c r="W123" s="13"/>
    </row>
    <row r="124" spans="1:23" x14ac:dyDescent="0.25">
      <c r="B124" s="8"/>
      <c r="C124" s="9"/>
      <c r="D124" s="9"/>
      <c r="E124" s="8"/>
      <c r="F124" s="8"/>
      <c r="G124" s="9"/>
      <c r="H124" s="9"/>
      <c r="I124" s="9"/>
      <c r="J124" s="9"/>
      <c r="K124" s="9"/>
      <c r="L124" s="32"/>
      <c r="M124" s="8"/>
      <c r="N124" s="8"/>
      <c r="O124" s="18"/>
      <c r="P124" s="97">
        <v>0.38747884940778343</v>
      </c>
      <c r="Q124" s="151">
        <f t="shared" si="6"/>
        <v>42876.289340101517</v>
      </c>
      <c r="R124" s="124">
        <v>2.8556038417996565</v>
      </c>
      <c r="S124" s="37">
        <v>22.530580365578665</v>
      </c>
      <c r="T124" s="15"/>
      <c r="U124" s="15">
        <v>1.0655203145698953</v>
      </c>
      <c r="V124" s="15"/>
      <c r="W124" s="15"/>
    </row>
    <row r="125" spans="1:23" x14ac:dyDescent="0.25">
      <c r="B125" s="8"/>
      <c r="C125" s="9"/>
      <c r="D125" s="9"/>
      <c r="E125" s="8"/>
      <c r="F125" s="8"/>
      <c r="G125" s="9"/>
      <c r="H125" s="9"/>
      <c r="I125" s="9"/>
      <c r="J125" s="9"/>
      <c r="K125" s="9"/>
      <c r="L125" s="32"/>
      <c r="M125" s="8"/>
      <c r="N125" s="9"/>
      <c r="O125" s="9"/>
      <c r="P125" s="97">
        <v>0.40778341793570222</v>
      </c>
      <c r="Q125" s="151">
        <f t="shared" si="6"/>
        <v>42898.522842639592</v>
      </c>
      <c r="R125" s="124">
        <v>5.1584924953438263</v>
      </c>
      <c r="S125" s="37">
        <v>27.645784255678308</v>
      </c>
      <c r="T125" s="15"/>
      <c r="U125" s="15"/>
      <c r="V125" s="15"/>
      <c r="W125" s="15"/>
    </row>
    <row r="126" spans="1:23" x14ac:dyDescent="0.25">
      <c r="B126" s="8"/>
      <c r="C126" s="9"/>
      <c r="D126" s="9"/>
      <c r="E126" s="8"/>
      <c r="F126" s="8"/>
      <c r="G126" s="9"/>
      <c r="H126" s="9"/>
      <c r="I126" s="9"/>
      <c r="J126" s="9"/>
      <c r="K126" s="9"/>
      <c r="L126" s="32"/>
      <c r="M126" s="9"/>
      <c r="N126" s="9"/>
      <c r="O126" s="9"/>
      <c r="P126" s="97">
        <v>0.43485617597292725</v>
      </c>
      <c r="Q126" s="151">
        <f t="shared" si="6"/>
        <v>42928.16751269035</v>
      </c>
      <c r="R126" s="124">
        <v>5.5191785657768202</v>
      </c>
      <c r="S126" s="37">
        <v>27.65220896688124</v>
      </c>
      <c r="T126" s="15"/>
      <c r="U126" s="15">
        <v>1.9057005002522536</v>
      </c>
      <c r="V126" s="15"/>
      <c r="W126" s="15"/>
    </row>
    <row r="127" spans="1:23" x14ac:dyDescent="0.25">
      <c r="B127" s="8"/>
      <c r="C127" s="9"/>
      <c r="D127" s="9"/>
      <c r="E127" s="8"/>
      <c r="F127" s="8"/>
      <c r="G127" s="9"/>
      <c r="H127" s="9"/>
      <c r="I127" s="9"/>
      <c r="J127" s="9"/>
      <c r="K127" s="9"/>
      <c r="L127" s="32"/>
      <c r="M127" s="9"/>
      <c r="N127" s="9"/>
      <c r="O127" s="9"/>
      <c r="P127" s="97">
        <v>0.46362098138747887</v>
      </c>
      <c r="Q127" s="151">
        <f t="shared" si="6"/>
        <v>42959.664974619285</v>
      </c>
      <c r="R127" s="124">
        <v>3.469853558777344</v>
      </c>
      <c r="S127" s="37">
        <v>19.880953880651543</v>
      </c>
      <c r="T127" s="15"/>
      <c r="U127" s="15">
        <v>5.8854416554967752</v>
      </c>
      <c r="V127" s="15"/>
      <c r="W127" s="15"/>
    </row>
    <row r="128" spans="1:23" x14ac:dyDescent="0.25">
      <c r="B128" s="8"/>
      <c r="C128" s="9"/>
      <c r="D128" s="9"/>
      <c r="E128" s="8"/>
      <c r="F128" s="8"/>
      <c r="G128" s="9"/>
      <c r="H128" s="9"/>
      <c r="I128" s="9"/>
      <c r="J128" s="9"/>
      <c r="K128" s="9"/>
      <c r="L128" s="32"/>
      <c r="M128" s="9"/>
      <c r="N128" s="9"/>
      <c r="O128" s="9"/>
      <c r="P128" s="97">
        <v>0.48561759729272419</v>
      </c>
      <c r="Q128" s="151">
        <f t="shared" si="6"/>
        <v>42983.751269035529</v>
      </c>
      <c r="R128" s="124">
        <v>1.9598534370473164</v>
      </c>
      <c r="S128" s="37">
        <v>18.996989203965683</v>
      </c>
      <c r="T128" s="15"/>
      <c r="U128" s="15">
        <v>4.8781822277225739</v>
      </c>
      <c r="V128" s="15"/>
      <c r="W128" s="15"/>
    </row>
    <row r="129" spans="1:23" x14ac:dyDescent="0.25">
      <c r="B129" s="8"/>
      <c r="C129" s="9"/>
      <c r="D129" s="9"/>
      <c r="E129" s="8"/>
      <c r="F129" s="8"/>
      <c r="G129" s="9"/>
      <c r="H129" s="9"/>
      <c r="I129" s="9"/>
      <c r="J129" s="9"/>
      <c r="K129" s="9"/>
      <c r="L129" s="32"/>
      <c r="M129" s="9"/>
      <c r="N129" s="9"/>
      <c r="O129" s="9"/>
      <c r="P129" s="97">
        <v>0.5160744500846024</v>
      </c>
      <c r="Q129" s="151">
        <f t="shared" si="6"/>
        <v>43017.101522842633</v>
      </c>
      <c r="R129" s="124">
        <v>1.0616684317520604</v>
      </c>
      <c r="S129" s="37">
        <v>8.1146621987629288</v>
      </c>
      <c r="T129" s="15"/>
      <c r="U129" s="15">
        <v>1.8740144482971182</v>
      </c>
      <c r="V129" s="15"/>
      <c r="W129" s="15"/>
    </row>
    <row r="130" spans="1:23" x14ac:dyDescent="0.25">
      <c r="B130" s="8"/>
      <c r="C130" s="9"/>
      <c r="D130" s="9"/>
      <c r="E130" s="8"/>
      <c r="F130" s="8"/>
      <c r="G130" s="9"/>
      <c r="H130" s="9"/>
      <c r="I130" s="9"/>
      <c r="J130" s="9"/>
      <c r="K130" s="9"/>
      <c r="L130" s="32"/>
      <c r="M130" s="9"/>
      <c r="N130" s="9"/>
      <c r="O130" s="9"/>
      <c r="P130" s="97">
        <v>0.54145516074450084</v>
      </c>
      <c r="Q130" s="151">
        <f t="shared" si="6"/>
        <v>43044.893401015222</v>
      </c>
      <c r="R130" s="124">
        <v>0.27121450048083362</v>
      </c>
      <c r="S130" s="37">
        <v>0.78709010972399085</v>
      </c>
      <c r="T130" s="15"/>
      <c r="U130" s="15">
        <v>0.84437499592845411</v>
      </c>
      <c r="V130" s="15"/>
      <c r="W130" s="15"/>
    </row>
    <row r="131" spans="1:23" x14ac:dyDescent="0.25">
      <c r="B131" s="8"/>
      <c r="C131" s="9"/>
      <c r="D131" s="9"/>
      <c r="E131" s="8"/>
      <c r="F131" s="8"/>
      <c r="G131" s="9"/>
      <c r="H131" s="9"/>
      <c r="I131" s="9"/>
      <c r="J131" s="9"/>
      <c r="K131" s="9"/>
      <c r="L131" s="32"/>
      <c r="M131" s="9"/>
      <c r="N131" s="9"/>
      <c r="O131" s="9"/>
      <c r="P131" s="97">
        <v>0.56852791878172593</v>
      </c>
      <c r="Q131" s="151">
        <f t="shared" si="6"/>
        <v>43074.538071065981</v>
      </c>
      <c r="R131" s="124">
        <v>2.0389779546920839E-2</v>
      </c>
      <c r="S131" s="37">
        <v>-8.7619203587760293</v>
      </c>
      <c r="T131" s="15"/>
      <c r="U131" s="15">
        <v>0.96269301256675599</v>
      </c>
      <c r="V131" s="15"/>
      <c r="W131" s="15"/>
    </row>
    <row r="132" spans="1:23" x14ac:dyDescent="0.25">
      <c r="B132" s="8"/>
      <c r="C132" s="9"/>
      <c r="D132" s="9"/>
      <c r="E132" s="8"/>
      <c r="F132" s="8"/>
      <c r="G132" s="9"/>
      <c r="H132" s="9"/>
      <c r="I132" s="9"/>
      <c r="J132" s="9"/>
      <c r="K132" s="9"/>
      <c r="L132" s="32"/>
      <c r="M132" s="9"/>
      <c r="N132" s="9"/>
      <c r="O132" s="9"/>
      <c r="P132" s="97">
        <v>0.59390862944162437</v>
      </c>
      <c r="Q132" s="151">
        <f t="shared" si="6"/>
        <v>43102.32994923857</v>
      </c>
      <c r="R132" s="124">
        <v>0.12921642381526249</v>
      </c>
      <c r="S132" s="37">
        <v>-6.5344351923004247</v>
      </c>
      <c r="T132" s="15"/>
      <c r="U132" s="15">
        <v>1.374729908781074</v>
      </c>
      <c r="V132" s="15"/>
      <c r="W132" s="15"/>
    </row>
    <row r="133" spans="1:23" x14ac:dyDescent="0.25">
      <c r="B133" s="8"/>
      <c r="C133" s="9"/>
      <c r="D133" s="9"/>
      <c r="E133" s="8"/>
      <c r="F133" s="8"/>
      <c r="G133" s="9"/>
      <c r="H133" s="9"/>
      <c r="I133" s="9"/>
      <c r="J133" s="9"/>
      <c r="K133" s="9"/>
      <c r="L133" s="32"/>
      <c r="M133" s="9"/>
      <c r="N133" s="9"/>
      <c r="O133" s="9"/>
      <c r="P133" s="97">
        <v>0.6277495769881557</v>
      </c>
      <c r="Q133" s="151">
        <f t="shared" si="6"/>
        <v>43139.38578680202</v>
      </c>
      <c r="R133" s="124">
        <v>0.7059732924320441</v>
      </c>
      <c r="S133" s="37">
        <v>1.2508030889003674</v>
      </c>
      <c r="T133" s="15"/>
      <c r="U133" s="15">
        <v>2.2106676887155863</v>
      </c>
      <c r="V133" s="15"/>
      <c r="W133" s="15"/>
    </row>
    <row r="134" spans="1:23" x14ac:dyDescent="0.25">
      <c r="B134" s="8"/>
      <c r="C134" s="9"/>
      <c r="D134" s="9"/>
      <c r="E134" s="8"/>
      <c r="F134" s="8"/>
      <c r="G134" s="9"/>
      <c r="H134" s="9"/>
      <c r="I134" s="9"/>
      <c r="J134" s="9"/>
      <c r="K134" s="9"/>
      <c r="L134" s="32"/>
      <c r="M134" s="9"/>
      <c r="N134" s="9"/>
      <c r="O134" s="9"/>
      <c r="P134" s="97">
        <v>0.65143824027072761</v>
      </c>
      <c r="Q134" s="151">
        <f t="shared" si="6"/>
        <v>43165.324873096433</v>
      </c>
      <c r="R134" s="124">
        <v>0.8866815177299785</v>
      </c>
      <c r="S134" s="37">
        <v>10.367090361673448</v>
      </c>
      <c r="T134" s="15"/>
      <c r="U134" s="15">
        <v>3.0827458459158192</v>
      </c>
      <c r="V134" s="15"/>
      <c r="W134" s="15"/>
    </row>
    <row r="135" spans="1:23" x14ac:dyDescent="0.25">
      <c r="A135" s="6"/>
      <c r="B135" s="33" t="s">
        <v>76</v>
      </c>
      <c r="C135" s="44">
        <v>39.332999999999998</v>
      </c>
      <c r="D135" s="44">
        <v>100.117</v>
      </c>
      <c r="E135" s="70" t="s">
        <v>164</v>
      </c>
      <c r="F135" s="70" t="s">
        <v>34</v>
      </c>
      <c r="G135" s="44">
        <v>9.1999999999999998E-2</v>
      </c>
      <c r="H135" s="11">
        <v>7.8999999999999986</v>
      </c>
      <c r="I135" s="11">
        <v>2.8517999999999999</v>
      </c>
      <c r="J135" s="11">
        <v>0.2646</v>
      </c>
      <c r="K135" s="11">
        <f>I135/J135</f>
        <v>10.777777777777777</v>
      </c>
      <c r="L135" s="14">
        <v>1.5</v>
      </c>
      <c r="M135" s="7">
        <f>9.353*EXP(-0.023*H135-0.622*L135-0.182*J135-0.009*K135)*(I135/(I135+0.567))</f>
        <v>2.213335622338036</v>
      </c>
      <c r="N135" s="7">
        <f>LN(M135)/10</f>
        <v>7.945007090085697E-2</v>
      </c>
      <c r="O135" s="11">
        <f>4.3573*EXP(-1.002*M135)</f>
        <v>0.47430263331966033</v>
      </c>
      <c r="P135" s="98">
        <v>0.68189509306260576</v>
      </c>
      <c r="Q135" s="149">
        <f t="shared" si="6"/>
        <v>43198.675126903538</v>
      </c>
      <c r="R135" s="125">
        <v>2.5064821239455135</v>
      </c>
      <c r="S135" s="28">
        <v>23.040400095740793</v>
      </c>
      <c r="T135" s="13"/>
      <c r="U135" s="13">
        <v>4.7273003400115465</v>
      </c>
      <c r="V135" s="13"/>
      <c r="W135" s="13"/>
    </row>
    <row r="136" spans="1:23" x14ac:dyDescent="0.25">
      <c r="B136" s="8"/>
      <c r="C136" s="9"/>
      <c r="D136" s="9"/>
      <c r="E136" s="8"/>
      <c r="F136" s="8"/>
      <c r="G136" s="9"/>
      <c r="H136" s="9"/>
      <c r="I136" s="9"/>
      <c r="J136" s="9"/>
      <c r="K136" s="9"/>
      <c r="L136" s="32"/>
      <c r="M136" s="8"/>
      <c r="N136" s="8"/>
      <c r="O136" s="18"/>
      <c r="P136" s="97">
        <v>0.70896785109983085</v>
      </c>
      <c r="Q136" s="151">
        <f t="shared" si="6"/>
        <v>43228.319796954296</v>
      </c>
      <c r="R136" s="124">
        <v>5.3491825828677166</v>
      </c>
      <c r="S136" s="37">
        <v>25</v>
      </c>
      <c r="T136" s="15"/>
      <c r="U136" s="15">
        <v>1.9448506596518724</v>
      </c>
      <c r="V136" s="15"/>
      <c r="W136" s="15"/>
    </row>
    <row r="137" spans="1:23" x14ac:dyDescent="0.25">
      <c r="B137" s="8"/>
      <c r="C137" s="9"/>
      <c r="D137" s="9"/>
      <c r="E137" s="8"/>
      <c r="F137" s="8"/>
      <c r="G137" s="9"/>
      <c r="H137" s="9"/>
      <c r="I137" s="9"/>
      <c r="J137" s="9"/>
      <c r="K137" s="9"/>
      <c r="L137" s="32"/>
      <c r="M137" s="8"/>
      <c r="N137" s="9"/>
      <c r="O137" s="9"/>
      <c r="P137" s="97">
        <v>0.73604060913705582</v>
      </c>
      <c r="Q137" s="151">
        <f t="shared" si="6"/>
        <v>43257.964467005055</v>
      </c>
      <c r="R137" s="124">
        <v>5.8897247684086231</v>
      </c>
      <c r="S137" s="37">
        <v>22.4</v>
      </c>
      <c r="T137" s="15"/>
      <c r="U137" s="15">
        <v>0.49155606606762509</v>
      </c>
      <c r="V137" s="15"/>
      <c r="W137" s="15"/>
    </row>
    <row r="138" spans="1:23" x14ac:dyDescent="0.25">
      <c r="B138" s="8"/>
      <c r="C138" s="9"/>
      <c r="D138" s="9"/>
      <c r="E138" s="8"/>
      <c r="F138" s="8"/>
      <c r="G138" s="9"/>
      <c r="H138" s="9"/>
      <c r="I138" s="9"/>
      <c r="J138" s="9"/>
      <c r="K138" s="9"/>
      <c r="L138" s="32"/>
      <c r="M138" s="9"/>
      <c r="N138" s="9"/>
      <c r="O138" s="9"/>
      <c r="P138" s="97">
        <v>0.75465313028764802</v>
      </c>
      <c r="Q138" s="151">
        <f t="shared" si="6"/>
        <v>43278.345177664953</v>
      </c>
      <c r="R138" s="124">
        <v>5.494710830320515</v>
      </c>
      <c r="S138" s="37">
        <v>24.5</v>
      </c>
      <c r="T138" s="15"/>
      <c r="U138" s="15"/>
      <c r="V138" s="15"/>
      <c r="W138" s="15"/>
    </row>
    <row r="139" spans="1:23" x14ac:dyDescent="0.25">
      <c r="B139" s="8"/>
      <c r="C139" s="9"/>
      <c r="D139" s="9"/>
      <c r="E139" s="8"/>
      <c r="F139" s="8"/>
      <c r="G139" s="9"/>
      <c r="H139" s="9"/>
      <c r="I139" s="9"/>
      <c r="J139" s="9"/>
      <c r="K139" s="9"/>
      <c r="L139" s="32"/>
      <c r="M139" s="9"/>
      <c r="N139" s="9"/>
      <c r="O139" s="9"/>
      <c r="P139" s="97">
        <v>0.77834179357021993</v>
      </c>
      <c r="Q139" s="151">
        <f t="shared" si="6"/>
        <v>43304.284263959365</v>
      </c>
      <c r="R139" s="124">
        <v>2.9416061059781615</v>
      </c>
      <c r="S139" s="37">
        <v>21.283808468021313</v>
      </c>
      <c r="T139" s="15"/>
      <c r="U139" s="15">
        <v>2.8372562257956635</v>
      </c>
      <c r="V139" s="15"/>
      <c r="W139" s="15"/>
    </row>
    <row r="140" spans="1:23" x14ac:dyDescent="0.25">
      <c r="B140" s="8"/>
      <c r="C140" s="9"/>
      <c r="D140" s="9"/>
      <c r="E140" s="8"/>
      <c r="F140" s="8"/>
      <c r="G140" s="9"/>
      <c r="H140" s="9"/>
      <c r="I140" s="9"/>
      <c r="J140" s="9"/>
      <c r="K140" s="9"/>
      <c r="L140" s="32"/>
      <c r="M140" s="9"/>
      <c r="N140" s="9"/>
      <c r="O140" s="9"/>
      <c r="P140" s="97">
        <v>0.80710659898477155</v>
      </c>
      <c r="Q140" s="151">
        <f t="shared" si="6"/>
        <v>43335.781725888301</v>
      </c>
      <c r="R140" s="124">
        <v>1.8994753435830016</v>
      </c>
      <c r="S140" s="37">
        <v>13.956992227359191</v>
      </c>
      <c r="T140" s="15"/>
      <c r="U140" s="15">
        <v>8.7623978565388505</v>
      </c>
      <c r="V140" s="15"/>
      <c r="W140" s="15"/>
    </row>
    <row r="141" spans="1:23" x14ac:dyDescent="0.25">
      <c r="B141" s="8"/>
      <c r="C141" s="9"/>
      <c r="D141" s="9"/>
      <c r="E141" s="8"/>
      <c r="F141" s="8"/>
      <c r="G141" s="9"/>
      <c r="H141" s="9"/>
      <c r="I141" s="9"/>
      <c r="J141" s="9"/>
      <c r="K141" s="9"/>
      <c r="L141" s="32"/>
      <c r="M141" s="9"/>
      <c r="N141" s="9"/>
      <c r="O141" s="9"/>
      <c r="P141" s="97">
        <v>0.82910321489001693</v>
      </c>
      <c r="Q141" s="151">
        <f t="shared" si="6"/>
        <v>43359.868020304544</v>
      </c>
      <c r="R141" s="124">
        <v>0.71321622904721904</v>
      </c>
      <c r="S141" s="37">
        <v>8.4064196722137545</v>
      </c>
      <c r="T141" s="15"/>
      <c r="U141" s="15">
        <v>3.5461980886479583</v>
      </c>
      <c r="V141" s="15"/>
      <c r="W141" s="15"/>
    </row>
    <row r="142" spans="1:23" x14ac:dyDescent="0.25">
      <c r="B142" s="8"/>
      <c r="C142" s="9"/>
      <c r="D142" s="9"/>
      <c r="E142" s="8"/>
      <c r="F142" s="8"/>
      <c r="G142" s="9"/>
      <c r="H142" s="9"/>
      <c r="I142" s="9"/>
      <c r="J142" s="9"/>
      <c r="K142" s="9"/>
      <c r="L142" s="32"/>
      <c r="M142" s="9"/>
      <c r="N142" s="9"/>
      <c r="O142" s="9"/>
      <c r="P142" s="97">
        <v>0.86463620981387479</v>
      </c>
      <c r="Q142" s="151">
        <f t="shared" si="6"/>
        <v>43398.776649746171</v>
      </c>
      <c r="R142" s="124">
        <v>0.28283971807325714</v>
      </c>
      <c r="S142" s="37">
        <v>1.5255539738728405</v>
      </c>
      <c r="T142" s="15"/>
      <c r="U142" s="15">
        <v>1.1615298964436138</v>
      </c>
      <c r="V142" s="15"/>
      <c r="W142" s="15"/>
    </row>
    <row r="143" spans="1:23" x14ac:dyDescent="0.25">
      <c r="B143" s="8"/>
      <c r="C143" s="9"/>
      <c r="D143" s="9"/>
      <c r="E143" s="8"/>
      <c r="F143" s="8"/>
      <c r="G143" s="9"/>
      <c r="H143" s="9"/>
      <c r="I143" s="9"/>
      <c r="J143" s="9"/>
      <c r="K143" s="9"/>
      <c r="L143" s="32"/>
      <c r="M143" s="9"/>
      <c r="N143" s="9"/>
      <c r="O143" s="9"/>
      <c r="P143" s="97">
        <v>0.88324873096446699</v>
      </c>
      <c r="Q143" s="151">
        <f t="shared" si="6"/>
        <v>43419.157360406069</v>
      </c>
      <c r="R143" s="124">
        <v>0.1755955641578108</v>
      </c>
      <c r="S143" s="37">
        <v>-1.3595192804323446</v>
      </c>
      <c r="T143" s="15"/>
      <c r="U143" s="15"/>
      <c r="V143" s="15"/>
      <c r="W143" s="15"/>
    </row>
    <row r="144" spans="1:23" x14ac:dyDescent="0.25">
      <c r="B144" s="8"/>
      <c r="C144" s="9"/>
      <c r="D144" s="9"/>
      <c r="E144" s="8"/>
      <c r="F144" s="8"/>
      <c r="G144" s="9"/>
      <c r="H144" s="9"/>
      <c r="I144" s="9"/>
      <c r="J144" s="9"/>
      <c r="K144" s="9"/>
      <c r="L144" s="32"/>
      <c r="M144" s="9"/>
      <c r="N144" s="9"/>
      <c r="O144" s="9"/>
      <c r="P144" s="97">
        <v>0.91539763113367179</v>
      </c>
      <c r="Q144" s="151">
        <f t="shared" si="6"/>
        <v>43454.360406091349</v>
      </c>
      <c r="R144" s="124">
        <v>0.24869444545886132</v>
      </c>
      <c r="S144" s="37">
        <v>-5.3522883309608096</v>
      </c>
      <c r="T144" s="15"/>
      <c r="U144" s="15">
        <v>1.1641535116455171</v>
      </c>
      <c r="V144" s="15"/>
      <c r="W144" s="15"/>
    </row>
    <row r="145" spans="1:23" x14ac:dyDescent="0.25">
      <c r="B145" s="8"/>
      <c r="C145" s="9"/>
      <c r="D145" s="9"/>
      <c r="E145" s="8"/>
      <c r="F145" s="8"/>
      <c r="G145" s="9"/>
      <c r="H145" s="9"/>
      <c r="I145" s="9"/>
      <c r="J145" s="9"/>
      <c r="K145" s="9"/>
      <c r="L145" s="32"/>
      <c r="M145" s="9"/>
      <c r="N145" s="9"/>
      <c r="O145" s="9"/>
      <c r="P145" s="97">
        <v>0.94077834179357023</v>
      </c>
      <c r="Q145" s="151">
        <f t="shared" si="6"/>
        <v>43482.152284263939</v>
      </c>
      <c r="R145" s="124">
        <v>0.35752108972720298</v>
      </c>
      <c r="S145" s="37">
        <v>1.3203411395674021</v>
      </c>
      <c r="T145" s="15"/>
      <c r="U145" s="15">
        <v>1.6624163985615636</v>
      </c>
      <c r="V145" s="15"/>
      <c r="W145" s="15"/>
    </row>
    <row r="146" spans="1:23" x14ac:dyDescent="0.25">
      <c r="B146" s="8"/>
      <c r="C146" s="9"/>
      <c r="D146" s="9"/>
      <c r="E146" s="8"/>
      <c r="F146" s="8"/>
      <c r="G146" s="9"/>
      <c r="H146" s="9"/>
      <c r="I146" s="9"/>
      <c r="J146" s="9"/>
      <c r="K146" s="9"/>
      <c r="L146" s="32"/>
      <c r="M146" s="9"/>
      <c r="N146" s="9"/>
      <c r="O146" s="9"/>
      <c r="P146" s="97">
        <v>0.96108291032148896</v>
      </c>
      <c r="Q146" s="151">
        <f t="shared" si="6"/>
        <v>43504.385786802013</v>
      </c>
      <c r="R146" s="124">
        <v>1.7611291677318044</v>
      </c>
      <c r="S146" s="37">
        <v>8.8803366044771401</v>
      </c>
      <c r="T146" s="15"/>
      <c r="U146" s="15">
        <v>2.2106676887153807</v>
      </c>
      <c r="V146" s="15"/>
      <c r="W146" s="15"/>
    </row>
    <row r="147" spans="1:23" ht="16.5" x14ac:dyDescent="0.3">
      <c r="A147" s="6">
        <v>6</v>
      </c>
      <c r="B147" s="33" t="s">
        <v>77</v>
      </c>
      <c r="C147" s="44">
        <v>37.904000000000003</v>
      </c>
      <c r="D147" s="44">
        <v>114.255</v>
      </c>
      <c r="E147" s="33" t="s">
        <v>10</v>
      </c>
      <c r="F147" s="33" t="s">
        <v>37</v>
      </c>
      <c r="G147" s="44">
        <f>(0.21+0.108+0.098+0.009+0.055+0.005+0.002+0.057+0.04+0.098)</f>
        <v>0.68200000000000005</v>
      </c>
      <c r="H147" s="44">
        <f>AVERAGE(28.5,4.1)</f>
        <v>16.3</v>
      </c>
      <c r="I147" s="44">
        <v>5.7953280000000005</v>
      </c>
      <c r="J147" s="11">
        <v>0.48251280000000007</v>
      </c>
      <c r="K147" s="11">
        <f>I147/J147</f>
        <v>12.010723860589811</v>
      </c>
      <c r="L147" s="14">
        <v>1.32</v>
      </c>
      <c r="M147" s="7">
        <f>9.353*EXP(-0.023*H147-0.622*L147-0.182*J147-0.009*K147)*(I147/(I147+0.567))</f>
        <v>2.118060964379378</v>
      </c>
      <c r="N147" s="7">
        <f>LN(M147)/10</f>
        <v>7.5050103070234853E-2</v>
      </c>
      <c r="O147" s="11">
        <f>4.3573*EXP(-1.002*M147)</f>
        <v>0.52181378585260285</v>
      </c>
      <c r="P147" s="10"/>
      <c r="Q147" s="149">
        <v>41105</v>
      </c>
      <c r="R147" s="126">
        <v>4.5248935707979534</v>
      </c>
      <c r="S147" s="71">
        <v>25.870949416526614</v>
      </c>
      <c r="T147" s="126">
        <v>0.11797752808988765</v>
      </c>
      <c r="U147" s="13"/>
      <c r="V147" s="13"/>
      <c r="W147" s="13" t="s">
        <v>97</v>
      </c>
    </row>
    <row r="148" spans="1:23" x14ac:dyDescent="0.25">
      <c r="C148" s="3"/>
      <c r="D148" s="3"/>
      <c r="G148" s="45"/>
      <c r="H148" s="45"/>
      <c r="I148" s="45"/>
      <c r="J148" s="3"/>
      <c r="K148" s="3"/>
      <c r="L148" s="32"/>
      <c r="O148" s="18"/>
      <c r="P148" s="22"/>
      <c r="Q148" s="151">
        <v>41136</v>
      </c>
      <c r="R148" s="127">
        <v>4.5820024868147966</v>
      </c>
      <c r="S148" s="72">
        <v>24.040760290671528</v>
      </c>
      <c r="T148" s="127">
        <v>0.12219101123595505</v>
      </c>
      <c r="U148" s="15"/>
      <c r="V148" s="15"/>
      <c r="W148" s="15"/>
    </row>
    <row r="149" spans="1:23" x14ac:dyDescent="0.25">
      <c r="C149" s="3"/>
      <c r="D149" s="3"/>
      <c r="G149" s="45"/>
      <c r="H149" s="45"/>
      <c r="I149" s="45"/>
      <c r="J149" s="3"/>
      <c r="K149" s="3"/>
      <c r="L149" s="32"/>
      <c r="N149" s="9"/>
      <c r="O149" s="9"/>
      <c r="P149" s="22"/>
      <c r="Q149" s="151">
        <v>41167</v>
      </c>
      <c r="R149" s="127">
        <v>3.7847657170855271</v>
      </c>
      <c r="S149" s="72">
        <v>23.70483111226833</v>
      </c>
      <c r="T149" s="127">
        <v>0.12724719101123594</v>
      </c>
      <c r="U149" s="15"/>
      <c r="V149" s="15"/>
      <c r="W149" s="15"/>
    </row>
    <row r="150" spans="1:23" x14ac:dyDescent="0.25">
      <c r="C150" s="3"/>
      <c r="D150" s="3"/>
      <c r="G150" s="3"/>
      <c r="H150" s="3"/>
      <c r="I150" s="3"/>
      <c r="J150" s="3"/>
      <c r="K150" s="3"/>
      <c r="L150" s="32"/>
      <c r="M150" s="9"/>
      <c r="N150" s="9"/>
      <c r="O150" s="9"/>
      <c r="P150" s="22"/>
      <c r="Q150" s="151">
        <v>41197</v>
      </c>
      <c r="R150" s="127">
        <v>1.5589278037912369</v>
      </c>
      <c r="S150" s="72">
        <v>15.897412834047387</v>
      </c>
      <c r="T150" s="127">
        <v>3.0337078651685393E-2</v>
      </c>
      <c r="U150" s="15"/>
      <c r="V150" s="15"/>
      <c r="W150" s="15"/>
    </row>
    <row r="151" spans="1:23" x14ac:dyDescent="0.25">
      <c r="C151" s="3"/>
      <c r="D151" s="3"/>
      <c r="G151" s="3"/>
      <c r="H151" s="3"/>
      <c r="I151" s="3"/>
      <c r="J151" s="3"/>
      <c r="K151" s="3"/>
      <c r="L151" s="32"/>
      <c r="M151" s="9"/>
      <c r="N151" s="9"/>
      <c r="O151" s="9"/>
      <c r="P151" s="22"/>
      <c r="Q151" s="151">
        <v>41228</v>
      </c>
      <c r="R151" s="127">
        <v>0.7056452544825067</v>
      </c>
      <c r="S151" s="72">
        <v>5.6765687504438169</v>
      </c>
      <c r="T151" s="127">
        <v>8.5112359550561803E-2</v>
      </c>
      <c r="U151" s="15"/>
      <c r="V151" s="15"/>
      <c r="W151" s="15"/>
    </row>
    <row r="152" spans="1:23" x14ac:dyDescent="0.25">
      <c r="C152" s="3"/>
      <c r="D152" s="3"/>
      <c r="G152" s="3"/>
      <c r="H152" s="3"/>
      <c r="I152" s="3"/>
      <c r="J152" s="3"/>
      <c r="K152" s="3"/>
      <c r="L152" s="32"/>
      <c r="M152" s="9"/>
      <c r="N152" s="9"/>
      <c r="O152" s="9"/>
      <c r="P152" s="22"/>
      <c r="Q152" s="151">
        <v>41258</v>
      </c>
      <c r="R152" s="127">
        <v>0.44062382997212735</v>
      </c>
      <c r="S152" s="72">
        <v>-4.889293914360783</v>
      </c>
      <c r="T152" s="127">
        <v>2.7808988764044945E-2</v>
      </c>
      <c r="U152" s="15"/>
      <c r="V152" s="15"/>
      <c r="W152" s="15"/>
    </row>
    <row r="153" spans="1:23" x14ac:dyDescent="0.25">
      <c r="C153" s="3"/>
      <c r="D153" s="3"/>
      <c r="G153" s="3"/>
      <c r="H153" s="3"/>
      <c r="I153" s="3"/>
      <c r="J153" s="3"/>
      <c r="K153" s="3"/>
      <c r="L153" s="32"/>
      <c r="M153" s="9"/>
      <c r="N153" s="9"/>
      <c r="O153" s="9"/>
      <c r="P153" s="22"/>
      <c r="Q153" s="151">
        <v>41289</v>
      </c>
      <c r="R153" s="127">
        <v>0.27364207431785931</v>
      </c>
      <c r="S153" s="72">
        <v>-3.7309631453120931</v>
      </c>
      <c r="T153" s="127">
        <v>4.5505617977528098E-2</v>
      </c>
      <c r="U153" s="15"/>
      <c r="V153" s="15"/>
      <c r="W153" s="15"/>
    </row>
    <row r="154" spans="1:23" x14ac:dyDescent="0.25">
      <c r="C154" s="3"/>
      <c r="D154" s="3"/>
      <c r="G154" s="3"/>
      <c r="H154" s="3"/>
      <c r="I154" s="3"/>
      <c r="J154" s="3"/>
      <c r="K154" s="3"/>
      <c r="L154" s="32"/>
      <c r="M154" s="9"/>
      <c r="N154" s="9"/>
      <c r="O154" s="9"/>
      <c r="P154" s="22"/>
      <c r="Q154" s="151">
        <v>41320</v>
      </c>
      <c r="R154" s="127">
        <v>0.28875710105805186</v>
      </c>
      <c r="S154" s="72">
        <v>0.64596302696049435</v>
      </c>
      <c r="T154" s="127">
        <v>0.12556179775280898</v>
      </c>
      <c r="U154" s="15"/>
      <c r="V154" s="15"/>
      <c r="W154" s="15"/>
    </row>
    <row r="155" spans="1:23" x14ac:dyDescent="0.25">
      <c r="C155" s="3"/>
      <c r="D155" s="3"/>
      <c r="G155" s="3"/>
      <c r="H155" s="3"/>
      <c r="I155" s="3"/>
      <c r="J155" s="3"/>
      <c r="K155" s="3"/>
      <c r="L155" s="32"/>
      <c r="M155" s="9"/>
      <c r="N155" s="9"/>
      <c r="O155" s="9"/>
      <c r="P155" s="22"/>
      <c r="Q155" s="151">
        <v>41348</v>
      </c>
      <c r="R155" s="127">
        <v>0.35982546073097565</v>
      </c>
      <c r="S155" s="72">
        <v>9.2754041707103454</v>
      </c>
      <c r="T155" s="127">
        <v>6.151685393258427E-2</v>
      </c>
      <c r="U155" s="15"/>
      <c r="V155" s="15"/>
      <c r="W155" s="15"/>
    </row>
    <row r="156" spans="1:23" x14ac:dyDescent="0.25">
      <c r="C156" s="3"/>
      <c r="D156" s="3"/>
      <c r="G156" s="3"/>
      <c r="H156" s="3"/>
      <c r="I156" s="3"/>
      <c r="J156" s="3"/>
      <c r="K156" s="3"/>
      <c r="L156" s="32"/>
      <c r="M156" s="9"/>
      <c r="N156" s="9"/>
      <c r="O156" s="9"/>
      <c r="P156" s="22"/>
      <c r="Q156" s="151">
        <v>41379</v>
      </c>
      <c r="R156" s="127">
        <v>1.005172389884488</v>
      </c>
      <c r="S156" s="72">
        <v>9.6289440670343467</v>
      </c>
      <c r="T156" s="127">
        <v>0.19466292134831459</v>
      </c>
      <c r="U156" s="15"/>
      <c r="V156" s="15"/>
      <c r="W156" s="15"/>
    </row>
    <row r="157" spans="1:23" x14ac:dyDescent="0.25">
      <c r="C157" s="3"/>
      <c r="D157" s="3"/>
      <c r="G157" s="3"/>
      <c r="H157" s="3"/>
      <c r="I157" s="3"/>
      <c r="J157" s="3"/>
      <c r="K157" s="3"/>
      <c r="L157" s="32"/>
      <c r="M157" s="9"/>
      <c r="N157" s="9"/>
      <c r="O157" s="9"/>
      <c r="P157" s="22"/>
      <c r="Q157" s="151">
        <v>41409</v>
      </c>
      <c r="R157" s="127">
        <v>0.95023597006577576</v>
      </c>
      <c r="S157" s="72">
        <v>18.833479300305349</v>
      </c>
      <c r="T157" s="127">
        <v>7.4999999999999997E-2</v>
      </c>
      <c r="U157" s="15"/>
      <c r="V157" s="15"/>
      <c r="W157" s="15"/>
    </row>
    <row r="158" spans="1:23" x14ac:dyDescent="0.25">
      <c r="C158" s="3"/>
      <c r="D158" s="3"/>
      <c r="G158" s="3"/>
      <c r="H158" s="3"/>
      <c r="I158" s="3"/>
      <c r="J158" s="3"/>
      <c r="K158" s="3"/>
      <c r="L158" s="40"/>
      <c r="M158" s="3"/>
      <c r="N158" s="3"/>
      <c r="O158" s="3"/>
      <c r="P158" s="5"/>
      <c r="Q158" s="150">
        <v>41440</v>
      </c>
      <c r="R158" s="128">
        <v>2.0157297969409402</v>
      </c>
      <c r="S158" s="73">
        <v>19.761545198475631</v>
      </c>
      <c r="T158" s="128">
        <v>0.11544943820224718</v>
      </c>
      <c r="U158" s="15"/>
      <c r="V158" s="15"/>
      <c r="W158" s="15"/>
    </row>
    <row r="159" spans="1:23" x14ac:dyDescent="0.25">
      <c r="A159" s="6"/>
      <c r="B159" s="33" t="s">
        <v>77</v>
      </c>
      <c r="C159" s="44">
        <v>37.264000000000003</v>
      </c>
      <c r="D159" s="44">
        <v>114.879</v>
      </c>
      <c r="E159" s="33" t="s">
        <v>8</v>
      </c>
      <c r="F159" s="33" t="s">
        <v>35</v>
      </c>
      <c r="G159" s="44">
        <v>0.63239999999999996</v>
      </c>
      <c r="H159" s="44">
        <v>12.325000000000003</v>
      </c>
      <c r="I159" s="11">
        <v>5.8557259828033894</v>
      </c>
      <c r="J159" s="11">
        <v>0.49004433280000009</v>
      </c>
      <c r="K159" s="11">
        <f>I159/J159</f>
        <v>11.949380068013692</v>
      </c>
      <c r="L159" s="14">
        <v>1.0883844434785674</v>
      </c>
      <c r="M159" s="7">
        <f>9.353*EXP(-0.023*H159-0.622*L159-0.182*J159-0.009*K159)*(I159/(I159+0.567))</f>
        <v>2.6807373356959125</v>
      </c>
      <c r="N159" s="7">
        <f>LN(M159)/10</f>
        <v>9.8609188194242026E-2</v>
      </c>
      <c r="O159" s="11">
        <f>4.3573*EXP(-1.002*M159)</f>
        <v>0.29693375538909272</v>
      </c>
      <c r="P159" s="10"/>
      <c r="Q159" s="149">
        <v>41044</v>
      </c>
      <c r="R159" s="13">
        <v>2.2919690087277136</v>
      </c>
      <c r="S159" s="52">
        <v>20</v>
      </c>
      <c r="T159" s="13"/>
      <c r="U159" s="13">
        <v>1.4249020402443977</v>
      </c>
      <c r="V159" s="13"/>
      <c r="W159" s="13" t="s">
        <v>98</v>
      </c>
    </row>
    <row r="160" spans="1:23" x14ac:dyDescent="0.25">
      <c r="C160" s="3"/>
      <c r="D160" s="3"/>
      <c r="G160" s="3"/>
      <c r="H160" s="3"/>
      <c r="I160" s="3"/>
      <c r="J160" s="3"/>
      <c r="K160" s="3"/>
      <c r="L160" s="40"/>
      <c r="O160" s="18"/>
      <c r="P160" s="22"/>
      <c r="Q160" s="150">
        <v>41075</v>
      </c>
      <c r="R160" s="15">
        <v>1.1457677647586384</v>
      </c>
      <c r="S160" s="53">
        <v>23.377483443708606</v>
      </c>
      <c r="T160" s="15"/>
      <c r="U160" s="15">
        <v>0.72053079236537931</v>
      </c>
      <c r="V160" s="15"/>
      <c r="W160" s="15"/>
    </row>
    <row r="161" spans="1:23" x14ac:dyDescent="0.25">
      <c r="C161" s="3"/>
      <c r="D161" s="3"/>
      <c r="G161" s="3"/>
      <c r="H161" s="3"/>
      <c r="I161" s="3"/>
      <c r="J161" s="3"/>
      <c r="K161" s="3"/>
      <c r="L161" s="40"/>
      <c r="N161" s="9"/>
      <c r="O161" s="9"/>
      <c r="P161" s="22"/>
      <c r="Q161" s="150">
        <v>41105</v>
      </c>
      <c r="R161" s="15">
        <v>4.5460152299017622</v>
      </c>
      <c r="S161" s="53">
        <v>24.966887417218544</v>
      </c>
      <c r="T161" s="15"/>
      <c r="U161" s="15">
        <v>2.1090861952270945</v>
      </c>
      <c r="V161" s="15"/>
      <c r="W161" s="15"/>
    </row>
    <row r="162" spans="1:23" x14ac:dyDescent="0.25">
      <c r="C162" s="3"/>
      <c r="D162" s="3"/>
      <c r="G162" s="3"/>
      <c r="H162" s="3"/>
      <c r="I162" s="3"/>
      <c r="J162" s="3"/>
      <c r="K162" s="3"/>
      <c r="L162" s="40"/>
      <c r="M162" s="3"/>
      <c r="N162" s="3"/>
      <c r="O162" s="3"/>
      <c r="P162" s="22"/>
      <c r="Q162" s="150">
        <v>41167</v>
      </c>
      <c r="R162" s="15">
        <v>2.9887844050592012</v>
      </c>
      <c r="S162" s="53">
        <v>20.993377483443709</v>
      </c>
      <c r="T162" s="15"/>
      <c r="U162" s="15">
        <v>3.7414092472985057</v>
      </c>
      <c r="V162" s="15"/>
      <c r="W162" s="15"/>
    </row>
    <row r="163" spans="1:23" x14ac:dyDescent="0.25">
      <c r="C163" s="3"/>
      <c r="D163" s="3"/>
      <c r="G163" s="3"/>
      <c r="H163" s="3"/>
      <c r="I163" s="3"/>
      <c r="J163" s="3"/>
      <c r="K163" s="3"/>
      <c r="L163" s="40"/>
      <c r="M163" s="3"/>
      <c r="N163" s="3"/>
      <c r="O163" s="3"/>
      <c r="P163" s="22"/>
      <c r="Q163" s="150">
        <v>41197</v>
      </c>
      <c r="R163" s="15">
        <v>1.0414509864634729</v>
      </c>
      <c r="S163" s="53">
        <v>17.218543046357617</v>
      </c>
      <c r="T163" s="15"/>
      <c r="U163" s="15">
        <v>1.5822982882616285</v>
      </c>
      <c r="V163" s="15"/>
      <c r="W163" s="15"/>
    </row>
    <row r="164" spans="1:23" x14ac:dyDescent="0.25">
      <c r="C164" s="3"/>
      <c r="D164" s="3"/>
      <c r="G164" s="3"/>
      <c r="H164" s="3"/>
      <c r="I164" s="3"/>
      <c r="J164" s="3"/>
      <c r="K164" s="3"/>
      <c r="L164" s="40"/>
      <c r="M164" s="3"/>
      <c r="N164" s="3"/>
      <c r="O164" s="3"/>
      <c r="P164" s="22"/>
      <c r="Q164" s="150">
        <v>41228</v>
      </c>
      <c r="R164" s="15">
        <v>0.53537388178752443</v>
      </c>
      <c r="S164" s="53">
        <v>6.6887417218543064</v>
      </c>
      <c r="T164" s="15"/>
      <c r="U164" s="15">
        <v>0.7398494921789569</v>
      </c>
      <c r="V164" s="15"/>
      <c r="W164" s="15"/>
    </row>
    <row r="165" spans="1:23" x14ac:dyDescent="0.25">
      <c r="C165" s="3"/>
      <c r="D165" s="3"/>
      <c r="G165" s="3"/>
      <c r="H165" s="3"/>
      <c r="I165" s="3"/>
      <c r="J165" s="3"/>
      <c r="K165" s="3"/>
      <c r="L165" s="40"/>
      <c r="M165" s="3"/>
      <c r="N165" s="3"/>
      <c r="O165" s="3"/>
      <c r="P165" s="22"/>
      <c r="Q165" s="150">
        <v>41258</v>
      </c>
      <c r="R165" s="15">
        <v>0.1788483673593021</v>
      </c>
      <c r="S165" s="53">
        <v>-0.26490066225165521</v>
      </c>
      <c r="T165" s="15"/>
      <c r="U165" s="15">
        <v>1.0868422762688477</v>
      </c>
      <c r="V165" s="15"/>
      <c r="W165" s="15"/>
    </row>
    <row r="166" spans="1:23" x14ac:dyDescent="0.25">
      <c r="C166" s="3"/>
      <c r="D166" s="3"/>
      <c r="G166" s="3"/>
      <c r="H166" s="3"/>
      <c r="I166" s="3"/>
      <c r="J166" s="3"/>
      <c r="K166" s="3"/>
      <c r="L166" s="40"/>
      <c r="M166" s="3"/>
      <c r="N166" s="3"/>
      <c r="O166" s="3"/>
      <c r="P166" s="22"/>
      <c r="Q166" s="150">
        <v>41289</v>
      </c>
      <c r="R166" s="15">
        <v>0.26411354105665608</v>
      </c>
      <c r="S166" s="53">
        <v>-5.033112582781456</v>
      </c>
      <c r="T166" s="15"/>
      <c r="U166" s="15">
        <v>1.6171753197723009</v>
      </c>
      <c r="V166" s="15"/>
      <c r="W166" s="15"/>
    </row>
    <row r="167" spans="1:23" x14ac:dyDescent="0.25">
      <c r="C167" s="3"/>
      <c r="D167" s="3"/>
      <c r="G167" s="3"/>
      <c r="H167" s="3"/>
      <c r="I167" s="3"/>
      <c r="J167" s="3"/>
      <c r="K167" s="3"/>
      <c r="L167" s="40"/>
      <c r="M167" s="3"/>
      <c r="N167" s="3"/>
      <c r="O167" s="3"/>
      <c r="P167" s="22"/>
      <c r="Q167" s="150">
        <v>41320</v>
      </c>
      <c r="R167" s="15">
        <v>0.33374911751927877</v>
      </c>
      <c r="S167" s="53">
        <v>-3.8410596026490111</v>
      </c>
      <c r="T167" s="15"/>
      <c r="U167" s="15">
        <v>2.4062884486412068</v>
      </c>
      <c r="V167" s="15"/>
      <c r="W167" s="15"/>
    </row>
    <row r="168" spans="1:23" x14ac:dyDescent="0.25">
      <c r="C168" s="3"/>
      <c r="D168" s="3"/>
      <c r="G168" s="3"/>
      <c r="H168" s="3"/>
      <c r="I168" s="3"/>
      <c r="J168" s="3"/>
      <c r="K168" s="3"/>
      <c r="L168" s="40"/>
      <c r="M168" s="3"/>
      <c r="N168" s="3"/>
      <c r="O168" s="3"/>
      <c r="P168" s="22"/>
      <c r="Q168" s="150">
        <v>41348</v>
      </c>
      <c r="R168" s="15">
        <v>0.26050152058216575</v>
      </c>
      <c r="S168" s="53">
        <v>0.33112582781456723</v>
      </c>
      <c r="T168" s="15"/>
      <c r="U168" s="15">
        <v>3.4453706782281079</v>
      </c>
      <c r="V168" s="15"/>
      <c r="W168" s="15"/>
    </row>
    <row r="169" spans="1:23" x14ac:dyDescent="0.25">
      <c r="C169" s="3"/>
      <c r="D169" s="3"/>
      <c r="G169" s="3"/>
      <c r="H169" s="3"/>
      <c r="I169" s="3"/>
      <c r="J169" s="3"/>
      <c r="K169" s="3"/>
      <c r="L169" s="40"/>
      <c r="M169" s="3"/>
      <c r="N169" s="3"/>
      <c r="O169" s="3"/>
      <c r="P169" s="22"/>
      <c r="Q169" s="150">
        <v>41379</v>
      </c>
      <c r="R169" s="15">
        <v>1.1798427826653632</v>
      </c>
      <c r="S169" s="53">
        <v>7.2847682119205288</v>
      </c>
      <c r="T169" s="15"/>
      <c r="U169" s="15">
        <v>5.7379796564617491</v>
      </c>
      <c r="V169" s="15"/>
      <c r="W169" s="15"/>
    </row>
    <row r="170" spans="1:23" x14ac:dyDescent="0.25">
      <c r="A170" s="6">
        <v>7</v>
      </c>
      <c r="B170" s="33" t="s">
        <v>78</v>
      </c>
      <c r="C170" s="44">
        <v>37.887999999999998</v>
      </c>
      <c r="D170" s="44">
        <v>114.696</v>
      </c>
      <c r="E170" s="33" t="s">
        <v>11</v>
      </c>
      <c r="F170" s="33" t="s">
        <v>38</v>
      </c>
      <c r="G170" s="11">
        <v>0.53500000000000003</v>
      </c>
      <c r="H170" s="11">
        <v>12.44</v>
      </c>
      <c r="I170" s="11">
        <v>2.8410904872389793</v>
      </c>
      <c r="J170" s="11">
        <v>0.25201880000000004</v>
      </c>
      <c r="K170" s="11">
        <f>I170/J170</f>
        <v>11.273327574129306</v>
      </c>
      <c r="L170" s="14">
        <v>1.47</v>
      </c>
      <c r="M170" s="7">
        <f>9.353*EXP(-0.023*H170-0.622*L170-0.182*J170-0.009*K170)*(I170/(I170+0.567))</f>
        <v>2.025761279702794</v>
      </c>
      <c r="N170" s="7">
        <f>LN(M170)/10</f>
        <v>7.0594557050451548E-2</v>
      </c>
      <c r="O170" s="11">
        <f>4.3573*EXP(-1.002*M170)</f>
        <v>0.57237540365281758</v>
      </c>
      <c r="P170" s="10"/>
      <c r="Q170" s="149">
        <v>39387</v>
      </c>
      <c r="R170" s="13"/>
      <c r="S170" s="25"/>
      <c r="T170" s="13"/>
      <c r="U170" s="13"/>
      <c r="V170" s="13"/>
      <c r="W170" s="13" t="s">
        <v>99</v>
      </c>
    </row>
    <row r="171" spans="1:23" x14ac:dyDescent="0.25">
      <c r="B171" s="8"/>
      <c r="C171" s="9"/>
      <c r="D171" s="9"/>
      <c r="E171" s="8"/>
      <c r="F171" s="8"/>
      <c r="G171" s="9"/>
      <c r="H171" s="9"/>
      <c r="I171" s="9"/>
      <c r="J171" s="9"/>
      <c r="K171" s="9"/>
      <c r="L171" s="32"/>
      <c r="M171" s="8"/>
      <c r="N171" s="8"/>
      <c r="O171" s="18"/>
      <c r="P171" s="99">
        <v>2.6397364162751253E-2</v>
      </c>
      <c r="Q171" s="151">
        <f t="shared" ref="Q171:Q203" si="7">Q170+(P171-P170)*365</f>
        <v>39396.635037919405</v>
      </c>
      <c r="R171" s="129">
        <v>0.84414269220188154</v>
      </c>
      <c r="S171" s="54">
        <v>14.148936170212767</v>
      </c>
      <c r="T171" s="129">
        <v>0.27926823029899994</v>
      </c>
      <c r="U171" s="148">
        <v>0.69915721833377154</v>
      </c>
      <c r="V171" s="148"/>
      <c r="W171" s="148"/>
    </row>
    <row r="172" spans="1:23" x14ac:dyDescent="0.25">
      <c r="B172" s="8"/>
      <c r="C172" s="9"/>
      <c r="D172" s="9"/>
      <c r="E172" s="8"/>
      <c r="F172" s="8"/>
      <c r="G172" s="9"/>
      <c r="H172" s="9"/>
      <c r="I172" s="9"/>
      <c r="J172" s="9"/>
      <c r="K172" s="9"/>
      <c r="L172" s="32"/>
      <c r="M172" s="8"/>
      <c r="N172" s="9"/>
      <c r="O172" s="9"/>
      <c r="P172" s="99">
        <v>5.4822295439923577E-2</v>
      </c>
      <c r="Q172" s="151">
        <f t="shared" si="7"/>
        <v>39407.010137835576</v>
      </c>
      <c r="R172" s="129">
        <v>1.7446969516452684</v>
      </c>
      <c r="S172" s="54">
        <v>3.4255319148936163</v>
      </c>
      <c r="T172" s="129">
        <v>0.27929807061070328</v>
      </c>
      <c r="U172" s="148">
        <v>0.79808692479441334</v>
      </c>
      <c r="V172" s="148"/>
      <c r="W172" s="148"/>
    </row>
    <row r="173" spans="1:23" x14ac:dyDescent="0.25">
      <c r="B173" s="8"/>
      <c r="C173" s="9"/>
      <c r="D173" s="9"/>
      <c r="E173" s="8"/>
      <c r="F173" s="8"/>
      <c r="G173" s="9"/>
      <c r="H173" s="9"/>
      <c r="I173" s="9"/>
      <c r="J173" s="9"/>
      <c r="K173" s="9"/>
      <c r="L173" s="32"/>
      <c r="M173" s="9"/>
      <c r="N173" s="9"/>
      <c r="O173" s="9"/>
      <c r="P173" s="99">
        <v>8.4631431189441053E-2</v>
      </c>
      <c r="Q173" s="151">
        <f t="shared" si="7"/>
        <v>39417.890472384148</v>
      </c>
      <c r="R173" s="129">
        <v>0.84741456310188878</v>
      </c>
      <c r="S173" s="54">
        <v>0.74468085106382897</v>
      </c>
      <c r="T173" s="129">
        <v>0.27932577947157072</v>
      </c>
      <c r="U173" s="148">
        <v>0.91690515385445726</v>
      </c>
      <c r="V173" s="148"/>
      <c r="W173" s="148"/>
    </row>
    <row r="174" spans="1:23" x14ac:dyDescent="0.25">
      <c r="B174" s="8"/>
      <c r="C174" s="9"/>
      <c r="D174" s="9"/>
      <c r="E174" s="8"/>
      <c r="F174" s="8"/>
      <c r="G174" s="9"/>
      <c r="H174" s="9"/>
      <c r="I174" s="9"/>
      <c r="J174" s="9"/>
      <c r="K174" s="9"/>
      <c r="L174" s="32"/>
      <c r="M174" s="9"/>
      <c r="N174" s="9"/>
      <c r="O174" s="9"/>
      <c r="P174" s="99">
        <v>0.1110287953521923</v>
      </c>
      <c r="Q174" s="151">
        <f t="shared" si="7"/>
        <v>39427.525510303552</v>
      </c>
      <c r="R174" s="129">
        <v>1.6916700784382535</v>
      </c>
      <c r="S174" s="54">
        <v>-0.40425531914893664</v>
      </c>
      <c r="T174" s="129">
        <v>0.28888959937250086</v>
      </c>
      <c r="U174" s="148">
        <v>1.0368119955438804</v>
      </c>
      <c r="V174" s="148"/>
      <c r="W174" s="148"/>
    </row>
    <row r="175" spans="1:23" x14ac:dyDescent="0.25">
      <c r="B175" s="8"/>
      <c r="C175" s="9"/>
      <c r="D175" s="9"/>
      <c r="E175" s="8"/>
      <c r="F175" s="8"/>
      <c r="G175" s="9"/>
      <c r="H175" s="9"/>
      <c r="I175" s="9"/>
      <c r="J175" s="9"/>
      <c r="K175" s="9"/>
      <c r="L175" s="32"/>
      <c r="M175" s="9"/>
      <c r="N175" s="9"/>
      <c r="O175" s="9"/>
      <c r="P175" s="99">
        <v>0.13881036398728872</v>
      </c>
      <c r="Q175" s="151">
        <f t="shared" si="7"/>
        <v>39437.665782855365</v>
      </c>
      <c r="R175" s="129">
        <v>0.738088945787852</v>
      </c>
      <c r="S175" s="54">
        <v>-0.78723404255319185</v>
      </c>
      <c r="T175" s="129">
        <v>0.29104023326597944</v>
      </c>
      <c r="U175" s="148">
        <v>1.1799795500312713</v>
      </c>
      <c r="V175" s="148"/>
      <c r="W175" s="148"/>
    </row>
    <row r="176" spans="1:23" x14ac:dyDescent="0.25">
      <c r="B176" s="8"/>
      <c r="C176" s="9"/>
      <c r="D176" s="9"/>
      <c r="E176" s="8"/>
      <c r="F176" s="8"/>
      <c r="G176" s="9"/>
      <c r="H176" s="9"/>
      <c r="I176" s="9"/>
      <c r="J176" s="9"/>
      <c r="K176" s="9"/>
      <c r="L176" s="32"/>
      <c r="M176" s="9"/>
      <c r="N176" s="9"/>
      <c r="O176" s="9"/>
      <c r="P176" s="99">
        <v>0.1670403368880744</v>
      </c>
      <c r="Q176" s="151">
        <f t="shared" si="7"/>
        <v>39447.969722964153</v>
      </c>
      <c r="R176" s="129">
        <v>1.0767839955058485</v>
      </c>
      <c r="S176" s="54">
        <v>-0.97872340425531856</v>
      </c>
      <c r="T176" s="129">
        <v>0.30801510772352525</v>
      </c>
      <c r="U176" s="148">
        <v>1.3457228412420894</v>
      </c>
      <c r="V176" s="148"/>
      <c r="W176" s="148"/>
    </row>
    <row r="177" spans="2:23" x14ac:dyDescent="0.25">
      <c r="B177" s="8"/>
      <c r="C177" s="9"/>
      <c r="D177" s="9"/>
      <c r="E177" s="8"/>
      <c r="F177" s="8"/>
      <c r="G177" s="9"/>
      <c r="H177" s="9"/>
      <c r="I177" s="9"/>
      <c r="J177" s="9"/>
      <c r="K177" s="9"/>
      <c r="L177" s="32"/>
      <c r="M177" s="9"/>
      <c r="N177" s="9"/>
      <c r="O177" s="9"/>
      <c r="P177" s="99">
        <v>0.1929113134345817</v>
      </c>
      <c r="Q177" s="151">
        <f t="shared" si="7"/>
        <v>39457.412629403625</v>
      </c>
      <c r="R177" s="129">
        <v>0.40401964458365919</v>
      </c>
      <c r="S177" s="54">
        <v>-1.1702127659574471</v>
      </c>
      <c r="T177" s="129">
        <v>0.31652172800982176</v>
      </c>
      <c r="U177" s="148">
        <v>1.5179828494787726</v>
      </c>
      <c r="V177" s="148"/>
      <c r="W177" s="148"/>
    </row>
    <row r="178" spans="2:23" x14ac:dyDescent="0.25">
      <c r="B178" s="8"/>
      <c r="C178" s="9"/>
      <c r="D178" s="9"/>
      <c r="E178" s="8"/>
      <c r="F178" s="8"/>
      <c r="G178" s="9"/>
      <c r="H178" s="9"/>
      <c r="I178" s="9"/>
      <c r="J178" s="9"/>
      <c r="K178" s="9"/>
      <c r="L178" s="32"/>
      <c r="M178" s="9"/>
      <c r="N178" s="9"/>
      <c r="O178" s="9"/>
      <c r="P178" s="99">
        <v>0.22500146218782291</v>
      </c>
      <c r="Q178" s="151">
        <f t="shared" si="7"/>
        <v>39469.125533698556</v>
      </c>
      <c r="R178" s="129">
        <v>0.2934529727903093</v>
      </c>
      <c r="S178" s="54">
        <v>-0.21276595744680815</v>
      </c>
      <c r="T178" s="129">
        <v>0.30277600156874784</v>
      </c>
      <c r="U178" s="148">
        <v>1.7625981193280169</v>
      </c>
      <c r="V178" s="148"/>
      <c r="W178" s="148"/>
    </row>
    <row r="179" spans="2:23" x14ac:dyDescent="0.25">
      <c r="B179" s="8"/>
      <c r="C179" s="9"/>
      <c r="D179" s="9"/>
      <c r="E179" s="8"/>
      <c r="F179" s="8"/>
      <c r="G179" s="9"/>
      <c r="H179" s="9"/>
      <c r="I179" s="9"/>
      <c r="J179" s="9"/>
      <c r="K179" s="9"/>
      <c r="L179" s="32"/>
      <c r="M179" s="9"/>
      <c r="N179" s="9"/>
      <c r="O179" s="9"/>
      <c r="P179" s="99">
        <v>0.25108689294835551</v>
      </c>
      <c r="Q179" s="151">
        <f t="shared" si="7"/>
        <v>39478.646715926152</v>
      </c>
      <c r="R179" s="129">
        <v>0.23873375256604937</v>
      </c>
      <c r="S179" s="54">
        <v>0.17021276595744705</v>
      </c>
      <c r="T179" s="129">
        <v>0.30281223623295905</v>
      </c>
      <c r="U179" s="148">
        <v>1.9902066399632268</v>
      </c>
      <c r="V179" s="148"/>
      <c r="W179" s="148"/>
    </row>
    <row r="180" spans="2:23" x14ac:dyDescent="0.25">
      <c r="B180" s="8"/>
      <c r="C180" s="9"/>
      <c r="D180" s="9"/>
      <c r="E180" s="8"/>
      <c r="F180" s="8"/>
      <c r="G180" s="9"/>
      <c r="H180" s="9"/>
      <c r="I180" s="9"/>
      <c r="J180" s="9"/>
      <c r="K180" s="9"/>
      <c r="L180" s="32"/>
      <c r="M180" s="9"/>
      <c r="N180" s="9"/>
      <c r="O180" s="9"/>
      <c r="P180" s="99">
        <v>0.27715282787124951</v>
      </c>
      <c r="Q180" s="151">
        <f t="shared" si="7"/>
        <v>39488.160782173007</v>
      </c>
      <c r="R180" s="129">
        <v>0.12782861136925044</v>
      </c>
      <c r="S180" s="54">
        <v>0.74468085106382897</v>
      </c>
      <c r="T180" s="129">
        <v>0.28906650979188514</v>
      </c>
      <c r="U180" s="148">
        <v>2.2470028260077304</v>
      </c>
      <c r="V180" s="148"/>
      <c r="W180" s="148"/>
    </row>
    <row r="181" spans="2:23" x14ac:dyDescent="0.25">
      <c r="B181" s="8"/>
      <c r="C181" s="9"/>
      <c r="D181" s="9"/>
      <c r="E181" s="8"/>
      <c r="F181" s="8"/>
      <c r="G181" s="9"/>
      <c r="H181" s="9"/>
      <c r="I181" s="9"/>
      <c r="J181" s="9"/>
      <c r="K181" s="9"/>
      <c r="L181" s="32"/>
      <c r="M181" s="9"/>
      <c r="N181" s="9"/>
      <c r="O181" s="9"/>
      <c r="P181" s="99">
        <v>0.30345271284580744</v>
      </c>
      <c r="Q181" s="151">
        <f t="shared" si="7"/>
        <v>39497.76024018872</v>
      </c>
      <c r="R181" s="129">
        <v>0.69115452184291992</v>
      </c>
      <c r="S181" s="54">
        <v>-0.78723404255319185</v>
      </c>
      <c r="T181" s="129">
        <v>0.28168316409613697</v>
      </c>
      <c r="U181" s="148">
        <v>2.5396982197640106</v>
      </c>
      <c r="V181" s="148"/>
      <c r="W181" s="148"/>
    </row>
    <row r="182" spans="2:23" x14ac:dyDescent="0.25">
      <c r="B182" s="8"/>
      <c r="C182" s="9"/>
      <c r="D182" s="9"/>
      <c r="E182" s="8"/>
      <c r="F182" s="8"/>
      <c r="G182" s="9"/>
      <c r="H182" s="9"/>
      <c r="I182" s="9"/>
      <c r="J182" s="9"/>
      <c r="K182" s="9"/>
      <c r="L182" s="32"/>
      <c r="M182" s="9"/>
      <c r="N182" s="9"/>
      <c r="O182" s="9"/>
      <c r="P182" s="99">
        <v>0.33351529448462752</v>
      </c>
      <c r="Q182" s="151">
        <f t="shared" si="7"/>
        <v>39508.733082486891</v>
      </c>
      <c r="R182" s="129">
        <v>0.52428910594254785</v>
      </c>
      <c r="S182" s="54">
        <v>2.085106382978724</v>
      </c>
      <c r="T182" s="129">
        <v>0.26899890017136863</v>
      </c>
      <c r="U182" s="148">
        <v>2.9212505118894225</v>
      </c>
      <c r="V182" s="148"/>
      <c r="W182" s="148"/>
    </row>
    <row r="183" spans="2:23" x14ac:dyDescent="0.25">
      <c r="B183" s="8"/>
      <c r="C183" s="9"/>
      <c r="D183" s="9"/>
      <c r="E183" s="8"/>
      <c r="F183" s="8"/>
      <c r="G183" s="9"/>
      <c r="H183" s="9"/>
      <c r="I183" s="9"/>
      <c r="J183" s="9"/>
      <c r="K183" s="9"/>
      <c r="L183" s="32"/>
      <c r="M183" s="9"/>
      <c r="N183" s="9"/>
      <c r="O183" s="9"/>
      <c r="P183" s="99">
        <v>0.36195972159943851</v>
      </c>
      <c r="Q183" s="151">
        <f t="shared" si="7"/>
        <v>39519.115298383796</v>
      </c>
      <c r="R183" s="129">
        <v>1.4810292863584738</v>
      </c>
      <c r="S183" s="54">
        <v>8.0212765957446805</v>
      </c>
      <c r="T183" s="129">
        <v>0.28174071326870775</v>
      </c>
      <c r="U183" s="148">
        <v>3.3349058081110052</v>
      </c>
      <c r="V183" s="148"/>
      <c r="W183" s="148"/>
    </row>
    <row r="184" spans="2:23" x14ac:dyDescent="0.25">
      <c r="B184" s="8"/>
      <c r="C184" s="9"/>
      <c r="D184" s="9"/>
      <c r="E184" s="8"/>
      <c r="F184" s="8"/>
      <c r="G184" s="9"/>
      <c r="H184" s="9"/>
      <c r="I184" s="9"/>
      <c r="J184" s="9"/>
      <c r="K184" s="9"/>
      <c r="L184" s="32"/>
      <c r="M184" s="9"/>
      <c r="N184" s="9"/>
      <c r="O184" s="9"/>
      <c r="P184" s="99">
        <v>0.38800616068469379</v>
      </c>
      <c r="Q184" s="151">
        <f t="shared" si="7"/>
        <v>39528.622248649917</v>
      </c>
      <c r="R184" s="129">
        <v>1.313938224189136</v>
      </c>
      <c r="S184" s="54">
        <v>10.702127659574469</v>
      </c>
      <c r="T184" s="129">
        <v>0.28282988464588071</v>
      </c>
      <c r="U184" s="148">
        <v>3.7648666579736627</v>
      </c>
      <c r="V184" s="148"/>
      <c r="W184" s="148"/>
    </row>
    <row r="185" spans="2:23" x14ac:dyDescent="0.25">
      <c r="B185" s="8"/>
      <c r="C185" s="9"/>
      <c r="D185" s="9"/>
      <c r="E185" s="8"/>
      <c r="F185" s="8"/>
      <c r="G185" s="9"/>
      <c r="H185" s="9"/>
      <c r="I185" s="9"/>
      <c r="J185" s="9"/>
      <c r="K185" s="9"/>
      <c r="L185" s="32"/>
      <c r="M185" s="9"/>
      <c r="N185" s="9"/>
      <c r="O185" s="9"/>
      <c r="P185" s="99">
        <v>0.41411108728286511</v>
      </c>
      <c r="Q185" s="151">
        <f t="shared" si="7"/>
        <v>39538.150546858247</v>
      </c>
      <c r="R185" s="129">
        <v>1.3154049249374147</v>
      </c>
      <c r="S185" s="54">
        <v>15.48936170212766</v>
      </c>
      <c r="T185" s="129">
        <v>0.25001619902635325</v>
      </c>
      <c r="U185" s="148">
        <v>4.2514187965614676</v>
      </c>
      <c r="V185" s="148"/>
      <c r="W185" s="148"/>
    </row>
    <row r="186" spans="2:23" x14ac:dyDescent="0.25">
      <c r="B186" s="8"/>
      <c r="C186" s="9"/>
      <c r="D186" s="9"/>
      <c r="E186" s="8"/>
      <c r="F186" s="8"/>
      <c r="G186" s="9"/>
      <c r="H186" s="9"/>
      <c r="I186" s="9"/>
      <c r="J186" s="9"/>
      <c r="K186" s="9"/>
      <c r="L186" s="32"/>
      <c r="M186" s="9"/>
      <c r="N186" s="9"/>
      <c r="O186" s="9"/>
      <c r="P186" s="99">
        <v>0.44448560232390383</v>
      </c>
      <c r="Q186" s="151">
        <f t="shared" si="7"/>
        <v>39549.237244848227</v>
      </c>
      <c r="R186" s="129">
        <v>2.0475142445976675</v>
      </c>
      <c r="S186" s="54">
        <v>13.76595744680851</v>
      </c>
      <c r="T186" s="129">
        <v>0.3358582499936057</v>
      </c>
      <c r="U186" s="148">
        <v>4.8972390760034745</v>
      </c>
      <c r="V186" s="148"/>
      <c r="W186" s="148"/>
    </row>
    <row r="187" spans="2:23" x14ac:dyDescent="0.25">
      <c r="B187" s="8"/>
      <c r="C187" s="9"/>
      <c r="D187" s="9"/>
      <c r="E187" s="8"/>
      <c r="F187" s="8"/>
      <c r="G187" s="9"/>
      <c r="H187" s="9"/>
      <c r="I187" s="9"/>
      <c r="J187" s="9"/>
      <c r="K187" s="9"/>
      <c r="L187" s="32"/>
      <c r="M187" s="9"/>
      <c r="N187" s="9"/>
      <c r="O187" s="9"/>
      <c r="P187" s="99">
        <v>0.4725596085235802</v>
      </c>
      <c r="Q187" s="151">
        <f t="shared" si="7"/>
        <v>39559.484257111108</v>
      </c>
      <c r="R187" s="129">
        <v>1.936721926535351</v>
      </c>
      <c r="S187" s="54">
        <v>20.468085106382979</v>
      </c>
      <c r="T187" s="129">
        <v>0.2574954600097194</v>
      </c>
      <c r="U187" s="148">
        <v>4.2193793094743341</v>
      </c>
      <c r="V187" s="148"/>
      <c r="W187" s="148"/>
    </row>
    <row r="188" spans="2:23" x14ac:dyDescent="0.25">
      <c r="B188" s="8"/>
      <c r="C188" s="9"/>
      <c r="D188" s="9"/>
      <c r="E188" s="8"/>
      <c r="F188" s="8"/>
      <c r="G188" s="9"/>
      <c r="H188" s="9"/>
      <c r="I188" s="9"/>
      <c r="J188" s="9"/>
      <c r="K188" s="9"/>
      <c r="L188" s="32"/>
      <c r="M188" s="9"/>
      <c r="N188" s="9"/>
      <c r="O188" s="9"/>
      <c r="P188" s="99">
        <v>0.50106252315130717</v>
      </c>
      <c r="Q188" s="151">
        <f t="shared" si="7"/>
        <v>39569.887820950229</v>
      </c>
      <c r="R188" s="129">
        <v>3.0620198698688945</v>
      </c>
      <c r="S188" s="54">
        <v>21.042553191489361</v>
      </c>
      <c r="T188" s="129">
        <v>0.31790930250402843</v>
      </c>
      <c r="U188" s="148">
        <v>2.6101718178797202</v>
      </c>
      <c r="V188" s="148"/>
      <c r="W188" s="148"/>
    </row>
    <row r="189" spans="2:23" x14ac:dyDescent="0.25">
      <c r="B189" s="8"/>
      <c r="C189" s="9"/>
      <c r="D189" s="9"/>
      <c r="E189" s="8"/>
      <c r="F189" s="8"/>
      <c r="G189" s="9"/>
      <c r="H189" s="9"/>
      <c r="I189" s="9"/>
      <c r="J189" s="9"/>
      <c r="K189" s="9"/>
      <c r="L189" s="32"/>
      <c r="M189" s="9"/>
      <c r="N189" s="9"/>
      <c r="O189" s="9"/>
      <c r="P189" s="99">
        <v>0.52695299553545316</v>
      </c>
      <c r="Q189" s="151">
        <f t="shared" si="7"/>
        <v>39579.337843370442</v>
      </c>
      <c r="R189" s="129">
        <v>2.4454414399192435</v>
      </c>
      <c r="S189" s="54">
        <v>25.063829787234042</v>
      </c>
      <c r="T189" s="129">
        <v>0.27344297516433486</v>
      </c>
      <c r="U189" s="148">
        <v>1.6873572071939116</v>
      </c>
      <c r="V189" s="148"/>
      <c r="W189" s="148"/>
    </row>
    <row r="190" spans="2:23" x14ac:dyDescent="0.25">
      <c r="B190" s="8"/>
      <c r="C190" s="9"/>
      <c r="D190" s="9"/>
      <c r="E190" s="8"/>
      <c r="F190" s="8"/>
      <c r="G190" s="9"/>
      <c r="H190" s="9"/>
      <c r="I190" s="9"/>
      <c r="J190" s="9"/>
      <c r="K190" s="9"/>
      <c r="L190" s="32"/>
      <c r="M190" s="9"/>
      <c r="N190" s="9"/>
      <c r="O190" s="9"/>
      <c r="P190" s="99">
        <v>0.55754196479051721</v>
      </c>
      <c r="Q190" s="151">
        <f t="shared" si="7"/>
        <v>39590.502817148539</v>
      </c>
      <c r="R190" s="129">
        <v>3.7955958902774265</v>
      </c>
      <c r="S190" s="54">
        <v>29.468085106382979</v>
      </c>
      <c r="T190" s="129">
        <v>0.20673495835145064</v>
      </c>
      <c r="U190" s="148"/>
      <c r="V190" s="148"/>
      <c r="W190" s="148"/>
    </row>
    <row r="191" spans="2:23" x14ac:dyDescent="0.25">
      <c r="B191" s="8"/>
      <c r="C191" s="9"/>
      <c r="D191" s="9"/>
      <c r="E191" s="8"/>
      <c r="F191" s="8"/>
      <c r="G191" s="9"/>
      <c r="H191" s="9"/>
      <c r="I191" s="9"/>
      <c r="J191" s="9"/>
      <c r="K191" s="9"/>
      <c r="L191" s="32"/>
      <c r="M191" s="9"/>
      <c r="N191" s="9"/>
      <c r="O191" s="9"/>
      <c r="P191" s="99">
        <v>0.58333495798646984</v>
      </c>
      <c r="Q191" s="151">
        <f t="shared" si="7"/>
        <v>39599.917259665061</v>
      </c>
      <c r="R191" s="129">
        <v>2.8980878554650804</v>
      </c>
      <c r="S191" s="54">
        <v>27.170212765957451</v>
      </c>
      <c r="T191" s="129">
        <v>0.20782626117945963</v>
      </c>
      <c r="U191" s="148"/>
      <c r="V191" s="148"/>
      <c r="W191" s="148"/>
    </row>
    <row r="192" spans="2:23" x14ac:dyDescent="0.25">
      <c r="B192" s="8"/>
      <c r="C192" s="9"/>
      <c r="D192" s="9"/>
      <c r="E192" s="8"/>
      <c r="F192" s="8"/>
      <c r="G192" s="9"/>
      <c r="H192" s="9"/>
      <c r="I192" s="9"/>
      <c r="J192" s="9"/>
      <c r="K192" s="9"/>
      <c r="L192" s="32"/>
      <c r="M192" s="9"/>
      <c r="N192" s="9"/>
      <c r="O192" s="9"/>
      <c r="P192" s="99">
        <v>0.61214980601641544</v>
      </c>
      <c r="Q192" s="151">
        <f t="shared" si="7"/>
        <v>39610.434679195991</v>
      </c>
      <c r="R192" s="129">
        <v>4.9223605343592478</v>
      </c>
      <c r="S192" s="54">
        <v>27.744680851063833</v>
      </c>
      <c r="T192" s="129">
        <v>0.22798126028425028</v>
      </c>
      <c r="U192" s="148">
        <v>0.63418903015352512</v>
      </c>
      <c r="V192" s="148"/>
      <c r="W192" s="148"/>
    </row>
    <row r="193" spans="1:23" x14ac:dyDescent="0.25">
      <c r="B193" s="8"/>
      <c r="C193" s="9"/>
      <c r="D193" s="9"/>
      <c r="E193" s="8"/>
      <c r="F193" s="8"/>
      <c r="G193" s="9"/>
      <c r="H193" s="9"/>
      <c r="I193" s="9"/>
      <c r="J193" s="9"/>
      <c r="K193" s="9"/>
      <c r="L193" s="32"/>
      <c r="M193" s="9"/>
      <c r="N193" s="9"/>
      <c r="O193" s="9"/>
      <c r="P193" s="99">
        <v>0.64004834967734392</v>
      </c>
      <c r="Q193" s="151">
        <f t="shared" si="7"/>
        <v>39620.617647632229</v>
      </c>
      <c r="R193" s="129">
        <v>4.305894927544081</v>
      </c>
      <c r="S193" s="54">
        <v>35.404255319148938</v>
      </c>
      <c r="T193" s="129">
        <v>0.28627644064762003</v>
      </c>
      <c r="U193" s="148">
        <v>0.91315420690740456</v>
      </c>
      <c r="V193" s="148"/>
      <c r="W193" s="148"/>
    </row>
    <row r="194" spans="1:23" x14ac:dyDescent="0.25">
      <c r="B194" s="8"/>
      <c r="C194" s="9"/>
      <c r="D194" s="9"/>
      <c r="E194" s="8"/>
      <c r="F194" s="8"/>
      <c r="G194" s="9"/>
      <c r="H194" s="9"/>
      <c r="I194" s="9"/>
      <c r="J194" s="9"/>
      <c r="K194" s="9"/>
      <c r="L194" s="32"/>
      <c r="M194" s="9"/>
      <c r="N194" s="9"/>
      <c r="O194" s="9"/>
      <c r="P194" s="99">
        <v>0.66802487668882693</v>
      </c>
      <c r="Q194" s="151">
        <f t="shared" si="7"/>
        <v>39630.829079991418</v>
      </c>
      <c r="R194" s="129">
        <v>3.914173004619069</v>
      </c>
      <c r="S194" s="54">
        <v>33.48936170212766</v>
      </c>
      <c r="T194" s="129">
        <v>0.28736348057395711</v>
      </c>
      <c r="U194" s="148">
        <v>1.3161702853993615</v>
      </c>
      <c r="V194" s="148"/>
      <c r="W194" s="148"/>
    </row>
    <row r="195" spans="1:23" x14ac:dyDescent="0.25">
      <c r="B195" s="8"/>
      <c r="C195" s="9"/>
      <c r="D195" s="9"/>
      <c r="E195" s="8"/>
      <c r="F195" s="8"/>
      <c r="G195" s="9"/>
      <c r="H195" s="9"/>
      <c r="I195" s="9"/>
      <c r="J195" s="9"/>
      <c r="K195" s="9"/>
      <c r="L195" s="32"/>
      <c r="M195" s="9"/>
      <c r="N195" s="9"/>
      <c r="O195" s="9"/>
      <c r="P195" s="99">
        <v>0.72684381884467664</v>
      </c>
      <c r="Q195" s="151">
        <f t="shared" si="7"/>
        <v>39652.297993878303</v>
      </c>
      <c r="R195" s="129">
        <v>5.6030225046952475</v>
      </c>
      <c r="S195" s="54">
        <v>32.340425531914896</v>
      </c>
      <c r="T195" s="129">
        <v>0.3276777416852103</v>
      </c>
      <c r="U195" s="148">
        <v>2.8386511967127319</v>
      </c>
      <c r="V195" s="148"/>
      <c r="W195" s="148"/>
    </row>
    <row r="196" spans="1:23" x14ac:dyDescent="0.25">
      <c r="B196" s="8"/>
      <c r="C196" s="9"/>
      <c r="D196" s="9"/>
      <c r="E196" s="8"/>
      <c r="F196" s="8"/>
      <c r="G196" s="9"/>
      <c r="H196" s="9"/>
      <c r="I196" s="9"/>
      <c r="J196" s="9"/>
      <c r="K196" s="9"/>
      <c r="L196" s="32"/>
      <c r="M196" s="9"/>
      <c r="N196" s="9"/>
      <c r="O196" s="9"/>
      <c r="P196" s="99">
        <v>0.75273429122882263</v>
      </c>
      <c r="Q196" s="151">
        <f t="shared" si="7"/>
        <v>39661.748016298516</v>
      </c>
      <c r="R196" s="129">
        <v>4.9864440747455978</v>
      </c>
      <c r="S196" s="54">
        <v>30.617021276595743</v>
      </c>
      <c r="T196" s="129">
        <v>0.31181761601486896</v>
      </c>
      <c r="U196" s="148">
        <v>3.9814525263807723</v>
      </c>
      <c r="V196" s="148"/>
      <c r="W196" s="148"/>
    </row>
    <row r="197" spans="1:23" x14ac:dyDescent="0.25">
      <c r="B197" s="8"/>
      <c r="C197" s="9"/>
      <c r="D197" s="9"/>
      <c r="E197" s="8"/>
      <c r="F197" s="8"/>
      <c r="G197" s="9"/>
      <c r="H197" s="9"/>
      <c r="I197" s="9"/>
      <c r="J197" s="9"/>
      <c r="K197" s="9"/>
      <c r="L197" s="32"/>
      <c r="M197" s="9"/>
      <c r="N197" s="9"/>
      <c r="O197" s="9"/>
      <c r="P197" s="99">
        <v>0.78073031407794435</v>
      </c>
      <c r="Q197" s="151">
        <f t="shared" si="7"/>
        <v>39671.966564638446</v>
      </c>
      <c r="R197" s="129">
        <v>4.6509080727931247</v>
      </c>
      <c r="S197" s="54">
        <v>29.468085106382979</v>
      </c>
      <c r="T197" s="129">
        <v>0.30761013206469379</v>
      </c>
      <c r="U197" s="148">
        <v>5.7401089928749629</v>
      </c>
      <c r="V197" s="148"/>
      <c r="W197" s="148"/>
    </row>
    <row r="198" spans="1:23" x14ac:dyDescent="0.25">
      <c r="B198" s="8"/>
      <c r="C198" s="9"/>
      <c r="D198" s="9"/>
      <c r="E198" s="8"/>
      <c r="F198" s="8"/>
      <c r="G198" s="9"/>
      <c r="H198" s="9"/>
      <c r="I198" s="9"/>
      <c r="J198" s="9"/>
      <c r="K198" s="9"/>
      <c r="L198" s="32"/>
      <c r="M198" s="9"/>
      <c r="N198" s="9"/>
      <c r="O198" s="9"/>
      <c r="P198" s="99">
        <v>0.80907726200456198</v>
      </c>
      <c r="Q198" s="151">
        <f t="shared" si="7"/>
        <v>39682.313200631659</v>
      </c>
      <c r="R198" s="129">
        <v>5.3267186483463567</v>
      </c>
      <c r="S198" s="54">
        <v>31.957446808510639</v>
      </c>
      <c r="T198" s="129">
        <v>0.31823541448192955</v>
      </c>
      <c r="U198" s="148">
        <v>7.3812646325678282</v>
      </c>
      <c r="V198" s="148"/>
      <c r="W198" s="148"/>
    </row>
    <row r="199" spans="1:23" x14ac:dyDescent="0.25">
      <c r="B199" s="8"/>
      <c r="C199" s="9"/>
      <c r="D199" s="9"/>
      <c r="E199" s="8"/>
      <c r="F199" s="8"/>
      <c r="G199" s="9"/>
      <c r="H199" s="9"/>
      <c r="I199" s="9"/>
      <c r="J199" s="9"/>
      <c r="K199" s="9"/>
      <c r="L199" s="32"/>
      <c r="M199" s="9"/>
      <c r="N199" s="9"/>
      <c r="O199" s="9"/>
      <c r="P199" s="99">
        <v>0.83533815530384259</v>
      </c>
      <c r="Q199" s="151">
        <f t="shared" si="7"/>
        <v>39691.898426685897</v>
      </c>
      <c r="R199" s="129">
        <v>5.7776727168749478</v>
      </c>
      <c r="S199" s="54">
        <v>30.042553191489361</v>
      </c>
      <c r="T199" s="129">
        <v>0.33944761320135386</v>
      </c>
      <c r="U199" s="148">
        <v>5.6068099946186374</v>
      </c>
      <c r="V199" s="148"/>
      <c r="W199" s="148"/>
    </row>
    <row r="200" spans="1:23" x14ac:dyDescent="0.25">
      <c r="B200" s="8"/>
      <c r="C200" s="9"/>
      <c r="D200" s="9"/>
      <c r="E200" s="8"/>
      <c r="F200" s="8"/>
      <c r="G200" s="9"/>
      <c r="H200" s="9"/>
      <c r="I200" s="9"/>
      <c r="J200" s="9"/>
      <c r="K200" s="9"/>
      <c r="L200" s="32"/>
      <c r="M200" s="9"/>
      <c r="N200" s="9"/>
      <c r="O200" s="9"/>
      <c r="P200" s="99">
        <v>0.86280779053672041</v>
      </c>
      <c r="Q200" s="151">
        <f t="shared" si="7"/>
        <v>39701.924843545894</v>
      </c>
      <c r="R200" s="129">
        <v>3.9251168486639214</v>
      </c>
      <c r="S200" s="54">
        <v>26.595744680851066</v>
      </c>
      <c r="T200" s="129">
        <v>0.31405350794178583</v>
      </c>
      <c r="U200" s="148">
        <v>4.2053722623514282</v>
      </c>
      <c r="V200" s="148"/>
      <c r="W200" s="148"/>
    </row>
    <row r="201" spans="1:23" x14ac:dyDescent="0.25">
      <c r="B201" s="8"/>
      <c r="C201" s="9"/>
      <c r="D201" s="9"/>
      <c r="E201" s="8"/>
      <c r="F201" s="8"/>
      <c r="G201" s="9"/>
      <c r="H201" s="9"/>
      <c r="I201" s="9"/>
      <c r="J201" s="9"/>
      <c r="K201" s="9"/>
      <c r="L201" s="32"/>
      <c r="M201" s="9"/>
      <c r="N201" s="9"/>
      <c r="O201" s="9"/>
      <c r="P201" s="99">
        <v>0.89095978008695143</v>
      </c>
      <c r="Q201" s="151">
        <f t="shared" si="7"/>
        <v>39712.200319731732</v>
      </c>
      <c r="R201" s="129">
        <v>4.0390682144917616</v>
      </c>
      <c r="S201" s="54">
        <v>24.680851063829785</v>
      </c>
      <c r="T201" s="129">
        <v>0.32043720319547103</v>
      </c>
      <c r="U201" s="148">
        <v>3.1317725622635093</v>
      </c>
      <c r="V201" s="148"/>
      <c r="W201" s="148"/>
    </row>
    <row r="202" spans="1:23" x14ac:dyDescent="0.25">
      <c r="B202" s="8"/>
      <c r="C202" s="9"/>
      <c r="D202" s="9"/>
      <c r="E202" s="8"/>
      <c r="F202" s="8"/>
      <c r="G202" s="9"/>
      <c r="H202" s="9"/>
      <c r="I202" s="9"/>
      <c r="J202" s="9"/>
      <c r="K202" s="9"/>
      <c r="L202" s="32"/>
      <c r="M202" s="9"/>
      <c r="N202" s="9"/>
      <c r="O202" s="9"/>
      <c r="P202" s="99">
        <v>0.9186828612091319</v>
      </c>
      <c r="Q202" s="151">
        <f t="shared" si="7"/>
        <v>39722.319244341328</v>
      </c>
      <c r="R202" s="129">
        <v>2.9169293189237431</v>
      </c>
      <c r="S202" s="54">
        <v>23.148936170212767</v>
      </c>
      <c r="T202" s="129">
        <v>0.30669787110690505</v>
      </c>
      <c r="U202" s="148">
        <v>2.3427521183452331</v>
      </c>
      <c r="V202" s="148"/>
      <c r="W202" s="148"/>
    </row>
    <row r="203" spans="1:23" x14ac:dyDescent="0.25">
      <c r="B203" s="8"/>
      <c r="C203" s="9"/>
      <c r="D203" s="9"/>
      <c r="E203" s="8"/>
      <c r="F203" s="8"/>
      <c r="G203" s="9"/>
      <c r="H203" s="9"/>
      <c r="I203" s="9"/>
      <c r="J203" s="9"/>
      <c r="K203" s="9"/>
      <c r="L203" s="32"/>
      <c r="M203" s="9"/>
      <c r="N203" s="9"/>
      <c r="O203" s="9"/>
      <c r="P203" s="99">
        <v>0.9447877878073031</v>
      </c>
      <c r="Q203" s="151">
        <f t="shared" si="7"/>
        <v>39731.847542549658</v>
      </c>
      <c r="R203" s="129">
        <v>2.9183960196720227</v>
      </c>
      <c r="S203" s="54">
        <v>25.446808510638299</v>
      </c>
      <c r="T203" s="129">
        <v>0.30354758677136351</v>
      </c>
      <c r="U203" s="148">
        <v>1.782463404992596</v>
      </c>
      <c r="V203" s="148"/>
      <c r="W203" s="148"/>
    </row>
    <row r="204" spans="1:23" ht="16.5" x14ac:dyDescent="0.3">
      <c r="A204" s="6"/>
      <c r="B204" s="6" t="s">
        <v>78</v>
      </c>
      <c r="C204" s="44">
        <v>37.883000000000003</v>
      </c>
      <c r="D204" s="44">
        <v>114.68300000000001</v>
      </c>
      <c r="E204" s="33" t="s">
        <v>142</v>
      </c>
      <c r="F204" s="33" t="s">
        <v>39</v>
      </c>
      <c r="G204" s="11">
        <v>0.56969999999999998</v>
      </c>
      <c r="H204" s="11">
        <v>10</v>
      </c>
      <c r="I204" s="11">
        <v>2.2247099767981444</v>
      </c>
      <c r="J204" s="11">
        <v>0.25201880000000004</v>
      </c>
      <c r="K204" s="11">
        <f>I204/J204</f>
        <v>8.8275556299694475</v>
      </c>
      <c r="L204" s="14">
        <v>1.27</v>
      </c>
      <c r="M204" s="7">
        <f>9.353*EXP(-0.023*H204-0.622*L204-0.182*J204-0.009*K204)*(I204/(I204+0.567))</f>
        <v>2.3712422686272738</v>
      </c>
      <c r="N204" s="7">
        <f>LN(M204)/10</f>
        <v>8.634139817988401E-2</v>
      </c>
      <c r="O204" s="11">
        <f>4.3573*EXP(-1.002*M204)</f>
        <v>0.40489311767395864</v>
      </c>
      <c r="P204" s="100">
        <v>0.14580972320931215</v>
      </c>
      <c r="Q204" s="149">
        <v>40017</v>
      </c>
      <c r="R204" s="13">
        <v>3.7037037037037037</v>
      </c>
      <c r="S204" s="74">
        <v>19.591836734693878</v>
      </c>
      <c r="T204" s="13"/>
      <c r="U204" s="13">
        <v>2.8085283021707559</v>
      </c>
      <c r="V204" s="13"/>
      <c r="W204" s="13" t="s">
        <v>100</v>
      </c>
    </row>
    <row r="205" spans="1:23" x14ac:dyDescent="0.25">
      <c r="C205" s="3"/>
      <c r="D205" s="3"/>
      <c r="G205" s="3"/>
      <c r="H205" s="3"/>
      <c r="I205" s="3"/>
      <c r="J205" s="3"/>
      <c r="K205" s="3"/>
      <c r="L205" s="40"/>
      <c r="O205" s="18"/>
      <c r="P205" s="101">
        <v>0.20848619888208064</v>
      </c>
      <c r="Q205" s="150">
        <f>Q204+(P205-P204)*365+20</f>
        <v>40059.876913620559</v>
      </c>
      <c r="R205" s="130">
        <v>1.2742797444877703</v>
      </c>
      <c r="S205" s="55">
        <v>14.489795918367342</v>
      </c>
      <c r="T205" s="12"/>
      <c r="U205" s="12">
        <v>5.1476518634369208</v>
      </c>
      <c r="V205" s="12"/>
      <c r="W205" s="12"/>
    </row>
    <row r="206" spans="1:23" x14ac:dyDescent="0.25">
      <c r="C206" s="3"/>
      <c r="D206" s="3"/>
      <c r="G206" s="3"/>
      <c r="H206" s="3"/>
      <c r="I206" s="3"/>
      <c r="J206" s="3"/>
      <c r="K206" s="3"/>
      <c r="L206" s="40"/>
      <c r="N206" s="9"/>
      <c r="O206" s="9"/>
      <c r="P206" s="101">
        <v>0.32936363112502642</v>
      </c>
      <c r="Q206" s="150">
        <f t="shared" ref="Q206:Q215" si="8">Q205+(P206-P205)*365</f>
        <v>40103.997176389232</v>
      </c>
      <c r="R206" s="130">
        <v>1.5825007985646462</v>
      </c>
      <c r="S206" s="55">
        <v>8.1632653061224509</v>
      </c>
      <c r="T206" s="12"/>
      <c r="U206" s="12"/>
      <c r="V206" s="12"/>
      <c r="W206" s="12"/>
    </row>
    <row r="207" spans="1:23" x14ac:dyDescent="0.25">
      <c r="C207" s="3"/>
      <c r="D207" s="3"/>
      <c r="G207" s="3"/>
      <c r="H207" s="3"/>
      <c r="I207" s="3"/>
      <c r="J207" s="3"/>
      <c r="K207" s="3"/>
      <c r="L207" s="40"/>
      <c r="M207" s="3"/>
      <c r="N207" s="3"/>
      <c r="O207" s="3"/>
      <c r="P207" s="101">
        <v>0.40377633929428941</v>
      </c>
      <c r="Q207" s="150">
        <f t="shared" si="8"/>
        <v>40131.15781487101</v>
      </c>
      <c r="R207" s="130">
        <v>0.30088457486125608</v>
      </c>
      <c r="S207" s="55">
        <v>0.61224489795918302</v>
      </c>
      <c r="T207" s="12"/>
      <c r="U207" s="12">
        <v>0.73190475128791499</v>
      </c>
      <c r="V207" s="12"/>
      <c r="W207" s="12"/>
    </row>
    <row r="208" spans="1:23" x14ac:dyDescent="0.25">
      <c r="C208" s="3"/>
      <c r="D208" s="3"/>
      <c r="G208" s="3"/>
      <c r="H208" s="3"/>
      <c r="I208" s="3"/>
      <c r="J208" s="3"/>
      <c r="K208" s="3"/>
      <c r="L208" s="40"/>
      <c r="M208" s="3"/>
      <c r="N208" s="3"/>
      <c r="O208" s="3"/>
      <c r="P208" s="101">
        <v>0.49326751310962141</v>
      </c>
      <c r="Q208" s="150">
        <f t="shared" si="8"/>
        <v>40163.822093313604</v>
      </c>
      <c r="R208" s="130">
        <v>0.27011582566604564</v>
      </c>
      <c r="S208" s="55">
        <v>-5.7142857142857153</v>
      </c>
      <c r="T208" s="12"/>
      <c r="U208" s="12">
        <v>1.1125279104807329</v>
      </c>
      <c r="V208" s="12"/>
      <c r="W208" s="12"/>
    </row>
    <row r="209" spans="1:23" x14ac:dyDescent="0.25">
      <c r="C209" s="3"/>
      <c r="D209" s="3"/>
      <c r="G209" s="3"/>
      <c r="H209" s="3"/>
      <c r="I209" s="3"/>
      <c r="J209" s="3"/>
      <c r="K209" s="3"/>
      <c r="L209" s="40"/>
      <c r="M209" s="3"/>
      <c r="N209" s="3"/>
      <c r="O209" s="3"/>
      <c r="P209" s="101">
        <v>0.56170645972993216</v>
      </c>
      <c r="Q209" s="150">
        <f t="shared" si="8"/>
        <v>40188.802308830018</v>
      </c>
      <c r="R209" s="130">
        <v>0.23863566030447189</v>
      </c>
      <c r="S209" s="55">
        <v>-3.8775510204081627</v>
      </c>
      <c r="T209" s="12"/>
      <c r="U209" s="12">
        <v>1.5324514309415329</v>
      </c>
      <c r="V209" s="12"/>
      <c r="W209" s="12"/>
    </row>
    <row r="210" spans="1:23" x14ac:dyDescent="0.25">
      <c r="C210" s="3"/>
      <c r="D210" s="3"/>
      <c r="G210" s="3"/>
      <c r="H210" s="3"/>
      <c r="I210" s="3"/>
      <c r="J210" s="3"/>
      <c r="K210" s="3"/>
      <c r="L210" s="40"/>
      <c r="M210" s="3"/>
      <c r="N210" s="3"/>
      <c r="O210" s="3"/>
      <c r="P210" s="101">
        <v>0.68790457348110867</v>
      </c>
      <c r="Q210" s="150">
        <f t="shared" si="8"/>
        <v>40234.864620349195</v>
      </c>
      <c r="R210" s="130">
        <v>0.44565776471617685</v>
      </c>
      <c r="S210" s="55">
        <v>0</v>
      </c>
      <c r="T210" s="12"/>
      <c r="U210" s="12">
        <v>2.7658956267001855</v>
      </c>
      <c r="V210" s="12"/>
      <c r="W210" s="12"/>
    </row>
    <row r="211" spans="1:23" x14ac:dyDescent="0.25">
      <c r="C211" s="3"/>
      <c r="D211" s="3"/>
      <c r="G211" s="3"/>
      <c r="H211" s="3"/>
      <c r="I211" s="3"/>
      <c r="J211" s="3"/>
      <c r="K211" s="3"/>
      <c r="L211" s="40"/>
      <c r="M211" s="3"/>
      <c r="N211" s="3"/>
      <c r="O211" s="3"/>
      <c r="P211" s="101">
        <v>0.75086917270125431</v>
      </c>
      <c r="Q211" s="150">
        <f t="shared" si="8"/>
        <v>40257.846699064547</v>
      </c>
      <c r="R211" s="130">
        <v>0.78571469223780921</v>
      </c>
      <c r="S211" s="55">
        <v>2.8571428571428541</v>
      </c>
      <c r="T211" s="12"/>
      <c r="U211" s="12">
        <v>3.7135312979299857</v>
      </c>
      <c r="V211" s="12"/>
      <c r="W211" s="12"/>
    </row>
    <row r="212" spans="1:23" x14ac:dyDescent="0.25">
      <c r="C212" s="3"/>
      <c r="D212" s="3"/>
      <c r="G212" s="3"/>
      <c r="H212" s="3"/>
      <c r="I212" s="3"/>
      <c r="J212" s="3"/>
      <c r="K212" s="3"/>
      <c r="L212" s="40"/>
      <c r="M212" s="3"/>
      <c r="N212" s="3"/>
      <c r="O212" s="3"/>
      <c r="P212" s="101">
        <v>0.84522003034901361</v>
      </c>
      <c r="Q212" s="150">
        <f t="shared" si="8"/>
        <v>40292.284762105977</v>
      </c>
      <c r="R212" s="130">
        <v>1.4647614230315293</v>
      </c>
      <c r="S212" s="55">
        <v>11.428571428571431</v>
      </c>
      <c r="T212" s="12"/>
      <c r="U212" s="12">
        <v>3.7297478627027751</v>
      </c>
      <c r="V212" s="12"/>
      <c r="W212" s="12"/>
    </row>
    <row r="213" spans="1:23" x14ac:dyDescent="0.25">
      <c r="C213" s="3"/>
      <c r="D213" s="3"/>
      <c r="G213" s="3"/>
      <c r="H213" s="3"/>
      <c r="I213" s="3"/>
      <c r="J213" s="3"/>
      <c r="K213" s="3"/>
      <c r="L213" s="40"/>
      <c r="M213" s="3"/>
      <c r="N213" s="3"/>
      <c r="O213" s="3"/>
      <c r="P213" s="101">
        <v>0.90849196135302823</v>
      </c>
      <c r="Q213" s="150">
        <f t="shared" si="8"/>
        <v>40315.379016922445</v>
      </c>
      <c r="R213" s="130">
        <v>1.2641420641170933</v>
      </c>
      <c r="S213" s="55">
        <v>15.714285714285715</v>
      </c>
      <c r="T213" s="12"/>
      <c r="U213" s="12"/>
      <c r="V213" s="12"/>
      <c r="W213" s="12"/>
    </row>
    <row r="214" spans="1:23" x14ac:dyDescent="0.25">
      <c r="C214" s="3"/>
      <c r="D214" s="3"/>
      <c r="G214" s="3"/>
      <c r="H214" s="3"/>
      <c r="I214" s="3"/>
      <c r="J214" s="3"/>
      <c r="K214" s="3"/>
      <c r="L214" s="40"/>
      <c r="M214" s="3"/>
      <c r="N214" s="3"/>
      <c r="O214" s="3"/>
      <c r="P214" s="101">
        <v>1.0137530973281343</v>
      </c>
      <c r="Q214" s="150">
        <f t="shared" si="8"/>
        <v>40353.79933155336</v>
      </c>
      <c r="R214" s="130">
        <v>1.2676991449489095</v>
      </c>
      <c r="S214" s="55">
        <v>21.224489795918366</v>
      </c>
      <c r="T214" s="12"/>
      <c r="U214" s="12">
        <v>1.0233239417507274</v>
      </c>
      <c r="V214" s="12"/>
      <c r="W214" s="12"/>
    </row>
    <row r="215" spans="1:23" x14ac:dyDescent="0.25">
      <c r="C215" s="3"/>
      <c r="D215" s="3"/>
      <c r="G215" s="3"/>
      <c r="H215" s="3"/>
      <c r="I215" s="3"/>
      <c r="J215" s="3"/>
      <c r="K215" s="3"/>
      <c r="L215" s="40"/>
      <c r="M215" s="3"/>
      <c r="N215" s="3"/>
      <c r="O215" s="3"/>
      <c r="P215" s="101">
        <v>1.0765064059468701</v>
      </c>
      <c r="Q215" s="150">
        <f t="shared" si="8"/>
        <v>40376.704289199202</v>
      </c>
      <c r="R215" s="130">
        <v>2.4305555555555554</v>
      </c>
      <c r="S215" s="55">
        <v>24.489795918367349</v>
      </c>
      <c r="T215" s="12"/>
      <c r="U215" s="12">
        <v>2.3234898430093094</v>
      </c>
      <c r="V215" s="12"/>
      <c r="W215" s="12"/>
    </row>
    <row r="216" spans="1:23" x14ac:dyDescent="0.25">
      <c r="A216" s="6"/>
      <c r="B216" s="6" t="s">
        <v>78</v>
      </c>
      <c r="C216" s="44">
        <v>37.883000000000003</v>
      </c>
      <c r="D216" s="44">
        <v>114.68300000000001</v>
      </c>
      <c r="E216" s="33" t="s">
        <v>143</v>
      </c>
      <c r="F216" s="33" t="s">
        <v>39</v>
      </c>
      <c r="G216" s="11">
        <v>0.6865</v>
      </c>
      <c r="H216" s="11">
        <v>11</v>
      </c>
      <c r="I216" s="11">
        <v>2.2247099767981444</v>
      </c>
      <c r="J216" s="11">
        <v>0.25201880000000004</v>
      </c>
      <c r="K216" s="11">
        <f>I216/J216</f>
        <v>8.8275556299694475</v>
      </c>
      <c r="L216" s="14">
        <v>1.27</v>
      </c>
      <c r="M216" s="7">
        <f>9.353*EXP(-0.023*H216-0.622*L216-0.182*J216-0.009*K216)*(I216/(I216+0.567))</f>
        <v>2.3173261090668706</v>
      </c>
      <c r="N216" s="7">
        <f>LN(M216)/10</f>
        <v>8.4041398179884041E-2</v>
      </c>
      <c r="O216" s="11">
        <f>4.3573*EXP(-1.002*M216)</f>
        <v>0.42736870447890057</v>
      </c>
      <c r="P216" s="100">
        <v>0.68292101625434953</v>
      </c>
      <c r="Q216" s="149">
        <v>40747</v>
      </c>
      <c r="R216" s="131">
        <v>3.4090909090909087</v>
      </c>
      <c r="S216" s="74">
        <v>26</v>
      </c>
      <c r="T216" s="13"/>
      <c r="U216" s="13">
        <v>2.8085283021707559</v>
      </c>
      <c r="V216" s="13"/>
      <c r="W216" s="13"/>
    </row>
    <row r="217" spans="1:23" x14ac:dyDescent="0.25">
      <c r="C217" s="3"/>
      <c r="D217" s="3"/>
      <c r="G217" s="3"/>
      <c r="H217" s="3"/>
      <c r="I217" s="3"/>
      <c r="J217" s="3"/>
      <c r="K217" s="3"/>
      <c r="L217" s="40"/>
      <c r="O217" s="18"/>
      <c r="P217" s="101">
        <v>0.723717765384432</v>
      </c>
      <c r="Q217" s="150">
        <v>40789</v>
      </c>
      <c r="R217" s="130">
        <v>2.4663299663299658</v>
      </c>
      <c r="S217" s="55">
        <v>19.121621621621621</v>
      </c>
      <c r="T217" s="12"/>
      <c r="U217" s="12">
        <v>5.1476518634369208</v>
      </c>
      <c r="V217" s="12"/>
      <c r="W217" s="12"/>
    </row>
    <row r="218" spans="1:23" x14ac:dyDescent="0.25">
      <c r="C218" s="3"/>
      <c r="D218" s="3"/>
      <c r="G218" s="3"/>
      <c r="H218" s="3"/>
      <c r="I218" s="3"/>
      <c r="J218" s="3"/>
      <c r="K218" s="3"/>
      <c r="L218" s="40"/>
      <c r="N218" s="9"/>
      <c r="O218" s="9"/>
      <c r="P218" s="101">
        <v>0.73974569807903146</v>
      </c>
      <c r="Q218" s="150">
        <v>40833</v>
      </c>
      <c r="R218" s="130">
        <v>0.78282828282828276</v>
      </c>
      <c r="S218" s="55">
        <v>13.851351351351347</v>
      </c>
      <c r="T218" s="12"/>
      <c r="U218" s="12"/>
      <c r="V218" s="12"/>
      <c r="W218" s="12"/>
    </row>
    <row r="219" spans="1:23" x14ac:dyDescent="0.25">
      <c r="C219" s="3"/>
      <c r="D219" s="3"/>
      <c r="G219" s="3"/>
      <c r="H219" s="3"/>
      <c r="I219" s="3"/>
      <c r="J219" s="3"/>
      <c r="K219" s="3"/>
      <c r="L219" s="40"/>
      <c r="M219" s="3"/>
      <c r="N219" s="3"/>
      <c r="O219" s="3"/>
      <c r="P219" s="101">
        <v>0.78932503932503928</v>
      </c>
      <c r="Q219" s="150">
        <v>40861</v>
      </c>
      <c r="R219" s="130">
        <v>0.95117845117845123</v>
      </c>
      <c r="S219" s="55">
        <v>7.1621621621621614</v>
      </c>
      <c r="T219" s="12"/>
      <c r="U219" s="12">
        <v>0.73190475128791499</v>
      </c>
      <c r="V219" s="12"/>
      <c r="W219" s="12"/>
    </row>
    <row r="220" spans="1:23" x14ac:dyDescent="0.25">
      <c r="C220" s="3"/>
      <c r="D220" s="3"/>
      <c r="G220" s="3"/>
      <c r="H220" s="3"/>
      <c r="I220" s="3"/>
      <c r="J220" s="3"/>
      <c r="K220" s="3"/>
      <c r="L220" s="40"/>
      <c r="M220" s="3"/>
      <c r="N220" s="3"/>
      <c r="O220" s="3"/>
      <c r="P220" s="101">
        <v>0.80180180180180183</v>
      </c>
      <c r="Q220" s="150">
        <v>40893</v>
      </c>
      <c r="R220" s="130">
        <v>0.10942760942760957</v>
      </c>
      <c r="S220" s="55">
        <v>2.7027027027027053</v>
      </c>
      <c r="T220" s="12"/>
      <c r="U220" s="12">
        <v>1.1125279104807329</v>
      </c>
      <c r="V220" s="12"/>
      <c r="W220" s="12"/>
    </row>
    <row r="221" spans="1:23" x14ac:dyDescent="0.25">
      <c r="C221" s="3"/>
      <c r="D221" s="3"/>
      <c r="G221" s="3"/>
      <c r="H221" s="3"/>
      <c r="I221" s="3"/>
      <c r="J221" s="3"/>
      <c r="K221" s="3"/>
      <c r="L221" s="40"/>
      <c r="M221" s="3"/>
      <c r="N221" s="3"/>
      <c r="O221" s="3"/>
      <c r="P221" s="101">
        <v>0.82835216168549497</v>
      </c>
      <c r="Q221" s="150">
        <v>40918</v>
      </c>
      <c r="R221" s="130">
        <v>0.34511784511784538</v>
      </c>
      <c r="S221" s="55">
        <v>-0.54054054054054035</v>
      </c>
      <c r="T221" s="12"/>
      <c r="U221" s="12">
        <v>1.5324514309415329</v>
      </c>
      <c r="V221" s="12"/>
      <c r="W221" s="12"/>
    </row>
    <row r="222" spans="1:23" x14ac:dyDescent="0.25">
      <c r="C222" s="3"/>
      <c r="D222" s="3"/>
      <c r="G222" s="3"/>
      <c r="H222" s="3"/>
      <c r="I222" s="3"/>
      <c r="J222" s="3"/>
      <c r="K222" s="3"/>
      <c r="L222" s="40"/>
      <c r="M222" s="3"/>
      <c r="N222" s="3"/>
      <c r="O222" s="3"/>
      <c r="P222" s="101">
        <v>0.85479527146193812</v>
      </c>
      <c r="Q222" s="150">
        <v>40964</v>
      </c>
      <c r="R222" s="130">
        <v>0.54713804713804692</v>
      </c>
      <c r="S222" s="55">
        <v>-0.13513513513513331</v>
      </c>
      <c r="T222" s="12"/>
      <c r="U222" s="12">
        <v>2.7658956267001855</v>
      </c>
      <c r="V222" s="12"/>
      <c r="W222" s="12"/>
    </row>
    <row r="223" spans="1:23" x14ac:dyDescent="0.25">
      <c r="C223" s="3"/>
      <c r="D223" s="3"/>
      <c r="G223" s="3"/>
      <c r="H223" s="3"/>
      <c r="I223" s="3"/>
      <c r="J223" s="3"/>
      <c r="K223" s="3"/>
      <c r="L223" s="40"/>
      <c r="M223" s="3"/>
      <c r="N223" s="3"/>
      <c r="O223" s="3"/>
      <c r="P223" s="101">
        <v>0.87594141760808431</v>
      </c>
      <c r="Q223" s="150">
        <v>40988</v>
      </c>
      <c r="R223" s="130">
        <v>0.91750841750841783</v>
      </c>
      <c r="S223" s="55">
        <v>0.47297297297297547</v>
      </c>
      <c r="T223" s="12"/>
      <c r="U223" s="12">
        <v>3.7135312979299857</v>
      </c>
      <c r="V223" s="12"/>
      <c r="W223" s="12"/>
    </row>
    <row r="224" spans="1:23" x14ac:dyDescent="0.25">
      <c r="C224" s="3"/>
      <c r="D224" s="3"/>
      <c r="G224" s="3"/>
      <c r="H224" s="3"/>
      <c r="I224" s="3"/>
      <c r="J224" s="3"/>
      <c r="K224" s="3"/>
      <c r="L224" s="40"/>
      <c r="M224" s="3"/>
      <c r="N224" s="3"/>
      <c r="O224" s="3"/>
      <c r="P224" s="101">
        <v>0.9022891939558606</v>
      </c>
      <c r="Q224" s="150">
        <v>41023</v>
      </c>
      <c r="R224" s="130">
        <v>1.2542087542087543</v>
      </c>
      <c r="S224" s="55">
        <v>4.121621621621621</v>
      </c>
      <c r="T224" s="12"/>
      <c r="U224" s="12">
        <v>3.7297478627027751</v>
      </c>
      <c r="V224" s="12"/>
      <c r="W224" s="12"/>
    </row>
    <row r="225" spans="1:23" x14ac:dyDescent="0.25">
      <c r="C225" s="3"/>
      <c r="D225" s="3"/>
      <c r="G225" s="3"/>
      <c r="H225" s="3"/>
      <c r="I225" s="3"/>
      <c r="J225" s="3"/>
      <c r="K225" s="3"/>
      <c r="L225" s="40"/>
      <c r="M225" s="3"/>
      <c r="N225" s="3"/>
      <c r="O225" s="3"/>
      <c r="P225" s="101">
        <v>0.92484746651413319</v>
      </c>
      <c r="Q225" s="150">
        <v>41046</v>
      </c>
      <c r="R225" s="130">
        <v>1.8602693602693605</v>
      </c>
      <c r="S225" s="55">
        <v>16.689189189189193</v>
      </c>
      <c r="T225" s="12"/>
      <c r="U225" s="12"/>
      <c r="V225" s="12"/>
      <c r="W225" s="12"/>
    </row>
    <row r="226" spans="1:23" x14ac:dyDescent="0.25">
      <c r="C226" s="3"/>
      <c r="D226" s="3"/>
      <c r="G226" s="3"/>
      <c r="H226" s="3"/>
      <c r="I226" s="3"/>
      <c r="J226" s="3"/>
      <c r="K226" s="3"/>
      <c r="L226" s="40"/>
      <c r="M226" s="3"/>
      <c r="N226" s="3"/>
      <c r="O226" s="3"/>
      <c r="P226" s="101">
        <v>0.9599659182992516</v>
      </c>
      <c r="Q226" s="150">
        <v>41084</v>
      </c>
      <c r="R226" s="130">
        <v>1.9949494949494953</v>
      </c>
      <c r="S226" s="55">
        <v>21.95945945945946</v>
      </c>
      <c r="T226" s="12"/>
      <c r="U226" s="12">
        <v>1.0233239417507274</v>
      </c>
      <c r="V226" s="12"/>
      <c r="W226" s="12"/>
    </row>
    <row r="227" spans="1:23" x14ac:dyDescent="0.25">
      <c r="C227" s="3"/>
      <c r="D227" s="3"/>
      <c r="G227" s="3"/>
      <c r="H227" s="3"/>
      <c r="I227" s="3"/>
      <c r="J227" s="3"/>
      <c r="K227" s="3"/>
      <c r="L227" s="40"/>
      <c r="M227" s="3"/>
      <c r="N227" s="3"/>
      <c r="O227" s="3"/>
      <c r="P227" s="101">
        <v>0.98807736307736305</v>
      </c>
      <c r="Q227" s="150">
        <v>41107</v>
      </c>
      <c r="R227" s="130">
        <v>1.7255892255892253</v>
      </c>
      <c r="S227" s="55">
        <v>24.5</v>
      </c>
      <c r="T227" s="12"/>
      <c r="U227" s="12">
        <v>2.3234898430093094</v>
      </c>
      <c r="V227" s="12"/>
      <c r="W227" s="12"/>
    </row>
    <row r="228" spans="1:23" x14ac:dyDescent="0.25">
      <c r="A228" s="6">
        <v>8</v>
      </c>
      <c r="B228" s="33" t="s">
        <v>79</v>
      </c>
      <c r="C228" s="44">
        <v>37.683999999999997</v>
      </c>
      <c r="D228" s="44">
        <v>116.623</v>
      </c>
      <c r="E228" s="70" t="s">
        <v>150</v>
      </c>
      <c r="F228" s="70" t="s">
        <v>38</v>
      </c>
      <c r="G228" s="11">
        <v>0.64939999999999998</v>
      </c>
      <c r="H228" s="11">
        <v>14.991666666666667</v>
      </c>
      <c r="I228" s="11">
        <f>14.7/1.724*L228*0.98*0.2</f>
        <v>2.4065707656612529</v>
      </c>
      <c r="J228" s="11">
        <f>0.96*L228*0.98*0.2</f>
        <v>0.27095039999999998</v>
      </c>
      <c r="K228" s="11">
        <f>I228/J228</f>
        <v>8.8819605568445485</v>
      </c>
      <c r="L228" s="41">
        <f>AVERAGE(1.41,1.47)</f>
        <v>1.44</v>
      </c>
      <c r="M228" s="7">
        <f>9.353*EXP(-0.023*H228-0.622*L228-0.182*J228-0.009*K228)*(I228/(I228+0.567))</f>
        <v>1.9239829741872962</v>
      </c>
      <c r="N228" s="7">
        <f>LN(M228)/10</f>
        <v>6.5439750302935862E-2</v>
      </c>
      <c r="O228" s="11">
        <f>4.3573*EXP(-1.002*M228)</f>
        <v>0.6338275652402936</v>
      </c>
      <c r="P228" s="10"/>
      <c r="Q228" s="149">
        <v>41183</v>
      </c>
      <c r="R228" s="13"/>
      <c r="S228" s="25"/>
      <c r="T228" s="13"/>
      <c r="U228" s="13"/>
      <c r="V228" s="13"/>
      <c r="W228" s="13" t="s">
        <v>101</v>
      </c>
    </row>
    <row r="229" spans="1:23" x14ac:dyDescent="0.25">
      <c r="C229" s="3"/>
      <c r="D229" s="3"/>
      <c r="G229" s="3"/>
      <c r="H229" s="3"/>
      <c r="I229" s="3"/>
      <c r="J229" s="3"/>
      <c r="K229" s="3"/>
      <c r="L229" s="40"/>
      <c r="O229" s="18"/>
      <c r="P229" s="102">
        <v>5.6952662721893491E-2</v>
      </c>
      <c r="Q229" s="150">
        <f t="shared" ref="Q229:Q240" si="9">Q228+(P229-P228)*365</f>
        <v>41203.787721893488</v>
      </c>
      <c r="R229" s="56">
        <v>1.3111888111888113</v>
      </c>
      <c r="S229" s="57">
        <v>15.743346160012827</v>
      </c>
      <c r="T229" s="56">
        <v>0.41242937853107342</v>
      </c>
      <c r="U229" s="12"/>
      <c r="V229" s="12"/>
      <c r="W229" s="12"/>
    </row>
    <row r="230" spans="1:23" x14ac:dyDescent="0.25">
      <c r="C230" s="3"/>
      <c r="D230" s="3"/>
      <c r="G230" s="3"/>
      <c r="H230" s="3"/>
      <c r="I230" s="3"/>
      <c r="J230" s="3"/>
      <c r="K230" s="3"/>
      <c r="L230" s="40"/>
      <c r="N230" s="9"/>
      <c r="O230" s="9"/>
      <c r="P230" s="102">
        <v>0.16960880999342537</v>
      </c>
      <c r="Q230" s="150">
        <f t="shared" si="9"/>
        <v>41244.907215647596</v>
      </c>
      <c r="R230" s="56">
        <v>0.3399378399378401</v>
      </c>
      <c r="S230" s="57">
        <v>-0.36195286195286158</v>
      </c>
      <c r="T230" s="56">
        <v>0.37005649717514122</v>
      </c>
      <c r="U230" s="12">
        <v>0.91891059043134626</v>
      </c>
      <c r="V230" s="12"/>
      <c r="W230" s="12"/>
    </row>
    <row r="231" spans="1:23" x14ac:dyDescent="0.25">
      <c r="C231" s="3"/>
      <c r="D231" s="3"/>
      <c r="G231" s="3"/>
      <c r="H231" s="3"/>
      <c r="I231" s="3"/>
      <c r="J231" s="3"/>
      <c r="K231" s="3"/>
      <c r="L231" s="40"/>
      <c r="M231" s="3"/>
      <c r="N231" s="3"/>
      <c r="O231" s="3"/>
      <c r="P231" s="102">
        <v>0.21576265614727153</v>
      </c>
      <c r="Q231" s="150">
        <f t="shared" si="9"/>
        <v>41261.753369493752</v>
      </c>
      <c r="R231" s="56">
        <v>0.3399378399378401</v>
      </c>
      <c r="S231" s="57">
        <v>-1.841630591630592</v>
      </c>
      <c r="T231" s="56">
        <v>0.12429378531073447</v>
      </c>
      <c r="U231" s="12">
        <v>1.1404156689198655</v>
      </c>
      <c r="V231" s="12"/>
      <c r="W231" s="12"/>
    </row>
    <row r="232" spans="1:23" x14ac:dyDescent="0.25">
      <c r="C232" s="3"/>
      <c r="D232" s="3"/>
      <c r="G232" s="3"/>
      <c r="H232" s="3"/>
      <c r="I232" s="3"/>
      <c r="J232" s="3"/>
      <c r="K232" s="3"/>
      <c r="L232" s="40"/>
      <c r="M232" s="3"/>
      <c r="N232" s="3"/>
      <c r="O232" s="3"/>
      <c r="P232" s="102">
        <v>0.30289283366206443</v>
      </c>
      <c r="Q232" s="150">
        <f t="shared" si="9"/>
        <v>41293.555884286652</v>
      </c>
      <c r="R232" s="56">
        <v>4.8562548562548387E-2</v>
      </c>
      <c r="S232" s="57">
        <v>-2.5781625781625781</v>
      </c>
      <c r="T232" s="56">
        <v>0.1384180790960452</v>
      </c>
      <c r="U232" s="12">
        <v>1.7144377018156247</v>
      </c>
      <c r="V232" s="12"/>
      <c r="W232" s="12"/>
    </row>
    <row r="233" spans="1:23" x14ac:dyDescent="0.25">
      <c r="C233" s="3"/>
      <c r="D233" s="3"/>
      <c r="G233" s="3"/>
      <c r="H233" s="3"/>
      <c r="I233" s="3"/>
      <c r="J233" s="3"/>
      <c r="K233" s="3"/>
      <c r="L233" s="40"/>
      <c r="M233" s="3"/>
      <c r="N233" s="3"/>
      <c r="O233" s="3"/>
      <c r="P233" s="102">
        <v>0.43635765943458249</v>
      </c>
      <c r="Q233" s="150">
        <f t="shared" si="9"/>
        <v>41342.270545693624</v>
      </c>
      <c r="R233" s="56">
        <v>0.82556332556332568</v>
      </c>
      <c r="S233" s="57">
        <v>8.907527657527659</v>
      </c>
      <c r="T233" s="56">
        <v>0.44067796610169491</v>
      </c>
      <c r="U233" s="12">
        <v>3.2013825331174823</v>
      </c>
      <c r="V233" s="12"/>
      <c r="W233" s="12"/>
    </row>
    <row r="234" spans="1:23" x14ac:dyDescent="0.25">
      <c r="C234" s="3"/>
      <c r="D234" s="3"/>
      <c r="G234" s="3"/>
      <c r="H234" s="3"/>
      <c r="I234" s="3"/>
      <c r="J234" s="3"/>
      <c r="K234" s="3"/>
      <c r="L234" s="40"/>
      <c r="M234" s="3"/>
      <c r="N234" s="3"/>
      <c r="O234" s="3"/>
      <c r="P234" s="102">
        <v>0.49791255752794217</v>
      </c>
      <c r="Q234" s="150">
        <f t="shared" si="9"/>
        <v>41364.738083497701</v>
      </c>
      <c r="R234" s="56">
        <v>0.92268842268842266</v>
      </c>
      <c r="S234" s="57">
        <v>10.393217893217894</v>
      </c>
      <c r="T234" s="56">
        <v>0.24011299435028249</v>
      </c>
      <c r="U234" s="12">
        <v>4.2699638406856044</v>
      </c>
      <c r="V234" s="12"/>
      <c r="W234" s="12"/>
    </row>
    <row r="235" spans="1:23" x14ac:dyDescent="0.25">
      <c r="C235" s="3"/>
      <c r="D235" s="3"/>
      <c r="G235" s="3"/>
      <c r="H235" s="3"/>
      <c r="I235" s="3"/>
      <c r="J235" s="3"/>
      <c r="K235" s="3"/>
      <c r="L235" s="40"/>
      <c r="M235" s="3"/>
      <c r="N235" s="3"/>
      <c r="O235" s="3"/>
      <c r="P235" s="102">
        <v>0.59807692307692306</v>
      </c>
      <c r="Q235" s="150">
        <f t="shared" si="9"/>
        <v>41401.298076923078</v>
      </c>
      <c r="R235" s="56">
        <v>1.893939393939394</v>
      </c>
      <c r="S235" s="57">
        <v>16.138167388167389</v>
      </c>
      <c r="T235" s="56">
        <v>0.41807909604519772</v>
      </c>
      <c r="U235" s="12">
        <v>2.0392618278930579</v>
      </c>
      <c r="V235" s="12"/>
      <c r="W235" s="12"/>
    </row>
    <row r="236" spans="1:23" x14ac:dyDescent="0.25">
      <c r="C236" s="3"/>
      <c r="D236" s="3"/>
      <c r="G236" s="3"/>
      <c r="H236" s="3"/>
      <c r="I236" s="3"/>
      <c r="J236" s="3"/>
      <c r="K236" s="3"/>
      <c r="L236" s="40"/>
      <c r="M236" s="3"/>
      <c r="N236" s="3"/>
      <c r="O236" s="3"/>
      <c r="P236" s="102">
        <v>0.67744904667981587</v>
      </c>
      <c r="Q236" s="150">
        <f t="shared" si="9"/>
        <v>41430.268902038137</v>
      </c>
      <c r="R236" s="56">
        <v>1.2140637140637136</v>
      </c>
      <c r="S236" s="57">
        <v>18.918751002084335</v>
      </c>
      <c r="T236" s="56">
        <v>0.2175141242937853</v>
      </c>
      <c r="U236" s="12">
        <v>0.50857247989391374</v>
      </c>
      <c r="V236" s="12"/>
      <c r="W236" s="12"/>
    </row>
    <row r="237" spans="1:23" x14ac:dyDescent="0.25">
      <c r="C237" s="3"/>
      <c r="D237" s="3"/>
      <c r="G237" s="3"/>
      <c r="H237" s="3"/>
      <c r="I237" s="3"/>
      <c r="J237" s="3"/>
      <c r="K237" s="3"/>
      <c r="L237" s="40"/>
      <c r="M237" s="3"/>
      <c r="N237" s="3"/>
      <c r="O237" s="3"/>
      <c r="P237" s="102">
        <v>0.73920118343195262</v>
      </c>
      <c r="Q237" s="150">
        <f t="shared" si="9"/>
        <v>41452.808431952668</v>
      </c>
      <c r="R237" s="56">
        <v>2.4766899766899759</v>
      </c>
      <c r="S237" s="57">
        <v>23.550585217251886</v>
      </c>
      <c r="T237" s="56">
        <v>0.32203389830508472</v>
      </c>
      <c r="U237" s="12">
        <v>1.1397216730671127</v>
      </c>
      <c r="V237" s="12"/>
      <c r="W237" s="12"/>
    </row>
    <row r="238" spans="1:23" x14ac:dyDescent="0.25">
      <c r="C238" s="3"/>
      <c r="D238" s="3"/>
      <c r="G238" s="3"/>
      <c r="H238" s="3"/>
      <c r="I238" s="3"/>
      <c r="J238" s="3"/>
      <c r="K238" s="3"/>
      <c r="L238" s="40"/>
      <c r="M238" s="3"/>
      <c r="N238" s="3"/>
      <c r="O238" s="3"/>
      <c r="P238" s="102">
        <v>0.81960880999342534</v>
      </c>
      <c r="Q238" s="150">
        <f t="shared" si="9"/>
        <v>41482.157215647603</v>
      </c>
      <c r="R238" s="56">
        <v>4</v>
      </c>
      <c r="S238" s="57">
        <v>28.000440917107582</v>
      </c>
      <c r="T238" s="56">
        <v>0.55084745762711862</v>
      </c>
      <c r="U238" s="12">
        <v>3.2592332388716336</v>
      </c>
      <c r="V238" s="12"/>
      <c r="W238" s="12"/>
    </row>
    <row r="239" spans="1:23" x14ac:dyDescent="0.25">
      <c r="C239" s="3"/>
      <c r="D239" s="3"/>
      <c r="G239" s="3"/>
      <c r="H239" s="3"/>
      <c r="I239" s="3"/>
      <c r="J239" s="3"/>
      <c r="K239" s="3"/>
      <c r="L239" s="40"/>
      <c r="M239" s="3"/>
      <c r="N239" s="3"/>
      <c r="O239" s="3"/>
      <c r="P239" s="102">
        <v>0.91875410913872457</v>
      </c>
      <c r="Q239" s="150">
        <f t="shared" si="9"/>
        <v>41518.345249835635</v>
      </c>
      <c r="R239" s="56">
        <v>2.8651903651903652</v>
      </c>
      <c r="S239" s="57">
        <v>26.523969857303186</v>
      </c>
      <c r="T239" s="56">
        <v>0.26271186440677968</v>
      </c>
      <c r="U239" s="12">
        <v>5.5354026064825854</v>
      </c>
      <c r="V239" s="12"/>
      <c r="W239" s="12"/>
    </row>
    <row r="240" spans="1:23" x14ac:dyDescent="0.25">
      <c r="C240" s="3"/>
      <c r="D240" s="3"/>
      <c r="G240" s="3"/>
      <c r="H240" s="3"/>
      <c r="I240" s="3"/>
      <c r="J240" s="3"/>
      <c r="K240" s="3"/>
      <c r="L240" s="40"/>
      <c r="M240" s="3"/>
      <c r="N240" s="3"/>
      <c r="O240" s="3"/>
      <c r="P240" s="102">
        <v>0.99810979618671924</v>
      </c>
      <c r="Q240" s="150">
        <f t="shared" si="9"/>
        <v>41547.310075608155</v>
      </c>
      <c r="R240" s="56">
        <v>2.088189588189588</v>
      </c>
      <c r="S240" s="57">
        <v>18.00925925925926</v>
      </c>
      <c r="T240" s="56">
        <v>0.4152542372881356</v>
      </c>
      <c r="U240" s="12">
        <v>2.4115640106900873</v>
      </c>
      <c r="V240" s="12"/>
      <c r="W240" s="12"/>
    </row>
    <row r="241" spans="1:23" x14ac:dyDescent="0.25">
      <c r="A241" s="6"/>
      <c r="B241" s="33" t="s">
        <v>79</v>
      </c>
      <c r="C241" s="44">
        <v>37.683999999999997</v>
      </c>
      <c r="D241" s="44">
        <v>116.623</v>
      </c>
      <c r="E241" s="70" t="s">
        <v>151</v>
      </c>
      <c r="F241" s="70" t="s">
        <v>38</v>
      </c>
      <c r="G241" s="11">
        <v>0.50009999999999999</v>
      </c>
      <c r="H241" s="11">
        <v>14</v>
      </c>
      <c r="I241" s="11">
        <f>14.7/1.724*L241*0.98*0.2</f>
        <v>2.4065707656612529</v>
      </c>
      <c r="J241" s="11">
        <f>0.96*L241*0.98*0.2</f>
        <v>0.27095039999999998</v>
      </c>
      <c r="K241" s="11">
        <f>I241/J241</f>
        <v>8.8819605568445485</v>
      </c>
      <c r="L241" s="41">
        <f>AVERAGE(1.41,1.47)</f>
        <v>1.44</v>
      </c>
      <c r="M241" s="7">
        <f>9.353*EXP(-0.023*H241-0.622*L241-0.182*J241-0.009*K241)*(I241/(I241+0.567))</f>
        <v>1.9683700930524552</v>
      </c>
      <c r="N241" s="7">
        <f>LN(M241)/10</f>
        <v>6.7720583636269205E-2</v>
      </c>
      <c r="O241" s="11">
        <f>4.3573*EXP(-1.002*M241)</f>
        <v>0.60625521557503415</v>
      </c>
      <c r="P241" s="103">
        <v>5.8524096385542165E-2</v>
      </c>
      <c r="Q241" s="149">
        <v>41548</v>
      </c>
      <c r="R241" s="58">
        <v>1.3731060606060608</v>
      </c>
      <c r="S241" s="59">
        <v>8.9395943562610221</v>
      </c>
      <c r="T241" s="58">
        <v>0.40677966101694918</v>
      </c>
      <c r="U241" s="13">
        <v>2.3643053133180705</v>
      </c>
      <c r="V241" s="13"/>
      <c r="W241" s="13"/>
    </row>
    <row r="242" spans="1:23" x14ac:dyDescent="0.25">
      <c r="C242" s="3"/>
      <c r="D242" s="3"/>
      <c r="G242" s="3"/>
      <c r="H242" s="3"/>
      <c r="I242" s="3"/>
      <c r="J242" s="3"/>
      <c r="K242" s="3"/>
      <c r="L242" s="40"/>
      <c r="O242" s="18"/>
      <c r="P242" s="102">
        <v>0.16433734939759037</v>
      </c>
      <c r="Q242" s="150">
        <f t="shared" ref="Q242:Q252" si="10">Q241+(P242-P241)*365</f>
        <v>41586.621837349398</v>
      </c>
      <c r="R242" s="56">
        <v>0.37878787878787878</v>
      </c>
      <c r="S242" s="57">
        <v>-0.87141253807920549</v>
      </c>
      <c r="T242" s="56">
        <v>0.39830508474576271</v>
      </c>
      <c r="U242" s="12">
        <v>0.68176288433735277</v>
      </c>
      <c r="V242" s="12"/>
      <c r="W242" s="12"/>
    </row>
    <row r="243" spans="1:23" x14ac:dyDescent="0.25">
      <c r="C243" s="3"/>
      <c r="D243" s="3"/>
      <c r="G243" s="3"/>
      <c r="H243" s="3"/>
      <c r="I243" s="3"/>
      <c r="J243" s="3"/>
      <c r="K243" s="3"/>
      <c r="L243" s="40"/>
      <c r="N243" s="9"/>
      <c r="O243" s="9"/>
      <c r="P243" s="102">
        <v>0.20287650602409638</v>
      </c>
      <c r="Q243" s="150">
        <f t="shared" si="10"/>
        <v>41600.688629518074</v>
      </c>
      <c r="R243" s="56">
        <v>0.30776515151515149</v>
      </c>
      <c r="S243" s="57">
        <v>-4.757094757094757</v>
      </c>
      <c r="T243" s="56"/>
      <c r="U243" s="12">
        <v>0.81648714043933424</v>
      </c>
      <c r="V243" s="12"/>
      <c r="W243" s="12"/>
    </row>
    <row r="244" spans="1:23" x14ac:dyDescent="0.25">
      <c r="C244" s="3"/>
      <c r="D244" s="3"/>
      <c r="G244" s="3"/>
      <c r="H244" s="3"/>
      <c r="I244" s="3"/>
      <c r="J244" s="3"/>
      <c r="K244" s="3"/>
      <c r="L244" s="40"/>
      <c r="M244" s="3"/>
      <c r="N244" s="3"/>
      <c r="O244" s="3"/>
      <c r="P244" s="102">
        <v>0.32334337349397591</v>
      </c>
      <c r="Q244" s="150">
        <f t="shared" si="10"/>
        <v>41644.659036144578</v>
      </c>
      <c r="R244" s="56">
        <v>0.23674242424242425</v>
      </c>
      <c r="S244" s="57">
        <v>-2.160293410293411</v>
      </c>
      <c r="T244" s="56"/>
      <c r="U244" s="12">
        <v>1.4346695033590131</v>
      </c>
      <c r="V244" s="12"/>
      <c r="W244" s="12"/>
    </row>
    <row r="245" spans="1:23" x14ac:dyDescent="0.25">
      <c r="C245" s="3"/>
      <c r="D245" s="3"/>
      <c r="G245" s="3"/>
      <c r="H245" s="3"/>
      <c r="I245" s="3"/>
      <c r="J245" s="3"/>
      <c r="K245" s="3"/>
      <c r="L245" s="40"/>
      <c r="M245" s="3"/>
      <c r="N245" s="3"/>
      <c r="O245" s="3"/>
      <c r="P245" s="102">
        <v>0.40539156626506023</v>
      </c>
      <c r="Q245" s="150">
        <f t="shared" si="10"/>
        <v>41674.606626506022</v>
      </c>
      <c r="R245" s="56">
        <v>0.80492424242424243</v>
      </c>
      <c r="S245" s="57">
        <v>3.2132836299502969</v>
      </c>
      <c r="T245" s="56">
        <v>0.34180790960451979</v>
      </c>
      <c r="U245" s="12">
        <v>2.1061205348089498</v>
      </c>
      <c r="V245" s="12"/>
      <c r="W245" s="12"/>
    </row>
    <row r="246" spans="1:23" x14ac:dyDescent="0.25">
      <c r="C246" s="3"/>
      <c r="D246" s="3"/>
      <c r="G246" s="3"/>
      <c r="H246" s="3"/>
      <c r="I246" s="3"/>
      <c r="J246" s="3"/>
      <c r="K246" s="3"/>
      <c r="L246" s="40"/>
      <c r="M246" s="3"/>
      <c r="N246" s="3"/>
      <c r="O246" s="3"/>
      <c r="P246" s="102">
        <v>0.50192771084337351</v>
      </c>
      <c r="Q246" s="150">
        <f t="shared" si="10"/>
        <v>41709.842319277108</v>
      </c>
      <c r="R246" s="56">
        <v>1.5151515151515151</v>
      </c>
      <c r="S246" s="57">
        <v>8.5866602533269187</v>
      </c>
      <c r="T246" s="56">
        <v>0.2655367231638418</v>
      </c>
      <c r="U246" s="12">
        <v>3.3086875810071037</v>
      </c>
      <c r="V246" s="12"/>
      <c r="W246" s="12"/>
    </row>
    <row r="247" spans="1:23" x14ac:dyDescent="0.25">
      <c r="C247" s="3"/>
      <c r="D247" s="3"/>
      <c r="G247" s="3"/>
      <c r="H247" s="3"/>
      <c r="I247" s="3"/>
      <c r="J247" s="3"/>
      <c r="K247" s="3"/>
      <c r="L247" s="40"/>
      <c r="M247" s="3"/>
      <c r="N247" s="3"/>
      <c r="O247" s="3"/>
      <c r="P247" s="102">
        <v>0.58865963855421688</v>
      </c>
      <c r="Q247" s="150">
        <f t="shared" si="10"/>
        <v>41741.499472891563</v>
      </c>
      <c r="R247" s="56">
        <v>1.4441287878787878</v>
      </c>
      <c r="S247" s="57">
        <v>12.478956228956228</v>
      </c>
      <c r="T247" s="56">
        <v>0.31638418079096048</v>
      </c>
      <c r="U247" s="12">
        <v>4.9648371150164445</v>
      </c>
      <c r="V247" s="12"/>
      <c r="W247" s="12"/>
    </row>
    <row r="248" spans="1:23" x14ac:dyDescent="0.25">
      <c r="C248" s="3"/>
      <c r="D248" s="3"/>
      <c r="G248" s="3"/>
      <c r="H248" s="3"/>
      <c r="I248" s="3"/>
      <c r="J248" s="3"/>
      <c r="K248" s="3"/>
      <c r="L248" s="40"/>
      <c r="M248" s="3"/>
      <c r="N248" s="3"/>
      <c r="O248" s="3"/>
      <c r="P248" s="102">
        <v>0.67296686746987955</v>
      </c>
      <c r="Q248" s="150">
        <f t="shared" si="10"/>
        <v>41772.27161144578</v>
      </c>
      <c r="R248" s="56">
        <v>1.3020833333333333</v>
      </c>
      <c r="S248" s="57">
        <v>21.001883918550583</v>
      </c>
      <c r="T248" s="56">
        <v>0.2175141242937853</v>
      </c>
      <c r="U248" s="12">
        <v>1.5456518938410064</v>
      </c>
      <c r="V248" s="12"/>
      <c r="W248" s="12"/>
    </row>
    <row r="249" spans="1:23" x14ac:dyDescent="0.25">
      <c r="C249" s="3"/>
      <c r="D249" s="3"/>
      <c r="G249" s="3"/>
      <c r="H249" s="3"/>
      <c r="I249" s="3"/>
      <c r="J249" s="3"/>
      <c r="K249" s="3"/>
      <c r="L249" s="40"/>
      <c r="M249" s="3"/>
      <c r="N249" s="3"/>
      <c r="O249" s="3"/>
      <c r="P249" s="102">
        <v>0.72623493975903619</v>
      </c>
      <c r="Q249" s="150">
        <f t="shared" si="10"/>
        <v>41791.714457831324</v>
      </c>
      <c r="R249" s="56">
        <v>2.5094696969696968</v>
      </c>
      <c r="S249" s="57">
        <v>27.487173320506656</v>
      </c>
      <c r="T249" s="56">
        <v>0.33615819209039549</v>
      </c>
      <c r="U249" s="12"/>
      <c r="V249" s="12"/>
      <c r="W249" s="12"/>
    </row>
    <row r="250" spans="1:23" x14ac:dyDescent="0.25">
      <c r="C250" s="3"/>
      <c r="D250" s="3"/>
      <c r="G250" s="3"/>
      <c r="H250" s="3"/>
      <c r="I250" s="3"/>
      <c r="J250" s="3"/>
      <c r="K250" s="3"/>
      <c r="L250" s="40"/>
      <c r="M250" s="3"/>
      <c r="N250" s="3"/>
      <c r="O250" s="3"/>
      <c r="P250" s="102">
        <v>0.82569277108433736</v>
      </c>
      <c r="Q250" s="150">
        <f t="shared" si="10"/>
        <v>41828.016566265062</v>
      </c>
      <c r="R250" s="56">
        <v>5</v>
      </c>
      <c r="S250" s="57">
        <v>28.602894019560686</v>
      </c>
      <c r="T250" s="56">
        <v>0.37570621468926552</v>
      </c>
      <c r="U250" s="12">
        <v>1.6425382285901202</v>
      </c>
      <c r="V250" s="12"/>
      <c r="W250" s="12"/>
    </row>
    <row r="251" spans="1:23" x14ac:dyDescent="0.25">
      <c r="C251" s="3"/>
      <c r="D251" s="3"/>
      <c r="G251" s="3"/>
      <c r="H251" s="3"/>
      <c r="I251" s="3"/>
      <c r="J251" s="3"/>
      <c r="K251" s="3"/>
      <c r="L251" s="40"/>
      <c r="M251" s="3"/>
      <c r="N251" s="3"/>
      <c r="O251" s="3"/>
      <c r="P251" s="102">
        <v>0.90950301204819273</v>
      </c>
      <c r="Q251" s="150">
        <f t="shared" si="10"/>
        <v>41858.607304216872</v>
      </c>
      <c r="R251" s="56">
        <v>3.1486742424242422</v>
      </c>
      <c r="S251" s="57">
        <v>18.794292127625461</v>
      </c>
      <c r="T251" s="56">
        <v>0.34180790960451979</v>
      </c>
      <c r="U251" s="12">
        <v>4.9106852462483364</v>
      </c>
      <c r="V251" s="12"/>
      <c r="W251" s="12"/>
    </row>
    <row r="252" spans="1:23" x14ac:dyDescent="0.25">
      <c r="C252" s="3"/>
      <c r="D252" s="3"/>
      <c r="G252" s="3"/>
      <c r="H252" s="3"/>
      <c r="I252" s="3"/>
      <c r="J252" s="3"/>
      <c r="K252" s="3"/>
      <c r="L252" s="40"/>
      <c r="M252" s="3"/>
      <c r="N252" s="3"/>
      <c r="O252" s="3"/>
      <c r="P252" s="102">
        <v>0.98638554216867469</v>
      </c>
      <c r="Q252" s="150">
        <f t="shared" si="10"/>
        <v>41886.669427710847</v>
      </c>
      <c r="R252" s="56">
        <v>2.0833333333333335</v>
      </c>
      <c r="S252" s="57">
        <v>15.094396344396344</v>
      </c>
      <c r="T252" s="56">
        <v>0.39265536723163841</v>
      </c>
      <c r="U252" s="12">
        <v>5.0319445433082919</v>
      </c>
      <c r="V252" s="12"/>
      <c r="W252" s="12"/>
    </row>
    <row r="253" spans="1:23" x14ac:dyDescent="0.25">
      <c r="A253" s="6"/>
      <c r="B253" s="33" t="s">
        <v>79</v>
      </c>
      <c r="C253" s="44">
        <v>37.683999999999997</v>
      </c>
      <c r="D253" s="44">
        <v>116.623</v>
      </c>
      <c r="E253" s="70" t="s">
        <v>152</v>
      </c>
      <c r="F253" s="70" t="s">
        <v>40</v>
      </c>
      <c r="G253" s="11">
        <v>5.5866666666666676E-2</v>
      </c>
      <c r="H253" s="11">
        <v>13.420833333333333</v>
      </c>
      <c r="I253" s="11">
        <f>14.7/1.724*L253*0.98*0.2</f>
        <v>2.4065707656612529</v>
      </c>
      <c r="J253" s="11">
        <f>0.96*L253*0.98*0.2</f>
        <v>0.27095039999999998</v>
      </c>
      <c r="K253" s="11">
        <f>I253/J253</f>
        <v>8.8819605568445485</v>
      </c>
      <c r="L253" s="41">
        <f>AVERAGE(1.41,1.47)</f>
        <v>1.44</v>
      </c>
      <c r="M253" s="7">
        <f>9.353*EXP(-0.023*H253-0.622*L253-0.182*J253-0.009*K253)*(I253/(I253+0.567))</f>
        <v>1.9947658393548593</v>
      </c>
      <c r="N253" s="7">
        <f>LN(M253)/10</f>
        <v>6.9052666969602564E-2</v>
      </c>
      <c r="O253" s="11">
        <f>4.3573*EXP(-1.002*M253)</f>
        <v>0.59043083984392786</v>
      </c>
      <c r="P253" s="103">
        <v>3.8554216867469883E-2</v>
      </c>
      <c r="Q253" s="149">
        <v>41913</v>
      </c>
      <c r="R253" s="58">
        <v>1.331867057673509</v>
      </c>
      <c r="S253" s="59">
        <v>8.6155202821869494</v>
      </c>
      <c r="T253" s="58">
        <v>0.33050847457627119</v>
      </c>
      <c r="U253" s="13">
        <v>2.3643053133180705</v>
      </c>
      <c r="V253" s="13"/>
      <c r="W253" s="13"/>
    </row>
    <row r="254" spans="1:23" x14ac:dyDescent="0.25">
      <c r="C254" s="3"/>
      <c r="D254" s="3"/>
      <c r="G254" s="3"/>
      <c r="H254" s="3"/>
      <c r="I254" s="3"/>
      <c r="J254" s="3"/>
      <c r="K254" s="3"/>
      <c r="L254" s="40"/>
      <c r="O254" s="18"/>
      <c r="P254" s="102">
        <v>0.15903614457831325</v>
      </c>
      <c r="Q254" s="150">
        <f t="shared" ref="Q254:Q264" si="11">Q253+(P254-P253)*365</f>
        <v>41956.975903614461</v>
      </c>
      <c r="R254" s="56">
        <v>0.45210166177908107</v>
      </c>
      <c r="S254" s="57">
        <v>-3.2319223985890657</v>
      </c>
      <c r="T254" s="56">
        <v>0.27966101694915252</v>
      </c>
      <c r="U254" s="12">
        <v>0.73019992970260039</v>
      </c>
      <c r="V254" s="12"/>
      <c r="W254" s="12"/>
    </row>
    <row r="255" spans="1:23" x14ac:dyDescent="0.25">
      <c r="C255" s="3"/>
      <c r="D255" s="3"/>
      <c r="G255" s="3"/>
      <c r="H255" s="3"/>
      <c r="I255" s="3"/>
      <c r="J255" s="3"/>
      <c r="K255" s="3"/>
      <c r="L255" s="40"/>
      <c r="N255" s="9"/>
      <c r="O255" s="9"/>
      <c r="P255" s="102">
        <v>0.20240963855421687</v>
      </c>
      <c r="Q255" s="150">
        <f t="shared" si="11"/>
        <v>41972.807228915663</v>
      </c>
      <c r="R255" s="56">
        <v>0.3054740957966765</v>
      </c>
      <c r="S255" s="57">
        <v>-2.4877745711079049</v>
      </c>
      <c r="T255" s="56"/>
      <c r="U255" s="12">
        <v>0.89450281293864931</v>
      </c>
      <c r="V255" s="12"/>
      <c r="W255" s="12"/>
    </row>
    <row r="256" spans="1:23" x14ac:dyDescent="0.25">
      <c r="C256" s="3"/>
      <c r="D256" s="3"/>
      <c r="G256" s="3"/>
      <c r="H256" s="3"/>
      <c r="I256" s="3"/>
      <c r="J256" s="3"/>
      <c r="K256" s="3"/>
      <c r="L256" s="40"/>
      <c r="M256" s="3"/>
      <c r="N256" s="3"/>
      <c r="O256" s="3"/>
      <c r="P256" s="102">
        <v>0.28915662650602408</v>
      </c>
      <c r="Q256" s="150">
        <f t="shared" si="11"/>
        <v>42004.469879518074</v>
      </c>
      <c r="R256" s="56">
        <v>0.45210166177908107</v>
      </c>
      <c r="S256" s="57">
        <v>-0.63171396504729849</v>
      </c>
      <c r="T256" s="56"/>
      <c r="U256" s="12">
        <v>1.3423369910129199</v>
      </c>
      <c r="V256" s="12"/>
      <c r="W256" s="12"/>
    </row>
    <row r="257" spans="1:23" x14ac:dyDescent="0.25">
      <c r="C257" s="3"/>
      <c r="D257" s="3"/>
      <c r="G257" s="3"/>
      <c r="H257" s="3"/>
      <c r="I257" s="3"/>
      <c r="J257" s="3"/>
      <c r="K257" s="3"/>
      <c r="L257" s="40"/>
      <c r="M257" s="3"/>
      <c r="N257" s="3"/>
      <c r="O257" s="3"/>
      <c r="P257" s="102">
        <v>0.36626506024096384</v>
      </c>
      <c r="Q257" s="150">
        <f t="shared" si="11"/>
        <v>42032.614457831325</v>
      </c>
      <c r="R257" s="56">
        <v>0.3054740957966765</v>
      </c>
      <c r="S257" s="57">
        <v>3.2597803431136771</v>
      </c>
      <c r="T257" s="56">
        <v>0.29661016949152541</v>
      </c>
      <c r="U257" s="12">
        <v>1.9255498046224426</v>
      </c>
      <c r="V257" s="12"/>
      <c r="W257" s="12"/>
    </row>
    <row r="258" spans="1:23" x14ac:dyDescent="0.25">
      <c r="C258" s="3"/>
      <c r="D258" s="3"/>
      <c r="G258" s="3"/>
      <c r="H258" s="3"/>
      <c r="I258" s="3"/>
      <c r="J258" s="3"/>
      <c r="K258" s="3"/>
      <c r="L258" s="40"/>
      <c r="M258" s="3"/>
      <c r="N258" s="3"/>
      <c r="O258" s="3"/>
      <c r="P258" s="102">
        <v>0.49397590361445781</v>
      </c>
      <c r="Q258" s="150">
        <f t="shared" si="11"/>
        <v>42079.22891566265</v>
      </c>
      <c r="R258" s="56">
        <v>0.96529814271749736</v>
      </c>
      <c r="S258" s="57">
        <v>9.1893137726471075</v>
      </c>
      <c r="T258" s="56">
        <v>0.27401129943502822</v>
      </c>
      <c r="U258" s="12">
        <v>3.5000791478801681</v>
      </c>
      <c r="V258" s="12"/>
      <c r="W258" s="12"/>
    </row>
    <row r="259" spans="1:23" x14ac:dyDescent="0.25">
      <c r="C259" s="3"/>
      <c r="D259" s="3"/>
      <c r="G259" s="3"/>
      <c r="H259" s="3"/>
      <c r="I259" s="3"/>
      <c r="J259" s="3"/>
      <c r="K259" s="3"/>
      <c r="L259" s="40"/>
      <c r="M259" s="3"/>
      <c r="N259" s="3"/>
      <c r="O259" s="3"/>
      <c r="P259" s="102">
        <v>0.57831325301204817</v>
      </c>
      <c r="Q259" s="150">
        <f t="shared" si="11"/>
        <v>42110.012048192773</v>
      </c>
      <c r="R259" s="56">
        <v>1.7717497556207236</v>
      </c>
      <c r="S259" s="57">
        <v>13.823152156485488</v>
      </c>
      <c r="T259" s="56">
        <v>0.37853107344632769</v>
      </c>
      <c r="U259" s="12">
        <v>5.4747860441417862</v>
      </c>
      <c r="V259" s="12"/>
      <c r="W259" s="12"/>
    </row>
    <row r="260" spans="1:23" x14ac:dyDescent="0.25">
      <c r="C260" s="3"/>
      <c r="D260" s="3"/>
      <c r="G260" s="3"/>
      <c r="H260" s="3"/>
      <c r="I260" s="3"/>
      <c r="J260" s="3"/>
      <c r="K260" s="3"/>
      <c r="L260" s="40"/>
      <c r="M260" s="3"/>
      <c r="N260" s="3"/>
      <c r="O260" s="3"/>
      <c r="P260" s="102">
        <v>0.66987951807228918</v>
      </c>
      <c r="Q260" s="150">
        <f t="shared" si="11"/>
        <v>42143.433734939761</v>
      </c>
      <c r="R260" s="56">
        <v>0.59872922776148596</v>
      </c>
      <c r="S260" s="57">
        <v>18.826158409491743</v>
      </c>
      <c r="T260" s="56">
        <v>0.42937853107344631</v>
      </c>
      <c r="U260" s="12">
        <v>1.1613162262003236</v>
      </c>
      <c r="V260" s="12"/>
      <c r="W260" s="12"/>
    </row>
    <row r="261" spans="1:23" x14ac:dyDescent="0.25">
      <c r="C261" s="3"/>
      <c r="D261" s="3"/>
      <c r="G261" s="3"/>
      <c r="H261" s="3"/>
      <c r="I261" s="3"/>
      <c r="J261" s="3"/>
      <c r="K261" s="3"/>
      <c r="L261" s="40"/>
      <c r="M261" s="3"/>
      <c r="N261" s="3"/>
      <c r="O261" s="3"/>
      <c r="P261" s="102">
        <v>0.74939759036144582</v>
      </c>
      <c r="Q261" s="150">
        <f t="shared" si="11"/>
        <v>42172.457831325301</v>
      </c>
      <c r="R261" s="56">
        <v>2.5048875855327468</v>
      </c>
      <c r="S261" s="57">
        <v>25.865400032066702</v>
      </c>
      <c r="T261" s="56">
        <v>0.3135593220338983</v>
      </c>
      <c r="U261" s="12">
        <v>0.78680489469015347</v>
      </c>
      <c r="V261" s="12"/>
      <c r="W261" s="12"/>
    </row>
    <row r="262" spans="1:23" x14ac:dyDescent="0.25">
      <c r="C262" s="3"/>
      <c r="D262" s="3"/>
      <c r="G262" s="3"/>
      <c r="H262" s="3"/>
      <c r="I262" s="3"/>
      <c r="J262" s="3"/>
      <c r="K262" s="3"/>
      <c r="L262" s="40"/>
      <c r="M262" s="3"/>
      <c r="N262" s="3"/>
      <c r="O262" s="3"/>
      <c r="P262" s="102">
        <v>0.81927710843373491</v>
      </c>
      <c r="Q262" s="150">
        <f t="shared" si="11"/>
        <v>42197.963855421687</v>
      </c>
      <c r="R262" s="56">
        <v>5</v>
      </c>
      <c r="S262" s="57">
        <v>31.610149110149109</v>
      </c>
      <c r="T262" s="56">
        <v>0.23728813559322035</v>
      </c>
      <c r="U262" s="12">
        <v>1.960813246184979</v>
      </c>
      <c r="V262" s="12"/>
      <c r="W262" s="12"/>
    </row>
    <row r="263" spans="1:23" x14ac:dyDescent="0.25">
      <c r="C263" s="3"/>
      <c r="D263" s="3"/>
      <c r="G263" s="3"/>
      <c r="H263" s="3"/>
      <c r="I263" s="3"/>
      <c r="J263" s="3"/>
      <c r="K263" s="3"/>
      <c r="L263" s="40"/>
      <c r="M263" s="3"/>
      <c r="N263" s="3"/>
      <c r="O263" s="3"/>
      <c r="P263" s="102">
        <v>0.89879518072289155</v>
      </c>
      <c r="Q263" s="150">
        <f t="shared" si="11"/>
        <v>42226.987951807227</v>
      </c>
      <c r="R263" s="56">
        <v>3.2380254154447701</v>
      </c>
      <c r="S263" s="57">
        <v>21.800945967612638</v>
      </c>
      <c r="T263" s="56">
        <v>0.38135593220338981</v>
      </c>
      <c r="U263" s="12">
        <v>5.5424860455269744</v>
      </c>
      <c r="V263" s="12"/>
      <c r="W263" s="12"/>
    </row>
    <row r="264" spans="1:23" x14ac:dyDescent="0.25">
      <c r="C264" s="3"/>
      <c r="D264" s="3"/>
      <c r="G264" s="3"/>
      <c r="H264" s="3"/>
      <c r="I264" s="3"/>
      <c r="J264" s="3"/>
      <c r="K264" s="3"/>
      <c r="L264" s="40"/>
      <c r="M264" s="3"/>
      <c r="N264" s="3"/>
      <c r="O264" s="3"/>
      <c r="P264" s="102">
        <v>0.98795180722891562</v>
      </c>
      <c r="Q264" s="150">
        <f t="shared" si="11"/>
        <v>42259.530120481926</v>
      </c>
      <c r="R264" s="56">
        <v>1.0386119257086999</v>
      </c>
      <c r="S264" s="57">
        <v>17.177128427128427</v>
      </c>
      <c r="T264" s="56">
        <v>0.27966101694915252</v>
      </c>
      <c r="U264" s="12">
        <v>4.0161094395789476</v>
      </c>
      <c r="V264" s="12"/>
      <c r="W264" s="12"/>
    </row>
    <row r="265" spans="1:23" x14ac:dyDescent="0.25">
      <c r="A265" s="6"/>
      <c r="B265" s="33" t="s">
        <v>79</v>
      </c>
      <c r="C265" s="44">
        <v>37.683999999999997</v>
      </c>
      <c r="D265" s="44">
        <v>116.623</v>
      </c>
      <c r="E265" s="70" t="s">
        <v>153</v>
      </c>
      <c r="F265" s="70" t="s">
        <v>38</v>
      </c>
      <c r="G265" s="11">
        <v>0.70499999999999996</v>
      </c>
      <c r="H265" s="11">
        <v>14.6</v>
      </c>
      <c r="I265" s="11">
        <f>14.7/1.724*L265*0.98*0.2</f>
        <v>2.4065707656612529</v>
      </c>
      <c r="J265" s="11">
        <f>0.96*L265*0.98*0.2</f>
        <v>0.27095039999999998</v>
      </c>
      <c r="K265" s="11">
        <f>I265/J265</f>
        <v>8.8819605568445485</v>
      </c>
      <c r="L265" s="41">
        <f>AVERAGE(1.41,1.47)</f>
        <v>1.44</v>
      </c>
      <c r="M265" s="7">
        <f>9.353*EXP(-0.023*H265-0.622*L265-0.182*J265-0.009*K265)*(I265/(I265+0.567))</f>
        <v>1.9413931547651659</v>
      </c>
      <c r="N265" s="7">
        <f>LN(M265)/10</f>
        <v>6.6340583636269226E-2</v>
      </c>
      <c r="O265" s="11">
        <f>4.3573*EXP(-1.002*M265)</f>
        <v>0.62286633013075854</v>
      </c>
      <c r="P265" s="103">
        <v>9.1494960973713332E-2</v>
      </c>
      <c r="Q265" s="149">
        <v>42278</v>
      </c>
      <c r="R265" s="58">
        <v>1.0065127636302009</v>
      </c>
      <c r="S265" s="59">
        <v>6.069624819624817</v>
      </c>
      <c r="T265" s="58">
        <v>0.43502824858757061</v>
      </c>
      <c r="U265" s="13">
        <v>2.3643053133180705</v>
      </c>
      <c r="V265" s="13"/>
      <c r="W265" s="13"/>
    </row>
    <row r="266" spans="1:23" x14ac:dyDescent="0.25">
      <c r="C266" s="3"/>
      <c r="D266" s="3"/>
      <c r="G266" s="3"/>
      <c r="H266" s="3"/>
      <c r="I266" s="3"/>
      <c r="J266" s="3"/>
      <c r="K266" s="3"/>
      <c r="L266" s="40"/>
      <c r="O266" s="18"/>
      <c r="P266" s="102">
        <v>0.1703250695295912</v>
      </c>
      <c r="Q266" s="150">
        <v>42316</v>
      </c>
      <c r="R266" s="56">
        <v>7.8205497663315818E-2</v>
      </c>
      <c r="S266" s="57">
        <v>-0.96440596440596416</v>
      </c>
      <c r="T266" s="56">
        <v>0.57627118644067798</v>
      </c>
      <c r="U266" s="12">
        <v>0.67634971798193944</v>
      </c>
      <c r="V266" s="12"/>
      <c r="W266" s="12"/>
    </row>
    <row r="267" spans="1:23" x14ac:dyDescent="0.25">
      <c r="C267" s="3"/>
      <c r="D267" s="3"/>
      <c r="G267" s="3"/>
      <c r="H267" s="3"/>
      <c r="I267" s="3"/>
      <c r="J267" s="3"/>
      <c r="K267" s="3"/>
      <c r="L267" s="40"/>
      <c r="N267" s="9"/>
      <c r="O267" s="9"/>
      <c r="P267" s="102">
        <v>0.24688238284637698</v>
      </c>
      <c r="Q267" s="150">
        <f t="shared" ref="Q267:Q276" si="12">Q265+(P267-P265)*365</f>
        <v>42334.716408983521</v>
      </c>
      <c r="R267" s="56">
        <v>9.6329861611419293E-2</v>
      </c>
      <c r="S267" s="57">
        <v>-2.4422799422799422</v>
      </c>
      <c r="T267" s="56"/>
      <c r="U267" s="12">
        <v>0.85975312280371152</v>
      </c>
      <c r="V267" s="12"/>
      <c r="W267" s="12"/>
    </row>
    <row r="268" spans="1:23" x14ac:dyDescent="0.25">
      <c r="C268" s="3"/>
      <c r="D268" s="3"/>
      <c r="G268" s="3"/>
      <c r="H268" s="3"/>
      <c r="I268" s="3"/>
      <c r="J268" s="3"/>
      <c r="K268" s="3"/>
      <c r="L268" s="40"/>
      <c r="M268" s="3"/>
      <c r="N268" s="3"/>
      <c r="O268" s="3"/>
      <c r="P268" s="102">
        <v>0.33540177636891055</v>
      </c>
      <c r="Q268" s="150">
        <f t="shared" si="12"/>
        <v>42376.252997996351</v>
      </c>
      <c r="R268" s="56">
        <v>0.11728615742641259</v>
      </c>
      <c r="S268" s="57">
        <v>-1.5117444284110952</v>
      </c>
      <c r="T268" s="56"/>
      <c r="U268" s="12">
        <v>1.4642868108421132</v>
      </c>
      <c r="V268" s="12"/>
      <c r="W268" s="12"/>
    </row>
    <row r="269" spans="1:23" x14ac:dyDescent="0.25">
      <c r="C269" s="3"/>
      <c r="D269" s="3"/>
      <c r="G269" s="3"/>
      <c r="H269" s="3"/>
      <c r="I269" s="3"/>
      <c r="J269" s="3"/>
      <c r="K269" s="3"/>
      <c r="L269" s="40"/>
      <c r="M269" s="3"/>
      <c r="N269" s="3"/>
      <c r="O269" s="3"/>
      <c r="P269" s="102">
        <v>0.41438141092736025</v>
      </c>
      <c r="Q269" s="150">
        <f t="shared" si="12"/>
        <v>42395.853554233079</v>
      </c>
      <c r="R269" s="56">
        <v>0.37272641181998517</v>
      </c>
      <c r="S269" s="57">
        <v>1.0828523328523314</v>
      </c>
      <c r="T269" s="56">
        <v>0.42655367231638419</v>
      </c>
      <c r="U269" s="12">
        <v>1.8825695697910287</v>
      </c>
      <c r="V269" s="12"/>
      <c r="W269" s="12"/>
    </row>
    <row r="270" spans="1:23" x14ac:dyDescent="0.25">
      <c r="C270" s="3"/>
      <c r="D270" s="3"/>
      <c r="G270" s="3"/>
      <c r="H270" s="3"/>
      <c r="I270" s="3"/>
      <c r="J270" s="3"/>
      <c r="K270" s="3"/>
      <c r="L270" s="40"/>
      <c r="M270" s="3"/>
      <c r="N270" s="3"/>
      <c r="O270" s="3"/>
      <c r="P270" s="102">
        <v>0.49102843984568917</v>
      </c>
      <c r="Q270" s="150">
        <f t="shared" si="12"/>
        <v>42433.056730165372</v>
      </c>
      <c r="R270" s="56">
        <v>1.1010992879843617</v>
      </c>
      <c r="S270" s="57">
        <v>6.0860590027256691</v>
      </c>
      <c r="T270" s="56">
        <v>0.2768361581920904</v>
      </c>
      <c r="U270" s="12">
        <v>3.0330349440946973</v>
      </c>
      <c r="V270" s="12"/>
      <c r="W270" s="12"/>
    </row>
    <row r="271" spans="1:23" x14ac:dyDescent="0.25">
      <c r="C271" s="3"/>
      <c r="D271" s="3"/>
      <c r="G271" s="3"/>
      <c r="H271" s="3"/>
      <c r="I271" s="3"/>
      <c r="J271" s="3"/>
      <c r="K271" s="3"/>
      <c r="L271" s="40"/>
      <c r="M271" s="3"/>
      <c r="N271" s="3"/>
      <c r="O271" s="3"/>
      <c r="P271" s="102">
        <v>0.58449714405335085</v>
      </c>
      <c r="Q271" s="150">
        <f t="shared" si="12"/>
        <v>42457.945796824068</v>
      </c>
      <c r="R271" s="56">
        <v>2.4253106289426145</v>
      </c>
      <c r="S271" s="57">
        <v>12.571749238415904</v>
      </c>
      <c r="T271" s="56">
        <v>0.3672316384180791</v>
      </c>
      <c r="U271" s="12">
        <v>4.1729747048492127</v>
      </c>
      <c r="V271" s="12"/>
      <c r="W271" s="12"/>
    </row>
    <row r="272" spans="1:23" x14ac:dyDescent="0.25">
      <c r="C272" s="3"/>
      <c r="D272" s="3"/>
      <c r="G272" s="3"/>
      <c r="H272" s="3"/>
      <c r="I272" s="3"/>
      <c r="J272" s="3"/>
      <c r="K272" s="3"/>
      <c r="L272" s="40"/>
      <c r="M272" s="3"/>
      <c r="N272" s="3"/>
      <c r="O272" s="3"/>
      <c r="P272" s="102">
        <v>0.65858727832770114</v>
      </c>
      <c r="Q272" s="150">
        <f t="shared" si="12"/>
        <v>42494.215706211304</v>
      </c>
      <c r="R272" s="56">
        <v>1.8509948463371115</v>
      </c>
      <c r="S272" s="57">
        <v>18.131513548180212</v>
      </c>
      <c r="T272" s="56">
        <v>0.2768361581920904</v>
      </c>
      <c r="U272" s="12">
        <v>2.2461092170049883</v>
      </c>
      <c r="V272" s="12"/>
      <c r="W272" s="12"/>
    </row>
    <row r="273" spans="1:23" x14ac:dyDescent="0.25">
      <c r="C273" s="3"/>
      <c r="D273" s="3"/>
      <c r="G273" s="3"/>
      <c r="H273" s="3"/>
      <c r="I273" s="3"/>
      <c r="J273" s="3"/>
      <c r="K273" s="3"/>
      <c r="L273" s="40"/>
      <c r="M273" s="3"/>
      <c r="N273" s="3"/>
      <c r="O273" s="3"/>
      <c r="P273" s="102">
        <v>0.74994766589909989</v>
      </c>
      <c r="Q273" s="150">
        <f t="shared" si="12"/>
        <v>42518.335237297768</v>
      </c>
      <c r="R273" s="56">
        <v>5.0999999999999996</v>
      </c>
      <c r="S273" s="57">
        <v>26.653639570306233</v>
      </c>
      <c r="T273" s="56">
        <v>0.45480225988700562</v>
      </c>
      <c r="U273" s="12"/>
      <c r="V273" s="12"/>
      <c r="W273" s="12"/>
    </row>
    <row r="274" spans="1:23" x14ac:dyDescent="0.25">
      <c r="C274" s="3"/>
      <c r="D274" s="3"/>
      <c r="G274" s="3"/>
      <c r="H274" s="3"/>
      <c r="I274" s="3"/>
      <c r="J274" s="3"/>
      <c r="K274" s="3"/>
      <c r="L274" s="40"/>
      <c r="M274" s="3"/>
      <c r="N274" s="3"/>
      <c r="O274" s="3"/>
      <c r="P274" s="102">
        <v>0.82701336762462996</v>
      </c>
      <c r="Q274" s="150">
        <f t="shared" si="12"/>
        <v>42555.691228804681</v>
      </c>
      <c r="R274" s="56">
        <v>5.2</v>
      </c>
      <c r="S274" s="57">
        <v>29.991782908449579</v>
      </c>
      <c r="T274" s="56">
        <v>0.52542372881355937</v>
      </c>
      <c r="U274" s="12">
        <v>1.4581860582406898</v>
      </c>
      <c r="V274" s="12"/>
      <c r="W274" s="12"/>
    </row>
    <row r="275" spans="1:23" x14ac:dyDescent="0.25">
      <c r="C275" s="3"/>
      <c r="D275" s="3"/>
      <c r="G275" s="3"/>
      <c r="H275" s="3"/>
      <c r="I275" s="3"/>
      <c r="J275" s="3"/>
      <c r="K275" s="3"/>
      <c r="L275" s="40"/>
      <c r="M275" s="3"/>
      <c r="N275" s="3"/>
      <c r="O275" s="3"/>
      <c r="P275" s="102">
        <v>0.91716259457519667</v>
      </c>
      <c r="Q275" s="150">
        <f t="shared" si="12"/>
        <v>42579.368686264541</v>
      </c>
      <c r="R275" s="56">
        <v>3.4510363511305533</v>
      </c>
      <c r="S275" s="57">
        <v>24.810405643738974</v>
      </c>
      <c r="T275" s="56">
        <v>0.32768361581920902</v>
      </c>
      <c r="U275" s="12">
        <v>3.4037014365932956</v>
      </c>
      <c r="V275" s="12"/>
      <c r="W275" s="12"/>
    </row>
    <row r="276" spans="1:23" x14ac:dyDescent="0.25">
      <c r="C276" s="3"/>
      <c r="D276" s="3"/>
      <c r="G276" s="3"/>
      <c r="H276" s="3"/>
      <c r="I276" s="3"/>
      <c r="J276" s="3"/>
      <c r="K276" s="3"/>
      <c r="L276" s="40"/>
      <c r="M276" s="3"/>
      <c r="N276" s="3"/>
      <c r="O276" s="3"/>
      <c r="P276" s="102">
        <v>0.99</v>
      </c>
      <c r="Q276" s="150">
        <f t="shared" si="12"/>
        <v>42615.181349621693</v>
      </c>
      <c r="R276" s="56">
        <v>1.6912738890444565</v>
      </c>
      <c r="S276" s="57">
        <v>20.369769119769117</v>
      </c>
      <c r="T276" s="56">
        <v>0.22033898305084745</v>
      </c>
      <c r="U276" s="12">
        <v>5.4042183984295171</v>
      </c>
      <c r="V276" s="12"/>
      <c r="W276" s="12"/>
    </row>
    <row r="277" spans="1:23" x14ac:dyDescent="0.25">
      <c r="A277" s="6">
        <v>9</v>
      </c>
      <c r="B277" s="33" t="s">
        <v>80</v>
      </c>
      <c r="C277" s="44">
        <v>36.950000000000003</v>
      </c>
      <c r="D277" s="44">
        <v>116.6</v>
      </c>
      <c r="E277" s="33" t="s">
        <v>12</v>
      </c>
      <c r="F277" s="33" t="s">
        <v>38</v>
      </c>
      <c r="G277" s="11">
        <v>0.75909999999999989</v>
      </c>
      <c r="H277" s="11">
        <v>13.741666666666669</v>
      </c>
      <c r="I277" s="11">
        <v>3.0720000000000001</v>
      </c>
      <c r="J277" s="11">
        <v>0.32327679999999998</v>
      </c>
      <c r="K277" s="11">
        <f>I277/J277</f>
        <v>9.5026924295216979</v>
      </c>
      <c r="L277" s="14">
        <v>1.28</v>
      </c>
      <c r="M277" s="7">
        <f>9.353*EXP(-0.023*H277-0.622*L277-0.182*J277-0.009*K277)*(I277/(I277+0.567))</f>
        <v>2.2473193396031101</v>
      </c>
      <c r="N277" s="7">
        <f>LN(M277)/10</f>
        <v>8.0973810130878829E-2</v>
      </c>
      <c r="O277" s="11">
        <f>4.3573*EXP(-1.002*M277)</f>
        <v>0.45842371583696506</v>
      </c>
      <c r="P277" s="10"/>
      <c r="Q277" s="149">
        <v>37519</v>
      </c>
      <c r="R277" s="13"/>
      <c r="S277" s="25"/>
      <c r="T277" s="13"/>
      <c r="U277" s="13"/>
      <c r="V277" s="13"/>
      <c r="W277" s="13" t="s">
        <v>102</v>
      </c>
    </row>
    <row r="278" spans="1:23" x14ac:dyDescent="0.25">
      <c r="C278" s="3"/>
      <c r="D278" s="3"/>
      <c r="G278" s="3"/>
      <c r="H278" s="3"/>
      <c r="I278" s="3"/>
      <c r="J278" s="3"/>
      <c r="K278" s="3"/>
      <c r="L278" s="40"/>
      <c r="O278" s="4"/>
      <c r="P278" s="5">
        <v>2.1699800000000002E-2</v>
      </c>
      <c r="Q278" s="150">
        <f t="shared" ref="Q278:Q297" si="13">Q277+(P278-P277)*365*4</f>
        <v>37550.681707999996</v>
      </c>
      <c r="R278" s="12">
        <v>2.4</v>
      </c>
      <c r="S278" s="19">
        <f>50*0.335295-10</f>
        <v>6.7647499999999994</v>
      </c>
      <c r="T278" s="12">
        <f>0.5*0.575422</f>
        <v>0.28771099999999999</v>
      </c>
      <c r="U278" s="12"/>
      <c r="V278" s="12"/>
      <c r="W278" s="12"/>
    </row>
    <row r="279" spans="1:23" x14ac:dyDescent="0.25">
      <c r="C279" s="3"/>
      <c r="D279" s="3"/>
      <c r="G279" s="3"/>
      <c r="H279" s="3"/>
      <c r="I279" s="3"/>
      <c r="J279" s="3"/>
      <c r="K279" s="3"/>
      <c r="L279" s="40"/>
      <c r="N279" s="3"/>
      <c r="O279" s="3"/>
      <c r="P279" s="5">
        <v>3.9782999999999999E-2</v>
      </c>
      <c r="Q279" s="150">
        <f t="shared" si="13"/>
        <v>37577.083179999994</v>
      </c>
      <c r="R279" s="12">
        <f>12*0.0920972</f>
        <v>1.1051664000000001</v>
      </c>
      <c r="S279" s="19">
        <f>50*0.248886-10</f>
        <v>2.4443000000000001</v>
      </c>
      <c r="T279" s="12">
        <f>0.5*0.473356</f>
        <v>0.236678</v>
      </c>
      <c r="U279" s="12"/>
      <c r="V279" s="12"/>
      <c r="W279" s="12"/>
    </row>
    <row r="280" spans="1:23" x14ac:dyDescent="0.25">
      <c r="C280" s="3"/>
      <c r="D280" s="3"/>
      <c r="G280" s="3"/>
      <c r="H280" s="3"/>
      <c r="I280" s="3"/>
      <c r="J280" s="3"/>
      <c r="K280" s="3"/>
      <c r="L280" s="40"/>
      <c r="M280" s="3"/>
      <c r="N280" s="3"/>
      <c r="O280" s="3"/>
      <c r="P280" s="5">
        <v>6.5099500000000005E-2</v>
      </c>
      <c r="Q280" s="150">
        <f t="shared" si="13"/>
        <v>37614.045269999995</v>
      </c>
      <c r="R280" s="12">
        <f>12*0.0327745</f>
        <v>0.39329399999999998</v>
      </c>
      <c r="S280" s="19">
        <f>50*0.157091-10</f>
        <v>-2.1454499999999994</v>
      </c>
      <c r="T280" s="12">
        <f>0.5*0.505722</f>
        <v>0.252861</v>
      </c>
      <c r="U280" s="12"/>
      <c r="V280" s="12"/>
      <c r="W280" s="12"/>
    </row>
    <row r="281" spans="1:23" x14ac:dyDescent="0.25">
      <c r="C281" s="3"/>
      <c r="D281" s="3"/>
      <c r="G281" s="3"/>
      <c r="H281" s="3"/>
      <c r="I281" s="3"/>
      <c r="J281" s="3"/>
      <c r="K281" s="3"/>
      <c r="L281" s="40"/>
      <c r="M281" s="3"/>
      <c r="N281" s="3"/>
      <c r="O281" s="3"/>
      <c r="P281" s="5">
        <v>8.3182599999999995E-2</v>
      </c>
      <c r="Q281" s="150">
        <f t="shared" si="13"/>
        <v>37640.446595999994</v>
      </c>
      <c r="R281" s="12">
        <f>12*0.0166561</f>
        <v>0.1998732</v>
      </c>
      <c r="S281" s="19">
        <f>50*0.173395-10</f>
        <v>-1.3302499999999995</v>
      </c>
      <c r="T281" s="12">
        <f>0.5*0.328385</f>
        <v>0.16419249999999999</v>
      </c>
      <c r="U281" s="12"/>
      <c r="V281" s="12"/>
      <c r="W281" s="12"/>
    </row>
    <row r="282" spans="1:23" x14ac:dyDescent="0.25">
      <c r="C282" s="3"/>
      <c r="D282" s="3"/>
      <c r="G282" s="3"/>
      <c r="H282" s="3"/>
      <c r="I282" s="3"/>
      <c r="J282" s="3"/>
      <c r="K282" s="3"/>
      <c r="L282" s="40"/>
      <c r="M282" s="3"/>
      <c r="N282" s="3"/>
      <c r="O282" s="3"/>
      <c r="P282" s="5">
        <v>9.9457500000000004E-2</v>
      </c>
      <c r="Q282" s="150">
        <f t="shared" si="13"/>
        <v>37664.207949999996</v>
      </c>
      <c r="R282" s="12">
        <f>12*0.016744</f>
        <v>0.200928</v>
      </c>
      <c r="S282" s="19">
        <f>50*0.178888-10</f>
        <v>-1.0556000000000001</v>
      </c>
      <c r="T282" s="12">
        <f>0.5*0.366117</f>
        <v>0.18305850000000001</v>
      </c>
      <c r="U282" s="12"/>
      <c r="V282" s="12"/>
      <c r="W282" s="12"/>
    </row>
    <row r="283" spans="1:23" x14ac:dyDescent="0.25">
      <c r="C283" s="3"/>
      <c r="D283" s="3"/>
      <c r="G283" s="3"/>
      <c r="H283" s="3"/>
      <c r="I283" s="3"/>
      <c r="J283" s="3"/>
      <c r="K283" s="3"/>
      <c r="L283" s="40"/>
      <c r="M283" s="3"/>
      <c r="N283" s="3"/>
      <c r="O283" s="3"/>
      <c r="P283" s="5">
        <v>0.12296600000000001</v>
      </c>
      <c r="Q283" s="150">
        <f t="shared" si="13"/>
        <v>37698.530359999997</v>
      </c>
      <c r="R283" s="12">
        <f>12*0.0493036</f>
        <v>0.59164320000000004</v>
      </c>
      <c r="S283" s="19">
        <f>50*0.29252-10</f>
        <v>4.6259999999999994</v>
      </c>
      <c r="T283" s="12">
        <f>0.5*0.441495</f>
        <v>0.22074750000000001</v>
      </c>
      <c r="U283" s="12">
        <v>0.43548390000000003</v>
      </c>
      <c r="V283" s="12"/>
      <c r="W283" s="12"/>
    </row>
    <row r="284" spans="1:23" x14ac:dyDescent="0.25">
      <c r="C284" s="3"/>
      <c r="D284" s="3"/>
      <c r="G284" s="3"/>
      <c r="H284" s="3"/>
      <c r="I284" s="3"/>
      <c r="J284" s="3"/>
      <c r="K284" s="3"/>
      <c r="L284" s="40"/>
      <c r="M284" s="3"/>
      <c r="N284" s="3"/>
      <c r="O284" s="3"/>
      <c r="P284" s="5">
        <v>0.139241</v>
      </c>
      <c r="Q284" s="150">
        <f t="shared" si="13"/>
        <v>37722.291859999998</v>
      </c>
      <c r="R284" s="12">
        <f>12*0.0764186</f>
        <v>0.91702320000000004</v>
      </c>
      <c r="S284" s="19">
        <f>50*0.433189-10</f>
        <v>11.65945</v>
      </c>
      <c r="T284" s="12">
        <f>0.5*0.495416</f>
        <v>0.24770800000000001</v>
      </c>
      <c r="U284" s="12">
        <v>4.1129009999999999</v>
      </c>
      <c r="V284" s="12"/>
      <c r="W284" s="12"/>
    </row>
    <row r="285" spans="1:23" x14ac:dyDescent="0.25">
      <c r="C285" s="3"/>
      <c r="D285" s="3"/>
      <c r="G285" s="3"/>
      <c r="H285" s="3"/>
      <c r="I285" s="3"/>
      <c r="J285" s="3"/>
      <c r="K285" s="3"/>
      <c r="L285" s="40"/>
      <c r="M285" s="3"/>
      <c r="N285" s="3"/>
      <c r="O285" s="3"/>
      <c r="P285" s="5">
        <v>0.15732399999999999</v>
      </c>
      <c r="Q285" s="150">
        <f t="shared" si="13"/>
        <v>37748.693039999998</v>
      </c>
      <c r="R285" s="12">
        <f>12*0.2603</f>
        <v>3.1235999999999997</v>
      </c>
      <c r="S285" s="19">
        <f>50*0.573858-10</f>
        <v>18.692899999999998</v>
      </c>
      <c r="T285" s="12">
        <f>0.5*0.387983</f>
        <v>0.19399150000000001</v>
      </c>
      <c r="U285" s="12">
        <v>2.4193529999999996</v>
      </c>
      <c r="V285" s="12"/>
      <c r="W285" s="12"/>
    </row>
    <row r="286" spans="1:23" x14ac:dyDescent="0.25">
      <c r="C286" s="3"/>
      <c r="D286" s="3"/>
      <c r="G286" s="3"/>
      <c r="H286" s="3"/>
      <c r="I286" s="3"/>
      <c r="J286" s="3"/>
      <c r="K286" s="3"/>
      <c r="L286" s="40"/>
      <c r="M286" s="3"/>
      <c r="N286" s="3"/>
      <c r="O286" s="3"/>
      <c r="P286" s="5">
        <v>0.18625700000000001</v>
      </c>
      <c r="Q286" s="150">
        <f t="shared" si="13"/>
        <v>37790.935219999999</v>
      </c>
      <c r="R286" s="12">
        <f>12*0.184781</f>
        <v>2.2173720000000001</v>
      </c>
      <c r="S286" s="19">
        <f>50*0.633406-10</f>
        <v>21.670300000000001</v>
      </c>
      <c r="T286" s="12">
        <f>0.5*0.371951</f>
        <v>0.18597549999999999</v>
      </c>
      <c r="U286" s="12">
        <v>0.24193530000000002</v>
      </c>
      <c r="V286" s="12"/>
      <c r="W286" s="12"/>
    </row>
    <row r="287" spans="1:23" x14ac:dyDescent="0.25">
      <c r="C287" s="3"/>
      <c r="D287" s="3"/>
      <c r="G287" s="3"/>
      <c r="H287" s="3"/>
      <c r="I287" s="3"/>
      <c r="J287" s="3"/>
      <c r="K287" s="3"/>
      <c r="L287" s="40"/>
      <c r="M287" s="3"/>
      <c r="N287" s="3"/>
      <c r="O287" s="3"/>
      <c r="P287" s="5">
        <v>0.19891500000000001</v>
      </c>
      <c r="Q287" s="150">
        <f t="shared" si="13"/>
        <v>37809.4159</v>
      </c>
      <c r="R287" s="12">
        <f>12*0.422687</f>
        <v>5.0722439999999995</v>
      </c>
      <c r="S287" s="19">
        <f>50*0.763245-10</f>
        <v>28.16225</v>
      </c>
      <c r="T287" s="12">
        <f>0.5*0.549473</f>
        <v>0.27473649999999999</v>
      </c>
      <c r="U287" s="12">
        <v>2.564514</v>
      </c>
      <c r="V287" s="12"/>
      <c r="W287" s="12"/>
    </row>
    <row r="288" spans="1:23" x14ac:dyDescent="0.25">
      <c r="C288" s="3"/>
      <c r="D288" s="3"/>
      <c r="G288" s="3"/>
      <c r="H288" s="3"/>
      <c r="I288" s="3"/>
      <c r="J288" s="3"/>
      <c r="K288" s="3"/>
      <c r="L288" s="40"/>
      <c r="M288" s="3"/>
      <c r="N288" s="3"/>
      <c r="O288" s="3"/>
      <c r="P288" s="5">
        <v>0.22603999999999999</v>
      </c>
      <c r="Q288" s="150">
        <f t="shared" si="13"/>
        <v>37849.018400000001</v>
      </c>
      <c r="R288" s="12">
        <f>12*0.476888</f>
        <v>5.7226559999999997</v>
      </c>
      <c r="S288" s="19">
        <f>50*0.622908-10</f>
        <v>21.145400000000002</v>
      </c>
      <c r="T288" s="12">
        <f>0.5*0.554956</f>
        <v>0.277478</v>
      </c>
      <c r="U288" s="12">
        <v>5.3225819999999997</v>
      </c>
      <c r="V288" s="12"/>
      <c r="W288" s="12"/>
    </row>
    <row r="289" spans="1:23" x14ac:dyDescent="0.25">
      <c r="C289" s="3"/>
      <c r="D289" s="3"/>
      <c r="G289" s="3"/>
      <c r="H289" s="3"/>
      <c r="I289" s="3"/>
      <c r="J289" s="3"/>
      <c r="K289" s="3"/>
      <c r="L289" s="40"/>
      <c r="M289" s="3"/>
      <c r="N289" s="3"/>
      <c r="P289" s="5">
        <v>0.25678099999999998</v>
      </c>
      <c r="Q289" s="150">
        <f t="shared" si="13"/>
        <v>37893.900260000002</v>
      </c>
      <c r="R289" s="12">
        <f>12*0.141919</f>
        <v>1.7030279999999998</v>
      </c>
      <c r="S289" s="19">
        <f>50*0.563526-10</f>
        <v>18.176299999999998</v>
      </c>
      <c r="T289" s="12">
        <f>0.5*0.463701</f>
        <v>0.23185049999999999</v>
      </c>
      <c r="U289" s="12">
        <v>3.2419350000000002</v>
      </c>
      <c r="V289" s="12"/>
      <c r="W289" s="12"/>
    </row>
    <row r="290" spans="1:23" x14ac:dyDescent="0.25">
      <c r="A290" s="6"/>
      <c r="B290" s="33" t="s">
        <v>80</v>
      </c>
      <c r="C290" s="44">
        <v>36.950000000000003</v>
      </c>
      <c r="D290" s="44">
        <v>116.6</v>
      </c>
      <c r="E290" s="33" t="s">
        <v>13</v>
      </c>
      <c r="F290" s="33" t="s">
        <v>38</v>
      </c>
      <c r="G290" s="11">
        <v>1.0714000000000004</v>
      </c>
      <c r="H290" s="11">
        <v>14.741666666666665</v>
      </c>
      <c r="I290" s="11">
        <v>3.0720000000000001</v>
      </c>
      <c r="J290" s="11">
        <v>0.32327679999999998</v>
      </c>
      <c r="K290" s="11">
        <f>I290/J290</f>
        <v>9.5026924295216979</v>
      </c>
      <c r="L290" s="14">
        <v>1.28</v>
      </c>
      <c r="M290" s="7">
        <f>9.353*EXP(-0.023*H290-0.622*L290-0.182*J290-0.009*K290)*(I290/(I290+0.567))</f>
        <v>2.1962208796522562</v>
      </c>
      <c r="N290" s="7">
        <f>LN(M290)/10</f>
        <v>7.8673810130878832E-2</v>
      </c>
      <c r="O290" s="11">
        <f>4.3573*EXP(-1.002*M290)</f>
        <v>0.48250657954658838</v>
      </c>
      <c r="P290" s="10">
        <v>0.274864</v>
      </c>
      <c r="Q290" s="149">
        <f t="shared" si="13"/>
        <v>37920.301440000003</v>
      </c>
      <c r="R290" s="13">
        <f>12*0.179854</f>
        <v>2.1582480000000004</v>
      </c>
      <c r="S290" s="25">
        <f>50*0.489247-10</f>
        <v>14.462350000000001</v>
      </c>
      <c r="T290" s="13">
        <f>0.5*0.372417</f>
        <v>0.1862085</v>
      </c>
      <c r="U290" s="13"/>
      <c r="V290" s="13"/>
      <c r="W290" s="13"/>
    </row>
    <row r="291" spans="1:23" x14ac:dyDescent="0.25">
      <c r="C291" s="3"/>
      <c r="D291" s="3"/>
      <c r="G291" s="3"/>
      <c r="H291" s="3"/>
      <c r="I291" s="3"/>
      <c r="J291" s="3"/>
      <c r="K291" s="3"/>
      <c r="L291" s="40"/>
      <c r="O291" s="4"/>
      <c r="P291" s="5">
        <v>0.29294799999999999</v>
      </c>
      <c r="Q291" s="150">
        <f t="shared" si="13"/>
        <v>37946.704080000003</v>
      </c>
      <c r="R291" s="12">
        <f>12*0.0610332</f>
        <v>0.7323984</v>
      </c>
      <c r="S291" s="19">
        <f>50*0.268817-10</f>
        <v>3.4408499999999993</v>
      </c>
      <c r="T291" s="12">
        <f>0.5*0.351057</f>
        <v>0.1755285</v>
      </c>
      <c r="U291" s="12"/>
      <c r="V291" s="12"/>
      <c r="W291" s="12"/>
    </row>
    <row r="292" spans="1:23" x14ac:dyDescent="0.25">
      <c r="C292" s="3"/>
      <c r="D292" s="3"/>
      <c r="G292" s="3"/>
      <c r="H292" s="3"/>
      <c r="I292" s="3"/>
      <c r="J292" s="3"/>
      <c r="K292" s="3"/>
      <c r="L292" s="40"/>
      <c r="N292" s="3"/>
      <c r="O292" s="3"/>
      <c r="P292" s="5">
        <v>0.31283899999999998</v>
      </c>
      <c r="Q292" s="150">
        <f t="shared" si="13"/>
        <v>37975.744940000004</v>
      </c>
      <c r="R292" s="12">
        <f>12*0.0124921</f>
        <v>0.14990520000000002</v>
      </c>
      <c r="S292" s="19">
        <f>50*0.166667-10</f>
        <v>-1.6666499999999989</v>
      </c>
      <c r="T292" s="12">
        <f>0.5*0.324282</f>
        <v>0.16214100000000001</v>
      </c>
      <c r="U292" s="12"/>
      <c r="V292" s="12"/>
      <c r="W292" s="12"/>
    </row>
    <row r="293" spans="1:23" x14ac:dyDescent="0.25">
      <c r="C293" s="3"/>
      <c r="D293" s="3"/>
      <c r="G293" s="3"/>
      <c r="H293" s="3"/>
      <c r="I293" s="3"/>
      <c r="J293" s="3"/>
      <c r="K293" s="3"/>
      <c r="L293" s="40"/>
      <c r="M293" s="3"/>
      <c r="N293" s="3"/>
      <c r="O293" s="3"/>
      <c r="P293" s="5">
        <v>0.33453899999999998</v>
      </c>
      <c r="Q293" s="150">
        <f t="shared" si="13"/>
        <v>38007.426940000005</v>
      </c>
      <c r="R293" s="12">
        <f>12*0.0288256</f>
        <v>0.34590719999999997</v>
      </c>
      <c r="S293" s="19">
        <f>50*0.150538-10</f>
        <v>-2.4730999999999996</v>
      </c>
      <c r="T293" s="12">
        <f>0.5*0.238355</f>
        <v>0.11917750000000001</v>
      </c>
      <c r="U293" s="12"/>
      <c r="V293" s="12"/>
      <c r="W293" s="12"/>
    </row>
    <row r="294" spans="1:23" x14ac:dyDescent="0.25">
      <c r="C294" s="3"/>
      <c r="D294" s="3"/>
      <c r="G294" s="3"/>
      <c r="H294" s="3"/>
      <c r="I294" s="3"/>
      <c r="J294" s="3"/>
      <c r="K294" s="3"/>
      <c r="L294" s="40"/>
      <c r="M294" s="3"/>
      <c r="N294" s="3"/>
      <c r="O294" s="3"/>
      <c r="P294" s="5">
        <v>0.35623899999999997</v>
      </c>
      <c r="Q294" s="150">
        <f t="shared" si="13"/>
        <v>38039.108940000006</v>
      </c>
      <c r="R294" s="12">
        <f>12*0.0559699</f>
        <v>0.67163879999999998</v>
      </c>
      <c r="S294" s="19">
        <f>50*0.215054-10</f>
        <v>0.75269999999999904</v>
      </c>
      <c r="T294" s="12">
        <f>0.5*0.270711</f>
        <v>0.13535549999999999</v>
      </c>
      <c r="U294" s="12">
        <v>0.48387060000000004</v>
      </c>
      <c r="V294" s="12"/>
      <c r="W294" s="12"/>
    </row>
    <row r="295" spans="1:23" x14ac:dyDescent="0.25">
      <c r="C295" s="3"/>
      <c r="D295" s="3"/>
      <c r="G295" s="3"/>
      <c r="H295" s="3"/>
      <c r="I295" s="3"/>
      <c r="J295" s="3"/>
      <c r="K295" s="3"/>
      <c r="L295" s="40"/>
      <c r="M295" s="3"/>
      <c r="N295" s="3"/>
      <c r="O295" s="3"/>
      <c r="P295" s="5">
        <v>0.37432199999999999</v>
      </c>
      <c r="Q295" s="150">
        <f t="shared" si="13"/>
        <v>38065.510120000006</v>
      </c>
      <c r="R295" s="12">
        <f>12*0.0115527</f>
        <v>0.13863240000000002</v>
      </c>
      <c r="S295" s="19">
        <f>50*0.274194-10</f>
        <v>3.7096999999999998</v>
      </c>
      <c r="T295" s="12">
        <f>0.5*0.281591</f>
        <v>0.14079549999999999</v>
      </c>
      <c r="U295" s="12">
        <v>1.016127</v>
      </c>
      <c r="V295" s="12"/>
      <c r="W295" s="12"/>
    </row>
    <row r="296" spans="1:23" x14ac:dyDescent="0.25">
      <c r="C296" s="3"/>
      <c r="D296" s="3"/>
      <c r="G296" s="3"/>
      <c r="H296" s="3"/>
      <c r="I296" s="3"/>
      <c r="J296" s="3"/>
      <c r="K296" s="3"/>
      <c r="L296" s="40"/>
      <c r="M296" s="3"/>
      <c r="N296" s="3"/>
      <c r="O296" s="3"/>
      <c r="P296" s="5">
        <v>0.39059700000000003</v>
      </c>
      <c r="Q296" s="150">
        <f t="shared" si="13"/>
        <v>38089.271620000007</v>
      </c>
      <c r="R296" s="12">
        <f>12*0.142642</f>
        <v>1.7117039999999999</v>
      </c>
      <c r="S296" s="19">
        <f>50*0.446237-10</f>
        <v>12.31185</v>
      </c>
      <c r="T296" s="12">
        <f>0.5*0.340907</f>
        <v>0.17045350000000001</v>
      </c>
      <c r="U296" s="12">
        <v>6.9193530000000001</v>
      </c>
      <c r="V296" s="12"/>
      <c r="W296" s="12"/>
    </row>
    <row r="297" spans="1:23" x14ac:dyDescent="0.25">
      <c r="C297" s="3"/>
      <c r="D297" s="3"/>
      <c r="G297" s="3"/>
      <c r="H297" s="3"/>
      <c r="I297" s="3"/>
      <c r="J297" s="3"/>
      <c r="K297" s="3"/>
      <c r="L297" s="40"/>
      <c r="M297" s="3"/>
      <c r="N297" s="3"/>
      <c r="O297" s="3"/>
      <c r="P297" s="5">
        <v>0.414105</v>
      </c>
      <c r="Q297" s="150">
        <f t="shared" si="13"/>
        <v>38123.593300000008</v>
      </c>
      <c r="R297" s="12">
        <f>12*0.35358</f>
        <v>4.2429600000000001</v>
      </c>
      <c r="S297" s="19">
        <f>50*0.435484-10</f>
        <v>11.7742</v>
      </c>
      <c r="T297" s="12">
        <f>0.5*0.298002</f>
        <v>0.14900099999999999</v>
      </c>
      <c r="U297" s="12">
        <v>2.6129069999999999</v>
      </c>
      <c r="V297" s="12"/>
      <c r="W297" s="12"/>
    </row>
    <row r="298" spans="1:23" x14ac:dyDescent="0.25">
      <c r="C298" s="3"/>
      <c r="D298" s="3"/>
      <c r="G298" s="3"/>
      <c r="H298" s="3"/>
      <c r="I298" s="3"/>
      <c r="J298" s="3"/>
      <c r="K298" s="3"/>
      <c r="L298" s="40"/>
      <c r="M298" s="3"/>
      <c r="N298" s="3"/>
      <c r="O298" s="3"/>
      <c r="P298" s="5">
        <v>0.42857099999999998</v>
      </c>
      <c r="Q298" s="150">
        <v>38158</v>
      </c>
      <c r="R298" s="12">
        <f>12*0.186091</f>
        <v>2.2330920000000001</v>
      </c>
      <c r="S298" s="19">
        <f>50*0.591398-10</f>
        <v>19.569900000000001</v>
      </c>
      <c r="T298" s="12">
        <f>0.5*0.503367</f>
        <v>0.2516835</v>
      </c>
      <c r="U298" s="12">
        <v>0.29032289999999999</v>
      </c>
      <c r="V298" s="12"/>
      <c r="W298" s="12"/>
    </row>
    <row r="299" spans="1:23" x14ac:dyDescent="0.25">
      <c r="C299" s="3"/>
      <c r="D299" s="3"/>
      <c r="G299" s="3"/>
      <c r="H299" s="3"/>
      <c r="I299" s="3"/>
      <c r="J299" s="3"/>
      <c r="K299" s="3"/>
      <c r="L299" s="40"/>
      <c r="M299" s="3"/>
      <c r="N299" s="3"/>
      <c r="O299" s="3"/>
      <c r="P299" s="5">
        <v>0.457505</v>
      </c>
      <c r="Q299" s="150">
        <f>Q298+(P299-P298)*365*4</f>
        <v>38200.243640000001</v>
      </c>
      <c r="R299" s="12">
        <f>12*0.467328</f>
        <v>5.6079360000000005</v>
      </c>
      <c r="S299" s="19">
        <f>50*0.731183-10</f>
        <v>26.559150000000002</v>
      </c>
      <c r="T299" s="12">
        <f>0.5*0.561664</f>
        <v>0.28083200000000003</v>
      </c>
      <c r="U299" s="12">
        <v>0.14516100000000001</v>
      </c>
      <c r="V299" s="12"/>
      <c r="W299" s="12"/>
    </row>
    <row r="300" spans="1:23" x14ac:dyDescent="0.25">
      <c r="C300" s="3"/>
      <c r="D300" s="3"/>
      <c r="G300" s="3"/>
      <c r="H300" s="3"/>
      <c r="I300" s="3"/>
      <c r="J300" s="3"/>
      <c r="K300" s="3"/>
      <c r="L300" s="40"/>
      <c r="M300" s="3"/>
      <c r="N300" s="3"/>
      <c r="O300" s="3"/>
      <c r="P300" s="5">
        <v>0.47558800000000001</v>
      </c>
      <c r="Q300" s="150">
        <f>Q299+(P300-P299)*365*4</f>
        <v>38226.644820000001</v>
      </c>
      <c r="R300" s="12">
        <f>12*0.186345</f>
        <v>2.2361400000000002</v>
      </c>
      <c r="S300" s="19">
        <f>50*0.677419-10</f>
        <v>23.870950000000001</v>
      </c>
      <c r="T300" s="12">
        <f>0.5*0.637004</f>
        <v>0.31850200000000001</v>
      </c>
      <c r="U300" s="12">
        <v>4.016133</v>
      </c>
      <c r="V300" s="12"/>
      <c r="W300" s="12"/>
    </row>
    <row r="301" spans="1:23" x14ac:dyDescent="0.25">
      <c r="C301" s="3"/>
      <c r="D301" s="3"/>
      <c r="G301" s="3"/>
      <c r="H301" s="3"/>
      <c r="I301" s="3"/>
      <c r="J301" s="3"/>
      <c r="K301" s="3"/>
      <c r="L301" s="40"/>
      <c r="M301" s="3"/>
      <c r="N301" s="3"/>
      <c r="O301" s="3"/>
      <c r="P301" s="5">
        <v>0.50632900000000003</v>
      </c>
      <c r="Q301" s="150">
        <v>38250</v>
      </c>
      <c r="R301" s="12">
        <f>12*0.154078</f>
        <v>1.8489359999999999</v>
      </c>
      <c r="S301" s="19">
        <f>50*0.55914-10</f>
        <v>17.956999999999997</v>
      </c>
      <c r="T301" s="12">
        <f>0.5*0.502679</f>
        <v>0.25133949999999999</v>
      </c>
      <c r="U301" s="12">
        <v>2.564514</v>
      </c>
      <c r="V301" s="12"/>
      <c r="W301" s="12"/>
    </row>
    <row r="302" spans="1:23" x14ac:dyDescent="0.25">
      <c r="A302" s="6"/>
      <c r="B302" s="33" t="s">
        <v>80</v>
      </c>
      <c r="C302" s="44">
        <v>36.950000000000003</v>
      </c>
      <c r="D302" s="44">
        <v>116.6</v>
      </c>
      <c r="E302" s="33" t="s">
        <v>14</v>
      </c>
      <c r="F302" s="33" t="s">
        <v>41</v>
      </c>
      <c r="G302" s="11">
        <v>0.8600000000000001</v>
      </c>
      <c r="H302" s="11">
        <v>14.524999999999999</v>
      </c>
      <c r="I302" s="11">
        <v>3.0720000000000001</v>
      </c>
      <c r="J302" s="11">
        <v>0.32327679999999998</v>
      </c>
      <c r="K302" s="11">
        <f>I302/J302</f>
        <v>9.5026924295216979</v>
      </c>
      <c r="L302" s="14">
        <v>1.28</v>
      </c>
      <c r="M302" s="7">
        <f>9.353*EXP(-0.023*H302-0.622*L302-0.182*J302-0.009*K302)*(I302/(I302+0.567))</f>
        <v>2.2071926957718797</v>
      </c>
      <c r="N302" s="7">
        <f>LN(M302)/10</f>
        <v>7.9172143464212169E-2</v>
      </c>
      <c r="O302" s="11">
        <f>4.3573*EXP(-1.002*M302)</f>
        <v>0.47723107010830274</v>
      </c>
      <c r="P302" s="10">
        <v>0.52622100000000005</v>
      </c>
      <c r="Q302" s="149">
        <f t="shared" ref="Q302:Q325" si="14">Q301+(P302-P301)*365*4</f>
        <v>38279.04232</v>
      </c>
      <c r="R302" s="13">
        <f>12*0.197429</f>
        <v>2.369148</v>
      </c>
      <c r="S302" s="25">
        <f>50*0.532258-10</f>
        <v>16.6129</v>
      </c>
      <c r="T302" s="13">
        <f>0.5*0.400661</f>
        <v>0.20033049999999999</v>
      </c>
      <c r="U302" s="13"/>
      <c r="V302" s="13"/>
      <c r="W302" s="13"/>
    </row>
    <row r="303" spans="1:23" x14ac:dyDescent="0.25">
      <c r="C303" s="3"/>
      <c r="D303" s="3"/>
      <c r="G303" s="3"/>
      <c r="H303" s="3"/>
      <c r="I303" s="3"/>
      <c r="J303" s="3"/>
      <c r="K303" s="3"/>
      <c r="L303" s="40"/>
      <c r="O303" s="4"/>
      <c r="P303" s="5">
        <v>0.54068700000000003</v>
      </c>
      <c r="Q303" s="150">
        <f t="shared" si="14"/>
        <v>38300.162680000001</v>
      </c>
      <c r="R303" s="12">
        <f>12*0.138048</f>
        <v>1.656576</v>
      </c>
      <c r="S303" s="19">
        <f>50*0.365591-10</f>
        <v>8.2795500000000004</v>
      </c>
      <c r="T303" s="12">
        <f>0.5*0.37929</f>
        <v>0.18964500000000001</v>
      </c>
      <c r="U303" s="12"/>
      <c r="V303" s="12"/>
      <c r="W303" s="12"/>
    </row>
    <row r="304" spans="1:23" x14ac:dyDescent="0.25">
      <c r="C304" s="3"/>
      <c r="D304" s="3"/>
      <c r="G304" s="3"/>
      <c r="H304" s="3"/>
      <c r="I304" s="3"/>
      <c r="J304" s="3"/>
      <c r="K304" s="3"/>
      <c r="L304" s="40"/>
      <c r="N304" s="3"/>
      <c r="O304" s="3"/>
      <c r="P304" s="5">
        <v>0.564195</v>
      </c>
      <c r="Q304" s="150">
        <f t="shared" si="14"/>
        <v>38334.484360000002</v>
      </c>
      <c r="R304" s="12">
        <f>12*0.057094</f>
        <v>0.68512799999999996</v>
      </c>
      <c r="S304" s="19">
        <f>50*0.166667-10</f>
        <v>-1.6666499999999989</v>
      </c>
      <c r="T304" s="12">
        <f>0.5*0.36323</f>
        <v>0.181615</v>
      </c>
      <c r="U304" s="12"/>
      <c r="V304" s="12"/>
      <c r="W304" s="12"/>
    </row>
    <row r="305" spans="1:23" x14ac:dyDescent="0.25">
      <c r="C305" s="3"/>
      <c r="D305" s="3"/>
      <c r="G305" s="3"/>
      <c r="H305" s="3"/>
      <c r="I305" s="3"/>
      <c r="J305" s="3"/>
      <c r="K305" s="3"/>
      <c r="L305" s="40"/>
      <c r="M305" s="3"/>
      <c r="N305" s="3"/>
      <c r="O305" s="3"/>
      <c r="P305" s="5">
        <v>0.58227799999999996</v>
      </c>
      <c r="Q305" s="150">
        <f t="shared" si="14"/>
        <v>38360.885540000003</v>
      </c>
      <c r="R305" s="12">
        <f>12*0.0409755</f>
        <v>0.49170599999999998</v>
      </c>
      <c r="S305" s="19">
        <f>50*0.182796-10</f>
        <v>-0.86020000000000074</v>
      </c>
      <c r="T305" s="12">
        <f>0.5*0.196714</f>
        <v>9.8357E-2</v>
      </c>
      <c r="U305" s="12"/>
      <c r="V305" s="12"/>
      <c r="W305" s="12"/>
    </row>
    <row r="306" spans="1:23" x14ac:dyDescent="0.25">
      <c r="C306" s="3"/>
      <c r="D306" s="3"/>
      <c r="G306" s="3"/>
      <c r="H306" s="3"/>
      <c r="I306" s="3"/>
      <c r="J306" s="3"/>
      <c r="K306" s="3"/>
      <c r="L306" s="40"/>
      <c r="M306" s="3"/>
      <c r="N306" s="3"/>
      <c r="O306" s="3"/>
      <c r="P306" s="5">
        <v>0.61302000000000001</v>
      </c>
      <c r="Q306" s="150">
        <f t="shared" si="14"/>
        <v>38405.768860000004</v>
      </c>
      <c r="R306" s="12">
        <f>12*0.0195201</f>
        <v>0.23424119999999998</v>
      </c>
      <c r="S306" s="19">
        <f>50*0.166667-10</f>
        <v>-1.6666499999999989</v>
      </c>
      <c r="T306" s="12">
        <f>0.5*0.212941</f>
        <v>0.1064705</v>
      </c>
      <c r="U306" s="12"/>
      <c r="V306" s="12"/>
      <c r="W306" s="12"/>
    </row>
    <row r="307" spans="1:23" x14ac:dyDescent="0.25">
      <c r="C307" s="3"/>
      <c r="D307" s="3"/>
      <c r="G307" s="3"/>
      <c r="H307" s="3"/>
      <c r="I307" s="3"/>
      <c r="J307" s="3"/>
      <c r="K307" s="3"/>
      <c r="L307" s="40"/>
      <c r="M307" s="3"/>
      <c r="N307" s="3"/>
      <c r="O307" s="3"/>
      <c r="P307" s="5">
        <v>0.62929500000000005</v>
      </c>
      <c r="Q307" s="150">
        <f t="shared" si="14"/>
        <v>38429.530360000004</v>
      </c>
      <c r="R307" s="12">
        <f>12*0.0250134</f>
        <v>0.30016080000000001</v>
      </c>
      <c r="S307" s="19">
        <f>50*0.193548-10</f>
        <v>-0.32259999999999955</v>
      </c>
      <c r="T307" s="12">
        <f>0.5*0.352817</f>
        <v>0.1764085</v>
      </c>
      <c r="U307" s="12">
        <v>0.43548390000000003</v>
      </c>
      <c r="V307" s="12"/>
      <c r="W307" s="12"/>
    </row>
    <row r="308" spans="1:23" x14ac:dyDescent="0.25">
      <c r="C308" s="3"/>
      <c r="D308" s="3"/>
      <c r="G308" s="3"/>
      <c r="H308" s="3"/>
      <c r="I308" s="3"/>
      <c r="J308" s="3"/>
      <c r="K308" s="3"/>
      <c r="L308" s="40"/>
      <c r="M308" s="3"/>
      <c r="N308" s="3"/>
      <c r="O308" s="3"/>
      <c r="P308" s="5">
        <v>0.63833600000000001</v>
      </c>
      <c r="Q308" s="150">
        <f t="shared" si="14"/>
        <v>38442.730220000005</v>
      </c>
      <c r="R308" s="12">
        <f>12*0.187224</f>
        <v>2.2466879999999998</v>
      </c>
      <c r="S308" s="19">
        <f>50*0.370968-10</f>
        <v>8.5484000000000009</v>
      </c>
      <c r="T308" s="12">
        <f>0.5*0.51419</f>
        <v>0.25709500000000002</v>
      </c>
      <c r="U308" s="12">
        <v>0.96774300000000002</v>
      </c>
      <c r="V308" s="12"/>
      <c r="W308" s="12"/>
    </row>
    <row r="309" spans="1:23" x14ac:dyDescent="0.25">
      <c r="C309" s="3"/>
      <c r="D309" s="3"/>
      <c r="G309" s="3"/>
      <c r="H309" s="3"/>
      <c r="I309" s="3"/>
      <c r="J309" s="3"/>
      <c r="K309" s="3"/>
      <c r="L309" s="40"/>
      <c r="M309" s="3"/>
      <c r="N309" s="3"/>
      <c r="O309" s="3"/>
      <c r="P309" s="5">
        <v>0.65822800000000004</v>
      </c>
      <c r="Q309" s="150">
        <f t="shared" si="14"/>
        <v>38471.772540000005</v>
      </c>
      <c r="R309" s="12">
        <f>12*0.257602</f>
        <v>3.091224</v>
      </c>
      <c r="S309" s="19">
        <f>50*0.456989-10</f>
        <v>12.849449999999997</v>
      </c>
      <c r="T309" s="12">
        <f>0.5*0.578844</f>
        <v>0.28942200000000001</v>
      </c>
      <c r="U309" s="12">
        <v>4.4516160000000005</v>
      </c>
      <c r="V309" s="12"/>
      <c r="W309" s="12"/>
    </row>
    <row r="310" spans="1:23" x14ac:dyDescent="0.25">
      <c r="C310" s="3"/>
      <c r="D310" s="3"/>
      <c r="G310" s="3"/>
      <c r="H310" s="3"/>
      <c r="I310" s="3"/>
      <c r="J310" s="3"/>
      <c r="K310" s="3"/>
      <c r="L310" s="40"/>
      <c r="M310" s="3"/>
      <c r="N310" s="3"/>
      <c r="O310" s="3"/>
      <c r="P310" s="5">
        <v>0.67450299999999996</v>
      </c>
      <c r="Q310" s="150">
        <f t="shared" si="14"/>
        <v>38495.534040000006</v>
      </c>
      <c r="R310" s="12">
        <f>12*0.106339</f>
        <v>1.276068</v>
      </c>
      <c r="S310" s="19">
        <f>50*0.505376-10</f>
        <v>15.268800000000002</v>
      </c>
      <c r="T310" s="12">
        <f>0.5*0.358495</f>
        <v>0.1792475</v>
      </c>
      <c r="U310" s="12">
        <v>0.25268800000000002</v>
      </c>
      <c r="V310" s="12"/>
      <c r="W310" s="12"/>
    </row>
    <row r="311" spans="1:23" x14ac:dyDescent="0.25">
      <c r="C311" s="3"/>
      <c r="D311" s="3"/>
      <c r="G311" s="3"/>
      <c r="H311" s="3"/>
      <c r="I311" s="3"/>
      <c r="J311" s="3"/>
      <c r="K311" s="3"/>
      <c r="L311" s="40"/>
      <c r="M311" s="3"/>
      <c r="N311" s="3"/>
      <c r="O311" s="3"/>
      <c r="P311" s="5">
        <v>0.70343599999999995</v>
      </c>
      <c r="Q311" s="150">
        <f t="shared" si="14"/>
        <v>38537.776220000007</v>
      </c>
      <c r="R311" s="12">
        <f>12*0.290279</f>
        <v>3.4833480000000003</v>
      </c>
      <c r="S311" s="19">
        <f>50*0.693548-10</f>
        <v>24.677400000000006</v>
      </c>
      <c r="T311" s="12">
        <f>0.5*0.514579</f>
        <v>0.2572895</v>
      </c>
      <c r="U311" s="12">
        <v>1.3548420000000001</v>
      </c>
      <c r="V311" s="12"/>
      <c r="W311" s="12"/>
    </row>
    <row r="312" spans="1:23" x14ac:dyDescent="0.25">
      <c r="C312" s="3"/>
      <c r="D312" s="3"/>
      <c r="G312" s="3"/>
      <c r="H312" s="3"/>
      <c r="I312" s="3"/>
      <c r="J312" s="3"/>
      <c r="K312" s="3"/>
      <c r="L312" s="40"/>
      <c r="M312" s="3"/>
      <c r="N312" s="3"/>
      <c r="O312" s="3"/>
      <c r="P312" s="5">
        <v>0.73417699999999997</v>
      </c>
      <c r="Q312" s="150">
        <f t="shared" si="14"/>
        <v>38582.658080000008</v>
      </c>
      <c r="R312" s="12">
        <f>12*0.274229</f>
        <v>3.2907479999999998</v>
      </c>
      <c r="S312" s="19">
        <f>50*0.645161-10</f>
        <v>22.258049999999997</v>
      </c>
      <c r="T312" s="12">
        <f>0.5*0.466346</f>
        <v>0.23317299999999999</v>
      </c>
      <c r="U312" s="12">
        <v>4.2096780000000003</v>
      </c>
      <c r="V312" s="12"/>
      <c r="W312" s="12"/>
    </row>
    <row r="313" spans="1:23" x14ac:dyDescent="0.25">
      <c r="C313" s="3"/>
      <c r="D313" s="3"/>
      <c r="G313" s="3"/>
      <c r="H313" s="3"/>
      <c r="I313" s="3"/>
      <c r="J313" s="3"/>
      <c r="K313" s="3"/>
      <c r="L313" s="40"/>
      <c r="M313" s="3"/>
      <c r="N313" s="3"/>
      <c r="O313" s="3"/>
      <c r="P313" s="5">
        <v>0.74864399999999998</v>
      </c>
      <c r="Q313" s="150">
        <f t="shared" si="14"/>
        <v>38603.779900000009</v>
      </c>
      <c r="R313" s="12">
        <f>12*0.17701</f>
        <v>2.12412</v>
      </c>
      <c r="S313" s="19">
        <f>50*0.510753-10</f>
        <v>15.537649999999999</v>
      </c>
      <c r="T313" s="12">
        <f>0.5*0.407253</f>
        <v>0.20362649999999999</v>
      </c>
      <c r="U313" s="12">
        <v>2.1290309999999999</v>
      </c>
      <c r="V313" s="12"/>
      <c r="W313" s="12"/>
    </row>
    <row r="314" spans="1:23" x14ac:dyDescent="0.25">
      <c r="A314" s="6"/>
      <c r="B314" s="33" t="s">
        <v>80</v>
      </c>
      <c r="C314" s="44">
        <v>36.950000000000003</v>
      </c>
      <c r="D314" s="44">
        <v>116.6</v>
      </c>
      <c r="E314" s="33" t="s">
        <v>15</v>
      </c>
      <c r="F314" s="33" t="s">
        <v>38</v>
      </c>
      <c r="G314" s="11">
        <v>0.5915999999999999</v>
      </c>
      <c r="H314" s="11">
        <v>14.808333333333332</v>
      </c>
      <c r="I314" s="11">
        <v>3.0720000000000001</v>
      </c>
      <c r="J314" s="11">
        <v>0.32327679999999998</v>
      </c>
      <c r="K314" s="11">
        <f>I314/J314</f>
        <v>9.5026924295216979</v>
      </c>
      <c r="L314" s="14">
        <v>1.28</v>
      </c>
      <c r="M314" s="7">
        <f>9.353*EXP(-0.023*H314-0.622*L314-0.182*J314-0.009*K314)*(I314/(I314+0.567))</f>
        <v>2.1928559214307084</v>
      </c>
      <c r="N314" s="7">
        <f>LN(M314)/10</f>
        <v>7.8520476797545494E-2</v>
      </c>
      <c r="O314" s="11">
        <f>4.3573*EXP(-1.002*M314)</f>
        <v>0.48413618697755101</v>
      </c>
      <c r="P314" s="10">
        <v>0.77395999999999998</v>
      </c>
      <c r="Q314" s="149">
        <f t="shared" si="14"/>
        <v>38640.74126000001</v>
      </c>
      <c r="R314" s="13">
        <f>12*0.0582278</f>
        <v>0.69873360000000007</v>
      </c>
      <c r="S314" s="25">
        <f>50*0.467742-10</f>
        <v>13.3871</v>
      </c>
      <c r="T314" s="13">
        <f>0.5*0.445015</f>
        <v>0.2225075</v>
      </c>
      <c r="U314" s="13"/>
      <c r="V314" s="13"/>
      <c r="W314" s="13"/>
    </row>
    <row r="315" spans="1:23" x14ac:dyDescent="0.25">
      <c r="C315" s="3"/>
      <c r="D315" s="3"/>
      <c r="G315" s="3"/>
      <c r="H315" s="3"/>
      <c r="I315" s="3"/>
      <c r="J315" s="3"/>
      <c r="K315" s="3"/>
      <c r="L315" s="40"/>
      <c r="O315" s="4"/>
      <c r="P315" s="5">
        <v>0.793852</v>
      </c>
      <c r="Q315" s="150">
        <f t="shared" si="14"/>
        <v>38669.78358000001</v>
      </c>
      <c r="R315" s="12">
        <f>12*0.231308</f>
        <v>2.7756959999999999</v>
      </c>
      <c r="S315" s="19">
        <f>50*0.327957-10</f>
        <v>6.3978499999999983</v>
      </c>
      <c r="T315" s="12">
        <f>0.5*0.386009</f>
        <v>0.1930045</v>
      </c>
      <c r="U315" s="12"/>
      <c r="V315" s="12"/>
      <c r="W315" s="12"/>
    </row>
    <row r="316" spans="1:23" x14ac:dyDescent="0.25">
      <c r="C316" s="3"/>
      <c r="D316" s="3"/>
      <c r="G316" s="3"/>
      <c r="H316" s="3"/>
      <c r="I316" s="3"/>
      <c r="J316" s="3"/>
      <c r="K316" s="3"/>
      <c r="L316" s="40"/>
      <c r="N316" s="3"/>
      <c r="O316" s="3"/>
      <c r="P316" s="5">
        <v>0.82821</v>
      </c>
      <c r="Q316" s="150">
        <f t="shared" si="14"/>
        <v>38719.946260000012</v>
      </c>
      <c r="R316" s="12">
        <v>0.96171239999999991</v>
      </c>
      <c r="S316" s="19">
        <f>50*0.177419-10</f>
        <v>-1.1290499999999994</v>
      </c>
      <c r="T316" s="12">
        <f>0.5*0.240931</f>
        <v>0.1204655</v>
      </c>
      <c r="U316" s="12"/>
      <c r="V316" s="12"/>
      <c r="W316" s="12"/>
    </row>
    <row r="317" spans="1:23" x14ac:dyDescent="0.25">
      <c r="C317" s="3"/>
      <c r="D317" s="3"/>
      <c r="G317" s="3"/>
      <c r="H317" s="3"/>
      <c r="I317" s="3"/>
      <c r="J317" s="3"/>
      <c r="K317" s="3"/>
      <c r="L317" s="40"/>
      <c r="M317" s="3"/>
      <c r="N317" s="3"/>
      <c r="O317" s="3"/>
      <c r="P317" s="5">
        <v>0.85352600000000001</v>
      </c>
      <c r="Q317" s="150">
        <f t="shared" si="14"/>
        <v>38756.907620000013</v>
      </c>
      <c r="R317" s="12">
        <v>0.37957080000000004</v>
      </c>
      <c r="S317" s="19">
        <f>50*0.188172-10</f>
        <v>-0.59140000000000015</v>
      </c>
      <c r="T317" s="12">
        <f>0.5*0.241029</f>
        <v>0.1205145</v>
      </c>
      <c r="U317" s="12"/>
      <c r="V317" s="12"/>
      <c r="W317" s="12"/>
    </row>
    <row r="318" spans="1:23" x14ac:dyDescent="0.25">
      <c r="C318" s="3"/>
      <c r="D318" s="3"/>
      <c r="G318" s="3"/>
      <c r="H318" s="3"/>
      <c r="I318" s="3"/>
      <c r="J318" s="3"/>
      <c r="K318" s="3"/>
      <c r="L318" s="40"/>
      <c r="M318" s="3"/>
      <c r="N318" s="3"/>
      <c r="O318" s="3"/>
      <c r="P318" s="5">
        <v>0.87341800000000003</v>
      </c>
      <c r="Q318" s="150">
        <f t="shared" si="14"/>
        <v>38785.949940000013</v>
      </c>
      <c r="R318" s="12">
        <v>0.77005080000000004</v>
      </c>
      <c r="S318" s="19">
        <f>50*0.193548-10</f>
        <v>-0.32259999999999955</v>
      </c>
      <c r="T318" s="12">
        <f>0.5*0.321754</f>
        <v>0.16087699999999999</v>
      </c>
      <c r="U318" s="12">
        <v>0.24193530000000002</v>
      </c>
      <c r="V318" s="12"/>
      <c r="W318" s="12"/>
    </row>
    <row r="319" spans="1:23" x14ac:dyDescent="0.25">
      <c r="C319" s="3"/>
      <c r="D319" s="3"/>
      <c r="G319" s="3"/>
      <c r="H319" s="3"/>
      <c r="I319" s="3"/>
      <c r="J319" s="3"/>
      <c r="K319" s="3"/>
      <c r="L319" s="40"/>
      <c r="M319" s="3"/>
      <c r="N319" s="3"/>
      <c r="O319" s="3"/>
      <c r="P319" s="5">
        <v>0.88788400000000001</v>
      </c>
      <c r="Q319" s="150">
        <f t="shared" si="14"/>
        <v>38807.070300000014</v>
      </c>
      <c r="R319" s="12">
        <v>2.198016</v>
      </c>
      <c r="S319" s="19">
        <f>50*0.236559-10</f>
        <v>1.8279499999999995</v>
      </c>
      <c r="T319" s="12">
        <f>0.5*0.343377</f>
        <v>0.17168849999999999</v>
      </c>
      <c r="U319" s="12">
        <v>0.3387096</v>
      </c>
      <c r="V319" s="12"/>
      <c r="W319" s="12"/>
    </row>
    <row r="320" spans="1:23" x14ac:dyDescent="0.25">
      <c r="C320" s="3"/>
      <c r="D320" s="3"/>
      <c r="G320" s="3"/>
      <c r="H320" s="3"/>
      <c r="I320" s="3"/>
      <c r="J320" s="3"/>
      <c r="K320" s="3"/>
      <c r="L320" s="40"/>
      <c r="M320" s="3"/>
      <c r="N320" s="3"/>
      <c r="O320" s="3"/>
      <c r="P320" s="5">
        <v>0.90958399999999995</v>
      </c>
      <c r="Q320" s="150">
        <f t="shared" si="14"/>
        <v>38838.752300000015</v>
      </c>
      <c r="R320" s="12">
        <v>4.729152</v>
      </c>
      <c r="S320" s="19">
        <f>50*0.397849-10</f>
        <v>9.8924500000000002</v>
      </c>
      <c r="T320" s="12">
        <f>0.5*0.44027</f>
        <v>0.220135</v>
      </c>
      <c r="U320" s="12">
        <v>2.2741920000000002</v>
      </c>
      <c r="V320" s="12"/>
      <c r="W320" s="12"/>
    </row>
    <row r="321" spans="1:23" x14ac:dyDescent="0.25">
      <c r="C321" s="3"/>
      <c r="D321" s="3"/>
      <c r="G321" s="3"/>
      <c r="H321" s="3"/>
      <c r="I321" s="3"/>
      <c r="J321" s="3"/>
      <c r="K321" s="3"/>
      <c r="L321" s="40"/>
      <c r="M321" s="3"/>
      <c r="N321" s="3"/>
      <c r="O321" s="3"/>
      <c r="P321" s="5">
        <v>0.92947599999999997</v>
      </c>
      <c r="Q321" s="150">
        <f t="shared" si="14"/>
        <v>38867.794620000015</v>
      </c>
      <c r="R321" s="12">
        <v>1.8115200000000002</v>
      </c>
      <c r="S321" s="19">
        <f>50*0.55914-10</f>
        <v>17.956999999999997</v>
      </c>
      <c r="T321" s="12">
        <f>0.5*0.472656</f>
        <v>0.23632800000000001</v>
      </c>
      <c r="U321" s="12">
        <v>6.3870930000000001</v>
      </c>
      <c r="V321" s="12"/>
      <c r="W321" s="12"/>
    </row>
    <row r="322" spans="1:23" x14ac:dyDescent="0.25">
      <c r="C322" s="3"/>
      <c r="D322" s="3"/>
      <c r="G322" s="3"/>
      <c r="H322" s="3"/>
      <c r="I322" s="3"/>
      <c r="J322" s="3"/>
      <c r="K322" s="3"/>
      <c r="L322" s="40"/>
      <c r="M322" s="3"/>
      <c r="N322" s="3"/>
      <c r="O322" s="3"/>
      <c r="P322" s="5">
        <v>0.94213400000000003</v>
      </c>
      <c r="Q322" s="150">
        <f t="shared" si="14"/>
        <v>38886.275300000016</v>
      </c>
      <c r="R322" s="12">
        <v>4.6015319999999997</v>
      </c>
      <c r="S322" s="19">
        <f>50*0.623656-10</f>
        <v>21.1828</v>
      </c>
      <c r="T322" s="12">
        <f>0.5*0.456604</f>
        <v>0.228302</v>
      </c>
      <c r="U322" s="12">
        <v>1.9838699999999998</v>
      </c>
      <c r="V322" s="12"/>
      <c r="W322" s="12"/>
    </row>
    <row r="323" spans="1:23" x14ac:dyDescent="0.25">
      <c r="C323" s="3"/>
      <c r="D323" s="3"/>
      <c r="G323" s="3"/>
      <c r="H323" s="3"/>
      <c r="I323" s="3"/>
      <c r="J323" s="3"/>
      <c r="K323" s="3"/>
      <c r="L323" s="40"/>
      <c r="M323" s="3"/>
      <c r="N323" s="3"/>
      <c r="O323" s="3"/>
      <c r="P323" s="5">
        <v>0.96202500000000002</v>
      </c>
      <c r="Q323" s="150">
        <f t="shared" si="14"/>
        <v>38915.316160000017</v>
      </c>
      <c r="R323" s="12">
        <v>4.7325600000000003</v>
      </c>
      <c r="S323" s="19">
        <f>50*0.758065-10</f>
        <v>27.90325</v>
      </c>
      <c r="T323" s="12">
        <f>0.5*0.628759</f>
        <v>0.31437949999999998</v>
      </c>
      <c r="U323" s="12">
        <v>0.62903249999999999</v>
      </c>
      <c r="V323" s="12"/>
      <c r="W323" s="12"/>
    </row>
    <row r="324" spans="1:23" x14ac:dyDescent="0.25">
      <c r="C324" s="3"/>
      <c r="D324" s="3"/>
      <c r="G324" s="3"/>
      <c r="H324" s="3"/>
      <c r="I324" s="3"/>
      <c r="J324" s="3"/>
      <c r="K324" s="3"/>
      <c r="L324" s="40"/>
      <c r="M324" s="3"/>
      <c r="N324" s="3"/>
      <c r="O324" s="3"/>
      <c r="P324" s="5">
        <v>0.98191700000000004</v>
      </c>
      <c r="Q324" s="150">
        <f t="shared" si="14"/>
        <v>38944.358480000017</v>
      </c>
      <c r="R324" s="12">
        <v>4.0851959999999998</v>
      </c>
      <c r="S324" s="19">
        <f>50*0.72043-10</f>
        <v>26.021500000000003</v>
      </c>
      <c r="T324" s="12">
        <f>0.5*0.602003</f>
        <v>0.30100149999999998</v>
      </c>
      <c r="U324" s="12">
        <v>4.4032229999999997</v>
      </c>
      <c r="V324" s="12"/>
      <c r="W324" s="12"/>
    </row>
    <row r="325" spans="1:23" x14ac:dyDescent="0.25">
      <c r="C325" s="3"/>
      <c r="D325" s="3"/>
      <c r="G325" s="3"/>
      <c r="H325" s="3"/>
      <c r="I325" s="3"/>
      <c r="J325" s="3"/>
      <c r="K325" s="3"/>
      <c r="L325" s="40"/>
      <c r="M325" s="3"/>
      <c r="N325" s="3"/>
      <c r="O325" s="3"/>
      <c r="P325" s="5">
        <v>1.0018100000000001</v>
      </c>
      <c r="Q325" s="150">
        <f t="shared" si="14"/>
        <v>38973.402260000017</v>
      </c>
      <c r="R325" s="12">
        <v>1.4918880000000001</v>
      </c>
      <c r="S325" s="19">
        <f>50*0.569892-10</f>
        <v>18.494599999999998</v>
      </c>
      <c r="T325" s="12">
        <f>0.5*0.473083</f>
        <v>0.23654149999999999</v>
      </c>
      <c r="U325" s="12">
        <v>3.2419350000000002</v>
      </c>
      <c r="V325" s="12"/>
      <c r="W325" s="12"/>
    </row>
    <row r="326" spans="1:23" x14ac:dyDescent="0.25">
      <c r="A326" s="6"/>
      <c r="B326" s="33" t="s">
        <v>80</v>
      </c>
      <c r="C326" s="44">
        <v>36.832999999999998</v>
      </c>
      <c r="D326" s="44">
        <v>116.56699999999999</v>
      </c>
      <c r="E326" s="33" t="s">
        <v>16</v>
      </c>
      <c r="F326" s="33" t="s">
        <v>38</v>
      </c>
      <c r="G326" s="44">
        <v>0.36780000000000002</v>
      </c>
      <c r="H326" s="44">
        <v>14.544931506849315</v>
      </c>
      <c r="I326" s="11">
        <v>3.0720000000000001</v>
      </c>
      <c r="J326" s="11">
        <v>0.32327679999999998</v>
      </c>
      <c r="K326" s="11">
        <f>I326/J326</f>
        <v>9.5026924295216979</v>
      </c>
      <c r="L326" s="14">
        <v>1.28</v>
      </c>
      <c r="M326" s="7">
        <f>9.353*EXP(-0.023*H326-0.622*L326-0.182*J326-0.009*K326)*(I326/(I326+0.567))</f>
        <v>2.2061810961050394</v>
      </c>
      <c r="N326" s="7">
        <f>LN(M326)/10</f>
        <v>7.9126300998458729E-2</v>
      </c>
      <c r="O326" s="11">
        <f>4.3573*EXP(-1.002*M326)</f>
        <v>0.47771504767734074</v>
      </c>
      <c r="P326" s="10"/>
      <c r="Q326" s="149">
        <v>41557</v>
      </c>
      <c r="R326" s="13"/>
      <c r="S326" s="25"/>
      <c r="T326" s="13"/>
      <c r="U326" s="13"/>
      <c r="V326" s="13"/>
      <c r="W326" s="13" t="s">
        <v>103</v>
      </c>
    </row>
    <row r="327" spans="1:23" x14ac:dyDescent="0.25">
      <c r="B327" s="8"/>
      <c r="C327" s="9"/>
      <c r="D327" s="9"/>
      <c r="E327" s="8"/>
      <c r="F327" s="8"/>
      <c r="G327" s="9"/>
      <c r="H327" s="9"/>
      <c r="I327" s="9"/>
      <c r="J327" s="9"/>
      <c r="K327" s="9"/>
      <c r="L327" s="32"/>
      <c r="M327" s="8"/>
      <c r="N327" s="8"/>
      <c r="O327" s="18"/>
      <c r="P327" s="104">
        <v>2.5032938076416336E-2</v>
      </c>
      <c r="Q327" s="151">
        <f>Q326+(P327-P326)*365</f>
        <v>41566.137022397888</v>
      </c>
      <c r="R327" s="60">
        <v>1.8714738633883488</v>
      </c>
      <c r="S327" s="63">
        <v>7.8172217082947881</v>
      </c>
      <c r="T327" s="60">
        <v>0.19913419913419914</v>
      </c>
      <c r="U327" s="15">
        <v>1.4052331539387042</v>
      </c>
      <c r="V327" s="15"/>
      <c r="W327" s="15"/>
    </row>
    <row r="328" spans="1:23" x14ac:dyDescent="0.25">
      <c r="B328" s="8"/>
      <c r="C328" s="9"/>
      <c r="D328" s="9"/>
      <c r="E328" s="8"/>
      <c r="F328" s="8"/>
      <c r="G328" s="9"/>
      <c r="H328" s="9"/>
      <c r="I328" s="9"/>
      <c r="J328" s="9"/>
      <c r="K328" s="9"/>
      <c r="L328" s="32"/>
      <c r="M328" s="8"/>
      <c r="N328" s="9"/>
      <c r="O328" s="9"/>
      <c r="P328" s="104">
        <v>0.10492000752870317</v>
      </c>
      <c r="Q328" s="151">
        <v>41592</v>
      </c>
      <c r="R328" s="60">
        <v>1.0890735503590103</v>
      </c>
      <c r="S328" s="63">
        <v>6.935707678075854</v>
      </c>
      <c r="T328" s="60">
        <v>0.16666666666666666</v>
      </c>
      <c r="U328" s="15">
        <v>0.73042552594208998</v>
      </c>
      <c r="V328" s="15"/>
      <c r="W328" s="15"/>
    </row>
    <row r="329" spans="1:23" x14ac:dyDescent="0.25">
      <c r="B329" s="8"/>
      <c r="C329" s="9"/>
      <c r="D329" s="9"/>
      <c r="E329" s="8"/>
      <c r="F329" s="8"/>
      <c r="G329" s="9"/>
      <c r="H329" s="9"/>
      <c r="I329" s="9"/>
      <c r="J329" s="9"/>
      <c r="K329" s="9"/>
      <c r="L329" s="32"/>
      <c r="M329" s="9"/>
      <c r="N329" s="9"/>
      <c r="O329" s="9"/>
      <c r="P329" s="104">
        <v>0.20051195181629963</v>
      </c>
      <c r="Q329" s="151">
        <v>41627</v>
      </c>
      <c r="R329" s="60">
        <v>1.1823963447918497</v>
      </c>
      <c r="S329" s="63">
        <v>-6.3486740672217081</v>
      </c>
      <c r="T329" s="60">
        <v>0.14935064935064934</v>
      </c>
      <c r="U329" s="15">
        <v>1.1440270040094567</v>
      </c>
      <c r="V329" s="15"/>
      <c r="W329" s="15"/>
    </row>
    <row r="330" spans="1:23" x14ac:dyDescent="0.25">
      <c r="B330" s="8"/>
      <c r="C330" s="9"/>
      <c r="D330" s="9"/>
      <c r="E330" s="8"/>
      <c r="F330" s="8"/>
      <c r="G330" s="9"/>
      <c r="H330" s="9"/>
      <c r="I330" s="9"/>
      <c r="J330" s="9"/>
      <c r="K330" s="9"/>
      <c r="L330" s="32"/>
      <c r="M330" s="9"/>
      <c r="N330" s="9"/>
      <c r="O330" s="9"/>
      <c r="P330" s="104">
        <v>0.30306794654620739</v>
      </c>
      <c r="Q330" s="151">
        <v>41662</v>
      </c>
      <c r="R330" s="60">
        <v>9.9552004444425995E-2</v>
      </c>
      <c r="S330" s="63">
        <v>-5.9347055195806355</v>
      </c>
      <c r="T330" s="60">
        <v>0.13419913419913421</v>
      </c>
      <c r="U330" s="15">
        <v>1.7918292001293203</v>
      </c>
      <c r="V330" s="15"/>
      <c r="W330" s="15"/>
    </row>
    <row r="331" spans="1:23" x14ac:dyDescent="0.25">
      <c r="B331" s="8"/>
      <c r="C331" s="9"/>
      <c r="D331" s="9"/>
      <c r="E331" s="8"/>
      <c r="F331" s="8"/>
      <c r="G331" s="9"/>
      <c r="H331" s="9"/>
      <c r="I331" s="9"/>
      <c r="J331" s="9"/>
      <c r="K331" s="9"/>
      <c r="L331" s="32"/>
      <c r="M331" s="9"/>
      <c r="N331" s="9"/>
      <c r="O331" s="9"/>
      <c r="P331" s="104">
        <v>0.38830792396009789</v>
      </c>
      <c r="Q331" s="151">
        <v>41697</v>
      </c>
      <c r="R331" s="60">
        <v>1.0074593636331337</v>
      </c>
      <c r="S331" s="63">
        <v>-0.95513413506012945</v>
      </c>
      <c r="T331" s="60">
        <v>0.1406926406926407</v>
      </c>
      <c r="U331" s="15">
        <v>2.8064476373230258</v>
      </c>
      <c r="V331" s="15"/>
      <c r="W331" s="15"/>
    </row>
    <row r="332" spans="1:23" x14ac:dyDescent="0.25">
      <c r="B332" s="8"/>
      <c r="C332" s="9"/>
      <c r="D332" s="9"/>
      <c r="E332" s="8"/>
      <c r="F332" s="8"/>
      <c r="G332" s="9"/>
      <c r="H332" s="9"/>
      <c r="I332" s="9"/>
      <c r="J332" s="9"/>
      <c r="K332" s="9"/>
      <c r="L332" s="32"/>
      <c r="M332" s="9"/>
      <c r="N332" s="9"/>
      <c r="O332" s="9"/>
      <c r="P332" s="104">
        <v>0.49838509316770185</v>
      </c>
      <c r="Q332" s="151">
        <v>41732</v>
      </c>
      <c r="R332" s="60">
        <v>2.6694472014466535</v>
      </c>
      <c r="S332" s="63">
        <v>6.413428923835955</v>
      </c>
      <c r="T332" s="60">
        <v>0.2878787878787879</v>
      </c>
      <c r="U332" s="15">
        <v>4.3955910197621275</v>
      </c>
      <c r="V332" s="15"/>
      <c r="W332" s="15"/>
    </row>
    <row r="333" spans="1:23" x14ac:dyDescent="0.25">
      <c r="B333" s="8"/>
      <c r="C333" s="9"/>
      <c r="D333" s="9"/>
      <c r="E333" s="8"/>
      <c r="F333" s="8"/>
      <c r="G333" s="9"/>
      <c r="H333" s="9"/>
      <c r="I333" s="9"/>
      <c r="J333" s="9"/>
      <c r="K333" s="9"/>
      <c r="L333" s="32"/>
      <c r="M333" s="9"/>
      <c r="N333" s="9"/>
      <c r="O333" s="9"/>
      <c r="P333" s="104">
        <v>0.59749294184076795</v>
      </c>
      <c r="Q333" s="151">
        <v>41767</v>
      </c>
      <c r="R333" s="60">
        <v>2.0388550435144923</v>
      </c>
      <c r="S333" s="63">
        <v>10.304116558741903</v>
      </c>
      <c r="T333" s="60">
        <v>0.2813852813852814</v>
      </c>
      <c r="U333" s="15">
        <v>1.9739214978231288</v>
      </c>
      <c r="V333" s="15"/>
      <c r="W333" s="15"/>
    </row>
    <row r="334" spans="1:23" x14ac:dyDescent="0.25">
      <c r="B334" s="8"/>
      <c r="C334" s="9"/>
      <c r="D334" s="9"/>
      <c r="E334" s="8"/>
      <c r="F334" s="8"/>
      <c r="G334" s="9"/>
      <c r="H334" s="9"/>
      <c r="I334" s="9"/>
      <c r="J334" s="9"/>
      <c r="K334" s="9"/>
      <c r="L334" s="32"/>
      <c r="M334" s="9"/>
      <c r="N334" s="9"/>
      <c r="O334" s="9"/>
      <c r="P334" s="104">
        <v>0.70336156597026167</v>
      </c>
      <c r="Q334" s="151">
        <v>41802</v>
      </c>
      <c r="R334" s="60">
        <v>2.2227320945972453</v>
      </c>
      <c r="S334" s="63">
        <v>15.719241443108235</v>
      </c>
      <c r="T334" s="60">
        <v>0.21861471861471862</v>
      </c>
      <c r="U334" s="15">
        <v>0.64715508361114871</v>
      </c>
      <c r="V334" s="15"/>
      <c r="W334" s="15"/>
    </row>
    <row r="335" spans="1:23" x14ac:dyDescent="0.25">
      <c r="B335" s="8"/>
      <c r="C335" s="9"/>
      <c r="D335" s="9"/>
      <c r="E335" s="8"/>
      <c r="F335" s="8"/>
      <c r="G335" s="9"/>
      <c r="H335" s="9"/>
      <c r="I335" s="9"/>
      <c r="J335" s="9"/>
      <c r="K335" s="9"/>
      <c r="L335" s="32"/>
      <c r="M335" s="9"/>
      <c r="N335" s="9"/>
      <c r="O335" s="9"/>
      <c r="P335" s="104">
        <v>0.79010728402032748</v>
      </c>
      <c r="Q335" s="151">
        <v>41837</v>
      </c>
      <c r="R335" s="60">
        <v>3.2215397776587307</v>
      </c>
      <c r="S335" s="63">
        <v>19.824622263336416</v>
      </c>
      <c r="T335" s="60">
        <v>0.15800865800865802</v>
      </c>
      <c r="U335" s="15">
        <v>2.2656376232885482</v>
      </c>
      <c r="V335" s="15"/>
      <c r="W335" s="15"/>
    </row>
    <row r="336" spans="1:23" x14ac:dyDescent="0.25">
      <c r="B336" s="8"/>
      <c r="C336" s="9"/>
      <c r="D336" s="9"/>
      <c r="E336" s="8"/>
      <c r="F336" s="8"/>
      <c r="G336" s="9"/>
      <c r="H336" s="9"/>
      <c r="I336" s="9"/>
      <c r="J336" s="9"/>
      <c r="K336" s="9"/>
      <c r="L336" s="32"/>
      <c r="M336" s="9"/>
      <c r="N336" s="9"/>
      <c r="O336" s="9"/>
      <c r="P336" s="104">
        <v>0.89126293995859218</v>
      </c>
      <c r="Q336" s="151">
        <v>41872</v>
      </c>
      <c r="R336" s="60">
        <v>4.0086696760672362</v>
      </c>
      <c r="S336" s="63">
        <v>18.499074930619798</v>
      </c>
      <c r="T336" s="60">
        <v>0.24025974025974026</v>
      </c>
      <c r="U336" s="15">
        <v>7.9318141355200673</v>
      </c>
      <c r="V336" s="15"/>
      <c r="W336" s="15"/>
    </row>
    <row r="337" spans="1:23" x14ac:dyDescent="0.25">
      <c r="B337" s="8"/>
      <c r="C337" s="9"/>
      <c r="D337" s="9"/>
      <c r="E337" s="8"/>
      <c r="F337" s="8"/>
      <c r="G337" s="9"/>
      <c r="H337" s="9"/>
      <c r="I337" s="9"/>
      <c r="J337" s="9"/>
      <c r="K337" s="9"/>
      <c r="L337" s="32"/>
      <c r="M337" s="9"/>
      <c r="N337" s="9"/>
      <c r="O337" s="9"/>
      <c r="P337" s="104">
        <v>0.96</v>
      </c>
      <c r="Q337" s="151">
        <v>41907</v>
      </c>
      <c r="R337" s="60">
        <v>1.598542180288103</v>
      </c>
      <c r="S337" s="63">
        <v>13.477489978415047</v>
      </c>
      <c r="T337" s="60">
        <v>0.23160173160173161</v>
      </c>
      <c r="U337" s="15">
        <v>2.8083609761897805</v>
      </c>
      <c r="V337" s="15"/>
      <c r="W337" s="15"/>
    </row>
    <row r="338" spans="1:23" x14ac:dyDescent="0.25">
      <c r="A338" s="6">
        <v>10</v>
      </c>
      <c r="B338" s="33" t="s">
        <v>81</v>
      </c>
      <c r="C338" s="44">
        <v>36.950000000000003</v>
      </c>
      <c r="D338" s="44">
        <v>117.967</v>
      </c>
      <c r="E338" s="33" t="s">
        <v>17</v>
      </c>
      <c r="F338" s="33" t="s">
        <v>38</v>
      </c>
      <c r="G338" s="44">
        <v>0.84460000000000002</v>
      </c>
      <c r="H338" s="44">
        <v>12.541666666666666</v>
      </c>
      <c r="I338" s="11">
        <v>3.8000000000000003</v>
      </c>
      <c r="J338" s="11">
        <v>0.35264000000000001</v>
      </c>
      <c r="K338" s="11">
        <f>I338/J338</f>
        <v>10.775862068965518</v>
      </c>
      <c r="L338" s="14">
        <v>1.52</v>
      </c>
      <c r="M338" s="7">
        <f>9.353*EXP(-0.023*H338-0.622*L338-0.182*J338-0.009*K338)*(I338/(I338+0.567))</f>
        <v>2.0168973549711926</v>
      </c>
      <c r="N338" s="7">
        <f>LN(M338)/10</f>
        <v>7.0156036772730718E-2</v>
      </c>
      <c r="O338" s="11">
        <f>4.3573*EXP(-1.002*M338)</f>
        <v>0.5774816856786289</v>
      </c>
      <c r="P338" s="10"/>
      <c r="Q338" s="149">
        <v>41218</v>
      </c>
      <c r="R338" s="122">
        <v>0.70865094420288255</v>
      </c>
      <c r="S338" s="50">
        <v>7.1300991047598909</v>
      </c>
      <c r="T338" s="122">
        <v>0.32443324937027707</v>
      </c>
      <c r="U338" s="13">
        <v>0.65083215110788728</v>
      </c>
      <c r="V338" s="13"/>
      <c r="W338" s="13" t="s">
        <v>104</v>
      </c>
    </row>
    <row r="339" spans="1:23" x14ac:dyDescent="0.25">
      <c r="B339" s="8"/>
      <c r="C339" s="9"/>
      <c r="D339" s="9"/>
      <c r="E339" s="8"/>
      <c r="F339" s="8"/>
      <c r="G339" s="9"/>
      <c r="H339" s="9"/>
      <c r="I339" s="9"/>
      <c r="J339" s="9"/>
      <c r="K339" s="9"/>
      <c r="L339" s="32"/>
      <c r="M339" s="8"/>
      <c r="N339" s="8"/>
      <c r="O339" s="18"/>
      <c r="P339" s="22"/>
      <c r="Q339" s="151">
        <v>41248</v>
      </c>
      <c r="R339" s="123">
        <v>0.56968860147766243</v>
      </c>
      <c r="S339" s="51">
        <v>-7.4748505340956228E-2</v>
      </c>
      <c r="T339" s="123">
        <v>0.54836272040302259</v>
      </c>
      <c r="U339" s="15">
        <v>0.9560753964915214</v>
      </c>
      <c r="V339" s="15"/>
      <c r="W339" s="15"/>
    </row>
    <row r="340" spans="1:23" x14ac:dyDescent="0.25">
      <c r="B340" s="8"/>
      <c r="C340" s="9"/>
      <c r="D340" s="9"/>
      <c r="E340" s="8"/>
      <c r="F340" s="8"/>
      <c r="G340" s="9"/>
      <c r="H340" s="9"/>
      <c r="I340" s="9"/>
      <c r="J340" s="9"/>
      <c r="K340" s="9"/>
      <c r="L340" s="32"/>
      <c r="M340" s="8"/>
      <c r="N340" s="9"/>
      <c r="O340" s="9"/>
      <c r="P340" s="22"/>
      <c r="Q340" s="151">
        <v>41278</v>
      </c>
      <c r="R340" s="123">
        <v>0.45998815589877406</v>
      </c>
      <c r="S340" s="51">
        <v>-1.0481277101387967</v>
      </c>
      <c r="T340" s="123">
        <v>0.62065491183879085</v>
      </c>
      <c r="U340" s="15">
        <v>1.4044791152686835</v>
      </c>
      <c r="V340" s="15"/>
      <c r="W340" s="15"/>
    </row>
    <row r="341" spans="1:23" x14ac:dyDescent="0.25">
      <c r="B341" s="8"/>
      <c r="C341" s="9"/>
      <c r="D341" s="9"/>
      <c r="E341" s="8"/>
      <c r="F341" s="8"/>
      <c r="G341" s="9"/>
      <c r="H341" s="9"/>
      <c r="I341" s="9"/>
      <c r="J341" s="9"/>
      <c r="K341" s="9"/>
      <c r="L341" s="32"/>
      <c r="M341" s="9"/>
      <c r="N341" s="9"/>
      <c r="O341" s="9"/>
      <c r="P341" s="22"/>
      <c r="Q341" s="151">
        <v>41308</v>
      </c>
      <c r="R341" s="123">
        <v>0.32017075773745995</v>
      </c>
      <c r="S341" s="51">
        <v>7.3690890200884596E-2</v>
      </c>
      <c r="T341" s="123">
        <v>0.57481108312342566</v>
      </c>
      <c r="U341" s="15">
        <v>2.0631862219910153</v>
      </c>
      <c r="V341" s="15"/>
      <c r="W341" s="15"/>
    </row>
    <row r="342" spans="1:23" x14ac:dyDescent="0.25">
      <c r="B342" s="8"/>
      <c r="C342" s="9"/>
      <c r="D342" s="9"/>
      <c r="E342" s="8"/>
      <c r="F342" s="8"/>
      <c r="G342" s="9"/>
      <c r="H342" s="9"/>
      <c r="I342" s="9"/>
      <c r="J342" s="9"/>
      <c r="K342" s="9"/>
      <c r="L342" s="32"/>
      <c r="M342" s="9"/>
      <c r="N342" s="9"/>
      <c r="O342" s="9"/>
      <c r="P342" s="22"/>
      <c r="Q342" s="151">
        <v>41338</v>
      </c>
      <c r="R342" s="123">
        <v>0.71802488528006236</v>
      </c>
      <c r="S342" s="51">
        <v>0.53530879251457364</v>
      </c>
      <c r="T342" s="123">
        <v>0.28564231738035262</v>
      </c>
      <c r="U342" s="15">
        <v>3.0308299641744592</v>
      </c>
      <c r="V342" s="15"/>
      <c r="W342" s="15"/>
    </row>
    <row r="343" spans="1:23" x14ac:dyDescent="0.25">
      <c r="B343" s="8"/>
      <c r="C343" s="9"/>
      <c r="D343" s="9"/>
      <c r="E343" s="8"/>
      <c r="F343" s="8"/>
      <c r="G343" s="9"/>
      <c r="H343" s="9"/>
      <c r="I343" s="9"/>
      <c r="J343" s="9"/>
      <c r="K343" s="9"/>
      <c r="L343" s="32"/>
      <c r="M343" s="9"/>
      <c r="N343" s="9"/>
      <c r="O343" s="9"/>
      <c r="P343" s="22"/>
      <c r="Q343" s="151">
        <v>41368</v>
      </c>
      <c r="R343" s="123">
        <v>2.3588445984247981</v>
      </c>
      <c r="S343" s="51">
        <v>6.5545076179396418</v>
      </c>
      <c r="T343" s="123">
        <v>0.36322418136020151</v>
      </c>
      <c r="U343" s="15">
        <v>4.4523030319934707</v>
      </c>
      <c r="V343" s="15"/>
      <c r="W343" s="15"/>
    </row>
    <row r="344" spans="1:23" x14ac:dyDescent="0.25">
      <c r="B344" s="8"/>
      <c r="C344" s="9"/>
      <c r="D344" s="9"/>
      <c r="E344" s="8"/>
      <c r="F344" s="8"/>
      <c r="G344" s="9"/>
      <c r="H344" s="9"/>
      <c r="I344" s="9"/>
      <c r="J344" s="9"/>
      <c r="K344" s="9"/>
      <c r="L344" s="32"/>
      <c r="M344" s="9"/>
      <c r="N344" s="9"/>
      <c r="O344" s="9"/>
      <c r="P344" s="22"/>
      <c r="Q344" s="151">
        <v>41398</v>
      </c>
      <c r="R344" s="123">
        <v>2.9825917046955208</v>
      </c>
      <c r="S344" s="51">
        <v>14.907800844847859</v>
      </c>
      <c r="T344" s="123">
        <v>0.2591939546599496</v>
      </c>
      <c r="U344" s="15">
        <v>2.3764366791798066</v>
      </c>
      <c r="V344" s="15"/>
      <c r="W344" s="15"/>
    </row>
    <row r="345" spans="1:23" x14ac:dyDescent="0.25">
      <c r="B345" s="8"/>
      <c r="C345" s="9"/>
      <c r="D345" s="9"/>
      <c r="E345" s="8"/>
      <c r="F345" s="8"/>
      <c r="G345" s="9"/>
      <c r="H345" s="9"/>
      <c r="I345" s="9"/>
      <c r="J345" s="9"/>
      <c r="K345" s="9"/>
      <c r="L345" s="32"/>
      <c r="M345" s="9"/>
      <c r="N345" s="9"/>
      <c r="O345" s="9"/>
      <c r="P345" s="22"/>
      <c r="Q345" s="151">
        <v>41428</v>
      </c>
      <c r="R345" s="123">
        <v>3.125892662040922</v>
      </c>
      <c r="S345" s="51">
        <v>18.478558408351429</v>
      </c>
      <c r="T345" s="123">
        <v>0.20453400503778335</v>
      </c>
      <c r="U345" s="15"/>
      <c r="V345" s="15"/>
      <c r="W345" s="15"/>
    </row>
    <row r="346" spans="1:23" x14ac:dyDescent="0.25">
      <c r="B346" s="8"/>
      <c r="C346" s="9"/>
      <c r="D346" s="9"/>
      <c r="E346" s="8"/>
      <c r="F346" s="8"/>
      <c r="G346" s="9"/>
      <c r="H346" s="9"/>
      <c r="I346" s="9"/>
      <c r="J346" s="9"/>
      <c r="K346" s="9"/>
      <c r="L346" s="32"/>
      <c r="M346" s="9"/>
      <c r="N346" s="9"/>
      <c r="O346" s="9"/>
      <c r="P346" s="22"/>
      <c r="Q346" s="151">
        <v>41458</v>
      </c>
      <c r="R346" s="123">
        <v>3.8915789707032671</v>
      </c>
      <c r="S346" s="51">
        <v>28.38716801771816</v>
      </c>
      <c r="T346" s="123">
        <v>0.19042821158690176</v>
      </c>
      <c r="U346" s="15">
        <v>1.3725166311281221</v>
      </c>
      <c r="V346" s="15"/>
      <c r="W346" s="15"/>
    </row>
    <row r="347" spans="1:23" x14ac:dyDescent="0.25">
      <c r="B347" s="8"/>
      <c r="C347" s="9"/>
      <c r="D347" s="9"/>
      <c r="E347" s="8"/>
      <c r="F347" s="8"/>
      <c r="G347" s="9"/>
      <c r="H347" s="9"/>
      <c r="I347" s="9"/>
      <c r="J347" s="9"/>
      <c r="K347" s="9"/>
      <c r="L347" s="32"/>
      <c r="M347" s="9"/>
      <c r="N347" s="9"/>
      <c r="O347" s="9"/>
      <c r="P347" s="22"/>
      <c r="Q347" s="151">
        <v>41488</v>
      </c>
      <c r="R347" s="123">
        <v>6.4</v>
      </c>
      <c r="S347" s="51">
        <v>28.629797373381692</v>
      </c>
      <c r="T347" s="123">
        <v>0.20453400503778335</v>
      </c>
      <c r="U347" s="15">
        <v>4.0175325053478019</v>
      </c>
      <c r="V347" s="15"/>
      <c r="W347" s="15"/>
    </row>
    <row r="348" spans="1:23" x14ac:dyDescent="0.25">
      <c r="B348" s="8"/>
      <c r="C348" s="9"/>
      <c r="D348" s="9"/>
      <c r="E348" s="8"/>
      <c r="F348" s="8"/>
      <c r="G348" s="9"/>
      <c r="H348" s="9"/>
      <c r="I348" s="9"/>
      <c r="J348" s="9"/>
      <c r="K348" s="9"/>
      <c r="L348" s="32"/>
      <c r="M348" s="9"/>
      <c r="N348" s="9"/>
      <c r="O348" s="9"/>
      <c r="P348" s="22"/>
      <c r="Q348" s="151">
        <v>41518</v>
      </c>
      <c r="R348" s="123">
        <v>3.1331764676076501</v>
      </c>
      <c r="S348" s="51">
        <v>21.649910724839646</v>
      </c>
      <c r="T348" s="123">
        <v>0.23450881612090679</v>
      </c>
      <c r="U348" s="15">
        <v>5.5904969551623385</v>
      </c>
      <c r="V348" s="15"/>
      <c r="W348" s="15"/>
    </row>
    <row r="349" spans="1:23" x14ac:dyDescent="0.25">
      <c r="B349" s="36"/>
      <c r="C349" s="46"/>
      <c r="D349" s="46"/>
      <c r="E349" s="36"/>
      <c r="F349" s="36"/>
      <c r="G349" s="46"/>
      <c r="H349" s="46"/>
      <c r="I349" s="46"/>
      <c r="J349" s="46"/>
      <c r="K349" s="46"/>
      <c r="L349" s="43"/>
      <c r="M349" s="46"/>
      <c r="N349" s="46"/>
      <c r="O349" s="46"/>
      <c r="P349" s="105"/>
      <c r="Q349" s="152">
        <v>41546</v>
      </c>
      <c r="R349" s="132">
        <v>1.9489880260570227</v>
      </c>
      <c r="S349" s="75">
        <v>18.221371291348088</v>
      </c>
      <c r="T349" s="132">
        <v>0.25743073047858944</v>
      </c>
      <c r="U349" s="136">
        <v>2.5039174992922049</v>
      </c>
      <c r="V349" s="136"/>
      <c r="W349" s="136"/>
    </row>
    <row r="350" spans="1:23" x14ac:dyDescent="0.25">
      <c r="A350" s="6"/>
      <c r="B350" s="6"/>
      <c r="C350" s="11"/>
      <c r="D350" s="11"/>
      <c r="E350" s="6"/>
      <c r="F350" s="6"/>
      <c r="G350" s="11"/>
      <c r="H350" s="11"/>
      <c r="I350" s="11"/>
      <c r="J350" s="11"/>
      <c r="K350" s="11"/>
      <c r="L350" s="14"/>
      <c r="M350" s="11"/>
      <c r="N350" s="11"/>
      <c r="O350" s="11"/>
      <c r="P350" s="106">
        <v>0</v>
      </c>
      <c r="Q350" s="149">
        <v>39934</v>
      </c>
      <c r="R350" s="16"/>
      <c r="S350" s="25"/>
      <c r="T350" s="16"/>
      <c r="U350" s="13"/>
      <c r="V350" s="13"/>
      <c r="W350" s="13" t="s">
        <v>105</v>
      </c>
    </row>
    <row r="351" spans="1:23" x14ac:dyDescent="0.25">
      <c r="A351" s="1">
        <v>11</v>
      </c>
      <c r="B351" s="34" t="s">
        <v>82</v>
      </c>
      <c r="C351" s="45">
        <v>36.866999999999997</v>
      </c>
      <c r="D351" s="45">
        <v>115.017</v>
      </c>
      <c r="E351" s="8" t="s">
        <v>18</v>
      </c>
      <c r="F351" s="8" t="s">
        <v>40</v>
      </c>
      <c r="G351" s="9">
        <v>0.59589999999999999</v>
      </c>
      <c r="H351" s="9">
        <v>13.2</v>
      </c>
      <c r="I351" s="9">
        <v>2.0029400000000002</v>
      </c>
      <c r="J351" s="9">
        <v>0.17300360000000001</v>
      </c>
      <c r="K351" s="9">
        <f>I351/J351</f>
        <v>11.577446943300602</v>
      </c>
      <c r="L351" s="32">
        <v>1.37</v>
      </c>
      <c r="M351" s="18">
        <f>9.353*EXP(-0.023*H351-0.622*L351-0.182*J351-0.009*K351)*(I351/(I351+0.567))</f>
        <v>2.003723137221495</v>
      </c>
      <c r="N351" s="18">
        <f>LN(M351)/10</f>
        <v>6.9500701859923214E-2</v>
      </c>
      <c r="O351" s="9">
        <f>4.3573*EXP(-1.002*M351)</f>
        <v>0.58515530753755907</v>
      </c>
      <c r="P351" s="107">
        <v>1.5936254980079681E-2</v>
      </c>
      <c r="Q351" s="151">
        <f t="shared" ref="Q351:Q390" si="15">Q350+(P351-P350)*365*3</f>
        <v>39951.450199203187</v>
      </c>
      <c r="R351" s="20">
        <v>3.7</v>
      </c>
      <c r="S351" s="76">
        <v>21.157522040617078</v>
      </c>
      <c r="T351" s="20">
        <v>0.22777222189540558</v>
      </c>
      <c r="U351" s="15">
        <v>1.8844167756974133</v>
      </c>
      <c r="V351" s="15"/>
      <c r="W351" s="15"/>
    </row>
    <row r="352" spans="1:23" x14ac:dyDescent="0.25">
      <c r="B352" s="8"/>
      <c r="C352" s="9"/>
      <c r="D352" s="9"/>
      <c r="E352" s="8"/>
      <c r="F352" s="8"/>
      <c r="G352" s="9"/>
      <c r="H352" s="9"/>
      <c r="I352" s="9"/>
      <c r="J352" s="9"/>
      <c r="K352" s="9"/>
      <c r="L352" s="32"/>
      <c r="M352" s="8"/>
      <c r="N352" s="8"/>
      <c r="O352" s="18"/>
      <c r="P352" s="107">
        <v>2.3904382470119521E-2</v>
      </c>
      <c r="Q352" s="151">
        <f t="shared" si="15"/>
        <v>39960.175298804781</v>
      </c>
      <c r="R352" s="20">
        <v>4.38</v>
      </c>
      <c r="S352" s="76">
        <v>23.821216630299894</v>
      </c>
      <c r="T352" s="20">
        <v>0.23563150773574917</v>
      </c>
      <c r="U352" s="15">
        <v>1.2815798979664108</v>
      </c>
      <c r="V352" s="15"/>
      <c r="W352" s="15"/>
    </row>
    <row r="353" spans="2:23" x14ac:dyDescent="0.25">
      <c r="B353" s="8"/>
      <c r="C353" s="9"/>
      <c r="D353" s="9"/>
      <c r="E353" s="8"/>
      <c r="F353" s="8"/>
      <c r="G353" s="9"/>
      <c r="H353" s="9"/>
      <c r="I353" s="9"/>
      <c r="J353" s="9"/>
      <c r="K353" s="9"/>
      <c r="L353" s="32"/>
      <c r="M353" s="8"/>
      <c r="N353" s="9"/>
      <c r="O353" s="9"/>
      <c r="P353" s="107">
        <v>3.1872509960159362E-2</v>
      </c>
      <c r="Q353" s="151">
        <f t="shared" si="15"/>
        <v>39968.900398406375</v>
      </c>
      <c r="R353" s="20">
        <v>5.04</v>
      </c>
      <c r="S353" s="76">
        <v>25.5450604903927</v>
      </c>
      <c r="T353" s="20">
        <v>0.20160597682216599</v>
      </c>
      <c r="U353" s="15"/>
      <c r="V353" s="15"/>
      <c r="W353" s="15"/>
    </row>
    <row r="354" spans="2:23" x14ac:dyDescent="0.25">
      <c r="B354" s="8"/>
      <c r="C354" s="9"/>
      <c r="D354" s="9"/>
      <c r="E354" s="8"/>
      <c r="F354" s="8"/>
      <c r="G354" s="9"/>
      <c r="H354" s="9"/>
      <c r="I354" s="9"/>
      <c r="J354" s="9"/>
      <c r="K354" s="9"/>
      <c r="L354" s="32"/>
      <c r="M354" s="9"/>
      <c r="N354" s="9"/>
      <c r="O354" s="9"/>
      <c r="P354" s="107">
        <v>4.5816733067729085E-2</v>
      </c>
      <c r="Q354" s="151">
        <f t="shared" si="15"/>
        <v>39984.16932270916</v>
      </c>
      <c r="R354" s="20">
        <v>6.34</v>
      </c>
      <c r="S354" s="76">
        <v>28.992454139636649</v>
      </c>
      <c r="T354" s="20">
        <v>0.14403494323195482</v>
      </c>
      <c r="U354" s="15">
        <v>0.86701274625719094</v>
      </c>
      <c r="V354" s="15"/>
      <c r="W354" s="15"/>
    </row>
    <row r="355" spans="2:23" x14ac:dyDescent="0.25">
      <c r="C355" s="3"/>
      <c r="D355" s="3"/>
      <c r="G355" s="3"/>
      <c r="H355" s="3"/>
      <c r="I355" s="3"/>
      <c r="J355" s="3"/>
      <c r="K355" s="3"/>
      <c r="L355" s="40"/>
      <c r="M355" s="9"/>
      <c r="N355" s="9"/>
      <c r="O355" s="9"/>
      <c r="P355" s="107">
        <v>6.1752988047808766E-2</v>
      </c>
      <c r="Q355" s="151">
        <f t="shared" si="15"/>
        <v>40001.619521912347</v>
      </c>
      <c r="R355" s="23">
        <v>6.9599999999999991</v>
      </c>
      <c r="S355" s="76">
        <v>30.715121715962756</v>
      </c>
      <c r="T355" s="20">
        <v>0.25268251073592563</v>
      </c>
      <c r="U355" s="15">
        <v>1.6193555607623107</v>
      </c>
      <c r="V355" s="15"/>
      <c r="W355" s="15"/>
    </row>
    <row r="356" spans="2:23" x14ac:dyDescent="0.25">
      <c r="C356" s="3"/>
      <c r="D356" s="3"/>
      <c r="G356" s="3"/>
      <c r="H356" s="3"/>
      <c r="I356" s="3"/>
      <c r="J356" s="3"/>
      <c r="K356" s="3"/>
      <c r="L356" s="40"/>
      <c r="M356" s="9"/>
      <c r="N356" s="9"/>
      <c r="O356" s="9"/>
      <c r="P356" s="107">
        <v>7.9681274900398405E-2</v>
      </c>
      <c r="Q356" s="151">
        <f t="shared" si="15"/>
        <v>40021.25099601593</v>
      </c>
      <c r="R356" s="23">
        <v>8.86</v>
      </c>
      <c r="S356" s="76">
        <v>27.420644956389278</v>
      </c>
      <c r="T356" s="20">
        <v>0.1741631860697688</v>
      </c>
      <c r="U356" s="15">
        <v>3.2701941968212056</v>
      </c>
      <c r="V356" s="15"/>
      <c r="W356" s="15"/>
    </row>
    <row r="357" spans="2:23" x14ac:dyDescent="0.25">
      <c r="C357" s="3"/>
      <c r="D357" s="3"/>
      <c r="G357" s="3"/>
      <c r="H357" s="3"/>
      <c r="I357" s="3"/>
      <c r="J357" s="3"/>
      <c r="K357" s="3"/>
      <c r="L357" s="40"/>
      <c r="M357" s="9"/>
      <c r="N357" s="9"/>
      <c r="O357" s="9"/>
      <c r="P357" s="107">
        <v>0.10557768924302789</v>
      </c>
      <c r="Q357" s="151">
        <f t="shared" si="15"/>
        <v>40049.607569721105</v>
      </c>
      <c r="R357" s="20">
        <v>4.88</v>
      </c>
      <c r="S357" s="76">
        <v>24.440235962523598</v>
      </c>
      <c r="T357" s="20">
        <v>0.29065533266662746</v>
      </c>
      <c r="U357" s="15">
        <v>6.9110972045862429</v>
      </c>
      <c r="V357" s="15"/>
      <c r="W357" s="15"/>
    </row>
    <row r="358" spans="2:23" x14ac:dyDescent="0.25">
      <c r="C358" s="3"/>
      <c r="D358" s="3"/>
      <c r="G358" s="3"/>
      <c r="H358" s="3"/>
      <c r="I358" s="3"/>
      <c r="J358" s="3"/>
      <c r="K358" s="3"/>
      <c r="L358" s="40"/>
      <c r="M358" s="9"/>
      <c r="N358" s="9"/>
      <c r="O358" s="9"/>
      <c r="P358" s="107">
        <v>0.11354581673306773</v>
      </c>
      <c r="Q358" s="151">
        <f t="shared" si="15"/>
        <v>40058.332669322699</v>
      </c>
      <c r="R358" s="20">
        <v>2.7</v>
      </c>
      <c r="S358" s="76">
        <v>17.696307057114456</v>
      </c>
      <c r="T358" s="20">
        <v>0.28154891464203774</v>
      </c>
      <c r="U358" s="15">
        <v>5.3808107329316943</v>
      </c>
      <c r="V358" s="15"/>
      <c r="W358" s="15"/>
    </row>
    <row r="359" spans="2:23" x14ac:dyDescent="0.25">
      <c r="C359" s="3"/>
      <c r="D359" s="3"/>
      <c r="G359" s="3"/>
      <c r="H359" s="3"/>
      <c r="I359" s="3"/>
      <c r="J359" s="3"/>
      <c r="K359" s="3"/>
      <c r="L359" s="40"/>
      <c r="M359" s="9"/>
      <c r="N359" s="9"/>
      <c r="O359" s="9"/>
      <c r="P359" s="107">
        <v>0.13147410358565736</v>
      </c>
      <c r="Q359" s="151">
        <f t="shared" si="15"/>
        <v>40077.964143426281</v>
      </c>
      <c r="R359" s="20">
        <v>2.7600000000000002</v>
      </c>
      <c r="S359" s="76">
        <v>18.9475789139372</v>
      </c>
      <c r="T359" s="20">
        <v>0.30119418789340552</v>
      </c>
      <c r="U359" s="15">
        <v>3.0638981523182398</v>
      </c>
      <c r="V359" s="15"/>
      <c r="W359" s="15"/>
    </row>
    <row r="360" spans="2:23" x14ac:dyDescent="0.25">
      <c r="C360" s="3"/>
      <c r="D360" s="3"/>
      <c r="G360" s="3"/>
      <c r="H360" s="3"/>
      <c r="I360" s="3"/>
      <c r="J360" s="3"/>
      <c r="K360" s="3"/>
      <c r="L360" s="40"/>
      <c r="M360" s="9"/>
      <c r="N360" s="9"/>
      <c r="O360" s="9"/>
      <c r="P360" s="107">
        <v>0.14741035856573706</v>
      </c>
      <c r="Q360" s="151">
        <f t="shared" si="15"/>
        <v>40095.414342629469</v>
      </c>
      <c r="R360" s="20">
        <v>4.32</v>
      </c>
      <c r="S360" s="76">
        <v>17.692778205814371</v>
      </c>
      <c r="T360" s="20">
        <v>0.34178186952173656</v>
      </c>
      <c r="U360" s="15">
        <v>1.8572730395177623</v>
      </c>
      <c r="V360" s="15"/>
      <c r="W360" s="15"/>
    </row>
    <row r="361" spans="2:23" x14ac:dyDescent="0.25">
      <c r="C361" s="3"/>
      <c r="D361" s="3"/>
      <c r="G361" s="3"/>
      <c r="H361" s="3"/>
      <c r="I361" s="3"/>
      <c r="J361" s="3"/>
      <c r="K361" s="3"/>
      <c r="L361" s="40"/>
      <c r="M361" s="9"/>
      <c r="N361" s="9"/>
      <c r="O361" s="9"/>
      <c r="P361" s="107">
        <v>0.15737051792828685</v>
      </c>
      <c r="Q361" s="151">
        <f t="shared" si="15"/>
        <v>40106.320717131457</v>
      </c>
      <c r="R361" s="20">
        <v>2.92</v>
      </c>
      <c r="S361" s="76">
        <v>14.869991236685939</v>
      </c>
      <c r="T361" s="20">
        <v>0.30513853756103299</v>
      </c>
      <c r="U361" s="15">
        <v>1.358318601212777</v>
      </c>
      <c r="V361" s="15"/>
      <c r="W361" s="15"/>
    </row>
    <row r="362" spans="2:23" x14ac:dyDescent="0.25">
      <c r="C362" s="3"/>
      <c r="D362" s="3"/>
      <c r="G362" s="3"/>
      <c r="H362" s="3"/>
      <c r="I362" s="3"/>
      <c r="J362" s="3"/>
      <c r="K362" s="3"/>
      <c r="L362" s="40"/>
      <c r="M362" s="9"/>
      <c r="N362" s="9"/>
      <c r="O362" s="9"/>
      <c r="P362" s="107">
        <v>0.1693227091633466</v>
      </c>
      <c r="Q362" s="151">
        <f t="shared" si="15"/>
        <v>40119.408366533848</v>
      </c>
      <c r="R362" s="20">
        <v>1.802</v>
      </c>
      <c r="S362" s="76">
        <v>3.7382298105594991</v>
      </c>
      <c r="T362" s="20">
        <v>8.2678392846638041E-2</v>
      </c>
      <c r="U362" s="15">
        <v>0.62902348348718928</v>
      </c>
      <c r="V362" s="15"/>
      <c r="W362" s="15"/>
    </row>
    <row r="363" spans="2:23" x14ac:dyDescent="0.25">
      <c r="C363" s="3"/>
      <c r="D363" s="3"/>
      <c r="G363" s="3"/>
      <c r="H363" s="3"/>
      <c r="I363" s="3"/>
      <c r="J363" s="3"/>
      <c r="K363" s="3"/>
      <c r="L363" s="40"/>
      <c r="M363" s="9"/>
      <c r="N363" s="9"/>
      <c r="O363" s="9"/>
      <c r="P363" s="107">
        <v>0.1852589641434263</v>
      </c>
      <c r="Q363" s="151">
        <f t="shared" si="15"/>
        <v>40136.858565737035</v>
      </c>
      <c r="R363" s="20">
        <v>1.1859999999999999</v>
      </c>
      <c r="S363" s="76">
        <v>1.6991419009921953</v>
      </c>
      <c r="T363" s="20">
        <v>0.14551738337549266</v>
      </c>
      <c r="U363" s="15">
        <v>0.77838316557199561</v>
      </c>
      <c r="V363" s="15"/>
      <c r="W363" s="15"/>
    </row>
    <row r="364" spans="2:23" x14ac:dyDescent="0.25">
      <c r="C364" s="3"/>
      <c r="D364" s="3"/>
      <c r="G364" s="3"/>
      <c r="H364" s="3"/>
      <c r="I364" s="3"/>
      <c r="J364" s="3"/>
      <c r="K364" s="3"/>
      <c r="L364" s="40"/>
      <c r="M364" s="9"/>
      <c r="N364" s="9"/>
      <c r="O364" s="9"/>
      <c r="P364" s="107">
        <v>0.19123505976095617</v>
      </c>
      <c r="Q364" s="151">
        <f t="shared" si="15"/>
        <v>40143.402390438227</v>
      </c>
      <c r="R364" s="20">
        <v>0.626</v>
      </c>
      <c r="S364" s="76">
        <v>-0.34024007951678265</v>
      </c>
      <c r="T364" s="20">
        <v>0.17824577916348019</v>
      </c>
      <c r="U364" s="15">
        <v>0.8431229293722351</v>
      </c>
      <c r="V364" s="15"/>
      <c r="W364" s="15"/>
    </row>
    <row r="365" spans="2:23" x14ac:dyDescent="0.25">
      <c r="C365" s="3"/>
      <c r="D365" s="3"/>
      <c r="G365" s="3"/>
      <c r="H365" s="3"/>
      <c r="I365" s="3"/>
      <c r="J365" s="3"/>
      <c r="K365" s="3"/>
      <c r="L365" s="40"/>
      <c r="M365" s="9"/>
      <c r="N365" s="9"/>
      <c r="O365" s="9"/>
      <c r="P365" s="107">
        <v>0.20916334661354583</v>
      </c>
      <c r="Q365" s="151">
        <f t="shared" si="15"/>
        <v>40163.033864541809</v>
      </c>
      <c r="R365" s="20">
        <v>0.40399999999999997</v>
      </c>
      <c r="S365" s="76">
        <v>-2.8495474248207637</v>
      </c>
      <c r="T365" s="20">
        <v>0.23322842520148243</v>
      </c>
      <c r="U365" s="15">
        <v>1.07147809695472</v>
      </c>
      <c r="V365" s="15"/>
      <c r="W365" s="15"/>
    </row>
    <row r="366" spans="2:23" x14ac:dyDescent="0.25">
      <c r="C366" s="3"/>
      <c r="D366" s="3"/>
      <c r="G366" s="3"/>
      <c r="H366" s="3"/>
      <c r="I366" s="3"/>
      <c r="J366" s="3"/>
      <c r="K366" s="3"/>
      <c r="L366" s="40"/>
      <c r="M366" s="9"/>
      <c r="N366" s="9"/>
      <c r="O366" s="9"/>
      <c r="P366" s="107">
        <v>0.22509960159362549</v>
      </c>
      <c r="Q366" s="151">
        <f t="shared" si="15"/>
        <v>40180.484063744996</v>
      </c>
      <c r="R366" s="20">
        <v>0.29199999999999998</v>
      </c>
      <c r="S366" s="76">
        <v>-5.3585606991830712</v>
      </c>
      <c r="T366" s="20">
        <v>0.20055003235484439</v>
      </c>
      <c r="U366" s="15">
        <v>1.3258972595506575</v>
      </c>
      <c r="V366" s="15"/>
      <c r="W366" s="15"/>
    </row>
    <row r="367" spans="2:23" x14ac:dyDescent="0.25">
      <c r="C367" s="3"/>
      <c r="D367" s="3"/>
      <c r="G367" s="3"/>
      <c r="H367" s="3"/>
      <c r="I367" s="3"/>
      <c r="J367" s="3"/>
      <c r="K367" s="3"/>
      <c r="L367" s="40"/>
      <c r="M367" s="9"/>
      <c r="N367" s="9"/>
      <c r="O367" s="9"/>
      <c r="P367" s="107">
        <v>0.23705179282868527</v>
      </c>
      <c r="Q367" s="151">
        <f t="shared" si="15"/>
        <v>40193.571713147387</v>
      </c>
      <c r="R367" s="20">
        <v>0.29399999999999998</v>
      </c>
      <c r="S367" s="76">
        <v>-3.4794473818864065</v>
      </c>
      <c r="T367" s="20">
        <v>0.20842108359315253</v>
      </c>
      <c r="U367" s="15">
        <v>1.5556246078458358</v>
      </c>
      <c r="V367" s="15"/>
      <c r="W367" s="15"/>
    </row>
    <row r="368" spans="2:23" x14ac:dyDescent="0.25">
      <c r="C368" s="3"/>
      <c r="D368" s="3"/>
      <c r="G368" s="3"/>
      <c r="H368" s="3"/>
      <c r="I368" s="3"/>
      <c r="J368" s="3"/>
      <c r="K368" s="3"/>
      <c r="L368" s="40"/>
      <c r="M368" s="9"/>
      <c r="N368" s="9"/>
      <c r="O368" s="9"/>
      <c r="P368" s="107">
        <v>0.25099601593625498</v>
      </c>
      <c r="Q368" s="151">
        <f t="shared" si="15"/>
        <v>40208.840637450172</v>
      </c>
      <c r="R368" s="20">
        <v>0.46199999999999997</v>
      </c>
      <c r="S368" s="76">
        <v>-2.0693772165597228</v>
      </c>
      <c r="T368" s="20">
        <v>0.20843873169009941</v>
      </c>
      <c r="U368" s="15">
        <v>1.874414166290248</v>
      </c>
      <c r="V368" s="15"/>
      <c r="W368" s="15"/>
    </row>
    <row r="369" spans="1:23" x14ac:dyDescent="0.25">
      <c r="C369" s="3"/>
      <c r="D369" s="3"/>
      <c r="G369" s="3"/>
      <c r="H369" s="3"/>
      <c r="I369" s="3"/>
      <c r="J369" s="3"/>
      <c r="K369" s="3"/>
      <c r="L369" s="40"/>
      <c r="M369" s="9"/>
      <c r="N369" s="9"/>
      <c r="O369" s="9"/>
      <c r="P369" s="107">
        <v>0.26294820717131473</v>
      </c>
      <c r="Q369" s="151">
        <f t="shared" si="15"/>
        <v>40221.928286852562</v>
      </c>
      <c r="R369" s="20">
        <v>0.29399999999999998</v>
      </c>
      <c r="S369" s="76">
        <v>-0.97366888788251271</v>
      </c>
      <c r="T369" s="20">
        <v>0.20190599447026294</v>
      </c>
      <c r="U369" s="15">
        <v>2.1991785422078109</v>
      </c>
      <c r="V369" s="15"/>
      <c r="W369" s="15"/>
    </row>
    <row r="370" spans="1:23" x14ac:dyDescent="0.25">
      <c r="C370" s="3"/>
      <c r="D370" s="3"/>
      <c r="G370" s="3"/>
      <c r="H370" s="3"/>
      <c r="I370" s="3"/>
      <c r="J370" s="3"/>
      <c r="K370" s="3"/>
      <c r="L370" s="40"/>
      <c r="M370" s="9"/>
      <c r="N370" s="9"/>
      <c r="O370" s="9"/>
      <c r="P370" s="107">
        <v>0.2788844621513944</v>
      </c>
      <c r="Q370" s="151">
        <f t="shared" si="15"/>
        <v>40239.37848605575</v>
      </c>
      <c r="R370" s="20">
        <v>0.29600000000000004</v>
      </c>
      <c r="S370" s="76">
        <v>-0.19232239585477601</v>
      </c>
      <c r="T370" s="20">
        <v>0.18753161950702982</v>
      </c>
      <c r="U370" s="15">
        <v>2.7213666902415174</v>
      </c>
      <c r="V370" s="15"/>
      <c r="W370" s="15"/>
    </row>
    <row r="371" spans="1:23" x14ac:dyDescent="0.25">
      <c r="C371" s="3"/>
      <c r="D371" s="3"/>
      <c r="G371" s="3"/>
      <c r="H371" s="3"/>
      <c r="I371" s="3"/>
      <c r="J371" s="3"/>
      <c r="K371" s="3"/>
      <c r="L371" s="40"/>
      <c r="M371" s="9"/>
      <c r="N371" s="9"/>
      <c r="O371" s="9"/>
      <c r="P371" s="107">
        <v>0.29282868525896416</v>
      </c>
      <c r="Q371" s="151">
        <f t="shared" si="15"/>
        <v>40254.647410358535</v>
      </c>
      <c r="R371" s="20">
        <v>0.85599999999999998</v>
      </c>
      <c r="S371" s="76">
        <v>0.90368000376410806</v>
      </c>
      <c r="T371" s="20">
        <v>0.19932937231601858</v>
      </c>
      <c r="U371" s="15">
        <v>3.2790483321826036</v>
      </c>
      <c r="V371" s="15"/>
      <c r="W371" s="15"/>
    </row>
    <row r="372" spans="1:23" x14ac:dyDescent="0.25">
      <c r="C372" s="3"/>
      <c r="D372" s="3"/>
      <c r="G372" s="3"/>
      <c r="H372" s="3"/>
      <c r="I372" s="3"/>
      <c r="J372" s="3"/>
      <c r="K372" s="3"/>
      <c r="L372" s="40"/>
      <c r="M372" s="9"/>
      <c r="N372" s="9"/>
      <c r="O372" s="9"/>
      <c r="P372" s="107">
        <v>0.30079681274900399</v>
      </c>
      <c r="Q372" s="151">
        <f t="shared" si="15"/>
        <v>40263.372509960129</v>
      </c>
      <c r="R372" s="20">
        <v>1.4180000000000001</v>
      </c>
      <c r="S372" s="76">
        <v>4.5072253230369297</v>
      </c>
      <c r="T372" s="20">
        <v>0.1692305429731161</v>
      </c>
      <c r="U372" s="15">
        <v>3.6476327450486696</v>
      </c>
      <c r="V372" s="15"/>
      <c r="W372" s="15"/>
    </row>
    <row r="373" spans="1:23" x14ac:dyDescent="0.25">
      <c r="C373" s="3"/>
      <c r="D373" s="3"/>
      <c r="G373" s="3"/>
      <c r="H373" s="3"/>
      <c r="I373" s="3"/>
      <c r="J373" s="3"/>
      <c r="K373" s="3"/>
      <c r="L373" s="40"/>
      <c r="M373" s="9"/>
      <c r="N373" s="9"/>
      <c r="O373" s="9"/>
      <c r="P373" s="107">
        <v>0.31075697211155379</v>
      </c>
      <c r="Q373" s="151">
        <f t="shared" si="15"/>
        <v>40274.278884462117</v>
      </c>
      <c r="R373" s="20">
        <v>2.04</v>
      </c>
      <c r="S373" s="76">
        <v>10.146623771518641</v>
      </c>
      <c r="T373" s="20">
        <v>0.1208188716983352</v>
      </c>
      <c r="U373" s="15">
        <v>4.1671603800474992</v>
      </c>
      <c r="V373" s="15"/>
      <c r="W373" s="15"/>
    </row>
    <row r="374" spans="1:23" x14ac:dyDescent="0.25">
      <c r="C374" s="3"/>
      <c r="D374" s="3"/>
      <c r="G374" s="3"/>
      <c r="H374" s="3"/>
      <c r="I374" s="3"/>
      <c r="J374" s="3"/>
      <c r="K374" s="3"/>
      <c r="L374" s="40"/>
      <c r="M374" s="9"/>
      <c r="N374" s="9"/>
      <c r="O374" s="9"/>
      <c r="P374" s="107">
        <v>0.32669322709163345</v>
      </c>
      <c r="Q374" s="151">
        <f t="shared" si="15"/>
        <v>40291.729083665305</v>
      </c>
      <c r="R374" s="20">
        <v>2.98</v>
      </c>
      <c r="S374" s="76">
        <v>11.869879489728103</v>
      </c>
      <c r="T374" s="20">
        <v>0.14309959409377021</v>
      </c>
      <c r="U374" s="15">
        <v>5.6177909553619942</v>
      </c>
      <c r="V374" s="15"/>
      <c r="W374" s="15"/>
    </row>
    <row r="375" spans="1:23" x14ac:dyDescent="0.25">
      <c r="A375" s="6"/>
      <c r="B375" s="33" t="s">
        <v>82</v>
      </c>
      <c r="C375" s="44">
        <v>36.866999999999997</v>
      </c>
      <c r="D375" s="44">
        <v>115.017</v>
      </c>
      <c r="E375" s="33" t="s">
        <v>19</v>
      </c>
      <c r="F375" s="33" t="s">
        <v>35</v>
      </c>
      <c r="G375" s="11">
        <v>0.80400000000000005</v>
      </c>
      <c r="H375" s="11">
        <v>14.583333333333334</v>
      </c>
      <c r="I375" s="11">
        <v>2.0029400000000002</v>
      </c>
      <c r="J375" s="11">
        <v>0.17300360000000001</v>
      </c>
      <c r="K375" s="11">
        <f t="shared" ref="K375" si="16">I375/J375</f>
        <v>11.577446943300602</v>
      </c>
      <c r="L375" s="14">
        <v>1.37</v>
      </c>
      <c r="M375" s="7">
        <f>9.353*EXP(-0.023*H375-0.622*L375-0.182*J375-0.009*K375)*(I375/(I375+0.567))</f>
        <v>1.9409748598371992</v>
      </c>
      <c r="N375" s="7">
        <f>LN(M375)/10</f>
        <v>6.6319035193256506E-2</v>
      </c>
      <c r="O375" s="11">
        <f>4.3573*EXP(-1.002*M375)</f>
        <v>0.62312744775859807</v>
      </c>
      <c r="P375" s="10">
        <v>0.34300000000000003</v>
      </c>
      <c r="Q375" s="149">
        <f t="shared" si="15"/>
        <v>40309.584999999963</v>
      </c>
      <c r="R375" s="13">
        <v>3.04</v>
      </c>
      <c r="S375" s="77">
        <v>11.398483770224729</v>
      </c>
      <c r="T375" s="16">
        <v>0.16404494382022469</v>
      </c>
      <c r="U375" s="13">
        <v>2.5522162534885231</v>
      </c>
      <c r="V375" s="13"/>
      <c r="W375" s="13"/>
    </row>
    <row r="376" spans="1:23" x14ac:dyDescent="0.25">
      <c r="C376" s="3"/>
      <c r="D376" s="3"/>
      <c r="G376" s="3"/>
      <c r="H376" s="3"/>
      <c r="I376" s="3"/>
      <c r="J376" s="3"/>
      <c r="K376" s="3"/>
      <c r="L376" s="40"/>
      <c r="O376" s="18"/>
      <c r="P376" s="22">
        <v>0.35299999999999998</v>
      </c>
      <c r="Q376" s="151">
        <f t="shared" si="15"/>
        <v>40320.53499999996</v>
      </c>
      <c r="R376" s="15">
        <v>3.3800000000000003</v>
      </c>
      <c r="S376" s="76">
        <v>15.31609685520535</v>
      </c>
      <c r="T376" s="20">
        <v>0.27270427672216013</v>
      </c>
      <c r="U376" s="15">
        <v>1.5732263791923515</v>
      </c>
      <c r="V376" s="15"/>
      <c r="W376" s="15"/>
    </row>
    <row r="377" spans="1:23" x14ac:dyDescent="0.25">
      <c r="C377" s="3"/>
      <c r="D377" s="3"/>
      <c r="G377" s="3"/>
      <c r="H377" s="3"/>
      <c r="I377" s="3"/>
      <c r="J377" s="3"/>
      <c r="K377" s="3"/>
      <c r="L377" s="40"/>
      <c r="O377" s="9"/>
      <c r="P377" s="22">
        <v>0.36899999999999999</v>
      </c>
      <c r="Q377" s="151">
        <f t="shared" si="15"/>
        <v>40338.054999999957</v>
      </c>
      <c r="R377" s="15">
        <v>3.04</v>
      </c>
      <c r="S377" s="76">
        <v>18.292682926829269</v>
      </c>
      <c r="T377" s="20">
        <v>0.21251250073533737</v>
      </c>
      <c r="U377" s="15">
        <v>0.58239727188264412</v>
      </c>
      <c r="V377" s="15"/>
      <c r="W377" s="15"/>
    </row>
    <row r="378" spans="1:23" x14ac:dyDescent="0.25">
      <c r="C378" s="3"/>
      <c r="D378" s="3"/>
      <c r="G378" s="3"/>
      <c r="H378" s="3"/>
      <c r="I378" s="3"/>
      <c r="J378" s="3"/>
      <c r="K378" s="3"/>
      <c r="L378" s="40"/>
      <c r="M378" s="9"/>
      <c r="N378" s="9"/>
      <c r="O378" s="9"/>
      <c r="P378" s="22">
        <v>0.38200000000000001</v>
      </c>
      <c r="Q378" s="151">
        <f t="shared" si="15"/>
        <v>40352.289999999957</v>
      </c>
      <c r="R378" s="15">
        <v>2.82</v>
      </c>
      <c r="S378" s="76">
        <v>20.642309750804284</v>
      </c>
      <c r="T378" s="20">
        <v>0.1929084063768457</v>
      </c>
      <c r="U378" s="15">
        <v>0.96949585872398902</v>
      </c>
      <c r="V378" s="15"/>
      <c r="W378" s="15"/>
    </row>
    <row r="379" spans="1:23" x14ac:dyDescent="0.25">
      <c r="C379" s="3"/>
      <c r="D379" s="3"/>
      <c r="G379" s="3"/>
      <c r="H379" s="3"/>
      <c r="I379" s="3"/>
      <c r="J379" s="3"/>
      <c r="K379" s="3"/>
      <c r="L379" s="40"/>
      <c r="M379" s="9"/>
      <c r="N379" s="9"/>
      <c r="O379" s="9"/>
      <c r="P379" s="22">
        <v>0.39400000000000002</v>
      </c>
      <c r="Q379" s="151">
        <f t="shared" si="15"/>
        <v>40365.429999999957</v>
      </c>
      <c r="R379" s="15">
        <v>4.12</v>
      </c>
      <c r="S379" s="76">
        <v>22.208825657101521</v>
      </c>
      <c r="T379" s="20">
        <v>0.25050591211247719</v>
      </c>
      <c r="U379" s="15">
        <v>1.5518418493453712</v>
      </c>
      <c r="V379" s="15"/>
      <c r="W379" s="15"/>
    </row>
    <row r="380" spans="1:23" x14ac:dyDescent="0.25">
      <c r="C380" s="3"/>
      <c r="D380" s="3"/>
      <c r="E380" s="19"/>
      <c r="F380" s="19"/>
      <c r="G380" s="3"/>
      <c r="H380" s="3"/>
      <c r="I380" s="3"/>
      <c r="J380" s="3"/>
      <c r="K380" s="3"/>
      <c r="L380" s="40"/>
      <c r="M380" s="9"/>
      <c r="N380" s="9"/>
      <c r="O380" s="9"/>
      <c r="P380" s="22">
        <v>0.40600000000000003</v>
      </c>
      <c r="Q380" s="151">
        <f t="shared" si="15"/>
        <v>40378.569999999956</v>
      </c>
      <c r="R380" s="15">
        <v>7.42</v>
      </c>
      <c r="S380" s="76">
        <v>25.342151540637666</v>
      </c>
      <c r="T380" s="20">
        <v>0.28454320842402492</v>
      </c>
      <c r="U380" s="15">
        <v>2.483984953323322</v>
      </c>
      <c r="V380" s="15"/>
      <c r="W380" s="15"/>
    </row>
    <row r="381" spans="1:23" x14ac:dyDescent="0.25">
      <c r="C381" s="3"/>
      <c r="D381" s="3"/>
      <c r="E381" s="19"/>
      <c r="F381" s="19"/>
      <c r="G381" s="3"/>
      <c r="H381" s="3"/>
      <c r="I381" s="3"/>
      <c r="J381" s="3"/>
      <c r="K381" s="3"/>
      <c r="L381" s="40"/>
      <c r="M381" s="9"/>
      <c r="N381" s="9"/>
      <c r="O381" s="9"/>
      <c r="P381" s="22">
        <v>0.42399999999999999</v>
      </c>
      <c r="Q381" s="151">
        <f t="shared" si="15"/>
        <v>40398.279999999955</v>
      </c>
      <c r="R381" s="15">
        <v>5.4600000000000009</v>
      </c>
      <c r="S381" s="76">
        <v>28.788368906114908</v>
      </c>
      <c r="T381" s="20">
        <v>0.22958115183246072</v>
      </c>
      <c r="U381" s="15">
        <v>5.0303848568245382</v>
      </c>
      <c r="V381" s="15"/>
      <c r="W381" s="15"/>
    </row>
    <row r="382" spans="1:23" x14ac:dyDescent="0.25">
      <c r="C382" s="3"/>
      <c r="D382" s="3"/>
      <c r="E382" s="19"/>
      <c r="F382" s="19"/>
      <c r="G382" s="3"/>
      <c r="H382" s="3"/>
      <c r="I382" s="3"/>
      <c r="J382" s="3"/>
      <c r="K382" s="3"/>
      <c r="L382" s="40"/>
      <c r="M382" s="9"/>
      <c r="N382" s="9"/>
      <c r="O382" s="9"/>
      <c r="P382" s="22">
        <v>0.44800000000000001</v>
      </c>
      <c r="Q382" s="151">
        <f t="shared" si="15"/>
        <v>40424.559999999954</v>
      </c>
      <c r="R382" s="15">
        <v>2.72</v>
      </c>
      <c r="S382" s="76">
        <v>22.983996659354101</v>
      </c>
      <c r="T382" s="20">
        <v>0.24008471086534502</v>
      </c>
      <c r="U382" s="15">
        <v>5.1946626635492974</v>
      </c>
      <c r="V382" s="15"/>
      <c r="W382" s="15"/>
    </row>
    <row r="383" spans="1:23" x14ac:dyDescent="0.25">
      <c r="C383" s="3"/>
      <c r="D383" s="3"/>
      <c r="E383" s="19"/>
      <c r="F383" s="19"/>
      <c r="G383" s="3"/>
      <c r="H383" s="3"/>
      <c r="I383" s="3"/>
      <c r="J383" s="3"/>
      <c r="K383" s="3"/>
      <c r="L383" s="40"/>
      <c r="M383" s="9"/>
      <c r="N383" s="9"/>
      <c r="O383" s="9"/>
      <c r="P383" s="22">
        <v>0.46200000000000002</v>
      </c>
      <c r="Q383" s="151">
        <f t="shared" si="15"/>
        <v>40439.889999999956</v>
      </c>
      <c r="R383" s="15">
        <v>2.3200000000000003</v>
      </c>
      <c r="S383" s="76">
        <v>20.003293594546747</v>
      </c>
      <c r="T383" s="20">
        <v>0.26627448673451382</v>
      </c>
      <c r="U383" s="15">
        <v>3.3463603531071211</v>
      </c>
      <c r="V383" s="15"/>
      <c r="W383" s="15"/>
    </row>
    <row r="384" spans="1:23" x14ac:dyDescent="0.25">
      <c r="C384" s="3"/>
      <c r="D384" s="3"/>
      <c r="E384" s="19"/>
      <c r="F384" s="19"/>
      <c r="G384" s="3"/>
      <c r="H384" s="3"/>
      <c r="I384" s="3"/>
      <c r="J384" s="3"/>
      <c r="K384" s="3"/>
      <c r="L384" s="40"/>
      <c r="M384" s="9"/>
      <c r="N384" s="9"/>
      <c r="O384" s="9"/>
      <c r="P384" s="22">
        <v>0.47199999999999998</v>
      </c>
      <c r="Q384" s="151">
        <f t="shared" si="15"/>
        <v>40450.839999999953</v>
      </c>
      <c r="R384" s="15">
        <v>1.6520000000000001</v>
      </c>
      <c r="S384" s="76">
        <v>16.239773683003289</v>
      </c>
      <c r="T384" s="20">
        <v>0.28984940290605332</v>
      </c>
      <c r="U384" s="15">
        <v>2.444303352108911</v>
      </c>
      <c r="V384" s="15"/>
      <c r="W384" s="15"/>
    </row>
    <row r="385" spans="1:23" x14ac:dyDescent="0.25">
      <c r="C385" s="3"/>
      <c r="D385" s="3"/>
      <c r="E385" s="19"/>
      <c r="F385" s="19"/>
      <c r="G385" s="3"/>
      <c r="H385" s="3"/>
      <c r="I385" s="3"/>
      <c r="J385" s="3"/>
      <c r="K385" s="3"/>
      <c r="L385" s="40"/>
      <c r="M385" s="9"/>
      <c r="N385" s="9"/>
      <c r="O385" s="9"/>
      <c r="P385" s="22">
        <v>0.48399999999999999</v>
      </c>
      <c r="Q385" s="151">
        <f t="shared" si="15"/>
        <v>40463.979999999952</v>
      </c>
      <c r="R385" s="15">
        <v>2.5</v>
      </c>
      <c r="S385" s="76">
        <v>13.416692642933182</v>
      </c>
      <c r="T385" s="20">
        <v>0.31211247720454144</v>
      </c>
      <c r="U385" s="15">
        <v>1.6766946553251945</v>
      </c>
      <c r="V385" s="15"/>
      <c r="W385" s="15"/>
    </row>
    <row r="386" spans="1:23" x14ac:dyDescent="0.25">
      <c r="C386" s="3"/>
      <c r="D386" s="3"/>
      <c r="E386" s="19"/>
      <c r="F386" s="19"/>
      <c r="G386" s="3"/>
      <c r="H386" s="3"/>
      <c r="I386" s="3"/>
      <c r="J386" s="3"/>
      <c r="K386" s="3"/>
      <c r="L386" s="40"/>
      <c r="M386" s="9"/>
      <c r="N386" s="9"/>
      <c r="O386" s="9"/>
      <c r="P386" s="22">
        <v>0.502</v>
      </c>
      <c r="Q386" s="151">
        <f t="shared" si="15"/>
        <v>40483.689999999951</v>
      </c>
      <c r="R386" s="15">
        <v>1.3719999999999999</v>
      </c>
      <c r="S386" s="76">
        <v>7.9284466584718896</v>
      </c>
      <c r="T386" s="20">
        <v>0.1564092005412083</v>
      </c>
      <c r="U386" s="15">
        <v>0.62353071081297551</v>
      </c>
      <c r="V386" s="15"/>
      <c r="W386" s="15"/>
    </row>
    <row r="387" spans="1:23" x14ac:dyDescent="0.25">
      <c r="C387" s="3"/>
      <c r="D387" s="3"/>
      <c r="E387" s="19"/>
      <c r="F387" s="19"/>
      <c r="G387" s="3"/>
      <c r="H387" s="3"/>
      <c r="I387" s="3"/>
      <c r="J387" s="3"/>
      <c r="K387" s="3"/>
      <c r="L387" s="40"/>
      <c r="M387" s="9"/>
      <c r="N387" s="9"/>
      <c r="O387" s="9"/>
      <c r="P387" s="22">
        <v>0.51400000000000001</v>
      </c>
      <c r="Q387" s="151">
        <f t="shared" si="15"/>
        <v>40496.829999999951</v>
      </c>
      <c r="R387" s="15">
        <v>0.98199999999999998</v>
      </c>
      <c r="S387" s="76">
        <v>6.2022502308456895</v>
      </c>
      <c r="T387" s="20">
        <v>6.8727572210130011E-2</v>
      </c>
      <c r="U387" s="15">
        <v>0.7320324950606385</v>
      </c>
      <c r="V387" s="15"/>
      <c r="W387" s="15"/>
    </row>
    <row r="388" spans="1:23" x14ac:dyDescent="0.25">
      <c r="C388" s="3"/>
      <c r="D388" s="3"/>
      <c r="E388" s="19"/>
      <c r="F388" s="19"/>
      <c r="G388" s="3"/>
      <c r="H388" s="3"/>
      <c r="I388" s="3"/>
      <c r="J388" s="3"/>
      <c r="K388" s="3"/>
      <c r="L388" s="40"/>
      <c r="M388" s="9"/>
      <c r="N388" s="9"/>
      <c r="O388" s="9"/>
      <c r="P388" s="22">
        <v>0.52600000000000002</v>
      </c>
      <c r="Q388" s="151">
        <f t="shared" si="15"/>
        <v>40509.96999999995</v>
      </c>
      <c r="R388" s="15">
        <v>0.70199999999999996</v>
      </c>
      <c r="S388" s="76">
        <v>3.0665717797761531</v>
      </c>
      <c r="T388" s="20">
        <v>8.1834225542678982E-2</v>
      </c>
      <c r="U388" s="15">
        <v>0.8594148845147026</v>
      </c>
      <c r="V388" s="15"/>
      <c r="W388" s="15"/>
    </row>
    <row r="389" spans="1:23" x14ac:dyDescent="0.25">
      <c r="C389" s="3"/>
      <c r="D389" s="3"/>
      <c r="E389" s="19"/>
      <c r="F389" s="19"/>
      <c r="G389" s="3"/>
      <c r="H389" s="3"/>
      <c r="I389" s="3"/>
      <c r="J389" s="3"/>
      <c r="K389" s="3"/>
      <c r="L389" s="40"/>
      <c r="M389" s="9"/>
      <c r="N389" s="9"/>
      <c r="O389" s="9"/>
      <c r="P389" s="22">
        <v>0.54</v>
      </c>
      <c r="Q389" s="151">
        <f t="shared" si="15"/>
        <v>40525.299999999952</v>
      </c>
      <c r="R389" s="15">
        <v>0.42200000000000004</v>
      </c>
      <c r="S389" s="76">
        <v>8.6750927793820987E-2</v>
      </c>
      <c r="T389" s="20">
        <v>8.3163715512677219E-2</v>
      </c>
      <c r="U389" s="15">
        <v>1.0363046992782732</v>
      </c>
      <c r="V389" s="15"/>
      <c r="W389" s="15"/>
    </row>
    <row r="390" spans="1:23" x14ac:dyDescent="0.25">
      <c r="C390" s="3"/>
      <c r="D390" s="3"/>
      <c r="E390" s="19"/>
      <c r="F390" s="19"/>
      <c r="G390" s="3"/>
      <c r="H390" s="3"/>
      <c r="I390" s="3"/>
      <c r="J390" s="3"/>
      <c r="K390" s="3"/>
      <c r="L390" s="40"/>
      <c r="M390" s="9"/>
      <c r="N390" s="9"/>
      <c r="O390" s="9"/>
      <c r="P390" s="22">
        <v>0.55600000000000005</v>
      </c>
      <c r="Q390" s="151">
        <f t="shared" si="15"/>
        <v>40542.819999999949</v>
      </c>
      <c r="R390" s="15">
        <v>0.14319999999999999</v>
      </c>
      <c r="S390" s="76">
        <v>-1.6397395707740534</v>
      </c>
      <c r="T390" s="20">
        <v>3.3451967762809579E-2</v>
      </c>
      <c r="U390" s="15">
        <v>1.2834653521594366</v>
      </c>
      <c r="V390" s="15"/>
      <c r="W390" s="15"/>
    </row>
    <row r="391" spans="1:23" x14ac:dyDescent="0.25">
      <c r="C391" s="3"/>
      <c r="D391" s="3"/>
      <c r="E391" s="19"/>
      <c r="F391" s="19"/>
      <c r="G391" s="3"/>
      <c r="H391" s="3"/>
      <c r="I391" s="3"/>
      <c r="J391" s="3"/>
      <c r="K391" s="3"/>
      <c r="L391" s="40"/>
      <c r="M391" s="9"/>
      <c r="N391" s="9"/>
      <c r="O391" s="9"/>
      <c r="P391" s="22">
        <f>AVERAGE(P390,P392)</f>
        <v>0.56299999999999994</v>
      </c>
      <c r="Q391" s="151">
        <f>AVERAGE(Q390,Q392)</f>
        <v>40550.48499999995</v>
      </c>
      <c r="R391" s="15">
        <f>AVERAGE(R390,R392)</f>
        <v>0.11560000000000001</v>
      </c>
      <c r="S391" s="76">
        <v>-4.1493409870197082</v>
      </c>
      <c r="T391" s="20">
        <v>1.9071710100594153E-2</v>
      </c>
      <c r="U391" s="15">
        <v>1.4093746229137267</v>
      </c>
      <c r="V391" s="15"/>
      <c r="W391" s="15"/>
    </row>
    <row r="392" spans="1:23" x14ac:dyDescent="0.25">
      <c r="C392" s="3"/>
      <c r="D392" s="3"/>
      <c r="G392" s="3"/>
      <c r="H392" s="3"/>
      <c r="I392" s="3"/>
      <c r="J392" s="3"/>
      <c r="K392" s="3"/>
      <c r="L392" s="40"/>
      <c r="M392" s="9"/>
      <c r="N392" s="9"/>
      <c r="O392" s="9"/>
      <c r="P392" s="22">
        <v>0.56999999999999995</v>
      </c>
      <c r="Q392" s="151">
        <f>Q390+(P392-P390)*365*3</f>
        <v>40558.149999999951</v>
      </c>
      <c r="R392" s="15">
        <v>8.8000000000000009E-2</v>
      </c>
      <c r="S392" s="76">
        <v>-6.1887229675286859</v>
      </c>
      <c r="T392" s="20">
        <v>1.9089358197541033E-2</v>
      </c>
      <c r="U392" s="15">
        <v>1.5476357225936703</v>
      </c>
      <c r="V392" s="15"/>
      <c r="W392" s="15"/>
    </row>
    <row r="393" spans="1:23" x14ac:dyDescent="0.25">
      <c r="C393" s="3"/>
      <c r="D393" s="3"/>
      <c r="G393" s="3"/>
      <c r="H393" s="3"/>
      <c r="I393" s="3"/>
      <c r="J393" s="3"/>
      <c r="K393" s="3"/>
      <c r="L393" s="40"/>
      <c r="M393" s="9"/>
      <c r="N393" s="9"/>
      <c r="O393" s="9"/>
      <c r="P393" s="22">
        <v>0.58599999999999997</v>
      </c>
      <c r="Q393" s="151">
        <f t="shared" ref="Q393:Q421" si="17">Q392+(P393-P392)*365*3</f>
        <v>40575.669999999947</v>
      </c>
      <c r="R393" s="15">
        <v>0.14479999999999998</v>
      </c>
      <c r="S393" s="76">
        <v>-3.6820622606997713</v>
      </c>
      <c r="T393" s="20">
        <v>3.7425730925348552E-2</v>
      </c>
      <c r="U393" s="15">
        <v>1.9167498025402945</v>
      </c>
      <c r="V393" s="15"/>
      <c r="W393" s="15"/>
    </row>
    <row r="394" spans="1:23" x14ac:dyDescent="0.25">
      <c r="C394" s="3"/>
      <c r="D394" s="3"/>
      <c r="G394" s="3"/>
      <c r="H394" s="3"/>
      <c r="I394" s="3"/>
      <c r="J394" s="3"/>
      <c r="K394" s="3"/>
      <c r="L394" s="40"/>
      <c r="M394" s="9"/>
      <c r="N394" s="9"/>
      <c r="O394" s="9"/>
      <c r="P394" s="22">
        <v>0.61</v>
      </c>
      <c r="Q394" s="151">
        <f t="shared" si="17"/>
        <v>40601.949999999946</v>
      </c>
      <c r="R394" s="15">
        <v>0.20199999999999999</v>
      </c>
      <c r="S394" s="76">
        <v>7.7634728601927924E-2</v>
      </c>
      <c r="T394" s="20">
        <v>4.0067062768398144E-2</v>
      </c>
      <c r="U394" s="15">
        <v>2.6418639557400083</v>
      </c>
      <c r="V394" s="15"/>
      <c r="W394" s="15"/>
    </row>
    <row r="395" spans="1:23" x14ac:dyDescent="0.25">
      <c r="C395" s="3"/>
      <c r="D395" s="3"/>
      <c r="G395" s="3"/>
      <c r="H395" s="3"/>
      <c r="I395" s="3"/>
      <c r="J395" s="3"/>
      <c r="K395" s="3"/>
      <c r="L395" s="40"/>
      <c r="M395" s="9"/>
      <c r="N395" s="9"/>
      <c r="O395" s="9"/>
      <c r="P395" s="22">
        <v>0.62</v>
      </c>
      <c r="Q395" s="151">
        <f t="shared" si="17"/>
        <v>40612.899999999943</v>
      </c>
      <c r="R395" s="15">
        <v>0.65</v>
      </c>
      <c r="S395" s="76">
        <v>1.9579243296652886</v>
      </c>
      <c r="T395" s="20">
        <v>9.8976410377080992E-2</v>
      </c>
      <c r="U395" s="15">
        <v>3.0197492051799451</v>
      </c>
      <c r="V395" s="15"/>
      <c r="W395" s="15"/>
    </row>
    <row r="396" spans="1:23" x14ac:dyDescent="0.25">
      <c r="C396" s="3"/>
      <c r="D396" s="3"/>
      <c r="G396" s="3"/>
      <c r="H396" s="3"/>
      <c r="I396" s="3"/>
      <c r="J396" s="3"/>
      <c r="K396" s="3"/>
      <c r="L396" s="40"/>
      <c r="M396" s="9"/>
      <c r="N396" s="9"/>
      <c r="O396" s="9"/>
      <c r="P396" s="22">
        <v>0.63100000000000001</v>
      </c>
      <c r="Q396" s="151">
        <f t="shared" si="17"/>
        <v>40624.944999999942</v>
      </c>
      <c r="R396" s="15">
        <v>1.3239999999999998</v>
      </c>
      <c r="S396" s="76">
        <v>4.4642909655525305</v>
      </c>
      <c r="T396" s="20">
        <v>0.13563739043473144</v>
      </c>
      <c r="U396" s="15">
        <v>3.4981412705304775</v>
      </c>
      <c r="V396" s="15"/>
      <c r="W396" s="15"/>
    </row>
    <row r="397" spans="1:23" x14ac:dyDescent="0.25">
      <c r="C397" s="3"/>
      <c r="D397" s="3"/>
      <c r="G397" s="3"/>
      <c r="H397" s="3"/>
      <c r="I397" s="3"/>
      <c r="J397" s="3"/>
      <c r="K397" s="3"/>
      <c r="L397" s="40"/>
      <c r="M397" s="9"/>
      <c r="N397" s="9"/>
      <c r="O397" s="9"/>
      <c r="P397" s="22">
        <v>0.64100000000000001</v>
      </c>
      <c r="Q397" s="151">
        <f t="shared" si="17"/>
        <v>40635.894999999939</v>
      </c>
      <c r="R397" s="15">
        <v>1.996</v>
      </c>
      <c r="S397" s="76">
        <v>6.8139177895275456</v>
      </c>
      <c r="T397" s="20">
        <v>0.11340667098064593</v>
      </c>
      <c r="U397" s="15">
        <v>3.9985061677154552</v>
      </c>
      <c r="V397" s="15"/>
      <c r="W397" s="15"/>
    </row>
    <row r="398" spans="1:23" x14ac:dyDescent="0.25">
      <c r="C398" s="3"/>
      <c r="D398" s="3"/>
      <c r="G398" s="3"/>
      <c r="H398" s="3"/>
      <c r="I398" s="3"/>
      <c r="J398" s="3"/>
      <c r="K398" s="3"/>
      <c r="L398" s="40"/>
      <c r="M398" s="9"/>
      <c r="N398" s="9"/>
      <c r="O398" s="9"/>
      <c r="P398" s="22">
        <v>0.65700000000000003</v>
      </c>
      <c r="Q398" s="151">
        <f t="shared" si="17"/>
        <v>40653.414999999935</v>
      </c>
      <c r="R398" s="15">
        <v>2.94</v>
      </c>
      <c r="S398" s="76">
        <v>10.887388473595371</v>
      </c>
      <c r="T398" s="20">
        <v>7.415730337078652E-2</v>
      </c>
      <c r="U398" s="15">
        <v>4.9521575365167223</v>
      </c>
      <c r="V398" s="15"/>
      <c r="W398" s="15"/>
    </row>
    <row r="399" spans="1:23" x14ac:dyDescent="0.25">
      <c r="A399" s="6"/>
      <c r="B399" s="33" t="s">
        <v>82</v>
      </c>
      <c r="C399" s="44">
        <v>36.866999999999997</v>
      </c>
      <c r="D399" s="44">
        <v>115.017</v>
      </c>
      <c r="E399" s="33" t="s">
        <v>7</v>
      </c>
      <c r="F399" s="33" t="s">
        <v>42</v>
      </c>
      <c r="G399" s="11">
        <v>0.55700000000000005</v>
      </c>
      <c r="H399" s="11">
        <v>14.733333333333334</v>
      </c>
      <c r="I399" s="11">
        <v>2.0029400000000002</v>
      </c>
      <c r="J399" s="11">
        <v>0.17300360000000001</v>
      </c>
      <c r="K399" s="11">
        <f>I399/J399</f>
        <v>11.577446943300602</v>
      </c>
      <c r="L399" s="14">
        <v>1.37</v>
      </c>
      <c r="M399" s="7">
        <f>9.353*EXP(-0.023*H399-0.622*L399-0.182*J399-0.009*K399)*(I399/(I399+0.567))</f>
        <v>1.9342900345249343</v>
      </c>
      <c r="N399" s="7">
        <f>LN(M399)/10</f>
        <v>6.5974035193256508E-2</v>
      </c>
      <c r="O399" s="11">
        <f>4.3573*EXP(-1.002*M399)</f>
        <v>0.62731528671375447</v>
      </c>
      <c r="P399" s="10">
        <v>0.66900000000000004</v>
      </c>
      <c r="Q399" s="149">
        <f t="shared" si="17"/>
        <v>40666.554999999935</v>
      </c>
      <c r="R399" s="13">
        <v>3.46</v>
      </c>
      <c r="S399" s="77">
        <v>13.080275485658161</v>
      </c>
      <c r="T399" s="16">
        <v>9.6426260368256939E-2</v>
      </c>
      <c r="U399" s="13">
        <v>3.6392346059071272</v>
      </c>
      <c r="V399" s="13"/>
      <c r="W399" s="13"/>
    </row>
    <row r="400" spans="1:23" x14ac:dyDescent="0.25">
      <c r="C400" s="3"/>
      <c r="D400" s="3"/>
      <c r="G400" s="3"/>
      <c r="H400" s="3"/>
      <c r="I400" s="3"/>
      <c r="J400" s="3"/>
      <c r="K400" s="3"/>
      <c r="L400" s="40"/>
      <c r="N400" s="8"/>
      <c r="O400" s="18"/>
      <c r="P400" s="22">
        <v>0.68100000000000005</v>
      </c>
      <c r="Q400" s="151">
        <f t="shared" si="17"/>
        <v>40679.694999999934</v>
      </c>
      <c r="R400" s="15">
        <v>2.68</v>
      </c>
      <c r="S400" s="76">
        <v>16.057743770107098</v>
      </c>
      <c r="T400" s="20">
        <v>0.15402376610388846</v>
      </c>
      <c r="U400" s="15">
        <v>2.036378735361251</v>
      </c>
      <c r="V400" s="15"/>
      <c r="W400" s="15"/>
    </row>
    <row r="401" spans="3:23" x14ac:dyDescent="0.25">
      <c r="C401" s="3"/>
      <c r="D401" s="3"/>
      <c r="G401" s="3"/>
      <c r="H401" s="3"/>
      <c r="I401" s="3"/>
      <c r="J401" s="3"/>
      <c r="K401" s="3"/>
      <c r="L401" s="40"/>
      <c r="N401" s="9"/>
      <c r="O401" s="9"/>
      <c r="P401" s="22">
        <v>0.69299999999999995</v>
      </c>
      <c r="Q401" s="151">
        <f t="shared" si="17"/>
        <v>40692.834999999934</v>
      </c>
      <c r="R401" s="15">
        <v>3.46</v>
      </c>
      <c r="S401" s="76">
        <v>18.720850217906566</v>
      </c>
      <c r="T401" s="20">
        <v>0.20247073357256309</v>
      </c>
      <c r="U401" s="15">
        <v>1.1394809081833914</v>
      </c>
      <c r="V401" s="15"/>
      <c r="W401" s="15"/>
    </row>
    <row r="402" spans="3:23" x14ac:dyDescent="0.25">
      <c r="C402" s="3"/>
      <c r="D402" s="3"/>
      <c r="G402" s="3"/>
      <c r="H402" s="3"/>
      <c r="I402" s="3"/>
      <c r="J402" s="3"/>
      <c r="K402" s="3"/>
      <c r="L402" s="40"/>
      <c r="M402" s="9"/>
      <c r="N402" s="9"/>
      <c r="O402" s="9"/>
      <c r="P402" s="22">
        <v>0.71699999999999997</v>
      </c>
      <c r="Q402" s="151">
        <f t="shared" si="17"/>
        <v>40719.114999999932</v>
      </c>
      <c r="R402" s="15">
        <v>4.18</v>
      </c>
      <c r="S402" s="76">
        <v>21.383956665706037</v>
      </c>
      <c r="T402" s="20">
        <v>0.12657509265250896</v>
      </c>
      <c r="U402" s="15">
        <v>1.0349542845747146</v>
      </c>
      <c r="V402" s="15"/>
      <c r="W402" s="15"/>
    </row>
    <row r="403" spans="3:23" x14ac:dyDescent="0.25">
      <c r="C403" s="3"/>
      <c r="D403" s="3"/>
      <c r="G403" s="3"/>
      <c r="H403" s="3"/>
      <c r="I403" s="3"/>
      <c r="J403" s="3"/>
      <c r="K403" s="3"/>
      <c r="L403" s="40"/>
      <c r="M403" s="9"/>
      <c r="N403" s="9"/>
      <c r="O403" s="9"/>
      <c r="P403" s="22">
        <v>0.72899999999999998</v>
      </c>
      <c r="Q403" s="151">
        <f t="shared" si="17"/>
        <v>40732.254999999932</v>
      </c>
      <c r="R403" s="15">
        <v>4.58</v>
      </c>
      <c r="S403" s="76">
        <v>25.299805325036612</v>
      </c>
      <c r="T403" s="20">
        <v>0.19333784340255311</v>
      </c>
      <c r="U403" s="15">
        <v>1.6566191144706952</v>
      </c>
      <c r="V403" s="15"/>
      <c r="W403" s="15"/>
    </row>
    <row r="404" spans="3:23" x14ac:dyDescent="0.25">
      <c r="C404" s="3"/>
      <c r="D404" s="3"/>
      <c r="G404" s="3"/>
      <c r="H404" s="3"/>
      <c r="I404" s="3"/>
      <c r="J404" s="3"/>
      <c r="K404" s="3"/>
      <c r="L404" s="40"/>
      <c r="M404" s="9"/>
      <c r="N404" s="9"/>
      <c r="O404" s="9"/>
      <c r="P404" s="22">
        <v>0.73699999999999999</v>
      </c>
      <c r="Q404" s="151">
        <f t="shared" si="17"/>
        <v>40741.014999999934</v>
      </c>
      <c r="R404" s="15">
        <v>5.5400000000000009</v>
      </c>
      <c r="S404" s="76">
        <v>27.022472901362725</v>
      </c>
      <c r="T404" s="20">
        <v>0.21691864227307492</v>
      </c>
      <c r="U404" s="15">
        <v>2.2668546222347778</v>
      </c>
      <c r="V404" s="15"/>
      <c r="W404" s="15"/>
    </row>
    <row r="405" spans="3:23" x14ac:dyDescent="0.25">
      <c r="C405" s="3"/>
      <c r="D405" s="3"/>
      <c r="G405" s="3"/>
      <c r="H405" s="3"/>
      <c r="I405" s="3"/>
      <c r="J405" s="3"/>
      <c r="K405" s="3"/>
      <c r="L405" s="40"/>
      <c r="M405" s="9"/>
      <c r="N405" s="9"/>
      <c r="O405" s="9"/>
      <c r="P405" s="22">
        <v>0.751</v>
      </c>
      <c r="Q405" s="151">
        <f t="shared" si="17"/>
        <v>40756.344999999936</v>
      </c>
      <c r="R405" s="15">
        <v>4.8</v>
      </c>
      <c r="S405" s="76">
        <v>28.431954924806057</v>
      </c>
      <c r="T405" s="20">
        <v>0.23001941290664157</v>
      </c>
      <c r="U405" s="15">
        <v>3.9244194577112403</v>
      </c>
      <c r="V405" s="15"/>
      <c r="W405" s="15"/>
    </row>
    <row r="406" spans="3:23" x14ac:dyDescent="0.25">
      <c r="C406" s="3"/>
      <c r="D406" s="3"/>
      <c r="G406" s="3"/>
      <c r="H406" s="3"/>
      <c r="I406" s="3"/>
      <c r="J406" s="3"/>
      <c r="K406" s="3"/>
      <c r="L406" s="40"/>
      <c r="M406" s="9"/>
      <c r="N406" s="9"/>
      <c r="O406" s="9"/>
      <c r="P406" s="22">
        <v>0.77700000000000002</v>
      </c>
      <c r="Q406" s="151">
        <f t="shared" si="17"/>
        <v>40784.814999999937</v>
      </c>
      <c r="R406" s="15">
        <v>3.02</v>
      </c>
      <c r="S406" s="76">
        <v>27.018944050062636</v>
      </c>
      <c r="T406" s="20">
        <v>0.24838814047885169</v>
      </c>
      <c r="U406" s="15">
        <v>5.9521195382607477</v>
      </c>
      <c r="V406" s="15"/>
      <c r="W406" s="15"/>
    </row>
    <row r="407" spans="3:23" x14ac:dyDescent="0.25">
      <c r="C407" s="3"/>
      <c r="D407" s="3"/>
      <c r="G407" s="3"/>
      <c r="H407" s="3"/>
      <c r="I407" s="3"/>
      <c r="J407" s="3"/>
      <c r="K407" s="3"/>
      <c r="L407" s="40"/>
      <c r="M407" s="3"/>
      <c r="N407" s="3"/>
      <c r="O407" s="3"/>
      <c r="P407" s="5">
        <v>0.78900000000000003</v>
      </c>
      <c r="Q407" s="150">
        <f t="shared" si="17"/>
        <v>40797.954999999936</v>
      </c>
      <c r="R407" s="12">
        <v>1.6120000000000001</v>
      </c>
      <c r="S407" s="78">
        <v>24.351720609079734</v>
      </c>
      <c r="T407" s="144">
        <v>0.20652979587034528</v>
      </c>
      <c r="U407" s="12">
        <v>4.0829167169647551</v>
      </c>
      <c r="V407" s="12"/>
      <c r="W407" s="12"/>
    </row>
    <row r="408" spans="3:23" x14ac:dyDescent="0.25">
      <c r="C408" s="3"/>
      <c r="D408" s="3"/>
      <c r="G408" s="3"/>
      <c r="H408" s="3"/>
      <c r="I408" s="3"/>
      <c r="J408" s="3"/>
      <c r="K408" s="3"/>
      <c r="L408" s="40"/>
      <c r="M408" s="3"/>
      <c r="N408" s="3"/>
      <c r="O408" s="3"/>
      <c r="P408" s="5">
        <v>0.80100000000000005</v>
      </c>
      <c r="Q408" s="150">
        <f t="shared" si="17"/>
        <v>40811.094999999936</v>
      </c>
      <c r="R408" s="12">
        <v>2.06</v>
      </c>
      <c r="S408" s="78">
        <v>20.900798108535703</v>
      </c>
      <c r="T408" s="144">
        <v>0.31909818224601449</v>
      </c>
      <c r="U408" s="12">
        <v>2.8007180989079097</v>
      </c>
      <c r="V408" s="12"/>
      <c r="W408" s="12"/>
    </row>
    <row r="409" spans="3:23" x14ac:dyDescent="0.25">
      <c r="C409" s="3"/>
      <c r="D409" s="3"/>
      <c r="G409" s="3"/>
      <c r="H409" s="3"/>
      <c r="I409" s="3"/>
      <c r="J409" s="3"/>
      <c r="K409" s="3"/>
      <c r="L409" s="40"/>
      <c r="M409" s="3"/>
      <c r="N409" s="3"/>
      <c r="O409" s="3"/>
      <c r="P409" s="5">
        <v>0.81499999999999995</v>
      </c>
      <c r="Q409" s="150">
        <f t="shared" si="17"/>
        <v>40826.424999999937</v>
      </c>
      <c r="R409" s="12">
        <v>3.6399999999999997</v>
      </c>
      <c r="S409" s="78">
        <v>16.980538385080017</v>
      </c>
      <c r="T409" s="144">
        <v>0.22488381669509969</v>
      </c>
      <c r="U409" s="12">
        <v>1.8042003135601745</v>
      </c>
      <c r="V409" s="12"/>
      <c r="W409" s="12"/>
    </row>
    <row r="410" spans="3:23" x14ac:dyDescent="0.25">
      <c r="C410" s="3"/>
      <c r="D410" s="3"/>
      <c r="G410" s="3"/>
      <c r="H410" s="3"/>
      <c r="I410" s="3"/>
      <c r="J410" s="3"/>
      <c r="K410" s="3"/>
      <c r="L410" s="40"/>
      <c r="M410" s="3"/>
      <c r="N410" s="3"/>
      <c r="O410" s="3"/>
      <c r="P410" s="5">
        <v>0.83299999999999996</v>
      </c>
      <c r="Q410" s="150">
        <f t="shared" si="17"/>
        <v>40846.134999999937</v>
      </c>
      <c r="R410" s="12">
        <v>1.6719999999999999</v>
      </c>
      <c r="S410" s="78">
        <v>16.508260452751621</v>
      </c>
      <c r="T410" s="144">
        <v>0.11365374433790225</v>
      </c>
      <c r="U410" s="12"/>
      <c r="V410" s="12"/>
      <c r="W410" s="12"/>
    </row>
    <row r="411" spans="3:23" x14ac:dyDescent="0.25">
      <c r="C411" s="3"/>
      <c r="D411" s="3"/>
      <c r="G411" s="3"/>
      <c r="H411" s="3"/>
      <c r="I411" s="3"/>
      <c r="J411" s="3"/>
      <c r="K411" s="3"/>
      <c r="L411" s="40"/>
      <c r="M411" s="3"/>
      <c r="N411" s="3"/>
      <c r="O411" s="3"/>
      <c r="P411" s="5">
        <v>0.84899999999999998</v>
      </c>
      <c r="Q411" s="150">
        <f t="shared" si="17"/>
        <v>40863.654999999933</v>
      </c>
      <c r="R411" s="12">
        <v>1.28</v>
      </c>
      <c r="S411" s="78">
        <v>12.900598140295367</v>
      </c>
      <c r="T411" s="144">
        <v>0.16601858932878405</v>
      </c>
      <c r="U411" s="12">
        <v>0.74784861800183078</v>
      </c>
      <c r="V411" s="12"/>
      <c r="W411" s="12"/>
    </row>
    <row r="412" spans="3:23" x14ac:dyDescent="0.25">
      <c r="C412" s="3"/>
      <c r="D412" s="3"/>
      <c r="G412" s="3"/>
      <c r="H412" s="3"/>
      <c r="I412" s="3"/>
      <c r="J412" s="3"/>
      <c r="K412" s="3"/>
      <c r="L412" s="40"/>
      <c r="M412" s="3"/>
      <c r="N412" s="3"/>
      <c r="O412" s="3"/>
      <c r="P412" s="5">
        <v>0.85499999999999998</v>
      </c>
      <c r="Q412" s="150">
        <f t="shared" si="17"/>
        <v>40870.224999999933</v>
      </c>
      <c r="R412" s="12">
        <v>0.32800000000000001</v>
      </c>
      <c r="S412" s="78">
        <v>4.7477753533262366</v>
      </c>
      <c r="T412" s="144">
        <v>0.19612036002117772</v>
      </c>
      <c r="U412" s="12">
        <v>0.80999968558690805</v>
      </c>
      <c r="V412" s="12"/>
      <c r="W412" s="12"/>
    </row>
    <row r="413" spans="3:23" x14ac:dyDescent="0.25">
      <c r="C413" s="3"/>
      <c r="D413" s="3"/>
      <c r="G413" s="3"/>
      <c r="H413" s="3"/>
      <c r="I413" s="3"/>
      <c r="J413" s="3"/>
      <c r="K413" s="3"/>
      <c r="L413" s="40"/>
      <c r="M413" s="3"/>
      <c r="N413" s="3"/>
      <c r="O413" s="3"/>
      <c r="P413" s="5">
        <v>0.875</v>
      </c>
      <c r="Q413" s="150">
        <f t="shared" si="17"/>
        <v>40892.124999999935</v>
      </c>
      <c r="R413" s="12">
        <v>0.38600000000000001</v>
      </c>
      <c r="S413" s="78">
        <v>0.51285972227940269</v>
      </c>
      <c r="T413" s="144">
        <v>0.23802282487205129</v>
      </c>
      <c r="U413" s="12">
        <v>1.0569522474033333</v>
      </c>
      <c r="V413" s="12"/>
      <c r="W413" s="12"/>
    </row>
    <row r="414" spans="3:23" x14ac:dyDescent="0.25">
      <c r="C414" s="3"/>
      <c r="D414" s="3"/>
      <c r="G414" s="3"/>
      <c r="H414" s="3"/>
      <c r="I414" s="3"/>
      <c r="J414" s="3"/>
      <c r="K414" s="3"/>
      <c r="L414" s="40"/>
      <c r="M414" s="3"/>
      <c r="N414" s="3"/>
      <c r="O414" s="3"/>
      <c r="P414" s="5">
        <v>0.89</v>
      </c>
      <c r="Q414" s="150">
        <f t="shared" si="17"/>
        <v>40908.549999999937</v>
      </c>
      <c r="R414" s="12">
        <v>0.27400000000000002</v>
      </c>
      <c r="S414" s="78">
        <v>-0.7434113405517947</v>
      </c>
      <c r="T414" s="144">
        <v>0.21579504676745692</v>
      </c>
      <c r="U414" s="12">
        <v>1.2904264424495175</v>
      </c>
      <c r="V414" s="12"/>
      <c r="W414" s="12"/>
    </row>
    <row r="415" spans="3:23" x14ac:dyDescent="0.25">
      <c r="C415" s="3"/>
      <c r="D415" s="3"/>
      <c r="G415" s="3"/>
      <c r="H415" s="3"/>
      <c r="I415" s="3"/>
      <c r="J415" s="3"/>
      <c r="K415" s="3"/>
      <c r="L415" s="40"/>
      <c r="M415" s="3"/>
      <c r="N415" s="3"/>
      <c r="O415" s="3"/>
      <c r="P415" s="5">
        <v>0.90400000000000003</v>
      </c>
      <c r="Q415" s="150">
        <f t="shared" si="17"/>
        <v>40923.879999999939</v>
      </c>
      <c r="R415" s="12">
        <v>0.33</v>
      </c>
      <c r="S415" s="78">
        <v>-1.3721350138507413</v>
      </c>
      <c r="T415" s="144">
        <v>0.23805812106594504</v>
      </c>
      <c r="U415" s="12">
        <v>1.5546499422975546</v>
      </c>
      <c r="V415" s="12"/>
      <c r="W415" s="12"/>
    </row>
    <row r="416" spans="3:23" x14ac:dyDescent="0.25">
      <c r="C416" s="3"/>
      <c r="D416" s="3"/>
      <c r="G416" s="3"/>
      <c r="H416" s="3"/>
      <c r="I416" s="3"/>
      <c r="J416" s="3"/>
      <c r="K416" s="3"/>
      <c r="L416" s="40"/>
      <c r="M416" s="3"/>
      <c r="N416" s="3"/>
      <c r="O416" s="3"/>
      <c r="P416" s="5">
        <v>0.91600000000000004</v>
      </c>
      <c r="Q416" s="150">
        <f t="shared" si="17"/>
        <v>40937.019999999939</v>
      </c>
      <c r="R416" s="12">
        <v>0.44400000000000001</v>
      </c>
      <c r="S416" s="78">
        <v>-1.8441188752374622</v>
      </c>
      <c r="T416" s="144">
        <v>0.2550885346196835</v>
      </c>
      <c r="U416" s="12">
        <v>1.8237903977143766</v>
      </c>
      <c r="V416" s="12"/>
      <c r="W416" s="12"/>
    </row>
    <row r="417" spans="1:23" x14ac:dyDescent="0.25">
      <c r="C417" s="3"/>
      <c r="D417" s="3"/>
      <c r="G417" s="3"/>
      <c r="H417" s="3"/>
      <c r="I417" s="3"/>
      <c r="J417" s="3"/>
      <c r="K417" s="3"/>
      <c r="L417" s="40"/>
      <c r="M417" s="3"/>
      <c r="N417" s="3"/>
      <c r="O417" s="3"/>
      <c r="P417" s="5">
        <v>0.93</v>
      </c>
      <c r="Q417" s="150">
        <f t="shared" si="17"/>
        <v>40952.34999999994</v>
      </c>
      <c r="R417" s="12">
        <v>0.55599999999999994</v>
      </c>
      <c r="S417" s="78">
        <v>-2.6289942185652868</v>
      </c>
      <c r="T417" s="144">
        <v>0.27736043296664509</v>
      </c>
      <c r="U417" s="12">
        <v>2.197223757432738</v>
      </c>
      <c r="V417" s="12"/>
      <c r="W417" s="12"/>
    </row>
    <row r="418" spans="1:23" x14ac:dyDescent="0.25">
      <c r="C418" s="3"/>
      <c r="D418" s="3"/>
      <c r="G418" s="3"/>
      <c r="H418" s="3"/>
      <c r="I418" s="3"/>
      <c r="J418" s="3"/>
      <c r="K418" s="3"/>
      <c r="L418" s="40"/>
      <c r="M418" s="3"/>
      <c r="N418" s="3"/>
      <c r="O418" s="3"/>
      <c r="P418" s="5">
        <v>0.94</v>
      </c>
      <c r="Q418" s="150">
        <f t="shared" si="17"/>
        <v>40963.299999999937</v>
      </c>
      <c r="R418" s="12">
        <v>0.38800000000000001</v>
      </c>
      <c r="S418" s="78">
        <v>-0.43698941932751856</v>
      </c>
      <c r="T418" s="144">
        <v>0.16747455732690159</v>
      </c>
      <c r="U418" s="12">
        <v>2.5099180644263424</v>
      </c>
      <c r="V418" s="12"/>
      <c r="W418" s="12"/>
    </row>
    <row r="419" spans="1:23" x14ac:dyDescent="0.25">
      <c r="C419" s="3"/>
      <c r="D419" s="3"/>
      <c r="G419" s="3"/>
      <c r="H419" s="3"/>
      <c r="I419" s="3"/>
      <c r="J419" s="3"/>
      <c r="K419" s="3"/>
      <c r="L419" s="40"/>
      <c r="M419" s="3"/>
      <c r="N419" s="3"/>
      <c r="O419" s="3"/>
      <c r="P419" s="5">
        <v>0.95199999999999996</v>
      </c>
      <c r="Q419" s="150">
        <f t="shared" si="17"/>
        <v>40976.439999999937</v>
      </c>
      <c r="R419" s="12">
        <v>0.89399999999999991</v>
      </c>
      <c r="S419" s="78">
        <v>1.443300181735842</v>
      </c>
      <c r="T419" s="144">
        <v>0.1098976410377081</v>
      </c>
      <c r="U419" s="12">
        <v>2.9444342037446831</v>
      </c>
      <c r="V419" s="12"/>
      <c r="W419" s="12"/>
    </row>
    <row r="420" spans="1:23" x14ac:dyDescent="0.25">
      <c r="C420" s="3"/>
      <c r="D420" s="3"/>
      <c r="G420" s="3"/>
      <c r="H420" s="3"/>
      <c r="I420" s="3"/>
      <c r="J420" s="3"/>
      <c r="K420" s="3"/>
      <c r="L420" s="40"/>
      <c r="M420" s="3"/>
      <c r="N420" s="3"/>
      <c r="O420" s="3"/>
      <c r="P420" s="5">
        <v>0.96399999999999997</v>
      </c>
      <c r="Q420" s="150">
        <f t="shared" si="17"/>
        <v>40989.579999999936</v>
      </c>
      <c r="R420" s="12">
        <v>1.734</v>
      </c>
      <c r="S420" s="78">
        <v>4.8903997600381119</v>
      </c>
      <c r="T420" s="144">
        <v>0.13085181481263602</v>
      </c>
      <c r="U420" s="12">
        <v>3.4541736254498403</v>
      </c>
      <c r="V420" s="12"/>
      <c r="W420" s="12"/>
    </row>
    <row r="421" spans="1:23" x14ac:dyDescent="0.25">
      <c r="C421" s="3"/>
      <c r="D421" s="3"/>
      <c r="G421" s="3"/>
      <c r="H421" s="3"/>
      <c r="I421" s="3"/>
      <c r="J421" s="3"/>
      <c r="K421" s="3"/>
      <c r="L421" s="40"/>
      <c r="M421" s="3"/>
      <c r="N421" s="3"/>
      <c r="O421" s="3"/>
      <c r="P421" s="5">
        <v>0.98599999999999999</v>
      </c>
      <c r="Q421" s="150">
        <f t="shared" si="17"/>
        <v>41013.669999999933</v>
      </c>
      <c r="R421" s="12">
        <v>1.9040000000000001</v>
      </c>
      <c r="S421" s="78">
        <v>8.6512730331065057</v>
      </c>
      <c r="T421" s="144">
        <v>8.7663980234131425E-2</v>
      </c>
      <c r="U421" s="12">
        <v>4.6288353355193665</v>
      </c>
      <c r="V421" s="12"/>
      <c r="W421" s="12"/>
    </row>
    <row r="422" spans="1:23" x14ac:dyDescent="0.25">
      <c r="C422" s="3"/>
      <c r="D422" s="3"/>
      <c r="G422" s="3"/>
      <c r="H422" s="3"/>
      <c r="I422" s="3"/>
      <c r="J422" s="3"/>
      <c r="K422" s="3"/>
      <c r="L422" s="40"/>
      <c r="M422" s="3"/>
      <c r="N422" s="3"/>
      <c r="O422" s="3"/>
      <c r="P422" s="5">
        <v>0.996</v>
      </c>
      <c r="Q422" s="150">
        <v>41029</v>
      </c>
      <c r="R422" s="12">
        <v>2.2400000000000002</v>
      </c>
      <c r="S422" s="78">
        <v>12.723273362465962</v>
      </c>
      <c r="T422" s="144">
        <v>0.25392964292017178</v>
      </c>
      <c r="U422" s="12">
        <v>5.57662052678939</v>
      </c>
      <c r="V422" s="12"/>
      <c r="W422" s="12"/>
    </row>
    <row r="423" spans="1:23" x14ac:dyDescent="0.25">
      <c r="A423" s="6">
        <v>12</v>
      </c>
      <c r="B423" s="33" t="s">
        <v>83</v>
      </c>
      <c r="C423" s="44">
        <v>35.35</v>
      </c>
      <c r="D423" s="44">
        <v>109.38</v>
      </c>
      <c r="E423" s="33" t="s">
        <v>125</v>
      </c>
      <c r="F423" s="33" t="s">
        <v>38</v>
      </c>
      <c r="G423" s="11">
        <v>0.46574999999999994</v>
      </c>
      <c r="H423" s="11">
        <v>9.1866666666666639</v>
      </c>
      <c r="I423" s="11">
        <v>2.4440753120000003</v>
      </c>
      <c r="J423" s="44">
        <v>0.13068731848983545</v>
      </c>
      <c r="K423" s="11">
        <f>I423/J423</f>
        <v>18.701702202192592</v>
      </c>
      <c r="L423" s="14">
        <f>AVERAGE(1.15,1.28)</f>
        <v>1.2149999999999999</v>
      </c>
      <c r="M423" s="7">
        <f>9.353*EXP(-0.023*H423-0.622*L423-0.182*J423-0.009*K423)*(I423/(I423+0.567))</f>
        <v>2.382006016505779</v>
      </c>
      <c r="N423" s="7">
        <f>LN(M423)/10</f>
        <v>8.6794299675098441E-2</v>
      </c>
      <c r="O423" s="11">
        <f>4.3573*EXP(-1.002*M423)</f>
        <v>0.40054969849158711</v>
      </c>
      <c r="P423" s="108"/>
      <c r="Q423" s="149">
        <v>42114</v>
      </c>
      <c r="R423" s="133">
        <v>1.2264463544754001</v>
      </c>
      <c r="S423" s="61">
        <v>21.283947510125724</v>
      </c>
      <c r="T423" s="133">
        <v>0.17134552454282964</v>
      </c>
      <c r="U423" s="13">
        <v>4.5500224733439234</v>
      </c>
      <c r="V423" s="13"/>
      <c r="W423" s="13" t="s">
        <v>106</v>
      </c>
    </row>
    <row r="424" spans="1:23" x14ac:dyDescent="0.25">
      <c r="B424" s="8"/>
      <c r="C424" s="9"/>
      <c r="D424" s="9"/>
      <c r="E424" s="8"/>
      <c r="F424" s="8"/>
      <c r="G424" s="9"/>
      <c r="H424" s="9"/>
      <c r="I424" s="9"/>
      <c r="J424" s="9"/>
      <c r="K424" s="9"/>
      <c r="L424" s="32"/>
      <c r="M424" s="8"/>
      <c r="N424" s="8"/>
      <c r="O424" s="18"/>
      <c r="P424" s="109"/>
      <c r="Q424" s="151">
        <v>42144</v>
      </c>
      <c r="R424" s="134">
        <v>1.505826911677534</v>
      </c>
      <c r="S424" s="30">
        <v>25.230257766956193</v>
      </c>
      <c r="T424" s="134">
        <v>6.5058710298363812E-2</v>
      </c>
      <c r="U424" s="15">
        <v>1.1312035700580789</v>
      </c>
      <c r="V424" s="15"/>
      <c r="W424" s="15"/>
    </row>
    <row r="425" spans="1:23" x14ac:dyDescent="0.25">
      <c r="B425" s="8"/>
      <c r="C425" s="9"/>
      <c r="D425" s="9"/>
      <c r="E425" s="8"/>
      <c r="F425" s="8"/>
      <c r="G425" s="9"/>
      <c r="H425" s="9"/>
      <c r="I425" s="9"/>
      <c r="J425" s="9"/>
      <c r="K425" s="9"/>
      <c r="L425" s="32"/>
      <c r="M425" s="8"/>
      <c r="N425" s="9"/>
      <c r="O425" s="9"/>
      <c r="P425" s="109"/>
      <c r="Q425" s="151">
        <v>42175</v>
      </c>
      <c r="R425" s="134">
        <v>1.9337788974510965</v>
      </c>
      <c r="S425" s="30">
        <v>28.411695502540208</v>
      </c>
      <c r="T425" s="134">
        <v>2.3060635226179019E-2</v>
      </c>
      <c r="U425" s="15">
        <v>0.86177291963161751</v>
      </c>
      <c r="V425" s="15"/>
      <c r="W425" s="15"/>
    </row>
    <row r="426" spans="1:23" x14ac:dyDescent="0.25">
      <c r="B426" s="8"/>
      <c r="C426" s="9"/>
      <c r="D426" s="9"/>
      <c r="E426" s="8"/>
      <c r="F426" s="8"/>
      <c r="G426" s="9"/>
      <c r="H426" s="9"/>
      <c r="I426" s="9"/>
      <c r="J426" s="9"/>
      <c r="K426" s="9"/>
      <c r="L426" s="32"/>
      <c r="M426" s="9"/>
      <c r="N426" s="9"/>
      <c r="O426" s="9"/>
      <c r="P426" s="109"/>
      <c r="Q426" s="151">
        <v>42205</v>
      </c>
      <c r="R426" s="134">
        <v>2.5845494961470066</v>
      </c>
      <c r="S426" s="30">
        <v>30.446087842108959</v>
      </c>
      <c r="T426" s="134">
        <v>0.13943792107795958</v>
      </c>
      <c r="U426" s="15">
        <v>2.5225200469904636</v>
      </c>
      <c r="V426" s="15"/>
      <c r="W426" s="15"/>
    </row>
    <row r="427" spans="1:23" x14ac:dyDescent="0.25">
      <c r="B427" s="8"/>
      <c r="C427" s="9"/>
      <c r="D427" s="9"/>
      <c r="E427" s="8"/>
      <c r="F427" s="8"/>
      <c r="G427" s="9"/>
      <c r="H427" s="9"/>
      <c r="I427" s="9"/>
      <c r="J427" s="9"/>
      <c r="K427" s="9"/>
      <c r="L427" s="32"/>
      <c r="M427" s="9"/>
      <c r="N427" s="9"/>
      <c r="O427" s="9"/>
      <c r="P427" s="109"/>
      <c r="Q427" s="151">
        <v>42236</v>
      </c>
      <c r="R427" s="134">
        <v>2.213891523414345</v>
      </c>
      <c r="S427" s="30">
        <v>29.803426357315104</v>
      </c>
      <c r="T427" s="134">
        <v>0.13004427333974974</v>
      </c>
      <c r="U427" s="15">
        <v>7.6528723520416699</v>
      </c>
      <c r="V427" s="15"/>
      <c r="W427" s="15"/>
    </row>
    <row r="428" spans="1:23" x14ac:dyDescent="0.25">
      <c r="B428" s="8"/>
      <c r="C428" s="9"/>
      <c r="D428" s="9"/>
      <c r="E428" s="8"/>
      <c r="F428" s="8"/>
      <c r="G428" s="9"/>
      <c r="H428" s="9"/>
      <c r="I428" s="9"/>
      <c r="J428" s="9"/>
      <c r="K428" s="9"/>
      <c r="L428" s="32"/>
      <c r="M428" s="9"/>
      <c r="N428" s="9"/>
      <c r="O428" s="9"/>
      <c r="P428" s="22"/>
      <c r="Q428" s="151">
        <v>42267</v>
      </c>
      <c r="R428" s="134">
        <v>1.0818049792531121</v>
      </c>
      <c r="S428" s="30">
        <v>24.699271884437991</v>
      </c>
      <c r="T428" s="134">
        <v>0.19145332050048125</v>
      </c>
      <c r="U428" s="15">
        <v>3.2414854196909011</v>
      </c>
      <c r="V428" s="15"/>
      <c r="W428" s="15"/>
    </row>
    <row r="429" spans="1:23" x14ac:dyDescent="0.25">
      <c r="B429" s="8"/>
      <c r="C429" s="9"/>
      <c r="D429" s="9"/>
      <c r="E429" s="8"/>
      <c r="F429" s="8"/>
      <c r="G429" s="9"/>
      <c r="H429" s="9"/>
      <c r="I429" s="9"/>
      <c r="J429" s="9"/>
      <c r="K429" s="9"/>
      <c r="L429" s="32"/>
      <c r="M429" s="9"/>
      <c r="N429" s="9"/>
      <c r="O429" s="9"/>
      <c r="P429" s="22"/>
      <c r="Q429" s="151">
        <v>42297</v>
      </c>
      <c r="R429" s="134">
        <v>1.1754327208061648</v>
      </c>
      <c r="S429" s="30">
        <v>17.55493058319481</v>
      </c>
      <c r="T429" s="134">
        <v>0.2109412897016362</v>
      </c>
      <c r="U429" s="15">
        <v>1.3708729764607677</v>
      </c>
      <c r="V429" s="15"/>
      <c r="W429" s="15"/>
    </row>
    <row r="430" spans="1:23" x14ac:dyDescent="0.25">
      <c r="B430" s="8"/>
      <c r="C430" s="9"/>
      <c r="D430" s="9"/>
      <c r="E430" s="8"/>
      <c r="F430" s="8"/>
      <c r="G430" s="9"/>
      <c r="H430" s="9"/>
      <c r="I430" s="9"/>
      <c r="J430" s="9"/>
      <c r="K430" s="9"/>
      <c r="L430" s="32"/>
      <c r="M430" s="9"/>
      <c r="N430" s="9"/>
      <c r="O430" s="9"/>
      <c r="P430" s="22"/>
      <c r="Q430" s="151">
        <v>42328</v>
      </c>
      <c r="R430" s="134">
        <v>0.50763189093064609</v>
      </c>
      <c r="S430" s="30">
        <v>13.725300259874045</v>
      </c>
      <c r="T430" s="134">
        <v>0.2397497593840231</v>
      </c>
      <c r="U430" s="15">
        <v>0.78882482651086927</v>
      </c>
      <c r="V430" s="15"/>
      <c r="W430" s="15"/>
    </row>
    <row r="431" spans="1:23" x14ac:dyDescent="0.25">
      <c r="B431" s="8"/>
      <c r="C431" s="9"/>
      <c r="D431" s="9"/>
      <c r="E431" s="8"/>
      <c r="F431" s="8"/>
      <c r="G431" s="9"/>
      <c r="H431" s="9"/>
      <c r="I431" s="9"/>
      <c r="J431" s="9"/>
      <c r="K431" s="9"/>
      <c r="L431" s="32"/>
      <c r="M431" s="9"/>
      <c r="N431" s="9"/>
      <c r="O431" s="9"/>
      <c r="P431" s="22"/>
      <c r="Q431" s="151">
        <v>42358</v>
      </c>
      <c r="R431" s="134">
        <v>0.28554534676941312</v>
      </c>
      <c r="S431" s="30">
        <v>7.4735736192728215</v>
      </c>
      <c r="T431" s="134">
        <v>0.1325274302213667</v>
      </c>
      <c r="U431" s="15">
        <v>1.158787265633588</v>
      </c>
      <c r="V431" s="15"/>
      <c r="W431" s="15"/>
    </row>
    <row r="432" spans="1:23" x14ac:dyDescent="0.25">
      <c r="B432" s="8"/>
      <c r="C432" s="9"/>
      <c r="D432" s="9"/>
      <c r="E432" s="8"/>
      <c r="F432" s="8"/>
      <c r="G432" s="9"/>
      <c r="H432" s="9"/>
      <c r="I432" s="9"/>
      <c r="J432" s="9"/>
      <c r="K432" s="9"/>
      <c r="L432" s="32"/>
      <c r="M432" s="9"/>
      <c r="N432" s="9"/>
      <c r="O432" s="9"/>
      <c r="P432" s="22"/>
      <c r="Q432" s="151">
        <v>42389</v>
      </c>
      <c r="R432" s="134">
        <v>0.13778304682868997</v>
      </c>
      <c r="S432" s="30">
        <v>7.7232634092664991</v>
      </c>
      <c r="T432" s="134">
        <v>7.9349374398460071E-2</v>
      </c>
      <c r="U432" s="15">
        <v>1.7242264197546855</v>
      </c>
      <c r="V432" s="15"/>
      <c r="W432" s="15"/>
    </row>
    <row r="433" spans="1:23" x14ac:dyDescent="0.25">
      <c r="B433" s="8"/>
      <c r="C433" s="9"/>
      <c r="D433" s="9"/>
      <c r="E433" s="8"/>
      <c r="F433" s="8"/>
      <c r="G433" s="9"/>
      <c r="H433" s="9"/>
      <c r="I433" s="9"/>
      <c r="J433" s="9"/>
      <c r="K433" s="9"/>
      <c r="L433" s="32"/>
      <c r="M433" s="9"/>
      <c r="N433" s="9"/>
      <c r="O433" s="9"/>
      <c r="P433" s="22"/>
      <c r="Q433" s="151">
        <v>42420</v>
      </c>
      <c r="R433" s="134">
        <v>0.49137225844694726</v>
      </c>
      <c r="S433" s="30">
        <v>9.5029616276075206</v>
      </c>
      <c r="T433" s="134">
        <v>0.15193455245428297</v>
      </c>
      <c r="U433" s="15">
        <v>2.5655759557855875</v>
      </c>
      <c r="V433" s="15"/>
      <c r="W433" s="15"/>
    </row>
    <row r="434" spans="1:23" x14ac:dyDescent="0.25">
      <c r="B434" s="8"/>
      <c r="C434" s="9"/>
      <c r="D434" s="9"/>
      <c r="E434" s="8"/>
      <c r="F434" s="8"/>
      <c r="G434" s="9"/>
      <c r="H434" s="9"/>
      <c r="I434" s="9"/>
      <c r="J434" s="9"/>
      <c r="K434" s="9"/>
      <c r="L434" s="32"/>
      <c r="M434" s="9"/>
      <c r="N434" s="9"/>
      <c r="O434" s="9"/>
      <c r="P434" s="22"/>
      <c r="Q434" s="151">
        <v>42449</v>
      </c>
      <c r="R434" s="134">
        <v>0.73357142857142854</v>
      </c>
      <c r="S434" s="30">
        <v>14.596317280453258</v>
      </c>
      <c r="T434" s="134">
        <v>0.14627141482194417</v>
      </c>
      <c r="U434" s="15">
        <v>3.7208364590127916</v>
      </c>
      <c r="V434" s="15"/>
      <c r="W434" s="15"/>
    </row>
    <row r="435" spans="1:23" x14ac:dyDescent="0.25">
      <c r="B435" s="8"/>
      <c r="C435" s="9"/>
      <c r="D435" s="9"/>
      <c r="E435" s="8"/>
      <c r="F435" s="8"/>
      <c r="G435" s="9"/>
      <c r="H435" s="9"/>
      <c r="I435" s="9"/>
      <c r="J435" s="9"/>
      <c r="K435" s="9"/>
      <c r="L435" s="32"/>
      <c r="M435" s="9"/>
      <c r="N435" s="9"/>
      <c r="O435" s="9"/>
      <c r="P435" s="22"/>
      <c r="Q435" s="151">
        <v>42480</v>
      </c>
      <c r="R435" s="134">
        <v>1.2543420272673385</v>
      </c>
      <c r="S435" s="30">
        <v>21.729596375810644</v>
      </c>
      <c r="T435" s="134">
        <v>0.15737054860442734</v>
      </c>
      <c r="U435" s="15">
        <v>4.343746272265558</v>
      </c>
      <c r="V435" s="15"/>
      <c r="W435" s="15"/>
    </row>
    <row r="436" spans="1:23" x14ac:dyDescent="0.25">
      <c r="B436" s="8"/>
      <c r="C436" s="9"/>
      <c r="D436" s="9"/>
      <c r="E436" s="8"/>
      <c r="F436" s="8"/>
      <c r="G436" s="9"/>
      <c r="H436" s="9"/>
      <c r="I436" s="9"/>
      <c r="J436" s="9"/>
      <c r="K436" s="9"/>
      <c r="L436" s="32"/>
      <c r="M436" s="9"/>
      <c r="N436" s="9"/>
      <c r="O436" s="9"/>
      <c r="P436" s="22"/>
      <c r="Q436" s="151">
        <v>42510</v>
      </c>
      <c r="R436" s="134">
        <v>1.6637611144042679</v>
      </c>
      <c r="S436" s="30">
        <v>24.146951747711469</v>
      </c>
      <c r="T436" s="134">
        <v>0.17965351299326277</v>
      </c>
      <c r="U436" s="15">
        <v>1.0799202244383874</v>
      </c>
      <c r="V436" s="15"/>
      <c r="W436" s="15"/>
    </row>
    <row r="437" spans="1:23" x14ac:dyDescent="0.25">
      <c r="B437" s="8"/>
      <c r="C437" s="9"/>
      <c r="D437" s="9"/>
      <c r="E437" s="8"/>
      <c r="F437" s="8"/>
      <c r="G437" s="9"/>
      <c r="H437" s="9"/>
      <c r="I437" s="9"/>
      <c r="J437" s="9"/>
      <c r="K437" s="9"/>
      <c r="L437" s="32"/>
      <c r="M437" s="9"/>
      <c r="N437" s="9"/>
      <c r="O437" s="9"/>
      <c r="P437" s="22"/>
      <c r="Q437" s="151">
        <v>42541</v>
      </c>
      <c r="R437" s="134">
        <v>1.8687788974510968</v>
      </c>
      <c r="S437" s="30">
        <v>28.09299861868752</v>
      </c>
      <c r="T437" s="134">
        <v>0.21311645813282001</v>
      </c>
      <c r="U437" s="15">
        <v>0.86177291963161751</v>
      </c>
      <c r="V437" s="15"/>
      <c r="W437" s="15"/>
    </row>
    <row r="438" spans="1:23" x14ac:dyDescent="0.25">
      <c r="B438" s="8"/>
      <c r="C438" s="9"/>
      <c r="D438" s="9"/>
      <c r="E438" s="8"/>
      <c r="F438" s="8"/>
      <c r="G438" s="9"/>
      <c r="H438" s="9"/>
      <c r="I438" s="9"/>
      <c r="J438" s="9"/>
      <c r="K438" s="9"/>
      <c r="L438" s="32"/>
      <c r="M438" s="9"/>
      <c r="N438" s="9"/>
      <c r="O438" s="9"/>
      <c r="P438" s="22"/>
      <c r="Q438" s="151">
        <v>42571</v>
      </c>
      <c r="R438" s="134">
        <v>2.5938352104327209</v>
      </c>
      <c r="S438" s="30">
        <v>28.852866808699929</v>
      </c>
      <c r="T438" s="134">
        <v>0.17205004812319535</v>
      </c>
      <c r="U438" s="15">
        <v>2.5225200469904636</v>
      </c>
      <c r="V438" s="15"/>
      <c r="W438" s="15"/>
    </row>
    <row r="439" spans="1:23" x14ac:dyDescent="0.25">
      <c r="B439" s="8"/>
      <c r="C439" s="9"/>
      <c r="D439" s="9"/>
      <c r="E439" s="8"/>
      <c r="F439" s="8"/>
      <c r="G439" s="9"/>
      <c r="H439" s="9"/>
      <c r="I439" s="9"/>
      <c r="J439" s="9"/>
      <c r="K439" s="9"/>
      <c r="L439" s="32"/>
      <c r="M439" s="9"/>
      <c r="N439" s="9"/>
      <c r="O439" s="9"/>
      <c r="P439" s="22"/>
      <c r="Q439" s="151">
        <v>42602</v>
      </c>
      <c r="R439" s="134">
        <v>2.3346443390634262</v>
      </c>
      <c r="S439" s="30">
        <v>29.102293212839186</v>
      </c>
      <c r="T439" s="134">
        <v>0.11513763233878729</v>
      </c>
      <c r="U439" s="15">
        <v>7.6528723520416699</v>
      </c>
      <c r="V439" s="15"/>
      <c r="W439" s="15"/>
    </row>
    <row r="440" spans="1:23" x14ac:dyDescent="0.25">
      <c r="B440" s="8"/>
      <c r="C440" s="9"/>
      <c r="D440" s="9"/>
      <c r="E440" s="8"/>
      <c r="F440" s="8"/>
      <c r="G440" s="9"/>
      <c r="H440" s="9"/>
      <c r="I440" s="9"/>
      <c r="J440" s="9"/>
      <c r="K440" s="9"/>
      <c r="L440" s="32"/>
      <c r="M440" s="9"/>
      <c r="N440" s="9"/>
      <c r="O440" s="9"/>
      <c r="P440" s="22"/>
      <c r="Q440" s="151">
        <v>42633</v>
      </c>
      <c r="R440" s="134">
        <v>1.8710906935388265</v>
      </c>
      <c r="S440" s="30">
        <v>24.507790368271955</v>
      </c>
      <c r="T440" s="134">
        <v>0.13928392685274302</v>
      </c>
      <c r="U440" s="15">
        <v>3.2414854196909011</v>
      </c>
      <c r="V440" s="15"/>
      <c r="W440" s="15"/>
    </row>
    <row r="441" spans="1:23" x14ac:dyDescent="0.25">
      <c r="B441" s="8"/>
      <c r="C441" s="9"/>
      <c r="D441" s="9"/>
      <c r="E441" s="8"/>
      <c r="F441" s="8"/>
      <c r="G441" s="9"/>
      <c r="H441" s="9"/>
      <c r="I441" s="9"/>
      <c r="J441" s="9"/>
      <c r="K441" s="9"/>
      <c r="L441" s="32"/>
      <c r="M441" s="9"/>
      <c r="N441" s="9"/>
      <c r="O441" s="9"/>
      <c r="P441" s="22"/>
      <c r="Q441" s="151">
        <v>42663</v>
      </c>
      <c r="R441" s="134">
        <v>1.6304712507409602</v>
      </c>
      <c r="S441" s="30">
        <v>18.001369606443003</v>
      </c>
      <c r="T441" s="134">
        <v>0.17554186717998074</v>
      </c>
      <c r="U441" s="15">
        <v>1.3708729764607677</v>
      </c>
      <c r="V441" s="15"/>
      <c r="W441" s="15"/>
    </row>
    <row r="442" spans="1:23" x14ac:dyDescent="0.25">
      <c r="B442" s="8"/>
      <c r="C442" s="9"/>
      <c r="D442" s="9"/>
      <c r="E442" s="8"/>
      <c r="F442" s="8"/>
      <c r="G442" s="9"/>
      <c r="H442" s="9"/>
      <c r="I442" s="9"/>
      <c r="J442" s="9"/>
      <c r="K442" s="9"/>
      <c r="L442" s="32"/>
      <c r="M442" s="9"/>
      <c r="N442" s="9"/>
      <c r="O442" s="9"/>
      <c r="P442" s="22"/>
      <c r="Q442" s="151">
        <v>42694</v>
      </c>
      <c r="R442" s="134">
        <v>0.55409899229401305</v>
      </c>
      <c r="S442" s="30">
        <v>11.494422072905204</v>
      </c>
      <c r="T442" s="134">
        <v>0.19223099133782484</v>
      </c>
      <c r="U442" s="15">
        <v>0.78882482651086927</v>
      </c>
      <c r="V442" s="15"/>
      <c r="W442" s="15"/>
    </row>
    <row r="443" spans="1:23" x14ac:dyDescent="0.25">
      <c r="B443" s="8"/>
      <c r="C443" s="9"/>
      <c r="D443" s="9"/>
      <c r="E443" s="8"/>
      <c r="F443" s="8"/>
      <c r="G443" s="9"/>
      <c r="H443" s="9"/>
      <c r="I443" s="9"/>
      <c r="J443" s="9"/>
      <c r="K443" s="9"/>
      <c r="L443" s="32"/>
      <c r="M443" s="9"/>
      <c r="N443" s="9"/>
      <c r="O443" s="9"/>
      <c r="P443" s="22"/>
      <c r="Q443" s="151">
        <v>42724</v>
      </c>
      <c r="R443" s="134">
        <v>0.36915530527563722</v>
      </c>
      <c r="S443" s="30">
        <v>8.1747067637487412</v>
      </c>
      <c r="T443" s="134">
        <v>0.12786910490856593</v>
      </c>
      <c r="U443" s="15">
        <v>1.158787265633588</v>
      </c>
      <c r="V443" s="15"/>
      <c r="W443" s="15"/>
    </row>
    <row r="444" spans="1:23" x14ac:dyDescent="0.25">
      <c r="B444" s="8"/>
      <c r="C444" s="9"/>
      <c r="D444" s="9"/>
      <c r="E444" s="8"/>
      <c r="F444" s="8"/>
      <c r="G444" s="9"/>
      <c r="H444" s="9"/>
      <c r="I444" s="9"/>
      <c r="J444" s="9"/>
      <c r="K444" s="9"/>
      <c r="L444" s="32"/>
      <c r="M444" s="9"/>
      <c r="N444" s="9"/>
      <c r="O444" s="9"/>
      <c r="P444" s="22"/>
      <c r="Q444" s="151">
        <v>42755</v>
      </c>
      <c r="R444" s="134">
        <v>0.36996443390634265</v>
      </c>
      <c r="S444" s="30">
        <v>6.6396940041673496</v>
      </c>
      <c r="T444" s="15">
        <v>0.1249971</v>
      </c>
      <c r="U444" s="15">
        <v>1.7242264197546855</v>
      </c>
      <c r="V444" s="15"/>
      <c r="W444" s="15"/>
    </row>
    <row r="445" spans="1:23" x14ac:dyDescent="0.25">
      <c r="B445" s="8"/>
      <c r="C445" s="9"/>
      <c r="D445" s="9"/>
      <c r="E445" s="8"/>
      <c r="F445" s="8"/>
      <c r="G445" s="9"/>
      <c r="H445" s="9"/>
      <c r="I445" s="9"/>
      <c r="J445" s="9"/>
      <c r="K445" s="9"/>
      <c r="L445" s="32"/>
      <c r="M445" s="9"/>
      <c r="N445" s="9"/>
      <c r="O445" s="9"/>
      <c r="P445" s="22"/>
      <c r="Q445" s="151">
        <v>42786</v>
      </c>
      <c r="R445" s="134">
        <v>0.53783935981031417</v>
      </c>
      <c r="S445" s="30">
        <v>9.4384320932737111</v>
      </c>
      <c r="T445" s="134">
        <v>8.486236766121269E-2</v>
      </c>
      <c r="U445" s="15">
        <v>2.5655759557855875</v>
      </c>
      <c r="V445" s="15"/>
      <c r="W445" s="15"/>
    </row>
    <row r="446" spans="1:23" x14ac:dyDescent="0.25">
      <c r="B446" s="8"/>
      <c r="C446" s="9"/>
      <c r="D446" s="9"/>
      <c r="E446" s="8"/>
      <c r="F446" s="8"/>
      <c r="G446" s="9"/>
      <c r="H446" s="9"/>
      <c r="I446" s="9"/>
      <c r="J446" s="9"/>
      <c r="K446" s="46"/>
      <c r="L446" s="43"/>
      <c r="M446" s="46"/>
      <c r="N446" s="46"/>
      <c r="O446" s="46"/>
      <c r="P446" s="105"/>
      <c r="Q446" s="152">
        <v>42821</v>
      </c>
      <c r="R446" s="135">
        <v>1.0400385299347954</v>
      </c>
      <c r="S446" s="62">
        <v>10.071084915599466</v>
      </c>
      <c r="T446" s="135">
        <v>0.12856592877767084</v>
      </c>
      <c r="U446" s="136">
        <v>4.0183264001767443</v>
      </c>
      <c r="V446" s="15"/>
      <c r="W446" s="15"/>
    </row>
    <row r="447" spans="1:23" x14ac:dyDescent="0.25">
      <c r="A447" s="6">
        <v>13</v>
      </c>
      <c r="B447" s="6" t="s">
        <v>84</v>
      </c>
      <c r="C447" s="44">
        <v>35.216999999999999</v>
      </c>
      <c r="D447" s="44">
        <v>107.667</v>
      </c>
      <c r="E447" s="33" t="s">
        <v>154</v>
      </c>
      <c r="F447" s="33" t="s">
        <v>38</v>
      </c>
      <c r="G447" s="11">
        <v>0.75159999999999993</v>
      </c>
      <c r="H447" s="11">
        <v>10.70833333333333</v>
      </c>
      <c r="I447" s="11">
        <v>1.3475000000000001</v>
      </c>
      <c r="J447" s="11">
        <v>0.14469583333333333</v>
      </c>
      <c r="K447" s="11">
        <f>I447/J447</f>
        <v>9.3126385809312655</v>
      </c>
      <c r="L447" s="41">
        <v>1.25</v>
      </c>
      <c r="M447" s="7">
        <f>9.353*EXP(-0.023*H447-0.622*L447-0.182*J447-0.009*K447)*(I447/(I447+0.567))</f>
        <v>2.1181681262632504</v>
      </c>
      <c r="N447" s="18">
        <f>LN(M447)/10</f>
        <v>7.5055162375650214E-2</v>
      </c>
      <c r="O447" s="9">
        <f>4.3573*EXP(-1.002*M447)</f>
        <v>0.5217577584752412</v>
      </c>
      <c r="P447" s="10"/>
      <c r="Q447" s="149">
        <v>40575</v>
      </c>
      <c r="R447" s="13"/>
      <c r="S447" s="25"/>
      <c r="T447" s="13"/>
      <c r="U447" s="13"/>
      <c r="V447" s="13"/>
      <c r="W447" s="13" t="s">
        <v>107</v>
      </c>
    </row>
    <row r="448" spans="1:23" x14ac:dyDescent="0.25">
      <c r="B448" s="8"/>
      <c r="C448" s="9"/>
      <c r="D448" s="9"/>
      <c r="E448" s="8"/>
      <c r="F448" s="8"/>
      <c r="G448" s="9"/>
      <c r="H448" s="9"/>
      <c r="I448" s="9"/>
      <c r="J448" s="9"/>
      <c r="K448" s="9"/>
      <c r="L448" s="32"/>
      <c r="M448" s="8"/>
      <c r="N448" s="8"/>
      <c r="O448" s="18"/>
      <c r="P448" s="96">
        <v>3.8852982828983973E-2</v>
      </c>
      <c r="Q448" s="151">
        <f t="shared" ref="Q448:Q494" si="18">Q447+(P448-P447)*365*3</f>
        <v>40617.544016197739</v>
      </c>
      <c r="R448" s="123">
        <v>1.1376975169300225</v>
      </c>
      <c r="S448" s="51">
        <v>8.0327868852459012</v>
      </c>
      <c r="T448" s="123">
        <v>0.20414475719146302</v>
      </c>
      <c r="U448" s="15">
        <v>3.4694827284272987</v>
      </c>
      <c r="V448" s="15"/>
      <c r="W448" s="15"/>
    </row>
    <row r="449" spans="1:23" x14ac:dyDescent="0.25">
      <c r="B449" s="8"/>
      <c r="C449" s="9"/>
      <c r="D449" s="9"/>
      <c r="E449" s="8"/>
      <c r="F449" s="8"/>
      <c r="G449" s="9"/>
      <c r="H449" s="9"/>
      <c r="I449" s="9"/>
      <c r="J449" s="9"/>
      <c r="K449" s="9"/>
      <c r="L449" s="32"/>
      <c r="M449" s="8"/>
      <c r="N449" s="9"/>
      <c r="O449" s="9"/>
      <c r="P449" s="96">
        <v>5.7786321621113634E-2</v>
      </c>
      <c r="Q449" s="151">
        <f t="shared" si="18"/>
        <v>40638.276022175123</v>
      </c>
      <c r="R449" s="123">
        <v>0.83295711060948074</v>
      </c>
      <c r="S449" s="51">
        <v>8.8524590163934427</v>
      </c>
      <c r="T449" s="123">
        <v>0.20414475719146302</v>
      </c>
      <c r="U449" s="15">
        <v>4.5257325966350379</v>
      </c>
      <c r="V449" s="15"/>
      <c r="W449" s="15"/>
    </row>
    <row r="450" spans="1:23" x14ac:dyDescent="0.25">
      <c r="B450" s="8"/>
      <c r="C450" s="9"/>
      <c r="D450" s="9"/>
      <c r="E450" s="8"/>
      <c r="F450" s="8"/>
      <c r="G450" s="9"/>
      <c r="H450" s="9"/>
      <c r="I450" s="9"/>
      <c r="J450" s="9"/>
      <c r="K450" s="9"/>
      <c r="L450" s="32"/>
      <c r="M450" s="9"/>
      <c r="N450" s="9"/>
      <c r="O450" s="9"/>
      <c r="P450" s="96">
        <v>7.8506175573499287E-2</v>
      </c>
      <c r="Q450" s="151">
        <f t="shared" si="18"/>
        <v>40660.964262252986</v>
      </c>
      <c r="R450" s="123">
        <v>2.0316027088036117</v>
      </c>
      <c r="S450" s="51">
        <v>12.950819672131146</v>
      </c>
      <c r="T450" s="123">
        <v>0.14494277760593874</v>
      </c>
      <c r="U450" s="15">
        <v>3.1444224258853062</v>
      </c>
      <c r="V450" s="15"/>
      <c r="W450" s="15"/>
    </row>
    <row r="451" spans="1:23" x14ac:dyDescent="0.25">
      <c r="B451" s="8"/>
      <c r="C451" s="9"/>
      <c r="D451" s="9"/>
      <c r="E451" s="8"/>
      <c r="F451" s="8"/>
      <c r="G451" s="9"/>
      <c r="H451" s="9"/>
      <c r="I451" s="9"/>
      <c r="J451" s="9"/>
      <c r="K451" s="9"/>
      <c r="L451" s="32"/>
      <c r="M451" s="9"/>
      <c r="N451" s="9"/>
      <c r="O451" s="9"/>
      <c r="P451" s="96">
        <v>0.10080225696415246</v>
      </c>
      <c r="Q451" s="151">
        <f t="shared" si="18"/>
        <v>40685.378471375749</v>
      </c>
      <c r="R451" s="123">
        <v>2.4379232505643342</v>
      </c>
      <c r="S451" s="51">
        <v>21.475409836065577</v>
      </c>
      <c r="T451" s="123">
        <v>0.19189607175997525</v>
      </c>
      <c r="U451" s="15"/>
      <c r="V451" s="15"/>
      <c r="W451" s="15"/>
    </row>
    <row r="452" spans="1:23" x14ac:dyDescent="0.25">
      <c r="B452" s="8"/>
      <c r="C452" s="9"/>
      <c r="D452" s="9"/>
      <c r="E452" s="8"/>
      <c r="F452" s="8"/>
      <c r="G452" s="9"/>
      <c r="H452" s="9"/>
      <c r="I452" s="9"/>
      <c r="J452" s="9"/>
      <c r="K452" s="9"/>
      <c r="L452" s="32"/>
      <c r="M452" s="9"/>
      <c r="N452" s="9"/>
      <c r="O452" s="9"/>
      <c r="P452" s="96">
        <v>0.11307152201786887</v>
      </c>
      <c r="Q452" s="151">
        <f t="shared" si="18"/>
        <v>40698.813316609565</v>
      </c>
      <c r="R452" s="123">
        <v>1.3814898419864559</v>
      </c>
      <c r="S452" s="51">
        <v>18.032786885245901</v>
      </c>
      <c r="T452" s="123">
        <v>0.19393751933188988</v>
      </c>
      <c r="U452" s="15"/>
      <c r="V452" s="15"/>
      <c r="W452" s="15"/>
    </row>
    <row r="453" spans="1:23" x14ac:dyDescent="0.25">
      <c r="B453" s="8"/>
      <c r="C453" s="9"/>
      <c r="D453" s="9"/>
      <c r="E453" s="8"/>
      <c r="F453" s="8"/>
      <c r="G453" s="9"/>
      <c r="H453" s="9"/>
      <c r="I453" s="9"/>
      <c r="J453" s="9"/>
      <c r="K453" s="9"/>
      <c r="L453" s="32"/>
      <c r="M453" s="9"/>
      <c r="N453" s="9"/>
      <c r="O453" s="9"/>
      <c r="P453" s="96">
        <v>0.12292340874536389</v>
      </c>
      <c r="Q453" s="151">
        <f t="shared" si="18"/>
        <v>40709.601132576172</v>
      </c>
      <c r="R453" s="123">
        <v>0.93453724604966137</v>
      </c>
      <c r="S453" s="51">
        <v>17.868852459016392</v>
      </c>
      <c r="T453" s="123">
        <v>0.18373028147231671</v>
      </c>
      <c r="U453" s="15">
        <v>0.73620538612266884</v>
      </c>
      <c r="V453" s="15"/>
      <c r="W453" s="15"/>
    </row>
    <row r="454" spans="1:23" x14ac:dyDescent="0.25">
      <c r="B454" s="8"/>
      <c r="C454" s="9"/>
      <c r="D454" s="9"/>
      <c r="E454" s="8"/>
      <c r="F454" s="8"/>
      <c r="G454" s="9"/>
      <c r="H454" s="9"/>
      <c r="I454" s="9"/>
      <c r="J454" s="9"/>
      <c r="K454" s="9"/>
      <c r="L454" s="32"/>
      <c r="M454" s="9"/>
      <c r="N454" s="9"/>
      <c r="O454" s="9"/>
      <c r="P454" s="96">
        <v>0.13783150556704177</v>
      </c>
      <c r="Q454" s="151">
        <f t="shared" si="18"/>
        <v>40725.925498595912</v>
      </c>
      <c r="R454" s="123">
        <v>1.6862302483069977</v>
      </c>
      <c r="S454" s="51">
        <v>27.377049180327873</v>
      </c>
      <c r="T454" s="123">
        <v>0.23680791834209711</v>
      </c>
      <c r="U454" s="15">
        <v>1.3207213665685302</v>
      </c>
      <c r="V454" s="15"/>
      <c r="W454" s="15"/>
    </row>
    <row r="455" spans="1:23" x14ac:dyDescent="0.25">
      <c r="B455" s="8"/>
      <c r="C455" s="9"/>
      <c r="D455" s="9"/>
      <c r="E455" s="8"/>
      <c r="F455" s="8"/>
      <c r="G455" s="9"/>
      <c r="H455" s="9"/>
      <c r="I455" s="9"/>
      <c r="J455" s="9"/>
      <c r="K455" s="9"/>
      <c r="L455" s="32"/>
      <c r="M455" s="9"/>
      <c r="N455" s="9"/>
      <c r="O455" s="9"/>
      <c r="P455" s="96">
        <v>0.15529469125854412</v>
      </c>
      <c r="Q455" s="151">
        <f t="shared" si="18"/>
        <v>40745.047686928105</v>
      </c>
      <c r="R455" s="123">
        <v>3.331828442437923</v>
      </c>
      <c r="S455" s="51">
        <v>24.5</v>
      </c>
      <c r="T455" s="123">
        <v>0.15310856789359728</v>
      </c>
      <c r="U455" s="15">
        <v>2.6189314137936841</v>
      </c>
      <c r="V455" s="15"/>
      <c r="W455" s="15"/>
    </row>
    <row r="456" spans="1:23" x14ac:dyDescent="0.25">
      <c r="B456" s="8"/>
      <c r="C456" s="9"/>
      <c r="D456" s="9"/>
      <c r="E456" s="8"/>
      <c r="F456" s="8"/>
      <c r="G456" s="9"/>
      <c r="H456" s="9"/>
      <c r="I456" s="9"/>
      <c r="J456" s="9"/>
      <c r="K456" s="9"/>
      <c r="L456" s="32"/>
      <c r="M456" s="9"/>
      <c r="N456" s="9"/>
      <c r="O456" s="9"/>
      <c r="P456" s="96">
        <v>0.1857008070954427</v>
      </c>
      <c r="Q456" s="151">
        <f t="shared" si="18"/>
        <v>40778.342383769508</v>
      </c>
      <c r="R456" s="123">
        <v>2.275395033860045</v>
      </c>
      <c r="S456" s="51">
        <v>22.295081967213115</v>
      </c>
      <c r="T456" s="123">
        <v>0.16944014846891431</v>
      </c>
      <c r="U456" s="15">
        <v>7.1665308895731963</v>
      </c>
      <c r="V456" s="15"/>
      <c r="W456" s="15"/>
    </row>
    <row r="457" spans="1:23" x14ac:dyDescent="0.25">
      <c r="B457" s="8"/>
      <c r="C457" s="9"/>
      <c r="D457" s="9"/>
      <c r="E457" s="8"/>
      <c r="F457" s="8"/>
      <c r="G457" s="9"/>
      <c r="H457" s="9"/>
      <c r="I457" s="9"/>
      <c r="J457" s="9"/>
      <c r="K457" s="9"/>
      <c r="L457" s="32"/>
      <c r="M457" s="9"/>
      <c r="N457" s="9"/>
      <c r="O457" s="9"/>
      <c r="P457" s="96">
        <v>0.19803706646766872</v>
      </c>
      <c r="Q457" s="151">
        <f t="shared" si="18"/>
        <v>40791.850587782093</v>
      </c>
      <c r="R457" s="123">
        <v>1.9503386004514671</v>
      </c>
      <c r="S457" s="51">
        <v>21.475409836065577</v>
      </c>
      <c r="T457" s="123">
        <v>0.2755954222084751</v>
      </c>
      <c r="U457" s="15">
        <v>4.8643037219014955</v>
      </c>
      <c r="V457" s="15"/>
      <c r="W457" s="15"/>
    </row>
    <row r="458" spans="1:23" x14ac:dyDescent="0.25">
      <c r="B458" s="8"/>
      <c r="C458" s="9"/>
      <c r="D458" s="9"/>
      <c r="E458" s="8"/>
      <c r="F458" s="8"/>
      <c r="G458" s="9"/>
      <c r="H458" s="9"/>
      <c r="I458" s="9"/>
      <c r="J458" s="9"/>
      <c r="K458" s="9"/>
      <c r="L458" s="32"/>
      <c r="M458" s="9"/>
      <c r="N458" s="9"/>
      <c r="O458" s="9"/>
      <c r="P458" s="96">
        <v>0.22186099051099917</v>
      </c>
      <c r="Q458" s="151">
        <f t="shared" si="18"/>
        <v>40817.937784609538</v>
      </c>
      <c r="R458" s="123">
        <v>1.0361173814898419</v>
      </c>
      <c r="S458" s="51">
        <v>14.590163934426229</v>
      </c>
      <c r="T458" s="123">
        <v>0.4144138570986699</v>
      </c>
      <c r="U458" s="15">
        <v>2.3015500479445228</v>
      </c>
      <c r="V458" s="15"/>
      <c r="W458" s="15"/>
    </row>
    <row r="459" spans="1:23" x14ac:dyDescent="0.25">
      <c r="B459" s="8"/>
      <c r="C459" s="9"/>
      <c r="D459" s="9"/>
      <c r="E459" s="8"/>
      <c r="F459" s="8"/>
      <c r="G459" s="9"/>
      <c r="H459" s="9"/>
      <c r="I459" s="9"/>
      <c r="J459" s="9"/>
      <c r="K459" s="9"/>
      <c r="L459" s="32"/>
      <c r="M459" s="9"/>
      <c r="N459" s="9"/>
      <c r="O459" s="9"/>
      <c r="P459" s="96">
        <v>0.23174823535104092</v>
      </c>
      <c r="Q459" s="151">
        <f t="shared" si="18"/>
        <v>40828.764317709385</v>
      </c>
      <c r="R459" s="123">
        <v>0.97516930022573356</v>
      </c>
      <c r="S459" s="51">
        <v>12.295081967213115</v>
      </c>
      <c r="T459" s="123">
        <v>0.40216517166718213</v>
      </c>
      <c r="U459" s="15">
        <v>1.6871006752388711</v>
      </c>
      <c r="V459" s="15"/>
      <c r="W459" s="15"/>
    </row>
    <row r="460" spans="1:23" x14ac:dyDescent="0.25">
      <c r="B460" s="8"/>
      <c r="C460" s="9"/>
      <c r="D460" s="9"/>
      <c r="E460" s="8"/>
      <c r="F460" s="8"/>
      <c r="G460" s="9"/>
      <c r="H460" s="9"/>
      <c r="I460" s="9"/>
      <c r="J460" s="9"/>
      <c r="K460" s="9"/>
      <c r="L460" s="32"/>
      <c r="M460" s="9"/>
      <c r="N460" s="9"/>
      <c r="O460" s="9"/>
      <c r="P460" s="96">
        <v>0.24984414516180059</v>
      </c>
      <c r="Q460" s="151">
        <f t="shared" si="18"/>
        <v>40848.579338952164</v>
      </c>
      <c r="R460" s="123">
        <v>0.52821670428893908</v>
      </c>
      <c r="S460" s="51">
        <v>7.7049180327868854</v>
      </c>
      <c r="T460" s="123">
        <v>0.4144138570986699</v>
      </c>
      <c r="U460" s="15"/>
      <c r="V460" s="15"/>
      <c r="W460" s="15"/>
    </row>
    <row r="461" spans="1:23" x14ac:dyDescent="0.25">
      <c r="B461" s="8"/>
      <c r="C461" s="9"/>
      <c r="D461" s="9"/>
      <c r="E461" s="8"/>
      <c r="F461" s="8"/>
      <c r="G461" s="9"/>
      <c r="H461" s="9"/>
      <c r="I461" s="9"/>
      <c r="J461" s="9"/>
      <c r="K461" s="9"/>
      <c r="L461" s="32"/>
      <c r="M461" s="9"/>
      <c r="N461" s="9"/>
      <c r="O461" s="9"/>
      <c r="P461" s="96">
        <v>0.27045048096337831</v>
      </c>
      <c r="Q461" s="151">
        <f t="shared" si="18"/>
        <v>40871.14327665489</v>
      </c>
      <c r="R461" s="123">
        <v>0.48758465011286678</v>
      </c>
      <c r="S461" s="51">
        <v>2.9508196721311482</v>
      </c>
      <c r="T461" s="123">
        <v>0.33071450665017005</v>
      </c>
      <c r="U461" s="15">
        <v>0.83062876791352014</v>
      </c>
      <c r="V461" s="15"/>
      <c r="W461" s="15"/>
    </row>
    <row r="462" spans="1:23" x14ac:dyDescent="0.25">
      <c r="B462" s="8"/>
      <c r="C462" s="9"/>
      <c r="D462" s="9"/>
      <c r="E462" s="8"/>
      <c r="F462" s="8"/>
      <c r="G462" s="9"/>
      <c r="H462" s="9"/>
      <c r="I462" s="9"/>
      <c r="J462" s="9"/>
      <c r="K462" s="9"/>
      <c r="L462" s="32"/>
      <c r="M462" s="9"/>
      <c r="N462" s="9"/>
      <c r="O462" s="9"/>
      <c r="P462" s="96">
        <v>0.29928409126859323</v>
      </c>
      <c r="Q462" s="151">
        <f t="shared" si="18"/>
        <v>40902.716079939099</v>
      </c>
      <c r="R462" s="123">
        <v>0.26410835214446954</v>
      </c>
      <c r="S462" s="51">
        <v>-0.16393442622950793</v>
      </c>
      <c r="T462" s="123">
        <v>0.29192700278379213</v>
      </c>
      <c r="U462" s="15">
        <v>1.2425448426539398</v>
      </c>
      <c r="V462" s="15"/>
      <c r="W462" s="15"/>
    </row>
    <row r="463" spans="1:23" x14ac:dyDescent="0.25">
      <c r="B463" s="8"/>
      <c r="C463" s="9"/>
      <c r="D463" s="9"/>
      <c r="E463" s="8"/>
      <c r="F463" s="8"/>
      <c r="G463" s="9"/>
      <c r="H463" s="9"/>
      <c r="I463" s="9"/>
      <c r="J463" s="9"/>
      <c r="K463" s="46"/>
      <c r="L463" s="43"/>
      <c r="M463" s="46"/>
      <c r="N463" s="46"/>
      <c r="O463" s="46"/>
      <c r="P463" s="110">
        <v>0.30669400000000002</v>
      </c>
      <c r="Q463" s="152">
        <f t="shared" si="18"/>
        <v>40910.829929999993</v>
      </c>
      <c r="R463" s="136">
        <v>0.16252830000000001</v>
      </c>
      <c r="S463" s="75">
        <v>-4.2622950819672134</v>
      </c>
      <c r="T463" s="132">
        <v>0.22864212805443856</v>
      </c>
      <c r="U463" s="136">
        <v>1.3780363896223358</v>
      </c>
      <c r="V463" s="15"/>
      <c r="W463" s="15"/>
    </row>
    <row r="464" spans="1:23" x14ac:dyDescent="0.25">
      <c r="A464" s="6"/>
      <c r="B464" s="6" t="s">
        <v>84</v>
      </c>
      <c r="C464" s="44">
        <v>35.216999999999999</v>
      </c>
      <c r="D464" s="44">
        <v>107.667</v>
      </c>
      <c r="E464" s="33" t="s">
        <v>155</v>
      </c>
      <c r="F464" s="33" t="s">
        <v>38</v>
      </c>
      <c r="G464" s="11">
        <v>0.5374000000000001</v>
      </c>
      <c r="H464" s="11">
        <v>10.649999999999999</v>
      </c>
      <c r="I464" s="11">
        <v>1.3475000000000001</v>
      </c>
      <c r="J464" s="11">
        <v>0.14469583333333333</v>
      </c>
      <c r="K464" s="11">
        <f>I464/J464</f>
        <v>9.3126385809312655</v>
      </c>
      <c r="L464" s="41">
        <v>1.25</v>
      </c>
      <c r="M464" s="7">
        <f>9.353*EXP(-0.023*H464-0.622*L464-0.182*J464-0.009*K464)*(I464/(I464+0.567))</f>
        <v>2.1210119091103965</v>
      </c>
      <c r="N464" s="18">
        <f>LN(M464)/10</f>
        <v>7.5189329042316899E-2</v>
      </c>
      <c r="O464" s="9">
        <f>4.3573*EXP(-1.002*M464)</f>
        <v>0.52027314137057967</v>
      </c>
      <c r="P464" s="95">
        <v>0.38919418861505994</v>
      </c>
      <c r="Q464" s="149">
        <f t="shared" si="18"/>
        <v>41001.167636533486</v>
      </c>
      <c r="R464" s="122">
        <v>0.81264108352144471</v>
      </c>
      <c r="S464" s="50">
        <v>4.0983606557377037</v>
      </c>
      <c r="T464" s="122">
        <v>0.27355397463656045</v>
      </c>
      <c r="U464" s="13">
        <v>4.3622247702888401</v>
      </c>
      <c r="V464" s="13"/>
      <c r="W464" s="13"/>
    </row>
    <row r="465" spans="2:23" x14ac:dyDescent="0.25">
      <c r="B465" s="8"/>
      <c r="C465" s="9"/>
      <c r="D465" s="9"/>
      <c r="E465" s="8"/>
      <c r="F465" s="8"/>
      <c r="G465" s="9"/>
      <c r="H465" s="9"/>
      <c r="I465" s="9"/>
      <c r="J465" s="9"/>
      <c r="K465" s="9"/>
      <c r="L465" s="32"/>
      <c r="M465" s="8"/>
      <c r="N465" s="8"/>
      <c r="O465" s="18"/>
      <c r="P465" s="96">
        <v>0.40571387098755207</v>
      </c>
      <c r="Q465" s="151">
        <f t="shared" si="18"/>
        <v>41019.256688731366</v>
      </c>
      <c r="R465" s="123">
        <v>1.1580135440180588</v>
      </c>
      <c r="S465" s="51">
        <v>7.7049180327868854</v>
      </c>
      <c r="T465" s="123">
        <v>0.18373028147231671</v>
      </c>
      <c r="U465" s="15">
        <v>4.4653951984935976</v>
      </c>
      <c r="V465" s="15"/>
      <c r="W465" s="15"/>
    </row>
    <row r="466" spans="2:23" x14ac:dyDescent="0.25">
      <c r="B466" s="8"/>
      <c r="C466" s="9"/>
      <c r="D466" s="9"/>
      <c r="E466" s="8"/>
      <c r="F466" s="8"/>
      <c r="G466" s="9"/>
      <c r="H466" s="9"/>
      <c r="I466" s="9"/>
      <c r="J466" s="9"/>
      <c r="K466" s="9"/>
      <c r="L466" s="32"/>
      <c r="M466" s="8"/>
      <c r="N466" s="9"/>
      <c r="O466" s="9"/>
      <c r="P466" s="96">
        <v>0.43224176016406163</v>
      </c>
      <c r="Q466" s="151">
        <f t="shared" si="18"/>
        <v>41048.304727379647</v>
      </c>
      <c r="R466" s="123">
        <v>2.7629796839729117</v>
      </c>
      <c r="S466" s="51">
        <v>16.065573770491802</v>
      </c>
      <c r="T466" s="123">
        <v>0.20210330961954842</v>
      </c>
      <c r="U466" s="15">
        <v>1.1681004260528869</v>
      </c>
      <c r="V466" s="15"/>
      <c r="W466" s="15"/>
    </row>
    <row r="467" spans="2:23" x14ac:dyDescent="0.25">
      <c r="B467" s="8"/>
      <c r="C467" s="9"/>
      <c r="D467" s="9"/>
      <c r="E467" s="8"/>
      <c r="F467" s="8"/>
      <c r="G467" s="9"/>
      <c r="H467" s="9"/>
      <c r="I467" s="9"/>
      <c r="J467" s="9"/>
      <c r="K467" s="9"/>
      <c r="L467" s="32"/>
      <c r="M467" s="9"/>
      <c r="N467" s="9"/>
      <c r="O467" s="9"/>
      <c r="P467" s="96">
        <v>0.45684542363671216</v>
      </c>
      <c r="Q467" s="151">
        <f t="shared" si="18"/>
        <v>41075.2457388822</v>
      </c>
      <c r="R467" s="123">
        <v>1.3611738148984198</v>
      </c>
      <c r="S467" s="51">
        <v>16.229508196721312</v>
      </c>
      <c r="T467" s="123">
        <v>0.20210330961954842</v>
      </c>
      <c r="U467" s="15">
        <v>0.72689772254249874</v>
      </c>
      <c r="V467" s="15"/>
      <c r="W467" s="15"/>
    </row>
    <row r="468" spans="2:23" x14ac:dyDescent="0.25">
      <c r="B468" s="8"/>
      <c r="C468" s="9"/>
      <c r="D468" s="9"/>
      <c r="E468" s="8"/>
      <c r="F468" s="8"/>
      <c r="G468" s="9"/>
      <c r="H468" s="9"/>
      <c r="I468" s="9"/>
      <c r="J468" s="9"/>
      <c r="K468" s="9"/>
      <c r="L468" s="32"/>
      <c r="M468" s="9"/>
      <c r="N468" s="9"/>
      <c r="O468" s="9"/>
      <c r="P468" s="96">
        <v>0.46350577546854149</v>
      </c>
      <c r="Q468" s="151">
        <f t="shared" si="18"/>
        <v>41082.538824138057</v>
      </c>
      <c r="R468" s="123">
        <v>2.0722347629796838</v>
      </c>
      <c r="S468" s="51">
        <v>19.508196721311474</v>
      </c>
      <c r="T468" s="123">
        <v>0.16127435818125579</v>
      </c>
      <c r="U468" s="15">
        <v>0.94377100659144697</v>
      </c>
      <c r="V468" s="15"/>
      <c r="W468" s="15"/>
    </row>
    <row r="469" spans="2:23" x14ac:dyDescent="0.25">
      <c r="B469" s="8"/>
      <c r="C469" s="9"/>
      <c r="D469" s="9"/>
      <c r="E469" s="8"/>
      <c r="F469" s="8"/>
      <c r="G469" s="9"/>
      <c r="H469" s="9"/>
      <c r="I469" s="9"/>
      <c r="J469" s="9"/>
      <c r="K469" s="9"/>
      <c r="L469" s="32"/>
      <c r="M469" s="9"/>
      <c r="N469" s="9"/>
      <c r="O469" s="9"/>
      <c r="P469" s="96">
        <v>0.47348048511330415</v>
      </c>
      <c r="Q469" s="151">
        <f t="shared" si="18"/>
        <v>41093.461131199074</v>
      </c>
      <c r="R469" s="123">
        <v>2.966139954853273</v>
      </c>
      <c r="S469" s="51">
        <v>24.5</v>
      </c>
      <c r="T469" s="123">
        <v>0.11636251159913392</v>
      </c>
      <c r="U469" s="15">
        <v>1.3953633471211553</v>
      </c>
      <c r="V469" s="15"/>
      <c r="W469" s="15"/>
    </row>
    <row r="470" spans="2:23" x14ac:dyDescent="0.25">
      <c r="B470" s="8"/>
      <c r="C470" s="9"/>
      <c r="D470" s="9"/>
      <c r="E470" s="8"/>
      <c r="F470" s="8"/>
      <c r="G470" s="9"/>
      <c r="H470" s="9"/>
      <c r="I470" s="9"/>
      <c r="J470" s="9"/>
      <c r="K470" s="9"/>
      <c r="L470" s="32"/>
      <c r="M470" s="9"/>
      <c r="N470" s="9"/>
      <c r="O470" s="9"/>
      <c r="P470" s="96">
        <v>0.49508987473923394</v>
      </c>
      <c r="Q470" s="151">
        <f t="shared" si="18"/>
        <v>41117.123412839464</v>
      </c>
      <c r="R470" s="123">
        <v>4.8758465011286685</v>
      </c>
      <c r="S470" s="51">
        <v>26</v>
      </c>
      <c r="T470" s="123">
        <v>0.25109805134549951</v>
      </c>
      <c r="U470" s="15">
        <v>3.2552914138219653</v>
      </c>
      <c r="V470" s="15"/>
      <c r="W470" s="15"/>
    </row>
    <row r="471" spans="2:23" x14ac:dyDescent="0.25">
      <c r="B471" s="8"/>
      <c r="C471" s="9"/>
      <c r="D471" s="9"/>
      <c r="E471" s="8"/>
      <c r="F471" s="8"/>
      <c r="G471" s="9"/>
      <c r="H471" s="9"/>
      <c r="I471" s="9"/>
      <c r="J471" s="9"/>
      <c r="K471" s="9"/>
      <c r="L471" s="32"/>
      <c r="M471" s="9"/>
      <c r="N471" s="9"/>
      <c r="O471" s="9"/>
      <c r="P471" s="96">
        <v>0.50736100074624224</v>
      </c>
      <c r="Q471" s="151">
        <f t="shared" si="18"/>
        <v>41130.560295817137</v>
      </c>
      <c r="R471" s="123">
        <v>3.8397291196388261</v>
      </c>
      <c r="S471" s="51">
        <v>24</v>
      </c>
      <c r="T471" s="123">
        <v>0.32050726879059699</v>
      </c>
      <c r="U471" s="15">
        <v>5.2663210102903815</v>
      </c>
      <c r="V471" s="15"/>
      <c r="W471" s="15"/>
    </row>
    <row r="472" spans="2:23" x14ac:dyDescent="0.25">
      <c r="B472" s="8"/>
      <c r="C472" s="9"/>
      <c r="D472" s="9"/>
      <c r="E472" s="8"/>
      <c r="F472" s="8"/>
      <c r="G472" s="9"/>
      <c r="H472" s="9"/>
      <c r="I472" s="9"/>
      <c r="J472" s="9"/>
      <c r="K472" s="9"/>
      <c r="L472" s="32"/>
      <c r="M472" s="9"/>
      <c r="N472" s="9"/>
      <c r="O472" s="9"/>
      <c r="P472" s="96">
        <v>0.51237440891471064</v>
      </c>
      <c r="Q472" s="151">
        <f t="shared" si="18"/>
        <v>41136.049977761606</v>
      </c>
      <c r="R472" s="123">
        <v>4.5711060948081261</v>
      </c>
      <c r="S472" s="51">
        <v>23.5</v>
      </c>
      <c r="T472" s="123">
        <v>0.31438292607485308</v>
      </c>
      <c r="U472" s="15">
        <v>6.4100472290541184</v>
      </c>
      <c r="V472" s="15"/>
      <c r="W472" s="15"/>
    </row>
    <row r="473" spans="2:23" x14ac:dyDescent="0.25">
      <c r="B473" s="8"/>
      <c r="C473" s="9"/>
      <c r="D473" s="9"/>
      <c r="E473" s="8"/>
      <c r="F473" s="8"/>
      <c r="G473" s="9"/>
      <c r="H473" s="9"/>
      <c r="I473" s="9"/>
      <c r="J473" s="9"/>
      <c r="K473" s="9"/>
      <c r="L473" s="32"/>
      <c r="M473" s="9"/>
      <c r="N473" s="9"/>
      <c r="O473" s="9"/>
      <c r="P473" s="96">
        <v>0.52129023613636316</v>
      </c>
      <c r="Q473" s="151">
        <f t="shared" si="18"/>
        <v>41145.812808569317</v>
      </c>
      <c r="R473" s="123">
        <v>2.9051918735891649</v>
      </c>
      <c r="S473" s="51">
        <v>22.295081967213115</v>
      </c>
      <c r="T473" s="123">
        <v>0.16535725332508502</v>
      </c>
      <c r="U473" s="15">
        <v>6.870527604718478</v>
      </c>
      <c r="V473" s="15"/>
      <c r="W473" s="15"/>
    </row>
    <row r="474" spans="2:23" x14ac:dyDescent="0.25">
      <c r="B474" s="8"/>
      <c r="C474" s="9"/>
      <c r="D474" s="9"/>
      <c r="E474" s="8"/>
      <c r="F474" s="8"/>
      <c r="G474" s="9"/>
      <c r="H474" s="9"/>
      <c r="I474" s="9"/>
      <c r="J474" s="9"/>
      <c r="K474" s="9"/>
      <c r="L474" s="32"/>
      <c r="M474" s="9"/>
      <c r="N474" s="9"/>
      <c r="O474" s="9"/>
      <c r="P474" s="96">
        <v>0.53033446913515914</v>
      </c>
      <c r="Q474" s="151">
        <f t="shared" si="18"/>
        <v>41155.716243702998</v>
      </c>
      <c r="R474" s="123">
        <v>2.6410835214446955</v>
      </c>
      <c r="S474" s="51">
        <v>20.655737704918035</v>
      </c>
      <c r="T474" s="123">
        <v>0.22455923291060934</v>
      </c>
      <c r="U474" s="15">
        <v>5.1714321419951776</v>
      </c>
      <c r="V474" s="15"/>
      <c r="W474" s="15"/>
    </row>
    <row r="475" spans="2:23" x14ac:dyDescent="0.25">
      <c r="B475" s="8"/>
      <c r="C475" s="9"/>
      <c r="D475" s="9"/>
      <c r="E475" s="8"/>
      <c r="F475" s="8"/>
      <c r="G475" s="9"/>
      <c r="H475" s="9"/>
      <c r="I475" s="9"/>
      <c r="J475" s="9"/>
      <c r="K475" s="9"/>
      <c r="L475" s="32"/>
      <c r="M475" s="9"/>
      <c r="N475" s="9"/>
      <c r="O475" s="9"/>
      <c r="P475" s="96">
        <v>0.54588459484255403</v>
      </c>
      <c r="Q475" s="151">
        <f t="shared" si="18"/>
        <v>41172.743631352598</v>
      </c>
      <c r="R475" s="123">
        <v>1.4018058690744919</v>
      </c>
      <c r="S475" s="51">
        <v>14.42622950819672</v>
      </c>
      <c r="T475" s="123">
        <v>0.32867305907825545</v>
      </c>
      <c r="U475" s="15">
        <v>3.1730706581811288</v>
      </c>
      <c r="V475" s="15"/>
      <c r="W475" s="15"/>
    </row>
    <row r="476" spans="2:23" x14ac:dyDescent="0.25">
      <c r="B476" s="8"/>
      <c r="C476" s="9"/>
      <c r="D476" s="9"/>
      <c r="E476" s="8"/>
      <c r="F476" s="8"/>
      <c r="G476" s="9"/>
      <c r="H476" s="9"/>
      <c r="I476" s="9"/>
      <c r="J476" s="9"/>
      <c r="K476" s="9"/>
      <c r="L476" s="32"/>
      <c r="M476" s="9"/>
      <c r="N476" s="9"/>
      <c r="O476" s="9"/>
      <c r="P476" s="96">
        <v>0.55575509110296839</v>
      </c>
      <c r="Q476" s="151">
        <f t="shared" si="18"/>
        <v>41183.551824757749</v>
      </c>
      <c r="R476" s="123">
        <v>1.1580135440180588</v>
      </c>
      <c r="S476" s="51">
        <v>11.311475409836063</v>
      </c>
      <c r="T476" s="123">
        <v>0.28988555521187748</v>
      </c>
      <c r="U476" s="15">
        <v>2.3271736949975801</v>
      </c>
      <c r="V476" s="15"/>
      <c r="W476" s="15"/>
    </row>
    <row r="477" spans="2:23" x14ac:dyDescent="0.25">
      <c r="B477" s="8"/>
      <c r="C477" s="9"/>
      <c r="D477" s="9"/>
      <c r="E477" s="8"/>
      <c r="F477" s="8"/>
      <c r="G477" s="9"/>
      <c r="H477" s="9"/>
      <c r="I477" s="9"/>
      <c r="J477" s="9"/>
      <c r="K477" s="9"/>
      <c r="L477" s="32"/>
      <c r="M477" s="9"/>
      <c r="N477" s="9"/>
      <c r="O477" s="9"/>
      <c r="P477" s="96">
        <v>0.56069592209305141</v>
      </c>
      <c r="Q477" s="151">
        <f t="shared" si="18"/>
        <v>41188.962034691889</v>
      </c>
      <c r="R477" s="123">
        <v>1.0970654627539504</v>
      </c>
      <c r="S477" s="51">
        <v>13.278688524590162</v>
      </c>
      <c r="T477" s="123">
        <v>0.31642437364676768</v>
      </c>
      <c r="U477" s="15">
        <v>1.9926323067263809</v>
      </c>
      <c r="V477" s="15"/>
      <c r="W477" s="15"/>
    </row>
    <row r="478" spans="2:23" x14ac:dyDescent="0.25">
      <c r="B478" s="8"/>
      <c r="C478" s="9"/>
      <c r="D478" s="9"/>
      <c r="E478" s="8"/>
      <c r="F478" s="8"/>
      <c r="G478" s="9"/>
      <c r="H478" s="9"/>
      <c r="I478" s="9"/>
      <c r="J478" s="9"/>
      <c r="K478" s="9"/>
      <c r="L478" s="32"/>
      <c r="M478" s="9"/>
      <c r="N478" s="9"/>
      <c r="O478" s="9"/>
      <c r="P478" s="96">
        <v>0.57887371384865616</v>
      </c>
      <c r="Q478" s="151">
        <f t="shared" si="18"/>
        <v>41208.866716664277</v>
      </c>
      <c r="R478" s="123">
        <v>1.544018058690745</v>
      </c>
      <c r="S478" s="51">
        <v>11.967213114754099</v>
      </c>
      <c r="T478" s="123">
        <v>0.3041756882152799</v>
      </c>
      <c r="U478" s="15"/>
      <c r="V478" s="15"/>
      <c r="W478" s="15"/>
    </row>
    <row r="479" spans="2:23" x14ac:dyDescent="0.25">
      <c r="B479" s="8"/>
      <c r="C479" s="9"/>
      <c r="D479" s="9"/>
      <c r="E479" s="8"/>
      <c r="F479" s="8"/>
      <c r="G479" s="9"/>
      <c r="H479" s="9"/>
      <c r="I479" s="9"/>
      <c r="J479" s="9"/>
      <c r="K479" s="9"/>
      <c r="L479" s="32"/>
      <c r="M479" s="9"/>
      <c r="N479" s="9"/>
      <c r="O479" s="9"/>
      <c r="P479" s="96">
        <v>0.58709540549241757</v>
      </c>
      <c r="Q479" s="151">
        <f t="shared" si="18"/>
        <v>41217.869469014193</v>
      </c>
      <c r="R479" s="123">
        <v>1.3002257336343115</v>
      </c>
      <c r="S479" s="51">
        <v>8.3606557377049171</v>
      </c>
      <c r="T479" s="123">
        <v>0.21843489019486548</v>
      </c>
      <c r="U479" s="15">
        <v>0.64974399703320262</v>
      </c>
      <c r="V479" s="15"/>
      <c r="W479" s="15"/>
    </row>
    <row r="480" spans="2:23" x14ac:dyDescent="0.25">
      <c r="B480" s="8"/>
      <c r="C480" s="9"/>
      <c r="D480" s="9"/>
      <c r="E480" s="8"/>
      <c r="F480" s="8"/>
      <c r="G480" s="9"/>
      <c r="H480" s="9"/>
      <c r="I480" s="9"/>
      <c r="J480" s="9"/>
      <c r="K480" s="9"/>
      <c r="L480" s="32"/>
      <c r="M480" s="9"/>
      <c r="N480" s="9"/>
      <c r="O480" s="9"/>
      <c r="P480" s="96">
        <v>0.60514106956429503</v>
      </c>
      <c r="Q480" s="151">
        <f t="shared" si="18"/>
        <v>41237.629471172899</v>
      </c>
      <c r="R480" s="123">
        <v>0.30474040632054178</v>
      </c>
      <c r="S480" s="51">
        <v>-0.16393442622950793</v>
      </c>
      <c r="T480" s="123">
        <v>0.13269409217445097</v>
      </c>
      <c r="U480" s="15">
        <v>0.83705667667534922</v>
      </c>
      <c r="V480" s="15"/>
      <c r="W480" s="15"/>
    </row>
    <row r="481" spans="1:23" x14ac:dyDescent="0.25">
      <c r="B481" s="8"/>
      <c r="C481" s="9"/>
      <c r="D481" s="9"/>
      <c r="E481" s="8"/>
      <c r="F481" s="8"/>
      <c r="G481" s="9"/>
      <c r="H481" s="9"/>
      <c r="I481" s="9"/>
      <c r="J481" s="9"/>
      <c r="K481" s="46"/>
      <c r="L481" s="43"/>
      <c r="M481" s="46"/>
      <c r="N481" s="46"/>
      <c r="O481" s="46"/>
      <c r="P481" s="111">
        <v>0.6431510405520332</v>
      </c>
      <c r="Q481" s="152">
        <f t="shared" si="18"/>
        <v>41279.250389404471</v>
      </c>
      <c r="R481" s="132">
        <v>1.2595936794582392</v>
      </c>
      <c r="S481" s="75">
        <v>10.983606557377048</v>
      </c>
      <c r="T481" s="132">
        <v>0.16944014846891431</v>
      </c>
      <c r="U481" s="136">
        <v>1.427173428223012</v>
      </c>
      <c r="V481" s="15"/>
      <c r="W481" s="15"/>
    </row>
    <row r="482" spans="1:23" x14ac:dyDescent="0.25">
      <c r="A482" s="6"/>
      <c r="B482" s="6" t="s">
        <v>84</v>
      </c>
      <c r="C482" s="44">
        <v>35.216999999999999</v>
      </c>
      <c r="D482" s="44">
        <v>107.667</v>
      </c>
      <c r="E482" s="33" t="s">
        <v>156</v>
      </c>
      <c r="F482" s="33" t="s">
        <v>43</v>
      </c>
      <c r="G482" s="11">
        <v>0.72480000000000011</v>
      </c>
      <c r="H482" s="11">
        <v>12.174999999999999</v>
      </c>
      <c r="I482" s="11">
        <v>1.3475000000000001</v>
      </c>
      <c r="J482" s="11">
        <v>0.14469583333333333</v>
      </c>
      <c r="K482" s="11">
        <f>I482/J482</f>
        <v>9.3126385809312655</v>
      </c>
      <c r="L482" s="41">
        <v>1.25</v>
      </c>
      <c r="M482" s="7">
        <f>9.353*EXP(-0.023*H482-0.622*L482-0.182*J482-0.009*K482)*(I482/(I482+0.567))</f>
        <v>2.0479069885997725</v>
      </c>
      <c r="N482" s="18">
        <f>LN(M482)/10</f>
        <v>7.1681829042316875E-2</v>
      </c>
      <c r="O482" s="9">
        <f>4.3573*EXP(-1.002*M482)</f>
        <v>0.55981427441318965</v>
      </c>
      <c r="P482" s="95">
        <v>0.74119908664412437</v>
      </c>
      <c r="Q482" s="149">
        <f t="shared" si="18"/>
        <v>41386.612999875309</v>
      </c>
      <c r="R482" s="122">
        <v>0.65011286681715574</v>
      </c>
      <c r="S482" s="50">
        <v>11.803278688524593</v>
      </c>
      <c r="T482" s="122">
        <v>0.12248685431487782</v>
      </c>
      <c r="U482" s="13">
        <v>4.0305467749922377</v>
      </c>
      <c r="V482" s="13"/>
      <c r="W482" s="13"/>
    </row>
    <row r="483" spans="1:23" x14ac:dyDescent="0.25">
      <c r="B483" s="8"/>
      <c r="C483" s="9"/>
      <c r="D483" s="9"/>
      <c r="E483" s="8"/>
      <c r="F483" s="8"/>
      <c r="G483" s="9"/>
      <c r="H483" s="9"/>
      <c r="I483" s="9"/>
      <c r="J483" s="9"/>
      <c r="K483" s="9"/>
      <c r="L483" s="32"/>
      <c r="M483" s="8"/>
      <c r="N483" s="8"/>
      <c r="O483" s="18"/>
      <c r="P483" s="96">
        <v>0.7494096125681341</v>
      </c>
      <c r="Q483" s="151">
        <f t="shared" si="18"/>
        <v>41395.603525762097</v>
      </c>
      <c r="R483" s="123">
        <v>0.28442437923250563</v>
      </c>
      <c r="S483" s="51">
        <v>9.3442622950819683</v>
      </c>
      <c r="T483" s="123">
        <v>0.12656974945870708</v>
      </c>
      <c r="U483" s="15">
        <v>2.6559080051912294</v>
      </c>
      <c r="V483" s="15"/>
      <c r="W483" s="15"/>
    </row>
    <row r="484" spans="1:23" x14ac:dyDescent="0.25">
      <c r="B484" s="8"/>
      <c r="C484" s="9"/>
      <c r="D484" s="9"/>
      <c r="E484" s="8"/>
      <c r="F484" s="8"/>
      <c r="G484" s="9"/>
      <c r="H484" s="9"/>
      <c r="I484" s="9"/>
      <c r="J484" s="9"/>
      <c r="K484" s="9"/>
      <c r="L484" s="32"/>
      <c r="M484" s="8"/>
      <c r="N484" s="9"/>
      <c r="O484" s="9"/>
      <c r="P484" s="96">
        <v>0.75689994956816575</v>
      </c>
      <c r="Q484" s="151">
        <f t="shared" si="18"/>
        <v>41403.805444777128</v>
      </c>
      <c r="R484" s="123">
        <v>1.0564334085778782</v>
      </c>
      <c r="S484" s="51">
        <v>14.590163934426229</v>
      </c>
      <c r="T484" s="123">
        <v>0.12248685431487782</v>
      </c>
      <c r="U484" s="15">
        <v>1.8153141927933949</v>
      </c>
      <c r="V484" s="15"/>
      <c r="W484" s="15"/>
    </row>
    <row r="485" spans="1:23" x14ac:dyDescent="0.25">
      <c r="B485" s="8"/>
      <c r="C485" s="9"/>
      <c r="D485" s="9"/>
      <c r="E485" s="8"/>
      <c r="F485" s="8"/>
      <c r="G485" s="9"/>
      <c r="H485" s="9"/>
      <c r="I485" s="9"/>
      <c r="J485" s="9"/>
      <c r="K485" s="9"/>
      <c r="L485" s="32"/>
      <c r="M485" s="9"/>
      <c r="N485" s="9"/>
      <c r="O485" s="9"/>
      <c r="P485" s="96">
        <v>0.79005841532383381</v>
      </c>
      <c r="Q485" s="151">
        <f t="shared" si="18"/>
        <v>41440.113964779586</v>
      </c>
      <c r="R485" s="123">
        <v>3.0474040632054176</v>
      </c>
      <c r="S485" s="51">
        <v>17.704918032786885</v>
      </c>
      <c r="T485" s="123">
        <v>0.1000309310238169</v>
      </c>
      <c r="U485" s="15">
        <v>0.72347657941455734</v>
      </c>
      <c r="V485" s="15"/>
      <c r="W485" s="15"/>
    </row>
    <row r="486" spans="1:23" x14ac:dyDescent="0.25">
      <c r="B486" s="8"/>
      <c r="C486" s="9"/>
      <c r="D486" s="9"/>
      <c r="E486" s="8"/>
      <c r="F486" s="8"/>
      <c r="G486" s="9"/>
      <c r="H486" s="9"/>
      <c r="I486" s="9"/>
      <c r="J486" s="9"/>
      <c r="K486" s="9"/>
      <c r="L486" s="32"/>
      <c r="M486" s="9"/>
      <c r="N486" s="9"/>
      <c r="O486" s="9"/>
      <c r="P486" s="96">
        <v>0.81305049324567003</v>
      </c>
      <c r="Q486" s="151">
        <f t="shared" si="18"/>
        <v>41465.290290104</v>
      </c>
      <c r="R486" s="123">
        <v>2.0519187358916477</v>
      </c>
      <c r="S486" s="51">
        <v>27.049180327868854</v>
      </c>
      <c r="T486" s="123">
        <v>0.22864212805443856</v>
      </c>
      <c r="U486" s="15">
        <v>1.7818349762293124</v>
      </c>
      <c r="V486" s="15"/>
      <c r="W486" s="15"/>
    </row>
    <row r="487" spans="1:23" x14ac:dyDescent="0.25">
      <c r="B487" s="8"/>
      <c r="C487" s="9"/>
      <c r="D487" s="9"/>
      <c r="E487" s="8"/>
      <c r="F487" s="8"/>
      <c r="G487" s="9"/>
      <c r="H487" s="9"/>
      <c r="I487" s="9"/>
      <c r="J487" s="9"/>
      <c r="K487" s="9"/>
      <c r="L487" s="32"/>
      <c r="M487" s="9"/>
      <c r="N487" s="9"/>
      <c r="O487" s="9"/>
      <c r="P487" s="96">
        <v>0.8247279751525517</v>
      </c>
      <c r="Q487" s="151">
        <f t="shared" si="18"/>
        <v>41478.077132792037</v>
      </c>
      <c r="R487" s="123">
        <v>3.5349887133182842</v>
      </c>
      <c r="S487" s="51">
        <v>20</v>
      </c>
      <c r="T487" s="123">
        <v>0.20618620476337765</v>
      </c>
      <c r="U487" s="15">
        <v>2.816294518949634</v>
      </c>
      <c r="V487" s="15"/>
      <c r="W487" s="15"/>
    </row>
    <row r="488" spans="1:23" x14ac:dyDescent="0.25">
      <c r="B488" s="8"/>
      <c r="C488" s="9"/>
      <c r="D488" s="9"/>
      <c r="E488" s="8"/>
      <c r="F488" s="8"/>
      <c r="G488" s="9"/>
      <c r="H488" s="9"/>
      <c r="I488" s="9"/>
      <c r="J488" s="9"/>
      <c r="K488" s="9"/>
      <c r="L488" s="32"/>
      <c r="M488" s="9"/>
      <c r="N488" s="9"/>
      <c r="O488" s="9"/>
      <c r="P488" s="96">
        <v>0.84532128428108588</v>
      </c>
      <c r="Q488" s="151">
        <f t="shared" si="18"/>
        <v>41500.626806287779</v>
      </c>
      <c r="R488" s="123">
        <v>3.3521444695259595</v>
      </c>
      <c r="S488" s="51">
        <v>20</v>
      </c>
      <c r="T488" s="123">
        <v>0.19189607175997525</v>
      </c>
      <c r="U488" s="15">
        <v>6.3136678995920761</v>
      </c>
      <c r="V488" s="15"/>
      <c r="W488" s="15"/>
    </row>
    <row r="489" spans="1:23" x14ac:dyDescent="0.25">
      <c r="B489" s="8"/>
      <c r="C489" s="9"/>
      <c r="D489" s="9"/>
      <c r="E489" s="8"/>
      <c r="F489" s="8"/>
      <c r="G489" s="9"/>
      <c r="H489" s="9"/>
      <c r="I489" s="9"/>
      <c r="J489" s="9"/>
      <c r="K489" s="9"/>
      <c r="L489" s="32"/>
      <c r="M489" s="9"/>
      <c r="N489" s="9"/>
      <c r="O489" s="9"/>
      <c r="P489" s="96">
        <v>0.85446228685106229</v>
      </c>
      <c r="Q489" s="151">
        <f t="shared" si="18"/>
        <v>41510.636204101902</v>
      </c>
      <c r="R489" s="123">
        <v>4.1444695259593676</v>
      </c>
      <c r="S489" s="51">
        <v>23.5</v>
      </c>
      <c r="T489" s="123">
        <v>0.34296319208165793</v>
      </c>
      <c r="U489" s="15">
        <v>6.905422693796643</v>
      </c>
      <c r="V489" s="15"/>
      <c r="W489" s="15"/>
    </row>
    <row r="490" spans="1:23" x14ac:dyDescent="0.25">
      <c r="B490" s="8"/>
      <c r="C490" s="9"/>
      <c r="D490" s="9"/>
      <c r="E490" s="8"/>
      <c r="F490" s="8"/>
      <c r="G490" s="9"/>
      <c r="H490" s="9"/>
      <c r="I490" s="9"/>
      <c r="J490" s="9"/>
      <c r="K490" s="9"/>
      <c r="L490" s="32"/>
      <c r="M490" s="9"/>
      <c r="N490" s="9"/>
      <c r="O490" s="9"/>
      <c r="P490" s="96">
        <v>0.86932758174702573</v>
      </c>
      <c r="Q490" s="151">
        <f t="shared" si="18"/>
        <v>41526.913702012978</v>
      </c>
      <c r="R490" s="123">
        <v>4.4288939051918739</v>
      </c>
      <c r="S490" s="51">
        <v>22</v>
      </c>
      <c r="T490" s="123">
        <v>0.26334673677698733</v>
      </c>
      <c r="U490" s="15">
        <v>4.3291384800534667</v>
      </c>
      <c r="V490" s="15"/>
      <c r="W490" s="15"/>
    </row>
    <row r="491" spans="1:23" x14ac:dyDescent="0.25">
      <c r="B491" s="8"/>
      <c r="C491" s="9"/>
      <c r="D491" s="9"/>
      <c r="E491" s="8"/>
      <c r="F491" s="8"/>
      <c r="G491" s="9"/>
      <c r="H491" s="9"/>
      <c r="I491" s="9"/>
      <c r="J491" s="9"/>
      <c r="K491" s="9"/>
      <c r="L491" s="32"/>
      <c r="M491" s="9"/>
      <c r="N491" s="9"/>
      <c r="O491" s="9"/>
      <c r="P491" s="96">
        <v>0.87744133809985503</v>
      </c>
      <c r="Q491" s="151">
        <f t="shared" si="18"/>
        <v>41535.798265219324</v>
      </c>
      <c r="R491" s="123">
        <v>3.0067720090293455</v>
      </c>
      <c r="S491" s="51">
        <v>23.442622950819676</v>
      </c>
      <c r="T491" s="123">
        <v>0.22251778533869471</v>
      </c>
      <c r="U491" s="15">
        <v>3.3551779505533643</v>
      </c>
      <c r="V491" s="15"/>
      <c r="W491" s="15"/>
    </row>
    <row r="492" spans="1:23" x14ac:dyDescent="0.25">
      <c r="B492" s="8"/>
      <c r="C492" s="9"/>
      <c r="D492" s="9"/>
      <c r="E492" s="8"/>
      <c r="F492" s="8"/>
      <c r="G492" s="9"/>
      <c r="H492" s="9"/>
      <c r="I492" s="9"/>
      <c r="J492" s="9"/>
      <c r="K492" s="9"/>
      <c r="L492" s="32"/>
      <c r="M492" s="9"/>
      <c r="N492" s="9"/>
      <c r="O492" s="9"/>
      <c r="P492" s="96">
        <v>0.89960715276007286</v>
      </c>
      <c r="Q492" s="151">
        <f t="shared" si="18"/>
        <v>41560.06983227226</v>
      </c>
      <c r="R492" s="123">
        <v>1.9909706546275396</v>
      </c>
      <c r="S492" s="51">
        <v>18.196721311475407</v>
      </c>
      <c r="T492" s="123">
        <v>0.16535725332508502</v>
      </c>
      <c r="U492" s="15">
        <v>1.6723794755545156</v>
      </c>
      <c r="V492" s="15"/>
      <c r="W492" s="15"/>
    </row>
    <row r="493" spans="1:23" x14ac:dyDescent="0.25">
      <c r="B493" s="8"/>
      <c r="C493" s="9"/>
      <c r="D493" s="9"/>
      <c r="E493" s="8"/>
      <c r="F493" s="8"/>
      <c r="G493" s="9"/>
      <c r="H493" s="9"/>
      <c r="I493" s="9"/>
      <c r="J493" s="9"/>
      <c r="K493" s="9"/>
      <c r="L493" s="32"/>
      <c r="M493" s="9"/>
      <c r="N493" s="9"/>
      <c r="O493" s="9"/>
      <c r="P493" s="96">
        <v>0.92187904175793089</v>
      </c>
      <c r="Q493" s="151">
        <f t="shared" si="18"/>
        <v>41584.457550724917</v>
      </c>
      <c r="R493" s="123">
        <v>2.1331828442437923</v>
      </c>
      <c r="S493" s="51">
        <v>11.967213114754099</v>
      </c>
      <c r="T493" s="123">
        <v>0.20822765233529228</v>
      </c>
      <c r="U493" s="15">
        <v>0.66310732047063636</v>
      </c>
      <c r="V493" s="15"/>
      <c r="W493" s="15"/>
    </row>
    <row r="494" spans="1:23" x14ac:dyDescent="0.25">
      <c r="B494" s="8"/>
      <c r="C494" s="9"/>
      <c r="D494" s="9"/>
      <c r="E494" s="8"/>
      <c r="F494" s="8"/>
      <c r="G494" s="9"/>
      <c r="H494" s="9"/>
      <c r="I494" s="46"/>
      <c r="J494" s="46"/>
      <c r="K494" s="46"/>
      <c r="L494" s="43"/>
      <c r="M494" s="46"/>
      <c r="N494" s="46"/>
      <c r="O494" s="46"/>
      <c r="P494" s="111">
        <v>0.97458309993877468</v>
      </c>
      <c r="Q494" s="152">
        <f t="shared" si="18"/>
        <v>41642.168494432939</v>
      </c>
      <c r="R494" s="132">
        <v>1.5033860045146727</v>
      </c>
      <c r="S494" s="75">
        <v>4.5901639344262293</v>
      </c>
      <c r="T494" s="132">
        <v>0.26742963192081654</v>
      </c>
      <c r="U494" s="136">
        <v>1.3895875992936824</v>
      </c>
      <c r="V494" s="15"/>
      <c r="W494" s="15"/>
    </row>
    <row r="495" spans="1:23" x14ac:dyDescent="0.25">
      <c r="A495" s="6"/>
      <c r="B495" s="31" t="s">
        <v>84</v>
      </c>
      <c r="C495" s="44">
        <v>35.216999999999999</v>
      </c>
      <c r="D495" s="44">
        <v>107.667</v>
      </c>
      <c r="E495" s="33" t="s">
        <v>16</v>
      </c>
      <c r="F495" s="33" t="s">
        <v>38</v>
      </c>
      <c r="G495" s="11">
        <v>0.63720000000000021</v>
      </c>
      <c r="H495" s="11">
        <v>11.408333333333333</v>
      </c>
      <c r="I495" s="11">
        <v>1.6900000000000004</v>
      </c>
      <c r="J495" s="11">
        <v>0.187616</v>
      </c>
      <c r="K495" s="11">
        <f>I495/J495</f>
        <v>9.0077605321507779</v>
      </c>
      <c r="L495" s="14">
        <v>1.3</v>
      </c>
      <c r="M495" s="7">
        <f>9.353*EXP(-0.023*H495-0.622*L495-0.182*J495-0.009*K495)*(I495/(I495+0.567))</f>
        <v>2.1386644706845828</v>
      </c>
      <c r="N495" s="18">
        <f>LN(M495)/10</f>
        <v>7.6018155509597368E-2</v>
      </c>
      <c r="O495" s="9">
        <f>4.3573*EXP(-1.002*M495)</f>
        <v>0.51115152815402953</v>
      </c>
      <c r="P495" s="10"/>
      <c r="Q495" s="149">
        <v>41487</v>
      </c>
      <c r="R495" s="13"/>
      <c r="S495" s="25"/>
      <c r="T495" s="13"/>
      <c r="U495" s="13"/>
      <c r="V495" s="13"/>
      <c r="W495" s="13" t="s">
        <v>108</v>
      </c>
    </row>
    <row r="496" spans="1:23" x14ac:dyDescent="0.25">
      <c r="B496" s="8"/>
      <c r="C496" s="9"/>
      <c r="D496" s="9"/>
      <c r="E496" s="8"/>
      <c r="F496" s="8"/>
      <c r="G496" s="9"/>
      <c r="H496" s="9"/>
      <c r="I496" s="9"/>
      <c r="J496" s="9"/>
      <c r="K496" s="9"/>
      <c r="L496" s="32"/>
      <c r="M496" s="8"/>
      <c r="N496" s="8"/>
      <c r="O496" s="18"/>
      <c r="P496" s="104">
        <v>7.4591198931676234E-2</v>
      </c>
      <c r="Q496" s="151">
        <f t="shared" ref="Q496:Q537" si="19">Q495+(P496-P495)*365*26/24*2</f>
        <v>41545.98920648847</v>
      </c>
      <c r="R496" s="60">
        <v>1.5144943517955256</v>
      </c>
      <c r="S496" s="63">
        <v>14.159021406727827</v>
      </c>
      <c r="T496" s="60">
        <v>0.16909228905074497</v>
      </c>
      <c r="U496" s="15">
        <v>2.5046928925030754</v>
      </c>
      <c r="V496" s="15"/>
      <c r="W496" s="15"/>
    </row>
    <row r="497" spans="2:23" x14ac:dyDescent="0.25">
      <c r="B497" s="8"/>
      <c r="C497" s="9"/>
      <c r="D497" s="9"/>
      <c r="E497" s="8"/>
      <c r="F497" s="8"/>
      <c r="G497" s="9"/>
      <c r="H497" s="9"/>
      <c r="I497" s="9"/>
      <c r="J497" s="9"/>
      <c r="K497" s="9"/>
      <c r="L497" s="32"/>
      <c r="M497" s="8"/>
      <c r="N497" s="9"/>
      <c r="O497" s="9"/>
      <c r="P497" s="104">
        <v>0.10510434818435856</v>
      </c>
      <c r="Q497" s="151">
        <f t="shared" si="19"/>
        <v>41570.120022022464</v>
      </c>
      <c r="R497" s="60">
        <v>1.0399579262691798</v>
      </c>
      <c r="S497" s="63">
        <v>8.6544342507645275</v>
      </c>
      <c r="T497" s="60">
        <v>0.12163619658859399</v>
      </c>
      <c r="U497" s="15"/>
      <c r="V497" s="15"/>
      <c r="W497" s="15"/>
    </row>
    <row r="498" spans="2:23" x14ac:dyDescent="0.25">
      <c r="B498" s="8"/>
      <c r="C498" s="9"/>
      <c r="D498" s="9"/>
      <c r="E498" s="8"/>
      <c r="F498" s="8"/>
      <c r="G498" s="9"/>
      <c r="H498" s="9"/>
      <c r="I498" s="9"/>
      <c r="J498" s="9"/>
      <c r="K498" s="9"/>
      <c r="L498" s="32"/>
      <c r="M498" s="9"/>
      <c r="N498" s="9"/>
      <c r="O498" s="9"/>
      <c r="P498" s="104">
        <v>0.127340896587326</v>
      </c>
      <c r="Q498" s="151">
        <f t="shared" si="19"/>
        <v>41587.70542571781</v>
      </c>
      <c r="R498" s="60">
        <v>0.47729933181292694</v>
      </c>
      <c r="S498" s="63">
        <v>9.2660550458715605</v>
      </c>
      <c r="T498" s="60">
        <v>0.12690909575105519</v>
      </c>
      <c r="U498" s="15">
        <v>0.69129937686437237</v>
      </c>
      <c r="V498" s="15"/>
      <c r="W498" s="15"/>
    </row>
    <row r="499" spans="2:23" x14ac:dyDescent="0.25">
      <c r="B499" s="8"/>
      <c r="C499" s="9"/>
      <c r="D499" s="9"/>
      <c r="E499" s="8"/>
      <c r="F499" s="8"/>
      <c r="G499" s="9"/>
      <c r="H499" s="9"/>
      <c r="I499" s="9"/>
      <c r="J499" s="9"/>
      <c r="K499" s="9"/>
      <c r="L499" s="32"/>
      <c r="M499" s="9"/>
      <c r="N499" s="9"/>
      <c r="O499" s="9"/>
      <c r="P499" s="104">
        <v>0.15460399555026672</v>
      </c>
      <c r="Q499" s="151">
        <f t="shared" si="19"/>
        <v>41609.265993147666</v>
      </c>
      <c r="R499" s="60">
        <v>0.40739780276242155</v>
      </c>
      <c r="S499" s="63">
        <v>0.24464831804281317</v>
      </c>
      <c r="T499" s="60">
        <v>4.9133833104752264E-2</v>
      </c>
      <c r="U499" s="15">
        <v>0.91138796676612421</v>
      </c>
      <c r="V499" s="15"/>
      <c r="W499" s="15"/>
    </row>
    <row r="500" spans="2:23" x14ac:dyDescent="0.25">
      <c r="B500" s="8"/>
      <c r="C500" s="9"/>
      <c r="D500" s="9"/>
      <c r="E500" s="8"/>
      <c r="F500" s="8"/>
      <c r="G500" s="9"/>
      <c r="H500" s="9"/>
      <c r="I500" s="9"/>
      <c r="J500" s="9"/>
      <c r="K500" s="9"/>
      <c r="L500" s="32"/>
      <c r="M500" s="9"/>
      <c r="N500" s="9"/>
      <c r="O500" s="9"/>
      <c r="P500" s="104">
        <v>0.19264242903087428</v>
      </c>
      <c r="Q500" s="151">
        <f t="shared" si="19"/>
        <v>41639.348054291913</v>
      </c>
      <c r="R500" s="60">
        <v>0.56642487197322411</v>
      </c>
      <c r="S500" s="63">
        <v>-1.4373088685015301</v>
      </c>
      <c r="T500" s="60">
        <v>3.4633360407983906E-2</v>
      </c>
      <c r="U500" s="15">
        <v>1.3402422478181411</v>
      </c>
      <c r="V500" s="15"/>
      <c r="W500" s="15"/>
    </row>
    <row r="501" spans="2:23" x14ac:dyDescent="0.25">
      <c r="B501" s="8"/>
      <c r="C501" s="9"/>
      <c r="D501" s="9"/>
      <c r="E501" s="8"/>
      <c r="F501" s="8"/>
      <c r="G501" s="9"/>
      <c r="H501" s="9"/>
      <c r="I501" s="9"/>
      <c r="J501" s="9"/>
      <c r="K501" s="9"/>
      <c r="L501" s="32"/>
      <c r="M501" s="9"/>
      <c r="N501" s="9"/>
      <c r="O501" s="9"/>
      <c r="P501" s="104">
        <v>0.24059097111308769</v>
      </c>
      <c r="Q501" s="151">
        <f t="shared" si="19"/>
        <v>41677.267359655263</v>
      </c>
      <c r="R501" s="60">
        <v>0.67284038884270581</v>
      </c>
      <c r="S501" s="63">
        <v>-0.36697247706421976</v>
      </c>
      <c r="T501" s="60">
        <v>4.3860933942291035E-2</v>
      </c>
      <c r="U501" s="15">
        <v>2.1791979901465051</v>
      </c>
      <c r="V501" s="15"/>
      <c r="W501" s="15"/>
    </row>
    <row r="502" spans="2:23" x14ac:dyDescent="0.25">
      <c r="B502" s="8"/>
      <c r="C502" s="9"/>
      <c r="D502" s="9"/>
      <c r="E502" s="8"/>
      <c r="F502" s="8"/>
      <c r="G502" s="9"/>
      <c r="H502" s="9"/>
      <c r="I502" s="9"/>
      <c r="J502" s="9"/>
      <c r="K502" s="9"/>
      <c r="L502" s="32"/>
      <c r="M502" s="9"/>
      <c r="N502" s="9"/>
      <c r="O502" s="9"/>
      <c r="P502" s="104">
        <v>0.28202487100378326</v>
      </c>
      <c r="Q502" s="151">
        <f t="shared" si="19"/>
        <v>41710.034668818822</v>
      </c>
      <c r="R502" s="60">
        <v>1.4829535952923956</v>
      </c>
      <c r="S502" s="63">
        <v>3.4556574923547387</v>
      </c>
      <c r="T502" s="60">
        <v>7.6816553707673638E-2</v>
      </c>
      <c r="U502" s="15">
        <v>3.3168562925634868</v>
      </c>
      <c r="V502" s="15"/>
      <c r="W502" s="15"/>
    </row>
    <row r="503" spans="2:23" x14ac:dyDescent="0.25">
      <c r="B503" s="8"/>
      <c r="C503" s="9"/>
      <c r="D503" s="9"/>
      <c r="E503" s="8"/>
      <c r="F503" s="8"/>
      <c r="G503" s="9"/>
      <c r="H503" s="9"/>
      <c r="I503" s="9"/>
      <c r="J503" s="9"/>
      <c r="K503" s="9"/>
      <c r="L503" s="32"/>
      <c r="M503" s="9"/>
      <c r="N503" s="9"/>
      <c r="O503" s="9"/>
      <c r="P503" s="104">
        <v>0.30530356826923311</v>
      </c>
      <c r="Q503" s="151">
        <f t="shared" si="19"/>
        <v>41728.444238572913</v>
      </c>
      <c r="R503" s="60">
        <v>2.4862957424583563</v>
      </c>
      <c r="S503" s="63">
        <v>10.795107033639145</v>
      </c>
      <c r="T503" s="60">
        <v>0.14009134365720827</v>
      </c>
      <c r="U503" s="15">
        <v>4.1997244414897459</v>
      </c>
      <c r="V503" s="15"/>
      <c r="W503" s="15"/>
    </row>
    <row r="504" spans="2:23" x14ac:dyDescent="0.25">
      <c r="B504" s="8"/>
      <c r="C504" s="9"/>
      <c r="D504" s="9"/>
      <c r="E504" s="8"/>
      <c r="F504" s="8"/>
      <c r="G504" s="9"/>
      <c r="H504" s="9"/>
      <c r="I504" s="9"/>
      <c r="J504" s="9"/>
      <c r="K504" s="9"/>
      <c r="L504" s="32"/>
      <c r="M504" s="9"/>
      <c r="N504" s="9"/>
      <c r="O504" s="9"/>
      <c r="P504" s="104">
        <v>0.32257173256036586</v>
      </c>
      <c r="Q504" s="151">
        <f t="shared" si="19"/>
        <v>41742.100478499815</v>
      </c>
      <c r="R504" s="60">
        <v>1.8531684960822472</v>
      </c>
      <c r="S504" s="63">
        <v>11.559633027522938</v>
      </c>
      <c r="T504" s="60">
        <v>0.14668246761028478</v>
      </c>
      <c r="U504" s="15">
        <v>6.2666095837372877</v>
      </c>
      <c r="V504" s="15"/>
      <c r="W504" s="15"/>
    </row>
    <row r="505" spans="2:23" x14ac:dyDescent="0.25">
      <c r="B505" s="8"/>
      <c r="C505" s="9"/>
      <c r="D505" s="9"/>
      <c r="E505" s="8"/>
      <c r="F505" s="8"/>
      <c r="G505" s="9"/>
      <c r="H505" s="9"/>
      <c r="I505" s="9"/>
      <c r="J505" s="9"/>
      <c r="K505" s="9"/>
      <c r="L505" s="32"/>
      <c r="M505" s="9"/>
      <c r="N505" s="9"/>
      <c r="O505" s="9"/>
      <c r="P505" s="104">
        <v>0.33250607718202946</v>
      </c>
      <c r="Q505" s="151">
        <f t="shared" si="19"/>
        <v>41749.956889371446</v>
      </c>
      <c r="R505" s="60">
        <v>1.976510449360048</v>
      </c>
      <c r="S505" s="63">
        <v>11.712538226299692</v>
      </c>
      <c r="T505" s="60">
        <v>0.14800069240090008</v>
      </c>
      <c r="U505" s="15">
        <v>4.3524429699956793</v>
      </c>
      <c r="V505" s="15"/>
      <c r="W505" s="15"/>
    </row>
    <row r="506" spans="2:23" x14ac:dyDescent="0.25">
      <c r="B506" s="8"/>
      <c r="C506" s="9"/>
      <c r="D506" s="9"/>
      <c r="E506" s="8"/>
      <c r="F506" s="8"/>
      <c r="G506" s="9"/>
      <c r="H506" s="9"/>
      <c r="I506" s="9"/>
      <c r="J506" s="9"/>
      <c r="K506" s="9"/>
      <c r="L506" s="32"/>
      <c r="M506" s="9"/>
      <c r="N506" s="9"/>
      <c r="O506" s="9"/>
      <c r="P506" s="104">
        <v>0.34579711058168872</v>
      </c>
      <c r="Q506" s="151">
        <f t="shared" si="19"/>
        <v>41760.467881618344</v>
      </c>
      <c r="R506" s="60">
        <v>2.4694129308861417</v>
      </c>
      <c r="S506" s="63">
        <v>10.336391437308869</v>
      </c>
      <c r="T506" s="60">
        <v>0.13613666928536231</v>
      </c>
      <c r="U506" s="15">
        <v>2.6726748955843975</v>
      </c>
      <c r="V506" s="15"/>
      <c r="W506" s="15"/>
    </row>
    <row r="507" spans="2:23" x14ac:dyDescent="0.25">
      <c r="B507" s="8"/>
      <c r="C507" s="9"/>
      <c r="D507" s="9"/>
      <c r="E507" s="8"/>
      <c r="F507" s="8"/>
      <c r="G507" s="9"/>
      <c r="H507" s="9"/>
      <c r="I507" s="9"/>
      <c r="J507" s="9"/>
      <c r="K507" s="9"/>
      <c r="L507" s="32"/>
      <c r="M507" s="9"/>
      <c r="N507" s="9"/>
      <c r="O507" s="9"/>
      <c r="P507" s="104">
        <v>0.36980773565288205</v>
      </c>
      <c r="Q507" s="151">
        <f t="shared" si="19"/>
        <v>41779.456284278815</v>
      </c>
      <c r="R507" s="60">
        <v>2.7865509477495642</v>
      </c>
      <c r="S507" s="63">
        <v>17.217125382262996</v>
      </c>
      <c r="T507" s="60">
        <v>0.19545678486305104</v>
      </c>
      <c r="U507" s="15">
        <v>1.1312035700580789</v>
      </c>
      <c r="V507" s="15"/>
      <c r="W507" s="15"/>
    </row>
    <row r="508" spans="2:23" x14ac:dyDescent="0.25">
      <c r="B508" s="8"/>
      <c r="C508" s="9"/>
      <c r="D508" s="9"/>
      <c r="E508" s="8"/>
      <c r="F508" s="8"/>
      <c r="G508" s="9"/>
      <c r="H508" s="9"/>
      <c r="I508" s="9"/>
      <c r="J508" s="9"/>
      <c r="K508" s="9"/>
      <c r="L508" s="32"/>
      <c r="M508" s="9"/>
      <c r="N508" s="9"/>
      <c r="O508" s="9"/>
      <c r="P508" s="104">
        <v>0.38797020908414503</v>
      </c>
      <c r="Q508" s="151">
        <f t="shared" si="19"/>
        <v>41793.819773684038</v>
      </c>
      <c r="R508" s="60">
        <v>2.6461080587190295</v>
      </c>
      <c r="S508" s="63">
        <v>19.663608562691131</v>
      </c>
      <c r="T508" s="60">
        <v>0.21654838151289588</v>
      </c>
      <c r="U508" s="15"/>
      <c r="V508" s="15"/>
      <c r="W508" s="15"/>
    </row>
    <row r="509" spans="2:23" x14ac:dyDescent="0.25">
      <c r="B509" s="8"/>
      <c r="C509" s="9"/>
      <c r="D509" s="9"/>
      <c r="E509" s="8"/>
      <c r="F509" s="8"/>
      <c r="G509" s="9"/>
      <c r="H509" s="9"/>
      <c r="I509" s="9"/>
      <c r="J509" s="9"/>
      <c r="K509" s="9"/>
      <c r="L509" s="32"/>
      <c r="M509" s="9"/>
      <c r="N509" s="9"/>
      <c r="O509" s="9"/>
      <c r="P509" s="104">
        <v>0.39541309084387399</v>
      </c>
      <c r="Q509" s="151">
        <f t="shared" si="19"/>
        <v>41799.705852675688</v>
      </c>
      <c r="R509" s="60">
        <v>2.6814296343511654</v>
      </c>
      <c r="S509" s="63">
        <v>19.663608562691131</v>
      </c>
      <c r="T509" s="60">
        <v>0.21654838151289588</v>
      </c>
      <c r="U509" s="15">
        <v>0.596127048796809</v>
      </c>
      <c r="V509" s="15"/>
      <c r="W509" s="15"/>
    </row>
    <row r="510" spans="2:23" x14ac:dyDescent="0.25">
      <c r="B510" s="8"/>
      <c r="C510" s="9"/>
      <c r="D510" s="9"/>
      <c r="E510" s="8"/>
      <c r="F510" s="8"/>
      <c r="G510" s="9"/>
      <c r="H510" s="9"/>
      <c r="I510" s="9"/>
      <c r="J510" s="9"/>
      <c r="K510" s="9"/>
      <c r="L510" s="32"/>
      <c r="M510" s="9"/>
      <c r="N510" s="9"/>
      <c r="O510" s="9"/>
      <c r="P510" s="104">
        <v>0.42104025845291787</v>
      </c>
      <c r="Q510" s="151">
        <f t="shared" si="19"/>
        <v>41819.972671059841</v>
      </c>
      <c r="R510" s="60">
        <v>2.7346664760099757</v>
      </c>
      <c r="S510" s="63">
        <v>20.886850152905197</v>
      </c>
      <c r="T510" s="60">
        <v>0.22709417983781832</v>
      </c>
      <c r="U510" s="15">
        <v>1.2315400088341686</v>
      </c>
      <c r="V510" s="15"/>
      <c r="W510" s="15"/>
    </row>
    <row r="511" spans="2:23" x14ac:dyDescent="0.25">
      <c r="B511" s="8"/>
      <c r="C511" s="9"/>
      <c r="D511" s="9"/>
      <c r="E511" s="8"/>
      <c r="F511" s="8"/>
      <c r="G511" s="9"/>
      <c r="H511" s="9"/>
      <c r="I511" s="9"/>
      <c r="J511" s="9"/>
      <c r="K511" s="9"/>
      <c r="L511" s="32"/>
      <c r="M511" s="9"/>
      <c r="N511" s="9"/>
      <c r="O511" s="9"/>
      <c r="P511" s="104">
        <v>0.44073687195383521</v>
      </c>
      <c r="Q511" s="151">
        <f t="shared" si="19"/>
        <v>41835.549409570151</v>
      </c>
      <c r="R511" s="60">
        <v>1.7320804926698159</v>
      </c>
      <c r="S511" s="63">
        <v>25.474006116207953</v>
      </c>
      <c r="T511" s="60">
        <v>0.2666409235562775</v>
      </c>
      <c r="U511" s="15">
        <v>2.1509810373073397</v>
      </c>
      <c r="V511" s="15"/>
      <c r="W511" s="15"/>
    </row>
    <row r="512" spans="2:23" x14ac:dyDescent="0.25">
      <c r="B512" s="8"/>
      <c r="C512" s="9"/>
      <c r="D512" s="9"/>
      <c r="E512" s="8"/>
      <c r="F512" s="8"/>
      <c r="G512" s="9"/>
      <c r="H512" s="9"/>
      <c r="I512" s="9"/>
      <c r="J512" s="9"/>
      <c r="K512" s="9"/>
      <c r="L512" s="32"/>
      <c r="M512" s="9"/>
      <c r="N512" s="9"/>
      <c r="O512" s="9"/>
      <c r="P512" s="104">
        <v>0.46224633975507079</v>
      </c>
      <c r="Q512" s="151">
        <f t="shared" si="19"/>
        <v>41852.55981368963</v>
      </c>
      <c r="R512" s="60">
        <v>1.8908167296399254</v>
      </c>
      <c r="S512" s="63">
        <v>19.816513761467888</v>
      </c>
      <c r="T512" s="60">
        <v>0.21786660630351118</v>
      </c>
      <c r="U512" s="15">
        <v>3.9547165042960253</v>
      </c>
      <c r="V512" s="15"/>
      <c r="W512" s="15"/>
    </row>
    <row r="513" spans="1:23" x14ac:dyDescent="0.25">
      <c r="B513" s="8"/>
      <c r="C513" s="9"/>
      <c r="D513" s="9"/>
      <c r="E513" s="8"/>
      <c r="F513" s="8"/>
      <c r="G513" s="9"/>
      <c r="H513" s="9"/>
      <c r="I513" s="9"/>
      <c r="J513" s="9"/>
      <c r="K513" s="9"/>
      <c r="L513" s="32"/>
      <c r="M513" s="9"/>
      <c r="N513" s="9"/>
      <c r="O513" s="9"/>
      <c r="P513" s="104">
        <v>0.47554706756275311</v>
      </c>
      <c r="Q513" s="151">
        <f t="shared" si="19"/>
        <v>41863.078472597539</v>
      </c>
      <c r="R513" s="60">
        <v>2.4541006134136678</v>
      </c>
      <c r="S513" s="63">
        <v>20.428134556574925</v>
      </c>
      <c r="T513" s="60">
        <v>0.22313950546597247</v>
      </c>
      <c r="U513" s="15">
        <v>5.7631522179542864</v>
      </c>
      <c r="V513" s="15"/>
      <c r="W513" s="15"/>
    </row>
    <row r="514" spans="1:23" x14ac:dyDescent="0.25">
      <c r="B514" s="8"/>
      <c r="C514" s="9"/>
      <c r="D514" s="9"/>
      <c r="E514" s="8"/>
      <c r="F514" s="8"/>
      <c r="G514" s="9"/>
      <c r="H514" s="9"/>
      <c r="I514" s="9"/>
      <c r="J514" s="9"/>
      <c r="K514" s="9"/>
      <c r="L514" s="32"/>
      <c r="M514" s="9"/>
      <c r="N514" s="9"/>
      <c r="O514" s="9"/>
      <c r="P514" s="104">
        <v>0.487037364672123</v>
      </c>
      <c r="Q514" s="151">
        <f t="shared" si="19"/>
        <v>41872.165382561536</v>
      </c>
      <c r="R514" s="60">
        <v>1.8736576274390524</v>
      </c>
      <c r="S514" s="63">
        <v>19.357798165137616</v>
      </c>
      <c r="T514" s="60">
        <v>0.21391193193166536</v>
      </c>
      <c r="U514" s="15">
        <v>7.9789162547949104</v>
      </c>
      <c r="V514" s="15"/>
      <c r="W514" s="15"/>
    </row>
    <row r="515" spans="1:23" x14ac:dyDescent="0.25">
      <c r="B515" s="8"/>
      <c r="C515" s="9"/>
      <c r="D515" s="9"/>
      <c r="E515" s="8"/>
      <c r="F515" s="8"/>
      <c r="G515" s="9"/>
      <c r="H515" s="9"/>
      <c r="I515" s="9"/>
      <c r="J515" s="9"/>
      <c r="K515" s="9"/>
      <c r="L515" s="32"/>
      <c r="M515" s="9"/>
      <c r="N515" s="9"/>
      <c r="O515" s="9"/>
      <c r="P515" s="104">
        <v>0.51587822854082199</v>
      </c>
      <c r="Q515" s="151">
        <f t="shared" si="19"/>
        <v>41894.97369907103</v>
      </c>
      <c r="R515" s="60">
        <v>1.2583293141933405</v>
      </c>
      <c r="S515" s="63">
        <v>15.535168195718654</v>
      </c>
      <c r="T515" s="60">
        <v>0.18095631216628266</v>
      </c>
      <c r="U515" s="15">
        <v>3.9653299974272072</v>
      </c>
      <c r="V515" s="15"/>
      <c r="W515" s="15"/>
    </row>
    <row r="516" spans="1:23" x14ac:dyDescent="0.25">
      <c r="B516" s="8"/>
      <c r="C516" s="9"/>
      <c r="D516" s="9"/>
      <c r="E516" s="8"/>
      <c r="F516" s="8"/>
      <c r="G516" s="9"/>
      <c r="H516" s="9"/>
      <c r="I516" s="9"/>
      <c r="J516" s="9"/>
      <c r="K516" s="9"/>
      <c r="L516" s="32"/>
      <c r="M516" s="9"/>
      <c r="N516" s="9"/>
      <c r="O516" s="9"/>
      <c r="P516" s="104">
        <v>0.52249223841457648</v>
      </c>
      <c r="Q516" s="151">
        <f t="shared" si="19"/>
        <v>41900.204278546189</v>
      </c>
      <c r="R516" s="60">
        <v>1.2760409976515297</v>
      </c>
      <c r="S516" s="63">
        <v>13.700305810397555</v>
      </c>
      <c r="T516" s="60">
        <v>0.16513761467889904</v>
      </c>
      <c r="U516" s="15">
        <v>3.412837269457544</v>
      </c>
      <c r="V516" s="15"/>
      <c r="W516" s="15"/>
    </row>
    <row r="517" spans="1:23" x14ac:dyDescent="0.25">
      <c r="A517" s="6"/>
      <c r="B517" s="6" t="s">
        <v>84</v>
      </c>
      <c r="C517" s="44">
        <v>35.216999999999999</v>
      </c>
      <c r="D517" s="44">
        <v>107.667</v>
      </c>
      <c r="E517" s="33" t="s">
        <v>20</v>
      </c>
      <c r="F517" s="33" t="s">
        <v>38</v>
      </c>
      <c r="G517" s="11">
        <v>0.64419999999999999</v>
      </c>
      <c r="H517" s="11">
        <v>11.483333333333334</v>
      </c>
      <c r="I517" s="11">
        <v>1.6900000000000004</v>
      </c>
      <c r="J517" s="11">
        <v>0.187616</v>
      </c>
      <c r="K517" s="11">
        <f>I517/J517</f>
        <v>9.0077605321507779</v>
      </c>
      <c r="L517" s="14">
        <v>1.3</v>
      </c>
      <c r="M517" s="7">
        <f>9.353*EXP(-0.023*H517-0.622*L517-0.182*J517-0.009*K517)*(I517/(I517+0.567))</f>
        <v>2.1349784545755632</v>
      </c>
      <c r="N517" s="7">
        <f>LN(M517)/10</f>
        <v>7.5845655509597404E-2</v>
      </c>
      <c r="O517" s="11">
        <f>4.3573*EXP(-1.002*M517)</f>
        <v>0.51304289978122386</v>
      </c>
      <c r="P517" s="112">
        <v>0.55222014061738833</v>
      </c>
      <c r="Q517" s="149">
        <f t="shared" si="19"/>
        <v>41923.714094538249</v>
      </c>
      <c r="R517" s="137">
        <v>1.1006109900656553</v>
      </c>
      <c r="S517" s="64">
        <v>8.3486238532110093</v>
      </c>
      <c r="T517" s="137">
        <v>0.1189997470073634</v>
      </c>
      <c r="U517" s="13">
        <v>1.7387010626716264</v>
      </c>
      <c r="V517" s="13"/>
      <c r="W517" s="13"/>
    </row>
    <row r="518" spans="1:23" x14ac:dyDescent="0.25">
      <c r="B518" s="8"/>
      <c r="C518" s="9"/>
      <c r="D518" s="9"/>
      <c r="E518" s="8"/>
      <c r="F518" s="8"/>
      <c r="G518" s="9"/>
      <c r="H518" s="9"/>
      <c r="I518" s="9"/>
      <c r="J518" s="9"/>
      <c r="K518" s="9"/>
      <c r="L518" s="32"/>
      <c r="M518" s="8"/>
      <c r="N518" s="8"/>
      <c r="O518" s="18"/>
      <c r="P518" s="104">
        <v>0.57283287567648788</v>
      </c>
      <c r="Q518" s="151">
        <f t="shared" si="19"/>
        <v>41940.015332514151</v>
      </c>
      <c r="R518" s="60">
        <v>0.74906751912827885</v>
      </c>
      <c r="S518" s="63">
        <v>5.2905198776758393</v>
      </c>
      <c r="T518" s="60">
        <v>9.2635251195057292E-2</v>
      </c>
      <c r="U518" s="15"/>
      <c r="V518" s="15"/>
      <c r="W518" s="15"/>
    </row>
    <row r="519" spans="1:23" x14ac:dyDescent="0.25">
      <c r="B519" s="8"/>
      <c r="C519" s="9"/>
      <c r="D519" s="9"/>
      <c r="E519" s="8"/>
      <c r="F519" s="8"/>
      <c r="G519" s="9"/>
      <c r="H519" s="9"/>
      <c r="I519" s="9"/>
      <c r="J519" s="9"/>
      <c r="K519" s="9"/>
      <c r="L519" s="32"/>
      <c r="M519" s="8"/>
      <c r="N519" s="9"/>
      <c r="O519" s="9"/>
      <c r="P519" s="104">
        <v>0.6041797440191562</v>
      </c>
      <c r="Q519" s="151">
        <f t="shared" si="19"/>
        <v>41964.805480895142</v>
      </c>
      <c r="R519" s="60">
        <v>0.3273316868997041</v>
      </c>
      <c r="S519" s="63">
        <v>-1.5902140672782874</v>
      </c>
      <c r="T519" s="60">
        <v>3.3315135617368596E-2</v>
      </c>
      <c r="U519" s="15">
        <v>0.80729539234745085</v>
      </c>
      <c r="V519" s="15"/>
      <c r="W519" s="15"/>
    </row>
    <row r="520" spans="1:23" x14ac:dyDescent="0.25">
      <c r="B520" s="8"/>
      <c r="C520" s="9"/>
      <c r="D520" s="9"/>
      <c r="E520" s="8"/>
      <c r="F520" s="8"/>
      <c r="G520" s="9"/>
      <c r="H520" s="9"/>
      <c r="I520" s="9"/>
      <c r="J520" s="9"/>
      <c r="K520" s="9"/>
      <c r="L520" s="32"/>
      <c r="M520" s="9"/>
      <c r="N520" s="9"/>
      <c r="O520" s="9"/>
      <c r="P520" s="104">
        <v>0.63643546311398924</v>
      </c>
      <c r="Q520" s="151">
        <f t="shared" si="19"/>
        <v>41990.31437874597</v>
      </c>
      <c r="R520" s="60">
        <v>0.50385231538817621</v>
      </c>
      <c r="S520" s="63">
        <v>-1.2844036697247709</v>
      </c>
      <c r="T520" s="60">
        <v>3.5951585198599215E-2</v>
      </c>
      <c r="U520" s="15">
        <v>1.1195711116218521</v>
      </c>
      <c r="V520" s="15"/>
      <c r="W520" s="15"/>
    </row>
    <row r="521" spans="1:23" x14ac:dyDescent="0.25">
      <c r="B521" s="8"/>
      <c r="C521" s="9"/>
      <c r="D521" s="9"/>
      <c r="E521" s="8"/>
      <c r="F521" s="8"/>
      <c r="G521" s="9"/>
      <c r="H521" s="9"/>
      <c r="I521" s="9"/>
      <c r="J521" s="9"/>
      <c r="K521" s="9"/>
      <c r="L521" s="32"/>
      <c r="M521" s="9"/>
      <c r="N521" s="9"/>
      <c r="O521" s="9"/>
      <c r="P521" s="104">
        <v>0.68520318267415403</v>
      </c>
      <c r="Q521" s="151">
        <f t="shared" si="19"/>
        <v>42028.881516964801</v>
      </c>
      <c r="R521" s="60">
        <v>0.55749632218395628</v>
      </c>
      <c r="S521" s="63">
        <v>-0.21406727828746241</v>
      </c>
      <c r="T521" s="60">
        <v>4.5179158732906351E-2</v>
      </c>
      <c r="U521" s="15">
        <v>1.8355737525286069</v>
      </c>
      <c r="V521" s="15"/>
      <c r="W521" s="15"/>
    </row>
    <row r="522" spans="1:23" x14ac:dyDescent="0.25">
      <c r="B522" s="8"/>
      <c r="C522" s="9"/>
      <c r="D522" s="9"/>
      <c r="E522" s="8"/>
      <c r="F522" s="8"/>
      <c r="G522" s="9"/>
      <c r="H522" s="9"/>
      <c r="I522" s="9"/>
      <c r="J522" s="9"/>
      <c r="K522" s="9"/>
      <c r="L522" s="32"/>
      <c r="M522" s="9"/>
      <c r="N522" s="9"/>
      <c r="O522" s="9"/>
      <c r="P522" s="104">
        <v>0.71675120998330133</v>
      </c>
      <c r="Q522" s="151">
        <f t="shared" si="19"/>
        <v>42053.830748561784</v>
      </c>
      <c r="R522" s="60">
        <v>1.5961745865940877</v>
      </c>
      <c r="S522" s="63">
        <v>13.700305810397555</v>
      </c>
      <c r="T522" s="60">
        <v>0.16513761467889904</v>
      </c>
      <c r="U522" s="15">
        <v>2.5274067543028855</v>
      </c>
      <c r="V522" s="15"/>
      <c r="W522" s="15"/>
    </row>
    <row r="523" spans="1:23" x14ac:dyDescent="0.25">
      <c r="B523" s="8"/>
      <c r="C523" s="9"/>
      <c r="D523" s="9"/>
      <c r="E523" s="8"/>
      <c r="F523" s="8"/>
      <c r="G523" s="9"/>
      <c r="H523" s="9"/>
      <c r="I523" s="9"/>
      <c r="J523" s="9"/>
      <c r="K523" s="9"/>
      <c r="L523" s="32"/>
      <c r="M523" s="9"/>
      <c r="N523" s="9"/>
      <c r="O523" s="9"/>
      <c r="P523" s="104">
        <v>0.76066203112389696</v>
      </c>
      <c r="Q523" s="151">
        <f t="shared" si="19"/>
        <v>42088.556889613807</v>
      </c>
      <c r="R523" s="60">
        <v>2.3887360673179692</v>
      </c>
      <c r="S523" s="63">
        <v>10.795107033639145</v>
      </c>
      <c r="T523" s="60">
        <v>0.14009134365720827</v>
      </c>
      <c r="U523" s="15">
        <v>3.944670960044939</v>
      </c>
      <c r="V523" s="15"/>
      <c r="W523" s="15"/>
    </row>
    <row r="524" spans="1:23" x14ac:dyDescent="0.25">
      <c r="B524" s="8"/>
      <c r="C524" s="9"/>
      <c r="D524" s="9"/>
      <c r="E524" s="8"/>
      <c r="F524" s="8"/>
      <c r="G524" s="9"/>
      <c r="H524" s="9"/>
      <c r="I524" s="9"/>
      <c r="J524" s="9"/>
      <c r="K524" s="9"/>
      <c r="L524" s="32"/>
      <c r="M524" s="9"/>
      <c r="N524" s="9"/>
      <c r="O524" s="9"/>
      <c r="P524" s="104">
        <v>0.77160217057795633</v>
      </c>
      <c r="Q524" s="151">
        <f t="shared" si="19"/>
        <v>42097.208716565394</v>
      </c>
      <c r="R524" s="60">
        <v>3.8141485037893021</v>
      </c>
      <c r="S524" s="63">
        <v>13.088685015290519</v>
      </c>
      <c r="T524" s="60">
        <v>0.15986471551643783</v>
      </c>
      <c r="U524" s="15">
        <v>4.4073677959463362</v>
      </c>
      <c r="V524" s="15"/>
      <c r="W524" s="15"/>
    </row>
    <row r="525" spans="1:23" x14ac:dyDescent="0.25">
      <c r="B525" s="8"/>
      <c r="C525" s="9"/>
      <c r="D525" s="9"/>
      <c r="E525" s="8"/>
      <c r="F525" s="8"/>
      <c r="G525" s="9"/>
      <c r="H525" s="9"/>
      <c r="I525" s="9"/>
      <c r="J525" s="9"/>
      <c r="K525" s="9"/>
      <c r="L525" s="32"/>
      <c r="M525" s="9"/>
      <c r="N525" s="9"/>
      <c r="O525" s="9"/>
      <c r="P525" s="104">
        <v>0.77813135438150893</v>
      </c>
      <c r="Q525" s="151">
        <f t="shared" si="19"/>
        <v>42102.372212756702</v>
      </c>
      <c r="R525" s="60">
        <v>3.2160229175805668</v>
      </c>
      <c r="S525" s="63">
        <v>12.477064220183486</v>
      </c>
      <c r="T525" s="60">
        <v>0.15459181635397662</v>
      </c>
      <c r="U525" s="15">
        <v>4.7089788460681872</v>
      </c>
      <c r="V525" s="15"/>
      <c r="W525" s="15"/>
    </row>
    <row r="526" spans="1:23" x14ac:dyDescent="0.25">
      <c r="B526" s="8"/>
      <c r="C526" s="9"/>
      <c r="D526" s="9"/>
      <c r="E526" s="8"/>
      <c r="F526" s="8"/>
      <c r="G526" s="9"/>
      <c r="H526" s="9"/>
      <c r="I526" s="9"/>
      <c r="J526" s="9"/>
      <c r="K526" s="9"/>
      <c r="L526" s="32"/>
      <c r="M526" s="9"/>
      <c r="N526" s="9"/>
      <c r="O526" s="9"/>
      <c r="P526" s="104">
        <v>0.78629889314096402</v>
      </c>
      <c r="Q526" s="151">
        <f t="shared" si="19"/>
        <v>42108.83137465897</v>
      </c>
      <c r="R526" s="60">
        <v>2.5123543112244278</v>
      </c>
      <c r="S526" s="63">
        <v>12.782874617737004</v>
      </c>
      <c r="T526" s="60">
        <v>0.15722826593520722</v>
      </c>
      <c r="U526" s="15">
        <v>5.783046065642246</v>
      </c>
      <c r="V526" s="15"/>
      <c r="W526" s="15"/>
    </row>
    <row r="527" spans="1:23" x14ac:dyDescent="0.25">
      <c r="B527" s="8"/>
      <c r="C527" s="9"/>
      <c r="D527" s="9"/>
      <c r="E527" s="8"/>
      <c r="F527" s="8"/>
      <c r="G527" s="9"/>
      <c r="H527" s="9"/>
      <c r="I527" s="9"/>
      <c r="J527" s="9"/>
      <c r="K527" s="9"/>
      <c r="L527" s="32"/>
      <c r="M527" s="9"/>
      <c r="N527" s="9"/>
      <c r="O527" s="9"/>
      <c r="P527" s="104">
        <v>0.79621627254858718</v>
      </c>
      <c r="Q527" s="151">
        <f t="shared" si="19"/>
        <v>42116.674368873835</v>
      </c>
      <c r="R527" s="60">
        <v>2.5125288105688437</v>
      </c>
      <c r="S527" s="63">
        <v>14.464831804281346</v>
      </c>
      <c r="T527" s="60">
        <v>0.17172873863197555</v>
      </c>
      <c r="U527" s="15">
        <v>4.0190872646040914</v>
      </c>
      <c r="V527" s="15"/>
      <c r="W527" s="15"/>
    </row>
    <row r="528" spans="1:23" x14ac:dyDescent="0.25">
      <c r="B528" s="8"/>
      <c r="C528" s="9"/>
      <c r="D528" s="9"/>
      <c r="E528" s="8"/>
      <c r="F528" s="8"/>
      <c r="G528" s="9"/>
      <c r="H528" s="9"/>
      <c r="I528" s="9"/>
      <c r="J528" s="9"/>
      <c r="K528" s="9"/>
      <c r="L528" s="32"/>
      <c r="M528" s="9"/>
      <c r="N528" s="9"/>
      <c r="O528" s="9"/>
      <c r="P528" s="104">
        <v>0.82433975022357731</v>
      </c>
      <c r="Q528" s="151">
        <f t="shared" si="19"/>
        <v>42138.915352468473</v>
      </c>
      <c r="R528" s="60">
        <v>2.6889767309971426</v>
      </c>
      <c r="S528" s="63">
        <v>17.828746177370029</v>
      </c>
      <c r="T528" s="60">
        <v>0.20072968402551225</v>
      </c>
      <c r="U528" s="15">
        <v>1.4321608596282507</v>
      </c>
      <c r="V528" s="15"/>
      <c r="W528" s="15"/>
    </row>
    <row r="529" spans="1:23" x14ac:dyDescent="0.25">
      <c r="B529" s="8"/>
      <c r="C529" s="9"/>
      <c r="D529" s="9"/>
      <c r="E529" s="8"/>
      <c r="F529" s="8"/>
      <c r="G529" s="9"/>
      <c r="H529" s="9"/>
      <c r="I529" s="9"/>
      <c r="J529" s="9"/>
      <c r="K529" s="9"/>
      <c r="L529" s="32"/>
      <c r="M529" s="9"/>
      <c r="N529" s="9"/>
      <c r="O529" s="9"/>
      <c r="P529" s="104">
        <v>0.85164405042061608</v>
      </c>
      <c r="Q529" s="151">
        <f t="shared" si="19"/>
        <v>42160.508503207631</v>
      </c>
      <c r="R529" s="60">
        <v>2.918196161499143</v>
      </c>
      <c r="S529" s="63">
        <v>19.816513761467888</v>
      </c>
      <c r="T529" s="60">
        <v>0.21786660630351118</v>
      </c>
      <c r="U529" s="15">
        <v>0.51295372619585389</v>
      </c>
      <c r="V529" s="15"/>
      <c r="W529" s="15"/>
    </row>
    <row r="530" spans="1:23" x14ac:dyDescent="0.25">
      <c r="B530" s="8"/>
      <c r="C530" s="9"/>
      <c r="D530" s="9"/>
      <c r="E530" s="8"/>
      <c r="F530" s="8"/>
      <c r="G530" s="9"/>
      <c r="H530" s="9"/>
      <c r="I530" s="9"/>
      <c r="J530" s="9"/>
      <c r="K530" s="9"/>
      <c r="L530" s="32"/>
      <c r="M530" s="9"/>
      <c r="N530" s="9"/>
      <c r="O530" s="9"/>
      <c r="P530" s="104">
        <v>0.86644498786987201</v>
      </c>
      <c r="Q530" s="151">
        <f t="shared" si="19"/>
        <v>42172.213577907081</v>
      </c>
      <c r="R530" s="60">
        <v>2.3730020430964909</v>
      </c>
      <c r="S530" s="63">
        <v>24.25076452599388</v>
      </c>
      <c r="T530" s="60">
        <v>0.25609512523135508</v>
      </c>
      <c r="U530" s="15">
        <v>0.77995471230102165</v>
      </c>
      <c r="V530" s="15"/>
      <c r="W530" s="15"/>
    </row>
    <row r="531" spans="1:23" x14ac:dyDescent="0.25">
      <c r="B531" s="8"/>
      <c r="C531" s="9"/>
      <c r="D531" s="9"/>
      <c r="E531" s="8"/>
      <c r="F531" s="8"/>
      <c r="G531" s="9"/>
      <c r="H531" s="9"/>
      <c r="I531" s="9"/>
      <c r="J531" s="9"/>
      <c r="K531" s="9"/>
      <c r="L531" s="32"/>
      <c r="M531" s="9"/>
      <c r="N531" s="9"/>
      <c r="O531" s="9"/>
      <c r="P531" s="104">
        <v>0.8805527751454767</v>
      </c>
      <c r="Q531" s="151">
        <f t="shared" si="19"/>
        <v>42183.370486344204</v>
      </c>
      <c r="R531" s="60">
        <v>2.7955376639869707</v>
      </c>
      <c r="S531" s="63">
        <v>24.556574923547402</v>
      </c>
      <c r="T531" s="60">
        <v>0.25873157481258563</v>
      </c>
      <c r="U531" s="15">
        <v>1.1628873922836147</v>
      </c>
      <c r="V531" s="15"/>
      <c r="W531" s="15"/>
    </row>
    <row r="532" spans="1:23" x14ac:dyDescent="0.25">
      <c r="B532" s="8"/>
      <c r="C532" s="9"/>
      <c r="D532" s="9"/>
      <c r="E532" s="8"/>
      <c r="F532" s="8"/>
      <c r="G532" s="9"/>
      <c r="H532" s="9"/>
      <c r="I532" s="9"/>
      <c r="J532" s="9"/>
      <c r="K532" s="9"/>
      <c r="L532" s="32"/>
      <c r="M532" s="9"/>
      <c r="N532" s="9"/>
      <c r="O532" s="9"/>
      <c r="P532" s="104">
        <v>0.89040714090094986</v>
      </c>
      <c r="Q532" s="151">
        <f t="shared" si="19"/>
        <v>42191.163647262489</v>
      </c>
      <c r="R532" s="60">
        <v>2.3382330487216714</v>
      </c>
      <c r="S532" s="63">
        <v>29.908256880733944</v>
      </c>
      <c r="T532" s="60">
        <v>0.30486944248412129</v>
      </c>
      <c r="U532" s="15">
        <v>1.537114400704829</v>
      </c>
      <c r="V532" s="15"/>
      <c r="W532" s="15"/>
    </row>
    <row r="533" spans="1:23" x14ac:dyDescent="0.25">
      <c r="B533" s="8"/>
      <c r="C533" s="9"/>
      <c r="D533" s="9"/>
      <c r="E533" s="8"/>
      <c r="F533" s="8"/>
      <c r="G533" s="9"/>
      <c r="H533" s="9"/>
      <c r="I533" s="9"/>
      <c r="J533" s="9"/>
      <c r="K533" s="9"/>
      <c r="L533" s="32"/>
      <c r="M533" s="9"/>
      <c r="N533" s="9"/>
      <c r="O533" s="9"/>
      <c r="P533" s="104">
        <v>0.90680038486799852</v>
      </c>
      <c r="Q533" s="151">
        <f t="shared" si="19"/>
        <v>42204.127971033093</v>
      </c>
      <c r="R533" s="60">
        <v>1.3531842494952848</v>
      </c>
      <c r="S533" s="63">
        <v>21.804281345565748</v>
      </c>
      <c r="T533" s="60">
        <v>0.23500352858151019</v>
      </c>
      <c r="U533" s="15">
        <v>2.4449853887852417</v>
      </c>
      <c r="V533" s="15"/>
      <c r="W533" s="15"/>
    </row>
    <row r="534" spans="1:23" x14ac:dyDescent="0.25">
      <c r="B534" s="8"/>
      <c r="C534" s="9"/>
      <c r="D534" s="9"/>
      <c r="E534" s="8"/>
      <c r="F534" s="8"/>
      <c r="G534" s="9"/>
      <c r="H534" s="9"/>
      <c r="I534" s="9"/>
      <c r="J534" s="9"/>
      <c r="K534" s="9"/>
      <c r="L534" s="32"/>
      <c r="M534" s="9"/>
      <c r="N534" s="9"/>
      <c r="O534" s="9"/>
      <c r="P534" s="104">
        <v>0.91100048714400317</v>
      </c>
      <c r="Q534" s="151">
        <f t="shared" si="19"/>
        <v>42207.449551916368</v>
      </c>
      <c r="R534" s="60">
        <v>1.8459267732889977</v>
      </c>
      <c r="S534" s="63">
        <v>22.11009174311927</v>
      </c>
      <c r="T534" s="60">
        <v>0.23763997816274082</v>
      </c>
      <c r="U534" s="15">
        <v>2.7537239715416115</v>
      </c>
      <c r="V534" s="15"/>
      <c r="W534" s="15"/>
    </row>
    <row r="535" spans="1:23" x14ac:dyDescent="0.25">
      <c r="B535" s="8"/>
      <c r="C535" s="9"/>
      <c r="D535" s="9"/>
      <c r="E535" s="8"/>
      <c r="F535" s="8"/>
      <c r="G535" s="9"/>
      <c r="H535" s="9"/>
      <c r="I535" s="9"/>
      <c r="J535" s="9"/>
      <c r="K535" s="9"/>
      <c r="L535" s="32"/>
      <c r="M535" s="9"/>
      <c r="N535" s="9"/>
      <c r="O535" s="9"/>
      <c r="P535" s="104">
        <v>0.92751491121134055</v>
      </c>
      <c r="Q535" s="151">
        <f t="shared" si="19"/>
        <v>42220.509708949619</v>
      </c>
      <c r="R535" s="60">
        <v>1.7406455021582175</v>
      </c>
      <c r="S535" s="63">
        <v>21.49847094801223</v>
      </c>
      <c r="T535" s="60">
        <v>0.23236707900027953</v>
      </c>
      <c r="U535" s="15">
        <v>4.395218835572102</v>
      </c>
      <c r="V535" s="15"/>
      <c r="W535" s="15"/>
    </row>
    <row r="536" spans="1:23" x14ac:dyDescent="0.25">
      <c r="B536" s="8"/>
      <c r="C536" s="9"/>
      <c r="D536" s="9"/>
      <c r="E536" s="8"/>
      <c r="F536" s="8"/>
      <c r="G536" s="9"/>
      <c r="H536" s="9"/>
      <c r="I536" s="9"/>
      <c r="J536" s="9"/>
      <c r="K536" s="9"/>
      <c r="L536" s="32"/>
      <c r="M536" s="9"/>
      <c r="N536" s="9"/>
      <c r="O536" s="9"/>
      <c r="P536" s="104">
        <v>0.93324915355699944</v>
      </c>
      <c r="Q536" s="151">
        <f t="shared" si="19"/>
        <v>42225.044538937975</v>
      </c>
      <c r="R536" s="60">
        <v>1.3712449316423054</v>
      </c>
      <c r="S536" s="63">
        <v>20.73394495412844</v>
      </c>
      <c r="T536" s="60">
        <v>0.22577595504720299</v>
      </c>
      <c r="U536" s="15">
        <v>5.1699734107287671</v>
      </c>
      <c r="V536" s="15"/>
      <c r="W536" s="15"/>
    </row>
    <row r="537" spans="1:23" x14ac:dyDescent="0.25">
      <c r="B537" s="8"/>
      <c r="C537" s="9"/>
      <c r="D537" s="9"/>
      <c r="E537" s="8"/>
      <c r="F537" s="8"/>
      <c r="G537" s="9"/>
      <c r="H537" s="9"/>
      <c r="I537" s="9"/>
      <c r="J537" s="9"/>
      <c r="K537" s="9"/>
      <c r="L537" s="32"/>
      <c r="M537" s="9"/>
      <c r="N537" s="9"/>
      <c r="O537" s="9"/>
      <c r="P537" s="104">
        <v>0.96291646570966705</v>
      </c>
      <c r="Q537" s="151">
        <f t="shared" si="19"/>
        <v>42248.506438298711</v>
      </c>
      <c r="R537" s="60">
        <v>0.75593116000862803</v>
      </c>
      <c r="S537" s="63">
        <v>12.171253822629968</v>
      </c>
      <c r="T537" s="60">
        <v>0.15195536677274599</v>
      </c>
      <c r="U537" s="15">
        <v>5.509866688370443</v>
      </c>
      <c r="V537" s="15"/>
      <c r="W537" s="15"/>
    </row>
    <row r="538" spans="1:23" ht="16.5" x14ac:dyDescent="0.3">
      <c r="A538" s="6"/>
      <c r="B538" s="6" t="s">
        <v>84</v>
      </c>
      <c r="C538" s="44">
        <v>35.200000000000003</v>
      </c>
      <c r="D538" s="44">
        <v>107.667</v>
      </c>
      <c r="E538" s="33" t="s">
        <v>21</v>
      </c>
      <c r="F538" s="33" t="s">
        <v>44</v>
      </c>
      <c r="G538" s="11">
        <v>0.51929999999999998</v>
      </c>
      <c r="H538" s="11">
        <v>13.6</v>
      </c>
      <c r="I538" s="11">
        <v>3.3843040000000006</v>
      </c>
      <c r="J538" s="11">
        <v>0.23206656000000003</v>
      </c>
      <c r="K538" s="11">
        <f>I538/J538</f>
        <v>14.583333333333334</v>
      </c>
      <c r="L538" s="14">
        <v>1.34</v>
      </c>
      <c r="M538" s="7">
        <f>9.353*EXP(-0.023*H538-0.622*L538-0.182*J538-0.009*K538)*(I538/(I538+0.567))</f>
        <v>2.140487602556354</v>
      </c>
      <c r="N538" s="7">
        <f>LN(M538)/10</f>
        <v>7.6103365474136028E-2</v>
      </c>
      <c r="O538" s="11">
        <f>4.3573*EXP(-1.002*M538)</f>
        <v>0.51021862008592889</v>
      </c>
      <c r="P538" s="10"/>
      <c r="Q538" s="149">
        <v>38718</v>
      </c>
      <c r="R538" s="13"/>
      <c r="S538" s="25"/>
      <c r="T538" s="13"/>
      <c r="U538" s="13"/>
      <c r="V538" s="13"/>
      <c r="W538" s="13" t="s">
        <v>109</v>
      </c>
    </row>
    <row r="539" spans="1:23" x14ac:dyDescent="0.25">
      <c r="C539" s="3"/>
      <c r="D539" s="3"/>
      <c r="G539" s="3"/>
      <c r="H539" s="3"/>
      <c r="I539" s="3"/>
      <c r="J539" s="3"/>
      <c r="K539" s="3"/>
      <c r="L539" s="40"/>
      <c r="O539" s="4"/>
      <c r="P539" s="113">
        <v>7.9130911798127035E-2</v>
      </c>
      <c r="Q539" s="150">
        <f t="shared" ref="Q539:Q550" si="20">Q538+(P539-P538)*365</f>
        <v>38746.882782806315</v>
      </c>
      <c r="R539" s="138">
        <v>0.63829787234042556</v>
      </c>
      <c r="S539" s="79">
        <v>-2.1052631578947367</v>
      </c>
      <c r="T539" s="138">
        <v>0.10011329037739858</v>
      </c>
      <c r="U539" s="15">
        <v>1.9571137898518094</v>
      </c>
      <c r="V539" s="15"/>
      <c r="W539" s="15"/>
    </row>
    <row r="540" spans="1:23" x14ac:dyDescent="0.25">
      <c r="C540" s="3"/>
      <c r="D540" s="3"/>
      <c r="G540" s="3"/>
      <c r="H540" s="3"/>
      <c r="I540" s="3"/>
      <c r="J540" s="3"/>
      <c r="K540" s="3"/>
      <c r="L540" s="40"/>
      <c r="N540" s="3"/>
      <c r="O540" s="3"/>
      <c r="P540" s="113">
        <v>0.15645285581808446</v>
      </c>
      <c r="Q540" s="150">
        <f t="shared" si="20"/>
        <v>38775.105292373599</v>
      </c>
      <c r="R540" s="138">
        <v>0.89361702127659581</v>
      </c>
      <c r="S540" s="79">
        <v>3.0263157894736841</v>
      </c>
      <c r="T540" s="138">
        <v>0.18646179990087094</v>
      </c>
      <c r="U540" s="15">
        <v>2.8102383257004648</v>
      </c>
      <c r="V540" s="15"/>
      <c r="W540" s="15"/>
    </row>
    <row r="541" spans="1:23" x14ac:dyDescent="0.25">
      <c r="C541" s="3"/>
      <c r="D541" s="3"/>
      <c r="G541" s="3"/>
      <c r="H541" s="3"/>
      <c r="I541" s="3"/>
      <c r="J541" s="3"/>
      <c r="K541" s="3"/>
      <c r="L541" s="40"/>
      <c r="M541" s="3"/>
      <c r="N541" s="3"/>
      <c r="O541" s="3"/>
      <c r="P541" s="113">
        <v>0.2501730600943014</v>
      </c>
      <c r="Q541" s="150">
        <f t="shared" si="20"/>
        <v>38809.313166934415</v>
      </c>
      <c r="R541" s="138">
        <v>2.8723404255319149</v>
      </c>
      <c r="S541" s="79">
        <v>8.9473684210526319</v>
      </c>
      <c r="T541" s="138">
        <v>0.17455214897684629</v>
      </c>
      <c r="U541" s="15">
        <v>4.3570583578867872</v>
      </c>
      <c r="V541" s="15"/>
      <c r="W541" s="15"/>
    </row>
    <row r="542" spans="1:23" x14ac:dyDescent="0.25">
      <c r="C542" s="3"/>
      <c r="D542" s="3"/>
      <c r="G542" s="3"/>
      <c r="H542" s="3"/>
      <c r="I542" s="3"/>
      <c r="J542" s="3"/>
      <c r="K542" s="3"/>
      <c r="L542" s="40"/>
      <c r="M542" s="3"/>
      <c r="N542" s="3"/>
      <c r="O542" s="3"/>
      <c r="P542" s="113">
        <v>0.33493985345401828</v>
      </c>
      <c r="Q542" s="150">
        <f t="shared" si="20"/>
        <v>38840.253046510712</v>
      </c>
      <c r="R542" s="138">
        <v>2.3617021276595742</v>
      </c>
      <c r="S542" s="79">
        <v>14.868421052631579</v>
      </c>
      <c r="T542" s="138">
        <v>0.11609431423918432</v>
      </c>
      <c r="U542" s="15">
        <v>2.460235505444607</v>
      </c>
      <c r="V542" s="15"/>
      <c r="W542" s="15"/>
    </row>
    <row r="543" spans="1:23" x14ac:dyDescent="0.25">
      <c r="C543" s="3"/>
      <c r="D543" s="3"/>
      <c r="G543" s="3"/>
      <c r="H543" s="3"/>
      <c r="I543" s="3"/>
      <c r="J543" s="3"/>
      <c r="K543" s="3"/>
      <c r="L543" s="40"/>
      <c r="M543" s="3"/>
      <c r="N543" s="3"/>
      <c r="O543" s="3"/>
      <c r="P543" s="113">
        <v>0.41043976855661352</v>
      </c>
      <c r="Q543" s="150">
        <f t="shared" si="20"/>
        <v>38867.810515523161</v>
      </c>
      <c r="R543" s="138">
        <v>2.4255319148936172</v>
      </c>
      <c r="S543" s="79">
        <v>16.842105263157894</v>
      </c>
      <c r="T543" s="138">
        <v>0.14206967358210013</v>
      </c>
      <c r="U543" s="15"/>
      <c r="V543" s="15"/>
      <c r="W543" s="15"/>
    </row>
    <row r="544" spans="1:23" x14ac:dyDescent="0.25">
      <c r="C544" s="3"/>
      <c r="D544" s="3"/>
      <c r="G544" s="3"/>
      <c r="H544" s="3"/>
      <c r="I544" s="3"/>
      <c r="J544" s="3"/>
      <c r="K544" s="3"/>
      <c r="L544" s="40"/>
      <c r="M544" s="3"/>
      <c r="N544" s="3"/>
      <c r="O544" s="3"/>
      <c r="P544" s="113">
        <v>0.50434935935112257</v>
      </c>
      <c r="Q544" s="150">
        <f t="shared" si="20"/>
        <v>38902.087516163156</v>
      </c>
      <c r="R544" s="138">
        <v>2.5531914893617023</v>
      </c>
      <c r="S544" s="79">
        <v>23.026315789473685</v>
      </c>
      <c r="T544" s="138">
        <v>0.22846774764568437</v>
      </c>
      <c r="U544" s="15">
        <v>1.427007913706396</v>
      </c>
      <c r="V544" s="15"/>
      <c r="W544" s="15"/>
    </row>
    <row r="545" spans="1:23" x14ac:dyDescent="0.25">
      <c r="C545" s="3"/>
      <c r="D545" s="3"/>
      <c r="G545" s="3"/>
      <c r="H545" s="3"/>
      <c r="I545" s="3"/>
      <c r="J545" s="3"/>
      <c r="K545" s="3"/>
      <c r="L545" s="40"/>
      <c r="M545" s="3"/>
      <c r="N545" s="3"/>
      <c r="O545" s="3"/>
      <c r="P545" s="113">
        <v>0.56519467627966513</v>
      </c>
      <c r="Q545" s="150">
        <f t="shared" si="20"/>
        <v>38924.296056842075</v>
      </c>
      <c r="R545" s="138">
        <v>1.8510638297872339</v>
      </c>
      <c r="S545" s="79">
        <v>22.236842105263158</v>
      </c>
      <c r="T545" s="138">
        <v>0.14238122211994619</v>
      </c>
      <c r="U545" s="15">
        <v>3.1602838549898595</v>
      </c>
      <c r="V545" s="15"/>
      <c r="W545" s="15"/>
    </row>
    <row r="546" spans="1:23" x14ac:dyDescent="0.25">
      <c r="C546" s="3"/>
      <c r="D546" s="3"/>
      <c r="G546" s="3"/>
      <c r="H546" s="3"/>
      <c r="I546" s="3"/>
      <c r="J546" s="3"/>
      <c r="K546" s="3"/>
      <c r="L546" s="40"/>
      <c r="M546" s="3"/>
      <c r="N546" s="3"/>
      <c r="O546" s="3"/>
      <c r="P546" s="113">
        <v>0.69545341744706979</v>
      </c>
      <c r="Q546" s="150">
        <f t="shared" si="20"/>
        <v>38971.840497368175</v>
      </c>
      <c r="R546" s="138">
        <v>5</v>
      </c>
      <c r="S546" s="79">
        <v>20.789473684210527</v>
      </c>
      <c r="T546" s="138">
        <v>0.25634780145861363</v>
      </c>
      <c r="U546" s="15">
        <v>4.0963496675910038</v>
      </c>
      <c r="V546" s="15"/>
      <c r="W546" s="15"/>
    </row>
    <row r="547" spans="1:23" x14ac:dyDescent="0.25">
      <c r="C547" s="3"/>
      <c r="D547" s="3"/>
      <c r="G547" s="3"/>
      <c r="H547" s="3"/>
      <c r="I547" s="3"/>
      <c r="J547" s="3"/>
      <c r="K547" s="3"/>
      <c r="L547" s="40"/>
      <c r="M547" s="3"/>
      <c r="N547" s="3"/>
      <c r="O547" s="3"/>
      <c r="P547" s="113">
        <v>0.75488813134281574</v>
      </c>
      <c r="Q547" s="150">
        <f t="shared" si="20"/>
        <v>38993.534167940124</v>
      </c>
      <c r="R547" s="138">
        <v>1.7872340425531916</v>
      </c>
      <c r="S547" s="79">
        <v>14.736842105263158</v>
      </c>
      <c r="T547" s="138">
        <v>0.18755576010762587</v>
      </c>
      <c r="U547" s="15">
        <v>2.1985295881151741</v>
      </c>
      <c r="V547" s="15"/>
      <c r="W547" s="15"/>
    </row>
    <row r="548" spans="1:23" x14ac:dyDescent="0.25">
      <c r="C548" s="3"/>
      <c r="D548" s="3"/>
      <c r="G548" s="3"/>
      <c r="H548" s="3"/>
      <c r="I548" s="3"/>
      <c r="J548" s="3"/>
      <c r="K548" s="3"/>
      <c r="L548" s="40"/>
      <c r="M548" s="3"/>
      <c r="N548" s="3"/>
      <c r="O548" s="3"/>
      <c r="P548" s="113">
        <v>0.81012368898815357</v>
      </c>
      <c r="Q548" s="150">
        <f t="shared" si="20"/>
        <v>39013.69514648067</v>
      </c>
      <c r="R548" s="138">
        <v>1.9148936170212767</v>
      </c>
      <c r="S548" s="79">
        <v>15.131578947368421</v>
      </c>
      <c r="T548" s="138">
        <v>0.16006160164271049</v>
      </c>
      <c r="U548" s="15"/>
      <c r="V548" s="15"/>
      <c r="W548" s="15"/>
    </row>
    <row r="549" spans="1:23" x14ac:dyDescent="0.25">
      <c r="C549" s="3"/>
      <c r="D549" s="3"/>
      <c r="G549" s="3"/>
      <c r="H549" s="3"/>
      <c r="I549" s="3"/>
      <c r="J549" s="3"/>
      <c r="K549" s="3"/>
      <c r="L549" s="40"/>
      <c r="M549" s="3"/>
      <c r="N549" s="3"/>
      <c r="O549" s="3"/>
      <c r="P549" s="113">
        <v>0.9078471324268903</v>
      </c>
      <c r="Q549" s="150">
        <f t="shared" si="20"/>
        <v>39049.364203335812</v>
      </c>
      <c r="R549" s="138">
        <v>0.76595744680851063</v>
      </c>
      <c r="S549" s="79">
        <v>3.6842105263157894</v>
      </c>
      <c r="T549" s="138">
        <v>0.13256390285350136</v>
      </c>
      <c r="U549" s="15">
        <v>0.87810763850395746</v>
      </c>
      <c r="V549" s="15"/>
      <c r="W549" s="15"/>
    </row>
    <row r="550" spans="1:23" x14ac:dyDescent="0.25">
      <c r="C550" s="3"/>
      <c r="D550" s="3"/>
      <c r="G550" s="3"/>
      <c r="H550" s="3"/>
      <c r="I550" s="3"/>
      <c r="J550" s="3"/>
      <c r="K550" s="3"/>
      <c r="L550" s="40"/>
      <c r="M550" s="3"/>
      <c r="N550" s="3"/>
      <c r="O550" s="3"/>
      <c r="P550" s="113">
        <v>0.99258127293862575</v>
      </c>
      <c r="Q550" s="150">
        <f t="shared" si="20"/>
        <v>39080.292164622595</v>
      </c>
      <c r="R550" s="138">
        <v>0.57446808510638292</v>
      </c>
      <c r="S550" s="79">
        <v>-1.0526315789473684</v>
      </c>
      <c r="T550" s="138">
        <v>0.11378956312398217</v>
      </c>
      <c r="U550" s="15">
        <v>1.3053809344364313</v>
      </c>
      <c r="V550" s="15"/>
      <c r="W550" s="15"/>
    </row>
    <row r="551" spans="1:23" x14ac:dyDescent="0.25">
      <c r="A551" s="6"/>
      <c r="B551" s="6" t="s">
        <v>84</v>
      </c>
      <c r="C551" s="44">
        <v>35.200000000000003</v>
      </c>
      <c r="D551" s="44">
        <v>107.667</v>
      </c>
      <c r="E551" s="33" t="s">
        <v>22</v>
      </c>
      <c r="F551" s="33" t="s">
        <v>45</v>
      </c>
      <c r="G551" s="11">
        <v>0.52780000000000005</v>
      </c>
      <c r="H551" s="11">
        <v>12.3</v>
      </c>
      <c r="I551" s="11">
        <v>3.3843040000000006</v>
      </c>
      <c r="J551" s="11">
        <v>0.23206656000000003</v>
      </c>
      <c r="K551" s="11">
        <f>I551/J551</f>
        <v>14.583333333333334</v>
      </c>
      <c r="L551" s="14">
        <v>1.34</v>
      </c>
      <c r="M551" s="7">
        <f>9.353*EXP(-0.023*H551-0.622*L551-0.182*J551-0.009*K551)*(I551/(I551+0.567))</f>
        <v>2.2054545984380041</v>
      </c>
      <c r="N551" s="7">
        <f>LN(M551)/10</f>
        <v>7.9093365474136035E-2</v>
      </c>
      <c r="O551" s="11">
        <f>4.3573*EXP(-1.002*M551)</f>
        <v>0.47806292726694793</v>
      </c>
      <c r="P551" s="114">
        <v>0</v>
      </c>
      <c r="Q551" s="149">
        <v>39083</v>
      </c>
      <c r="R551" s="13"/>
      <c r="S551" s="25"/>
      <c r="T551" s="13"/>
      <c r="U551" s="13"/>
      <c r="V551" s="13"/>
      <c r="W551" s="13"/>
    </row>
    <row r="552" spans="1:23" x14ac:dyDescent="0.25">
      <c r="C552" s="3"/>
      <c r="D552" s="3"/>
      <c r="G552" s="3"/>
      <c r="H552" s="3"/>
      <c r="I552" s="3"/>
      <c r="J552" s="3"/>
      <c r="K552" s="3"/>
      <c r="L552" s="40"/>
      <c r="O552" s="4"/>
      <c r="P552" s="113">
        <v>8.4131159271455175E-2</v>
      </c>
      <c r="Q552" s="150">
        <f t="shared" ref="Q552:Q563" si="21">Q551+(P552-P551)*365</f>
        <v>39113.707873134081</v>
      </c>
      <c r="R552" s="138">
        <v>0.58636065486878108</v>
      </c>
      <c r="S552" s="79">
        <v>-0.92105263157894735</v>
      </c>
      <c r="T552" s="138">
        <v>9.7890295358649793E-2</v>
      </c>
      <c r="U552" s="15">
        <v>2.0034437547923143</v>
      </c>
      <c r="V552" s="15"/>
      <c r="W552" s="15"/>
    </row>
    <row r="553" spans="1:23" x14ac:dyDescent="0.25">
      <c r="C553" s="3"/>
      <c r="D553" s="3"/>
      <c r="G553" s="3"/>
      <c r="H553" s="3"/>
      <c r="I553" s="3"/>
      <c r="J553" s="3"/>
      <c r="K553" s="3"/>
      <c r="L553" s="40"/>
      <c r="N553" s="3"/>
      <c r="O553" s="3"/>
      <c r="P553" s="113">
        <v>0.16288237671518774</v>
      </c>
      <c r="Q553" s="150">
        <f t="shared" si="21"/>
        <v>39142.452067501043</v>
      </c>
      <c r="R553" s="138">
        <v>1.0249716757988749</v>
      </c>
      <c r="S553" s="79">
        <v>3.6842105263157894</v>
      </c>
      <c r="T553" s="138">
        <v>0.16371308016877639</v>
      </c>
      <c r="U553" s="15">
        <v>2.8960674845034604</v>
      </c>
      <c r="V553" s="15"/>
      <c r="W553" s="15"/>
    </row>
    <row r="554" spans="1:23" x14ac:dyDescent="0.25">
      <c r="C554" s="3"/>
      <c r="D554" s="3"/>
      <c r="G554" s="3"/>
      <c r="H554" s="3"/>
      <c r="I554" s="3"/>
      <c r="J554" s="3"/>
      <c r="K554" s="3"/>
      <c r="L554" s="40"/>
      <c r="M554" s="3"/>
      <c r="N554" s="3"/>
      <c r="O554" s="3"/>
      <c r="P554" s="113">
        <v>0.25772041528910561</v>
      </c>
      <c r="Q554" s="150">
        <f t="shared" si="21"/>
        <v>39177.067951580524</v>
      </c>
      <c r="R554" s="138">
        <v>1.3142429322008069</v>
      </c>
      <c r="S554" s="79">
        <v>8.5526315789473681</v>
      </c>
      <c r="T554" s="138">
        <v>0.12151898734177216</v>
      </c>
      <c r="U554" s="15">
        <v>4.5136769196361577</v>
      </c>
      <c r="V554" s="15"/>
      <c r="W554" s="15"/>
    </row>
    <row r="555" spans="1:23" x14ac:dyDescent="0.25">
      <c r="C555" s="3"/>
      <c r="D555" s="3"/>
      <c r="G555" s="3"/>
      <c r="H555" s="3"/>
      <c r="I555" s="3"/>
      <c r="J555" s="3"/>
      <c r="K555" s="3"/>
      <c r="L555" s="40"/>
      <c r="M555" s="3"/>
      <c r="N555" s="3"/>
      <c r="O555" s="3"/>
      <c r="P555" s="113">
        <v>0.33109831644923837</v>
      </c>
      <c r="Q555" s="150">
        <f t="shared" si="21"/>
        <v>39203.850885503969</v>
      </c>
      <c r="R555" s="138">
        <v>1.6791779024852416</v>
      </c>
      <c r="S555" s="79">
        <v>11.842105263157896</v>
      </c>
      <c r="T555" s="138">
        <v>9.7890295358649793E-2</v>
      </c>
      <c r="U555" s="15">
        <v>2.6256023573613465</v>
      </c>
      <c r="V555" s="15"/>
      <c r="W555" s="15"/>
    </row>
    <row r="556" spans="1:23" x14ac:dyDescent="0.25">
      <c r="C556" s="3"/>
      <c r="D556" s="3"/>
      <c r="G556" s="3"/>
      <c r="H556" s="3"/>
      <c r="I556" s="3"/>
      <c r="J556" s="3"/>
      <c r="K556" s="3"/>
      <c r="L556" s="40"/>
      <c r="M556" s="3"/>
      <c r="N556" s="3"/>
      <c r="O556" s="3"/>
      <c r="P556" s="113">
        <v>0.40623861234603892</v>
      </c>
      <c r="Q556" s="150">
        <f t="shared" si="21"/>
        <v>39231.277093506302</v>
      </c>
      <c r="R556" s="138">
        <v>1.7476860287151084</v>
      </c>
      <c r="S556" s="79">
        <v>17.368421052631579</v>
      </c>
      <c r="T556" s="138">
        <v>0.12995780590717299</v>
      </c>
      <c r="U556" s="15"/>
      <c r="V556" s="15"/>
      <c r="W556" s="15"/>
    </row>
    <row r="557" spans="1:23" x14ac:dyDescent="0.25">
      <c r="C557" s="3"/>
      <c r="D557" s="3"/>
      <c r="G557" s="3"/>
      <c r="H557" s="3"/>
      <c r="I557" s="3"/>
      <c r="J557" s="3"/>
      <c r="K557" s="3"/>
      <c r="L557" s="40"/>
      <c r="M557" s="3"/>
      <c r="N557" s="3"/>
      <c r="O557" s="3"/>
      <c r="P557" s="113">
        <v>0.50114290636118486</v>
      </c>
      <c r="Q557" s="150">
        <f t="shared" si="21"/>
        <v>39265.917160821831</v>
      </c>
      <c r="R557" s="138">
        <v>2.7776931180473197</v>
      </c>
      <c r="S557" s="79">
        <v>23.421052631578945</v>
      </c>
      <c r="T557" s="138">
        <v>0.17046413502109706</v>
      </c>
      <c r="U557" s="15">
        <v>1.3684521843260395</v>
      </c>
      <c r="V557" s="15"/>
      <c r="W557" s="15"/>
    </row>
    <row r="558" spans="1:23" x14ac:dyDescent="0.25">
      <c r="C558" s="3"/>
      <c r="D558" s="3"/>
      <c r="G558" s="3"/>
      <c r="H558" s="3"/>
      <c r="I558" s="3"/>
      <c r="J558" s="3"/>
      <c r="K558" s="3"/>
      <c r="L558" s="40"/>
      <c r="M558" s="3"/>
      <c r="N558" s="3"/>
      <c r="O558" s="3"/>
      <c r="P558" s="113">
        <v>0.56371454505701279</v>
      </c>
      <c r="Q558" s="150">
        <f t="shared" si="21"/>
        <v>39288.755808945811</v>
      </c>
      <c r="R558" s="138">
        <v>2.3286137374031841</v>
      </c>
      <c r="S558" s="79">
        <v>22.894736842105264</v>
      </c>
      <c r="T558" s="138">
        <v>0.29873417721518986</v>
      </c>
      <c r="U558" s="15">
        <v>3.0997472690824082</v>
      </c>
      <c r="V558" s="15"/>
      <c r="W558" s="15"/>
    </row>
    <row r="559" spans="1:23" x14ac:dyDescent="0.25">
      <c r="C559" s="3"/>
      <c r="D559" s="3"/>
      <c r="G559" s="3"/>
      <c r="H559" s="3"/>
      <c r="I559" s="3"/>
      <c r="J559" s="3"/>
      <c r="K559" s="3"/>
      <c r="L559" s="40"/>
      <c r="M559" s="3"/>
      <c r="N559" s="3"/>
      <c r="O559" s="3"/>
      <c r="P559" s="113">
        <v>0.6641047896058464</v>
      </c>
      <c r="Q559" s="150">
        <f t="shared" si="21"/>
        <v>39325.398248206133</v>
      </c>
      <c r="R559" s="138">
        <v>4.6915477933625302</v>
      </c>
      <c r="S559" s="79">
        <v>22.763157894736842</v>
      </c>
      <c r="T559" s="138">
        <v>0.30379746835443044</v>
      </c>
      <c r="U559" s="15">
        <v>5.6878374533910447</v>
      </c>
      <c r="V559" s="15"/>
      <c r="W559" s="15"/>
    </row>
    <row r="560" spans="1:23" x14ac:dyDescent="0.25">
      <c r="C560" s="3"/>
      <c r="D560" s="3"/>
      <c r="G560" s="3"/>
      <c r="H560" s="3"/>
      <c r="I560" s="3"/>
      <c r="J560" s="3"/>
      <c r="K560" s="3"/>
      <c r="L560" s="40"/>
      <c r="M560" s="3"/>
      <c r="N560" s="3"/>
      <c r="O560" s="3"/>
      <c r="P560" s="113">
        <v>0.76055283540160734</v>
      </c>
      <c r="Q560" s="150">
        <f t="shared" si="21"/>
        <v>39360.601784921586</v>
      </c>
      <c r="R560" s="138">
        <v>2.9806997899702514</v>
      </c>
      <c r="S560" s="79">
        <v>13.947368421052632</v>
      </c>
      <c r="T560" s="138">
        <v>0.22616033755274262</v>
      </c>
      <c r="U560" s="15">
        <v>2.071922324418745</v>
      </c>
      <c r="V560" s="15"/>
      <c r="W560" s="15"/>
    </row>
    <row r="561" spans="1:23" x14ac:dyDescent="0.25">
      <c r="C561" s="3"/>
      <c r="D561" s="3"/>
      <c r="G561" s="3"/>
      <c r="H561" s="3"/>
      <c r="I561" s="3"/>
      <c r="J561" s="3"/>
      <c r="K561" s="3"/>
      <c r="L561" s="40"/>
      <c r="M561" s="3"/>
      <c r="N561" s="3"/>
      <c r="O561" s="3"/>
      <c r="P561" s="113">
        <v>0.82841828385156135</v>
      </c>
      <c r="Q561" s="150">
        <f t="shared" si="21"/>
        <v>39385.372673605816</v>
      </c>
      <c r="R561" s="138">
        <v>1.7164134604554397</v>
      </c>
      <c r="S561" s="79">
        <v>7.6315789473684212</v>
      </c>
      <c r="T561" s="138">
        <v>0.21940928270042193</v>
      </c>
      <c r="U561" s="15"/>
      <c r="V561" s="15"/>
      <c r="W561" s="15"/>
    </row>
    <row r="562" spans="1:23" x14ac:dyDescent="0.25">
      <c r="C562" s="3"/>
      <c r="D562" s="3"/>
      <c r="G562" s="3"/>
      <c r="H562" s="3"/>
      <c r="I562" s="3"/>
      <c r="J562" s="3"/>
      <c r="K562" s="3"/>
      <c r="L562" s="40"/>
      <c r="M562" s="3"/>
      <c r="N562" s="3"/>
      <c r="O562" s="3"/>
      <c r="P562" s="113">
        <v>0.91955264326082775</v>
      </c>
      <c r="Q562" s="150">
        <f t="shared" si="21"/>
        <v>39418.636714790198</v>
      </c>
      <c r="R562" s="138">
        <v>0.59855165605475347</v>
      </c>
      <c r="S562" s="79">
        <v>3.8157894736842106</v>
      </c>
      <c r="T562" s="138">
        <v>0.19071729957805908</v>
      </c>
      <c r="U562" s="15">
        <v>0.92567471776203503</v>
      </c>
      <c r="V562" s="15"/>
      <c r="W562" s="15"/>
    </row>
    <row r="563" spans="1:23" x14ac:dyDescent="0.25">
      <c r="C563" s="3"/>
      <c r="D563" s="3"/>
      <c r="G563" s="3"/>
      <c r="H563" s="3"/>
      <c r="I563" s="3"/>
      <c r="J563" s="3"/>
      <c r="K563" s="3"/>
      <c r="L563" s="40"/>
      <c r="M563" s="3"/>
      <c r="N563" s="3"/>
      <c r="O563" s="3"/>
      <c r="P563" s="113">
        <v>0.99290404224446938</v>
      </c>
      <c r="Q563" s="150">
        <f t="shared" si="21"/>
        <v>39445.409975419228</v>
      </c>
      <c r="R563" s="138">
        <v>0.6671922931670764</v>
      </c>
      <c r="S563" s="79">
        <v>-0.52631578947368418</v>
      </c>
      <c r="T563" s="138">
        <v>0.15189873417721522</v>
      </c>
      <c r="U563" s="15">
        <v>1.3024926747067944</v>
      </c>
      <c r="V563" s="15"/>
      <c r="W563" s="15"/>
    </row>
    <row r="564" spans="1:23" x14ac:dyDescent="0.25">
      <c r="A564" s="6"/>
      <c r="B564" s="33" t="s">
        <v>84</v>
      </c>
      <c r="C564" s="44">
        <v>35.200000000000003</v>
      </c>
      <c r="D564" s="44">
        <v>107.667</v>
      </c>
      <c r="E564" s="33" t="s">
        <v>157</v>
      </c>
      <c r="F564" s="33" t="s">
        <v>46</v>
      </c>
      <c r="G564" s="44">
        <v>0.64670000000000005</v>
      </c>
      <c r="H564" s="44">
        <v>8.5</v>
      </c>
      <c r="I564" s="11">
        <v>1.6900000000000004</v>
      </c>
      <c r="J564" s="11">
        <v>0.187616</v>
      </c>
      <c r="K564" s="11">
        <f>I564/J564</f>
        <v>9.0077605321507779</v>
      </c>
      <c r="L564" s="41">
        <v>1.3</v>
      </c>
      <c r="M564" s="7">
        <f>9.353*EXP(-0.023*H564-0.622*L564-0.182*J564-0.009*K564)*(I564/(I564+0.567))</f>
        <v>2.2866165176278122</v>
      </c>
      <c r="N564" s="7">
        <f>LN(M564)/10</f>
        <v>8.2707322176264031E-2</v>
      </c>
      <c r="O564" s="11">
        <f>4.3573*EXP(-1.002*M564)</f>
        <v>0.44072369088506991</v>
      </c>
      <c r="P564" s="115">
        <v>5.7000000000000002E-2</v>
      </c>
      <c r="Q564" s="149">
        <v>40422</v>
      </c>
      <c r="R564" s="13">
        <f>6*0.192438</f>
        <v>1.154628</v>
      </c>
      <c r="S564" s="25">
        <f>40*0.406019</f>
        <v>16.240760000000002</v>
      </c>
      <c r="T564" s="13">
        <f>0.442688*0.3</f>
        <v>0.13280639999999999</v>
      </c>
      <c r="U564" s="13">
        <v>5.5243381006212937</v>
      </c>
      <c r="V564" s="13"/>
      <c r="W564" s="13" t="s">
        <v>110</v>
      </c>
    </row>
    <row r="565" spans="1:23" x14ac:dyDescent="0.25">
      <c r="B565" s="8"/>
      <c r="C565" s="9"/>
      <c r="D565" s="9"/>
      <c r="E565" s="8"/>
      <c r="F565" s="8"/>
      <c r="G565" s="9"/>
      <c r="H565" s="9"/>
      <c r="I565" s="9"/>
      <c r="J565" s="9"/>
      <c r="K565" s="9"/>
      <c r="L565" s="32"/>
      <c r="M565" s="8"/>
      <c r="N565" s="8"/>
      <c r="O565" s="18"/>
      <c r="P565" s="116">
        <v>0.123623</v>
      </c>
      <c r="Q565" s="151">
        <v>40495</v>
      </c>
      <c r="R565" s="15">
        <f>0.271269*6</f>
        <v>1.6276139999999999</v>
      </c>
      <c r="S565" s="26">
        <f>40*0.381261</f>
        <v>15.250440000000001</v>
      </c>
      <c r="T565" s="15">
        <f>0.426877*0.3</f>
        <v>0.12806309999999999</v>
      </c>
      <c r="U565" s="15">
        <v>0.72452401243717146</v>
      </c>
      <c r="V565" s="15"/>
      <c r="W565" s="15"/>
    </row>
    <row r="566" spans="1:23" x14ac:dyDescent="0.25">
      <c r="B566" s="8"/>
      <c r="C566" s="9"/>
      <c r="D566" s="9"/>
      <c r="E566" s="8"/>
      <c r="F566" s="8"/>
      <c r="G566" s="9"/>
      <c r="H566" s="9"/>
      <c r="I566" s="9"/>
      <c r="J566" s="9"/>
      <c r="K566" s="9"/>
      <c r="L566" s="32"/>
      <c r="M566" s="8"/>
      <c r="N566" s="9"/>
      <c r="O566" s="9"/>
      <c r="P566" s="116">
        <v>0.18237500000000001</v>
      </c>
      <c r="Q566" s="151">
        <v>40559</v>
      </c>
      <c r="R566" s="15">
        <f>6*0.0662168</f>
        <v>0.39730080000000001</v>
      </c>
      <c r="S566" s="26">
        <f>40*(-0.0771485)</f>
        <v>-3.0859399999999999</v>
      </c>
      <c r="T566" s="15">
        <f>0.450593*0.3</f>
        <v>0.13517789999999999</v>
      </c>
      <c r="U566" s="15">
        <v>1.6528187434974373</v>
      </c>
      <c r="V566" s="15"/>
      <c r="W566" s="15"/>
    </row>
    <row r="567" spans="1:23" x14ac:dyDescent="0.25">
      <c r="B567" s="8"/>
      <c r="C567" s="9"/>
      <c r="D567" s="9"/>
      <c r="E567" s="8"/>
      <c r="F567" s="8"/>
      <c r="G567" s="9"/>
      <c r="H567" s="9"/>
      <c r="I567" s="9"/>
      <c r="J567" s="9"/>
      <c r="K567" s="9"/>
      <c r="L567" s="32"/>
      <c r="M567" s="9"/>
      <c r="N567" s="9"/>
      <c r="O567" s="9"/>
      <c r="P567" s="116">
        <v>0.21664600000000001</v>
      </c>
      <c r="Q567" s="151">
        <v>40597</v>
      </c>
      <c r="R567" s="15">
        <f>6*0.0936334</f>
        <v>0.56180040000000009</v>
      </c>
      <c r="S567" s="26">
        <f>40*0.075059</f>
        <v>3.0023599999999999</v>
      </c>
      <c r="T567" s="15">
        <f>0.391304*0.3</f>
        <v>0.11739119999999999</v>
      </c>
      <c r="U567" s="15">
        <v>2.6739486292572745</v>
      </c>
      <c r="V567" s="15"/>
      <c r="W567" s="15"/>
    </row>
    <row r="568" spans="1:23" x14ac:dyDescent="0.25">
      <c r="B568" s="8"/>
      <c r="C568" s="9"/>
      <c r="D568" s="9"/>
      <c r="E568" s="8"/>
      <c r="F568" s="8"/>
      <c r="G568" s="9"/>
      <c r="H568" s="9"/>
      <c r="I568" s="9"/>
      <c r="J568" s="9"/>
      <c r="K568" s="9"/>
      <c r="L568" s="32"/>
      <c r="M568" s="9"/>
      <c r="N568" s="9"/>
      <c r="O568" s="9"/>
      <c r="P568" s="116">
        <v>0.23500599999999999</v>
      </c>
      <c r="Q568" s="151">
        <v>40617</v>
      </c>
      <c r="R568" s="15">
        <f>6*0.188055</f>
        <v>1.1283300000000001</v>
      </c>
      <c r="S568" s="26">
        <f>40*0.0804804</f>
        <v>3.2192159999999999</v>
      </c>
      <c r="T568" s="15">
        <f>0.324111*0.3</f>
        <v>9.7233299999999995E-2</v>
      </c>
      <c r="U568" s="15">
        <v>3.4600466069563409</v>
      </c>
      <c r="V568" s="15"/>
      <c r="W568" s="15"/>
    </row>
    <row r="569" spans="1:23" x14ac:dyDescent="0.25">
      <c r="B569" s="8"/>
      <c r="C569" s="9"/>
      <c r="D569" s="9"/>
      <c r="E569" s="8"/>
      <c r="F569" s="8"/>
      <c r="G569" s="9"/>
      <c r="H569" s="9"/>
      <c r="I569" s="9"/>
      <c r="J569" s="9"/>
      <c r="K569" s="9"/>
      <c r="L569" s="32"/>
      <c r="M569" s="9"/>
      <c r="N569" s="9"/>
      <c r="O569" s="9"/>
      <c r="P569" s="116">
        <v>0.25091799999999997</v>
      </c>
      <c r="Q569" s="151">
        <v>40634</v>
      </c>
      <c r="R569" s="15">
        <f>6*0.345474</f>
        <v>2.0728439999999999</v>
      </c>
      <c r="S569" s="26">
        <f>40*0.242418</f>
        <v>9.6967199999999991</v>
      </c>
      <c r="T569" s="15">
        <f>0.363636*0.3</f>
        <v>0.1090908</v>
      </c>
      <c r="U569" s="15">
        <v>4.3260046921839548</v>
      </c>
      <c r="V569" s="15"/>
      <c r="W569" s="15"/>
    </row>
    <row r="570" spans="1:23" x14ac:dyDescent="0.25">
      <c r="B570" s="8"/>
      <c r="C570" s="9"/>
      <c r="D570" s="9"/>
      <c r="E570" s="8"/>
      <c r="F570" s="8"/>
      <c r="G570" s="9"/>
      <c r="H570" s="9"/>
      <c r="I570" s="9"/>
      <c r="J570" s="9"/>
      <c r="K570" s="9"/>
      <c r="L570" s="32"/>
      <c r="M570" s="9"/>
      <c r="N570" s="9"/>
      <c r="O570" s="9"/>
      <c r="P570" s="116">
        <v>0.27050200000000002</v>
      </c>
      <c r="Q570" s="151">
        <v>40656</v>
      </c>
      <c r="R570" s="15">
        <f>6*0.435949</f>
        <v>2.615694</v>
      </c>
      <c r="S570" s="26">
        <f>40*0.293319</f>
        <v>11.732759999999999</v>
      </c>
      <c r="T570" s="15">
        <f>0.391304*0.3</f>
        <v>0.11739119999999999</v>
      </c>
      <c r="U570" s="15">
        <v>3.922317015609651</v>
      </c>
      <c r="V570" s="15"/>
      <c r="W570" s="15"/>
    </row>
    <row r="571" spans="1:23" x14ac:dyDescent="0.25">
      <c r="B571" s="8"/>
      <c r="C571" s="9"/>
      <c r="D571" s="9"/>
      <c r="E571" s="8"/>
      <c r="F571" s="8"/>
      <c r="G571" s="9"/>
      <c r="H571" s="9"/>
      <c r="I571" s="9"/>
      <c r="J571" s="9"/>
      <c r="K571" s="9"/>
      <c r="L571" s="32"/>
      <c r="M571" s="9"/>
      <c r="N571" s="9"/>
      <c r="O571" s="9"/>
      <c r="P571" s="116">
        <v>0.29253400000000002</v>
      </c>
      <c r="Q571" s="151">
        <v>40680</v>
      </c>
      <c r="R571" s="15">
        <f>6*0.510671</f>
        <v>3.0640260000000001</v>
      </c>
      <c r="S571" s="26">
        <f>40*0.420026</f>
        <v>16.80104</v>
      </c>
      <c r="T571" s="15">
        <f>0.328063*0.3</f>
        <v>9.841889999999999E-2</v>
      </c>
      <c r="U571" s="15">
        <v>1.2806929822274877</v>
      </c>
      <c r="V571" s="15"/>
      <c r="W571" s="15"/>
    </row>
    <row r="572" spans="1:23" x14ac:dyDescent="0.25">
      <c r="B572" s="8"/>
      <c r="C572" s="9"/>
      <c r="D572" s="9"/>
      <c r="E572" s="8"/>
      <c r="F572" s="8"/>
      <c r="G572" s="9"/>
      <c r="H572" s="9"/>
      <c r="I572" s="9"/>
      <c r="J572" s="9"/>
      <c r="K572" s="9"/>
      <c r="L572" s="32"/>
      <c r="M572" s="9"/>
      <c r="N572" s="9"/>
      <c r="O572" s="9"/>
      <c r="P572" s="116">
        <v>0.30599799999999999</v>
      </c>
      <c r="Q572" s="151">
        <v>40695</v>
      </c>
      <c r="R572" s="15">
        <f>6*0.471239</f>
        <v>2.8274340000000002</v>
      </c>
      <c r="S572" s="26">
        <f>40*0.445551</f>
        <v>17.822039999999998</v>
      </c>
      <c r="T572" s="15">
        <f>0.284585*0.3</f>
        <v>8.5375499999999993E-2</v>
      </c>
      <c r="U572" s="15"/>
      <c r="V572" s="15"/>
      <c r="W572" s="15"/>
    </row>
    <row r="573" spans="1:23" x14ac:dyDescent="0.25">
      <c r="B573" s="8"/>
      <c r="C573" s="9"/>
      <c r="D573" s="9"/>
      <c r="E573" s="8"/>
      <c r="F573" s="8"/>
      <c r="G573" s="9"/>
      <c r="H573" s="9"/>
      <c r="I573" s="9"/>
      <c r="J573" s="9"/>
      <c r="K573" s="9"/>
      <c r="L573" s="32"/>
      <c r="M573" s="9"/>
      <c r="N573" s="9"/>
      <c r="O573" s="9"/>
      <c r="P573" s="116">
        <v>0.31334099999999998</v>
      </c>
      <c r="Q573" s="151">
        <v>40703</v>
      </c>
      <c r="R573" s="15">
        <f>6*0.483022</f>
        <v>2.8981319999999999</v>
      </c>
      <c r="S573" s="26">
        <f>40*0.708326</f>
        <v>28.33304</v>
      </c>
      <c r="T573" s="15">
        <f>0.252964*0.3</f>
        <v>7.5889200000000004E-2</v>
      </c>
      <c r="U573" s="15">
        <v>0.58351163560421948</v>
      </c>
      <c r="V573" s="15"/>
      <c r="W573" s="15"/>
    </row>
    <row r="574" spans="1:23" x14ac:dyDescent="0.25">
      <c r="B574" s="8"/>
      <c r="C574" s="9"/>
      <c r="D574" s="9"/>
      <c r="E574" s="8"/>
      <c r="F574" s="8"/>
      <c r="G574" s="9"/>
      <c r="H574" s="9"/>
      <c r="I574" s="9"/>
      <c r="J574" s="9"/>
      <c r="K574" s="9"/>
      <c r="L574" s="32"/>
      <c r="M574" s="9"/>
      <c r="N574" s="9"/>
      <c r="O574" s="9"/>
      <c r="P574" s="116">
        <v>0.32680500000000001</v>
      </c>
      <c r="Q574" s="151">
        <v>40717</v>
      </c>
      <c r="R574" s="15">
        <f>6*0.648329</f>
        <v>3.8899740000000005</v>
      </c>
      <c r="S574" s="26">
        <f>40*0.658093</f>
        <v>26.323720000000002</v>
      </c>
      <c r="T574" s="15">
        <f>0.403162*0.3</f>
        <v>0.1209486</v>
      </c>
      <c r="U574" s="15">
        <v>0.98918108895731549</v>
      </c>
      <c r="V574" s="15"/>
      <c r="W574" s="15"/>
    </row>
    <row r="575" spans="1:23" x14ac:dyDescent="0.25">
      <c r="B575" s="8"/>
      <c r="C575" s="9"/>
      <c r="D575" s="9"/>
      <c r="E575" s="8"/>
      <c r="F575" s="8"/>
      <c r="G575" s="9"/>
      <c r="H575" s="9"/>
      <c r="I575" s="9"/>
      <c r="J575" s="9"/>
      <c r="K575" s="9"/>
      <c r="L575" s="32"/>
      <c r="M575" s="9"/>
      <c r="N575" s="9"/>
      <c r="O575" s="9"/>
      <c r="P575" s="116">
        <v>0.34761300000000001</v>
      </c>
      <c r="Q575" s="151">
        <v>40740</v>
      </c>
      <c r="R575" s="15">
        <f>6*0.467141</f>
        <v>2.8028459999999997</v>
      </c>
      <c r="S575" s="26">
        <f>40*0.653462</f>
        <v>26.138480000000001</v>
      </c>
      <c r="T575" s="15">
        <f>0.588933*0.3</f>
        <v>0.1766799</v>
      </c>
      <c r="U575" s="15">
        <v>2.236323400165841</v>
      </c>
      <c r="V575" s="15"/>
      <c r="W575" s="15"/>
    </row>
    <row r="576" spans="1:23" x14ac:dyDescent="0.25">
      <c r="B576" s="8"/>
      <c r="C576" s="9"/>
      <c r="D576" s="9"/>
      <c r="E576" s="8"/>
      <c r="F576" s="8"/>
      <c r="G576" s="9"/>
      <c r="H576" s="9"/>
      <c r="I576" s="9"/>
      <c r="J576" s="9"/>
      <c r="K576" s="9"/>
      <c r="L576" s="32"/>
      <c r="M576" s="9"/>
      <c r="N576" s="9"/>
      <c r="O576" s="9"/>
      <c r="P576" s="116">
        <v>0.35006100000000001</v>
      </c>
      <c r="Q576" s="151">
        <v>40743</v>
      </c>
      <c r="R576" s="15">
        <f>6*0.435635</f>
        <v>2.61381</v>
      </c>
      <c r="S576" s="26">
        <f>40*0.608057</f>
        <v>24.322279999999999</v>
      </c>
      <c r="T576" s="15">
        <f>0.501976</f>
        <v>0.50197599999999998</v>
      </c>
      <c r="U576" s="15">
        <v>2.4615695693222333</v>
      </c>
      <c r="V576" s="15"/>
      <c r="W576" s="15"/>
    </row>
    <row r="577" spans="1:23" x14ac:dyDescent="0.25">
      <c r="B577" s="8"/>
      <c r="C577" s="9"/>
      <c r="D577" s="9"/>
      <c r="E577" s="8"/>
      <c r="F577" s="8"/>
      <c r="G577" s="9"/>
      <c r="H577" s="9"/>
      <c r="I577" s="9"/>
      <c r="J577" s="9"/>
      <c r="K577" s="9"/>
      <c r="L577" s="32"/>
      <c r="M577" s="9"/>
      <c r="N577" s="9"/>
      <c r="O577" s="9"/>
      <c r="P577" s="116">
        <v>0.36107699999999998</v>
      </c>
      <c r="Q577" s="151">
        <v>40755</v>
      </c>
      <c r="R577" s="15">
        <f>6*0.427714</f>
        <v>2.566284</v>
      </c>
      <c r="S577" s="26">
        <f>40*0.61333</f>
        <v>24.533200000000001</v>
      </c>
      <c r="T577" s="15">
        <f>0.632411*0.3</f>
        <v>0.18972329999999998</v>
      </c>
      <c r="U577" s="15">
        <v>3.7910620478821122</v>
      </c>
      <c r="V577" s="15"/>
      <c r="W577" s="15"/>
    </row>
    <row r="578" spans="1:23" x14ac:dyDescent="0.25">
      <c r="B578" s="8"/>
      <c r="C578" s="9"/>
      <c r="D578" s="9"/>
      <c r="E578" s="8"/>
      <c r="F578" s="8"/>
      <c r="G578" s="9"/>
      <c r="H578" s="9"/>
      <c r="I578" s="9"/>
      <c r="J578" s="9"/>
      <c r="K578" s="9"/>
      <c r="L578" s="32"/>
      <c r="M578" s="9"/>
      <c r="N578" s="9"/>
      <c r="O578" s="9"/>
      <c r="P578" s="22">
        <v>0.39779700000000001</v>
      </c>
      <c r="Q578" s="151">
        <v>40795</v>
      </c>
      <c r="R578" s="15">
        <f>6*0.214973</f>
        <v>1.289838</v>
      </c>
      <c r="S578" s="26">
        <f>40*0.386799</f>
        <v>15.471959999999999</v>
      </c>
      <c r="T578" s="15">
        <f>0.762846*0.3</f>
        <v>0.2288538</v>
      </c>
      <c r="U578" s="15">
        <v>4.3698114562629051</v>
      </c>
      <c r="V578" s="15"/>
      <c r="W578" s="15"/>
    </row>
    <row r="579" spans="1:23" x14ac:dyDescent="0.25">
      <c r="B579" s="8"/>
      <c r="C579" s="9"/>
      <c r="D579" s="9"/>
      <c r="E579" s="8"/>
      <c r="F579" s="8"/>
      <c r="G579" s="9"/>
      <c r="H579" s="9"/>
      <c r="I579" s="46"/>
      <c r="J579" s="46"/>
      <c r="K579" s="46"/>
      <c r="L579" s="43"/>
      <c r="M579" s="46"/>
      <c r="N579" s="46"/>
      <c r="O579" s="46"/>
      <c r="P579" s="105">
        <v>0.41126099999999999</v>
      </c>
      <c r="Q579" s="152">
        <v>40810</v>
      </c>
      <c r="R579" s="136">
        <f>6*0.210988</f>
        <v>1.2659280000000002</v>
      </c>
      <c r="S579" s="39">
        <f>40*0.366869</f>
        <v>14.674759999999999</v>
      </c>
      <c r="T579" s="136">
        <f>0.715415*0.3</f>
        <v>0.2146245</v>
      </c>
      <c r="U579" s="136">
        <v>2.8627936055066994</v>
      </c>
      <c r="V579" s="15"/>
      <c r="W579" s="15"/>
    </row>
    <row r="580" spans="1:23" x14ac:dyDescent="0.25">
      <c r="A580" s="6">
        <v>14</v>
      </c>
      <c r="B580" s="6" t="s">
        <v>85</v>
      </c>
      <c r="C580" s="11">
        <v>35</v>
      </c>
      <c r="D580" s="11">
        <v>114.4</v>
      </c>
      <c r="E580" s="6" t="s">
        <v>23</v>
      </c>
      <c r="F580" s="6" t="s">
        <v>38</v>
      </c>
      <c r="G580" s="11">
        <v>0.62319999999999998</v>
      </c>
      <c r="H580" s="11">
        <v>15.866666666666665</v>
      </c>
      <c r="I580" s="11">
        <f>6.09*L580*0.98*0.2</f>
        <v>1.7188415999999997</v>
      </c>
      <c r="J580" s="11">
        <f>0.55*L580*0.98*0.2</f>
        <v>0.15523200000000004</v>
      </c>
      <c r="K580" s="11">
        <f>I580/J580</f>
        <v>11.072727272727269</v>
      </c>
      <c r="L580" s="14">
        <v>1.44</v>
      </c>
      <c r="M580" s="7">
        <f>9.353*EXP(-0.023*H580-0.622*L580-0.182*J580-0.009*K580)*(I580/(I580+0.567))</f>
        <v>1.7543411066012411</v>
      </c>
      <c r="N580" s="18">
        <f>LN(M580)/10</f>
        <v>5.6209334858935013E-2</v>
      </c>
      <c r="O580" s="9">
        <f>4.3573*EXP(-1.002*M580)</f>
        <v>0.75126472749892093</v>
      </c>
      <c r="P580" s="10"/>
      <c r="Q580" s="149">
        <v>42195</v>
      </c>
      <c r="R580" s="122">
        <v>1.5603404930975169</v>
      </c>
      <c r="S580" s="50">
        <v>25.850467289719624</v>
      </c>
      <c r="T580" s="122">
        <v>0.46913580246913578</v>
      </c>
      <c r="U580" s="13">
        <v>1.7634129743407028</v>
      </c>
      <c r="V580" s="13"/>
      <c r="W580" s="13" t="s">
        <v>112</v>
      </c>
    </row>
    <row r="581" spans="1:23" x14ac:dyDescent="0.25">
      <c r="B581" s="8"/>
      <c r="C581" s="9"/>
      <c r="D581" s="9"/>
      <c r="E581" s="8"/>
      <c r="F581" s="8"/>
      <c r="G581" s="9"/>
      <c r="H581" s="9"/>
      <c r="I581" s="9"/>
      <c r="J581" s="9"/>
      <c r="K581" s="9"/>
      <c r="L581" s="32"/>
      <c r="M581" s="8"/>
      <c r="N581" s="8"/>
      <c r="O581" s="18"/>
      <c r="P581" s="22"/>
      <c r="Q581" s="151">
        <v>42226</v>
      </c>
      <c r="R581" s="123">
        <v>2.331795527720196</v>
      </c>
      <c r="S581" s="51">
        <v>24.915887850467289</v>
      </c>
      <c r="T581" s="123">
        <v>0.4567901234567901</v>
      </c>
      <c r="U581" s="15">
        <v>5.349877957427605</v>
      </c>
      <c r="V581" s="15"/>
      <c r="W581" s="15"/>
    </row>
    <row r="582" spans="1:23" x14ac:dyDescent="0.25">
      <c r="B582" s="8"/>
      <c r="C582" s="9"/>
      <c r="D582" s="9"/>
      <c r="E582" s="8"/>
      <c r="F582" s="8"/>
      <c r="G582" s="9"/>
      <c r="H582" s="9"/>
      <c r="I582" s="9"/>
      <c r="J582" s="9"/>
      <c r="K582" s="9"/>
      <c r="L582" s="32"/>
      <c r="M582" s="8"/>
      <c r="N582" s="9"/>
      <c r="O582" s="9"/>
      <c r="P582" s="22"/>
      <c r="Q582" s="151">
        <v>42257</v>
      </c>
      <c r="R582" s="123">
        <v>1.0779341066466723</v>
      </c>
      <c r="S582" s="51">
        <v>20.056074766355138</v>
      </c>
      <c r="T582" s="123">
        <v>0.52160493827160492</v>
      </c>
      <c r="U582" s="15">
        <v>4.3184347122886599</v>
      </c>
      <c r="V582" s="15"/>
      <c r="W582" s="15"/>
    </row>
    <row r="583" spans="1:23" x14ac:dyDescent="0.25">
      <c r="B583" s="8"/>
      <c r="C583" s="9"/>
      <c r="D583" s="9"/>
      <c r="E583" s="8"/>
      <c r="F583" s="8"/>
      <c r="G583" s="9"/>
      <c r="H583" s="9"/>
      <c r="I583" s="9"/>
      <c r="J583" s="9"/>
      <c r="K583" s="9"/>
      <c r="L583" s="32"/>
      <c r="M583" s="9"/>
      <c r="N583" s="9"/>
      <c r="O583" s="9"/>
      <c r="P583" s="22"/>
      <c r="Q583" s="151">
        <v>42287</v>
      </c>
      <c r="R583" s="123">
        <v>1.2418647730781105</v>
      </c>
      <c r="S583" s="51">
        <v>14.355140186915886</v>
      </c>
      <c r="T583" s="123">
        <v>0.55864197530864201</v>
      </c>
      <c r="U583" s="15">
        <v>1.826331043084306</v>
      </c>
      <c r="V583" s="15"/>
      <c r="W583" s="15"/>
    </row>
    <row r="584" spans="1:23" x14ac:dyDescent="0.25">
      <c r="B584" s="8"/>
      <c r="C584" s="9"/>
      <c r="D584" s="9"/>
      <c r="E584" s="8"/>
      <c r="F584" s="8"/>
      <c r="G584" s="9"/>
      <c r="H584" s="9"/>
      <c r="I584" s="9"/>
      <c r="J584" s="9"/>
      <c r="K584" s="9"/>
      <c r="L584" s="32"/>
      <c r="M584" s="9"/>
      <c r="N584" s="9"/>
      <c r="O584" s="9"/>
      <c r="P584" s="22"/>
      <c r="Q584" s="151">
        <v>42318</v>
      </c>
      <c r="R584" s="123">
        <v>0.57527455563886565</v>
      </c>
      <c r="S584" s="51">
        <v>7.8130841121495322</v>
      </c>
      <c r="T584" s="123">
        <v>0.53086419753086422</v>
      </c>
      <c r="U584" s="15">
        <v>0.69351666455232819</v>
      </c>
      <c r="V584" s="15"/>
      <c r="W584" s="15"/>
    </row>
    <row r="585" spans="1:23" x14ac:dyDescent="0.25">
      <c r="B585" s="8"/>
      <c r="C585" s="9"/>
      <c r="D585" s="9"/>
      <c r="E585" s="8"/>
      <c r="F585" s="8"/>
      <c r="G585" s="9"/>
      <c r="H585" s="9"/>
      <c r="I585" s="9"/>
      <c r="J585" s="9"/>
      <c r="K585" s="9"/>
      <c r="L585" s="32"/>
      <c r="M585" s="9"/>
      <c r="N585" s="9"/>
      <c r="O585" s="9"/>
      <c r="P585" s="22"/>
      <c r="Q585" s="151">
        <v>42348</v>
      </c>
      <c r="R585" s="123">
        <v>0.67844572839941786</v>
      </c>
      <c r="S585" s="51">
        <v>2.2990654205607477</v>
      </c>
      <c r="T585" s="123">
        <v>0.58333333333333337</v>
      </c>
      <c r="U585" s="15">
        <v>1.0168317155213502</v>
      </c>
      <c r="V585" s="15"/>
      <c r="W585" s="15"/>
    </row>
    <row r="586" spans="1:23" x14ac:dyDescent="0.25">
      <c r="B586" s="8"/>
      <c r="C586" s="9"/>
      <c r="D586" s="9"/>
      <c r="E586" s="8"/>
      <c r="F586" s="8"/>
      <c r="G586" s="9"/>
      <c r="H586" s="9"/>
      <c r="I586" s="9"/>
      <c r="J586" s="9"/>
      <c r="K586" s="9"/>
      <c r="L586" s="32"/>
      <c r="M586" s="9"/>
      <c r="N586" s="9"/>
      <c r="O586" s="9"/>
      <c r="P586" s="22"/>
      <c r="Q586" s="151">
        <v>42379</v>
      </c>
      <c r="R586" s="123">
        <v>0.68028050985753985</v>
      </c>
      <c r="S586" s="51">
        <v>0.52336448598130847</v>
      </c>
      <c r="T586" s="123">
        <v>0.43518518518518517</v>
      </c>
      <c r="U586" s="15">
        <v>1.5100141099105893</v>
      </c>
      <c r="V586" s="15"/>
      <c r="W586" s="15"/>
    </row>
    <row r="587" spans="1:23" x14ac:dyDescent="0.25">
      <c r="B587" s="8"/>
      <c r="C587" s="9"/>
      <c r="D587" s="9"/>
      <c r="E587" s="8"/>
      <c r="F587" s="8"/>
      <c r="G587" s="9"/>
      <c r="H587" s="9"/>
      <c r="I587" s="9"/>
      <c r="J587" s="9"/>
      <c r="K587" s="9"/>
      <c r="L587" s="32"/>
      <c r="M587" s="9"/>
      <c r="N587" s="9"/>
      <c r="O587" s="9"/>
      <c r="P587" s="22"/>
      <c r="Q587" s="151">
        <v>42410</v>
      </c>
      <c r="R587" s="123">
        <v>1.0062717770034844</v>
      </c>
      <c r="S587" s="51">
        <v>3.6074766355140184</v>
      </c>
      <c r="T587" s="123">
        <v>0.48148148148148145</v>
      </c>
      <c r="U587" s="15">
        <v>2.2423991869293673</v>
      </c>
      <c r="V587" s="15"/>
      <c r="W587" s="15"/>
    </row>
    <row r="588" spans="1:23" x14ac:dyDescent="0.25">
      <c r="B588" s="8"/>
      <c r="C588" s="9"/>
      <c r="D588" s="9"/>
      <c r="E588" s="8"/>
      <c r="F588" s="8"/>
      <c r="G588" s="9"/>
      <c r="H588" s="9"/>
      <c r="I588" s="9"/>
      <c r="J588" s="9"/>
      <c r="K588" s="9"/>
      <c r="L588" s="32"/>
      <c r="M588" s="9"/>
      <c r="N588" s="9"/>
      <c r="O588" s="9"/>
      <c r="P588" s="22"/>
      <c r="Q588" s="151">
        <v>42439</v>
      </c>
      <c r="R588" s="123">
        <v>1.3928814007850747</v>
      </c>
      <c r="S588" s="51">
        <v>8.2803738317756999</v>
      </c>
      <c r="T588" s="123">
        <v>0.56172839506172845</v>
      </c>
      <c r="U588" s="15">
        <v>3.2461259783559</v>
      </c>
      <c r="V588" s="15"/>
      <c r="W588" s="15"/>
    </row>
    <row r="589" spans="1:23" x14ac:dyDescent="0.25">
      <c r="B589" s="8"/>
      <c r="C589" s="9"/>
      <c r="D589" s="9"/>
      <c r="E589" s="8"/>
      <c r="F589" s="8"/>
      <c r="G589" s="9"/>
      <c r="H589" s="9"/>
      <c r="I589" s="9"/>
      <c r="J589" s="9"/>
      <c r="K589" s="9"/>
      <c r="L589" s="32"/>
      <c r="M589" s="9"/>
      <c r="N589" s="9"/>
      <c r="O589" s="9"/>
      <c r="P589" s="22"/>
      <c r="Q589" s="151">
        <v>42470</v>
      </c>
      <c r="R589" s="123">
        <v>2.4276275746482598</v>
      </c>
      <c r="S589" s="51">
        <v>15.102803738317757</v>
      </c>
      <c r="T589" s="123">
        <v>0.5092592592592593</v>
      </c>
      <c r="U589" s="15">
        <v>4.8205577727790727</v>
      </c>
      <c r="V589" s="15"/>
      <c r="W589" s="15"/>
    </row>
    <row r="590" spans="1:23" x14ac:dyDescent="0.25">
      <c r="B590" s="8"/>
      <c r="C590" s="9"/>
      <c r="D590" s="9"/>
      <c r="E590" s="8"/>
      <c r="F590" s="8"/>
      <c r="G590" s="9"/>
      <c r="H590" s="9"/>
      <c r="I590" s="46"/>
      <c r="J590" s="46"/>
      <c r="K590" s="46"/>
      <c r="L590" s="43"/>
      <c r="M590" s="46"/>
      <c r="N590" s="46"/>
      <c r="O590" s="46"/>
      <c r="P590" s="105"/>
      <c r="Q590" s="152">
        <v>42500</v>
      </c>
      <c r="R590" s="132">
        <v>2.2269307105367617</v>
      </c>
      <c r="S590" s="75">
        <v>19.86915887850467</v>
      </c>
      <c r="T590" s="132">
        <v>0.34876543209876543</v>
      </c>
      <c r="U590" s="136">
        <v>1.7948545054436167</v>
      </c>
      <c r="V590" s="15"/>
      <c r="W590" s="15"/>
    </row>
    <row r="591" spans="1:23" x14ac:dyDescent="0.25">
      <c r="A591" s="6">
        <v>15</v>
      </c>
      <c r="B591" s="33" t="s">
        <v>86</v>
      </c>
      <c r="C591" s="44">
        <v>34.517000000000003</v>
      </c>
      <c r="D591" s="44">
        <v>110.983</v>
      </c>
      <c r="E591" s="33" t="s">
        <v>16</v>
      </c>
      <c r="F591" s="33" t="s">
        <v>34</v>
      </c>
      <c r="G591" s="11">
        <v>0.6976</v>
      </c>
      <c r="H591" s="11">
        <v>14.5167</v>
      </c>
      <c r="I591" s="11">
        <v>4.1589638075878703</v>
      </c>
      <c r="J591" s="11">
        <v>0.59069341035305989</v>
      </c>
      <c r="K591" s="11">
        <f>I591/J591</f>
        <v>7.0408163265306118</v>
      </c>
      <c r="L591" s="14">
        <v>1.230098730431195</v>
      </c>
      <c r="M591" s="7">
        <f>9.353*EXP(-0.023*H591-0.622*L591-0.182*J591-0.009*K591)*(I591/(I591+0.567))</f>
        <v>2.3117678328415487</v>
      </c>
      <c r="N591" s="18">
        <f>LN(M591)/10</f>
        <v>8.3801252744674454E-2</v>
      </c>
      <c r="O591" s="9">
        <f>4.3573*EXP(-1.002*M591)</f>
        <v>0.42975552906731596</v>
      </c>
      <c r="P591" s="10"/>
      <c r="Q591" s="149">
        <v>41548</v>
      </c>
      <c r="R591" s="13"/>
      <c r="S591" s="64"/>
      <c r="T591" s="13"/>
      <c r="U591" s="13"/>
      <c r="V591" s="13"/>
      <c r="W591" s="13" t="s">
        <v>113</v>
      </c>
    </row>
    <row r="592" spans="1:23" x14ac:dyDescent="0.25">
      <c r="B592" s="8"/>
      <c r="C592" s="9"/>
      <c r="D592" s="9"/>
      <c r="E592" s="8"/>
      <c r="F592" s="8"/>
      <c r="G592" s="9"/>
      <c r="H592" s="9"/>
      <c r="I592" s="9"/>
      <c r="J592" s="9"/>
      <c r="K592" s="9"/>
      <c r="L592" s="32"/>
      <c r="M592" s="8"/>
      <c r="N592" s="8"/>
      <c r="O592" s="18"/>
      <c r="P592" s="22">
        <v>8.2395538705341918E-3</v>
      </c>
      <c r="Q592" s="151">
        <f t="shared" ref="Q592:Q607" si="22">Q591+(P592-P591)*365</f>
        <v>41551.007437162742</v>
      </c>
      <c r="R592" s="60">
        <v>2.6884816753926701</v>
      </c>
      <c r="S592" s="63">
        <v>21.310679611650485</v>
      </c>
      <c r="T592" s="60">
        <v>0.19572252093142251</v>
      </c>
      <c r="U592" s="15">
        <v>2.1688834690971173</v>
      </c>
      <c r="V592" s="15"/>
      <c r="W592" s="15"/>
    </row>
    <row r="593" spans="1:23" x14ac:dyDescent="0.25">
      <c r="B593" s="8"/>
      <c r="C593" s="9"/>
      <c r="D593" s="9"/>
      <c r="E593" s="8"/>
      <c r="F593" s="8"/>
      <c r="G593" s="9"/>
      <c r="H593" s="9"/>
      <c r="I593" s="9"/>
      <c r="J593" s="9"/>
      <c r="K593" s="9"/>
      <c r="L593" s="32"/>
      <c r="M593" s="8"/>
      <c r="N593" s="9"/>
      <c r="O593" s="9"/>
      <c r="P593" s="22">
        <v>0.12863834225993462</v>
      </c>
      <c r="Q593" s="151">
        <f t="shared" si="22"/>
        <v>41594.952994924875</v>
      </c>
      <c r="R593" s="60">
        <v>1.0942408376963351</v>
      </c>
      <c r="S593" s="63">
        <v>3.640776699029125</v>
      </c>
      <c r="T593" s="60">
        <v>6.3035664915675971E-2</v>
      </c>
      <c r="U593" s="15">
        <v>0.75860649800514623</v>
      </c>
      <c r="V593" s="15"/>
      <c r="W593" s="15"/>
    </row>
    <row r="594" spans="1:23" x14ac:dyDescent="0.25">
      <c r="B594" s="8"/>
      <c r="C594" s="9"/>
      <c r="D594" s="9"/>
      <c r="E594" s="8"/>
      <c r="F594" s="8"/>
      <c r="G594" s="9"/>
      <c r="H594" s="9"/>
      <c r="I594" s="9"/>
      <c r="J594" s="9"/>
      <c r="K594" s="9"/>
      <c r="L594" s="32"/>
      <c r="M594" s="9"/>
      <c r="N594" s="9"/>
      <c r="O594" s="9"/>
      <c r="P594" s="22">
        <v>0.16688732422619407</v>
      </c>
      <c r="Q594" s="151">
        <f t="shared" si="22"/>
        <v>41608.913873342557</v>
      </c>
      <c r="R594" s="60">
        <v>0.73691099476439792</v>
      </c>
      <c r="S594" s="63">
        <v>-0.2427184466019412</v>
      </c>
      <c r="T594" s="60">
        <v>3.5944689051287657E-2</v>
      </c>
      <c r="U594" s="15">
        <v>0.90728323298223312</v>
      </c>
      <c r="V594" s="15"/>
      <c r="W594" s="15"/>
    </row>
    <row r="595" spans="1:23" x14ac:dyDescent="0.25">
      <c r="B595" s="8"/>
      <c r="C595" s="9"/>
      <c r="D595" s="9"/>
      <c r="E595" s="8"/>
      <c r="F595" s="8"/>
      <c r="G595" s="9"/>
      <c r="H595" s="9"/>
      <c r="I595" s="9"/>
      <c r="J595" s="9"/>
      <c r="K595" s="9"/>
      <c r="L595" s="32"/>
      <c r="M595" s="9"/>
      <c r="N595" s="9"/>
      <c r="O595" s="9"/>
      <c r="P595" s="22">
        <v>0.21286433572044694</v>
      </c>
      <c r="Q595" s="151">
        <f t="shared" si="22"/>
        <v>41625.695482537958</v>
      </c>
      <c r="R595" s="60">
        <v>0.73691099476439792</v>
      </c>
      <c r="S595" s="63">
        <v>-1.2135922330097086</v>
      </c>
      <c r="T595" s="60">
        <v>5.0299786662485191E-2</v>
      </c>
      <c r="U595" s="15">
        <v>1.1250542266683856</v>
      </c>
      <c r="V595" s="15"/>
      <c r="W595" s="15"/>
    </row>
    <row r="596" spans="1:23" x14ac:dyDescent="0.25">
      <c r="B596" s="8"/>
      <c r="C596" s="9"/>
      <c r="D596" s="9"/>
      <c r="E596" s="8"/>
      <c r="F596" s="8"/>
      <c r="G596" s="9"/>
      <c r="H596" s="9"/>
      <c r="I596" s="9"/>
      <c r="J596" s="9"/>
      <c r="K596" s="9"/>
      <c r="L596" s="32"/>
      <c r="M596" s="9"/>
      <c r="N596" s="9"/>
      <c r="O596" s="9"/>
      <c r="P596" s="22">
        <v>0.25883633227016511</v>
      </c>
      <c r="Q596" s="151">
        <f t="shared" si="22"/>
        <v>41642.475261278603</v>
      </c>
      <c r="R596" s="60">
        <v>0.70942408376963351</v>
      </c>
      <c r="S596" s="63">
        <v>-1.0194174757281553</v>
      </c>
      <c r="T596" s="60">
        <v>2.1795088698063458E-2</v>
      </c>
      <c r="U596" s="15">
        <v>1.3950630474314865</v>
      </c>
      <c r="V596" s="15"/>
      <c r="W596" s="15"/>
    </row>
    <row r="597" spans="1:23" x14ac:dyDescent="0.25">
      <c r="B597" s="8"/>
      <c r="C597" s="9"/>
      <c r="D597" s="9"/>
      <c r="E597" s="8"/>
      <c r="F597" s="8"/>
      <c r="G597" s="9"/>
      <c r="H597" s="9"/>
      <c r="I597" s="9"/>
      <c r="J597" s="9"/>
      <c r="K597" s="9"/>
      <c r="L597" s="32"/>
      <c r="M597" s="9"/>
      <c r="N597" s="9"/>
      <c r="O597" s="9"/>
      <c r="P597" s="22">
        <v>0.30288760506308798</v>
      </c>
      <c r="Q597" s="151">
        <f t="shared" si="22"/>
        <v>41658.553975848023</v>
      </c>
      <c r="R597" s="60">
        <v>0.65445026178010468</v>
      </c>
      <c r="S597" s="63">
        <v>-0.43689320388349451</v>
      </c>
      <c r="T597" s="60">
        <v>1.6140200297929758E-2</v>
      </c>
      <c r="U597" s="15">
        <v>1.7143957582177072</v>
      </c>
      <c r="V597" s="15"/>
      <c r="W597" s="15"/>
    </row>
    <row r="598" spans="1:23" x14ac:dyDescent="0.25">
      <c r="B598" s="8"/>
      <c r="C598" s="9"/>
      <c r="D598" s="9"/>
      <c r="E598" s="8"/>
      <c r="F598" s="8"/>
      <c r="G598" s="9"/>
      <c r="H598" s="9"/>
      <c r="I598" s="9"/>
      <c r="J598" s="9"/>
      <c r="K598" s="9"/>
      <c r="L598" s="32"/>
      <c r="M598" s="9"/>
      <c r="N598" s="9"/>
      <c r="O598" s="9"/>
      <c r="P598" s="22">
        <v>0.36614110047942872</v>
      </c>
      <c r="Q598" s="151">
        <f t="shared" si="22"/>
        <v>41681.641501674989</v>
      </c>
      <c r="R598" s="60">
        <v>0.84685863874345557</v>
      </c>
      <c r="S598" s="63">
        <v>-0.43689320388349451</v>
      </c>
      <c r="T598" s="60">
        <v>4.3374776655841607E-2</v>
      </c>
      <c r="U598" s="15">
        <v>2.3048860248467089</v>
      </c>
      <c r="V598" s="15"/>
      <c r="W598" s="15"/>
    </row>
    <row r="599" spans="1:23" x14ac:dyDescent="0.25">
      <c r="B599" s="8"/>
      <c r="C599" s="9"/>
      <c r="D599" s="9"/>
      <c r="E599" s="8"/>
      <c r="F599" s="8"/>
      <c r="G599" s="9"/>
      <c r="H599" s="9"/>
      <c r="I599" s="9"/>
      <c r="J599" s="9"/>
      <c r="K599" s="9"/>
      <c r="L599" s="32"/>
      <c r="M599" s="9"/>
      <c r="N599" s="9"/>
      <c r="O599" s="9"/>
      <c r="P599" s="22">
        <v>0.41783013379872019</v>
      </c>
      <c r="Q599" s="151">
        <f t="shared" si="22"/>
        <v>41700.507998836532</v>
      </c>
      <c r="R599" s="60">
        <v>0.65445026178010468</v>
      </c>
      <c r="S599" s="63">
        <v>1.5048543689320395</v>
      </c>
      <c r="T599" s="60">
        <v>5.9163403331696507E-2</v>
      </c>
      <c r="U599" s="15">
        <v>2.9355366709213091</v>
      </c>
      <c r="V599" s="15"/>
      <c r="W599" s="15"/>
    </row>
    <row r="600" spans="1:23" x14ac:dyDescent="0.25">
      <c r="B600" s="8"/>
      <c r="C600" s="9"/>
      <c r="D600" s="9"/>
      <c r="E600" s="8"/>
      <c r="F600" s="8"/>
      <c r="G600" s="9"/>
      <c r="H600" s="9"/>
      <c r="I600" s="9"/>
      <c r="J600" s="9"/>
      <c r="K600" s="9"/>
      <c r="L600" s="32"/>
      <c r="M600" s="9"/>
      <c r="N600" s="9"/>
      <c r="O600" s="9"/>
      <c r="P600" s="22">
        <v>0.45627469860183345</v>
      </c>
      <c r="Q600" s="151">
        <f t="shared" si="22"/>
        <v>41714.540264989671</v>
      </c>
      <c r="R600" s="60">
        <v>1.369109947643979</v>
      </c>
      <c r="S600" s="63">
        <v>9.6601941747572813</v>
      </c>
      <c r="T600" s="60">
        <v>7.0646491072423337E-2</v>
      </c>
      <c r="U600" s="15">
        <v>3.5140770799173078</v>
      </c>
      <c r="V600" s="15"/>
      <c r="W600" s="15"/>
    </row>
    <row r="601" spans="1:23" x14ac:dyDescent="0.25">
      <c r="B601" s="8"/>
      <c r="C601" s="9"/>
      <c r="D601" s="9"/>
      <c r="E601" s="8"/>
      <c r="F601" s="8"/>
      <c r="G601" s="9"/>
      <c r="H601" s="9"/>
      <c r="I601" s="9"/>
      <c r="J601" s="9"/>
      <c r="K601" s="9"/>
      <c r="L601" s="32"/>
      <c r="M601" s="9"/>
      <c r="N601" s="9"/>
      <c r="O601" s="9"/>
      <c r="P601" s="22">
        <v>0.58507351908687888</v>
      </c>
      <c r="Q601" s="151">
        <f t="shared" si="22"/>
        <v>41761.551834466714</v>
      </c>
      <c r="R601" s="60">
        <v>3.8154450261780104</v>
      </c>
      <c r="S601" s="63">
        <v>15.582524271844662</v>
      </c>
      <c r="T601" s="60">
        <v>0.10940129322973192</v>
      </c>
      <c r="U601" s="15">
        <v>2.5415898541836923</v>
      </c>
      <c r="V601" s="15"/>
      <c r="W601" s="15"/>
    </row>
    <row r="602" spans="1:23" x14ac:dyDescent="0.25">
      <c r="B602" s="8"/>
      <c r="C602" s="9"/>
      <c r="D602" s="9"/>
      <c r="E602" s="8"/>
      <c r="F602" s="8"/>
      <c r="G602" s="9"/>
      <c r="H602" s="9"/>
      <c r="I602" s="9"/>
      <c r="J602" s="9"/>
      <c r="K602" s="9"/>
      <c r="L602" s="32"/>
      <c r="M602" s="9"/>
      <c r="N602" s="9"/>
      <c r="O602" s="9"/>
      <c r="P602" s="22">
        <v>0.64077952297847585</v>
      </c>
      <c r="Q602" s="151">
        <f t="shared" si="22"/>
        <v>41781.884525887144</v>
      </c>
      <c r="R602" s="60">
        <v>4.6400523560209423</v>
      </c>
      <c r="S602" s="63">
        <v>24.708737864077669</v>
      </c>
      <c r="T602" s="60">
        <v>0.17376402477521158</v>
      </c>
      <c r="U602" s="15"/>
      <c r="V602" s="15"/>
      <c r="W602" s="15"/>
    </row>
    <row r="603" spans="1:23" x14ac:dyDescent="0.25">
      <c r="B603" s="8"/>
      <c r="C603" s="9"/>
      <c r="D603" s="9"/>
      <c r="E603" s="8"/>
      <c r="F603" s="8"/>
      <c r="G603" s="9"/>
      <c r="H603" s="9"/>
      <c r="I603" s="9"/>
      <c r="J603" s="9"/>
      <c r="K603" s="9"/>
      <c r="L603" s="32"/>
      <c r="M603" s="9"/>
      <c r="N603" s="9"/>
      <c r="O603" s="9"/>
      <c r="P603" s="22">
        <v>0.68489097510581531</v>
      </c>
      <c r="Q603" s="151">
        <f t="shared" si="22"/>
        <v>41797.985205913625</v>
      </c>
      <c r="R603" s="60">
        <v>4.914921465968586</v>
      </c>
      <c r="S603" s="63">
        <v>24.223300970873787</v>
      </c>
      <c r="T603" s="60">
        <v>0.18954769970991051</v>
      </c>
      <c r="U603" s="15">
        <v>0.56051354236462259</v>
      </c>
      <c r="V603" s="15"/>
      <c r="W603" s="15"/>
    </row>
    <row r="604" spans="1:23" x14ac:dyDescent="0.25">
      <c r="B604" s="8"/>
      <c r="C604" s="9"/>
      <c r="D604" s="9"/>
      <c r="E604" s="8"/>
      <c r="F604" s="8"/>
      <c r="G604" s="9"/>
      <c r="H604" s="9"/>
      <c r="I604" s="9"/>
      <c r="J604" s="9"/>
      <c r="K604" s="9"/>
      <c r="L604" s="32"/>
      <c r="M604" s="9"/>
      <c r="N604" s="9"/>
      <c r="O604" s="9"/>
      <c r="P604" s="22">
        <v>0.74418266433973235</v>
      </c>
      <c r="Q604" s="151">
        <f t="shared" si="22"/>
        <v>41819.626672484002</v>
      </c>
      <c r="R604" s="60">
        <v>4.3926701570680624</v>
      </c>
      <c r="S604" s="63">
        <v>23.83495145631068</v>
      </c>
      <c r="T604" s="60">
        <v>0.30534416664259573</v>
      </c>
      <c r="U604" s="15">
        <v>1.2163790142996682</v>
      </c>
      <c r="V604" s="15"/>
      <c r="W604" s="15"/>
    </row>
    <row r="605" spans="1:23" x14ac:dyDescent="0.25">
      <c r="B605" s="8"/>
      <c r="C605" s="9"/>
      <c r="D605" s="9"/>
      <c r="E605" s="8"/>
      <c r="F605" s="8"/>
      <c r="G605" s="9"/>
      <c r="H605" s="9"/>
      <c r="I605" s="9"/>
      <c r="J605" s="9"/>
      <c r="K605" s="9"/>
      <c r="L605" s="32"/>
      <c r="M605" s="9"/>
      <c r="N605" s="9"/>
      <c r="O605" s="9"/>
      <c r="P605" s="22">
        <v>0.80571101883613172</v>
      </c>
      <c r="Q605" s="151">
        <f t="shared" si="22"/>
        <v>41842.084521875186</v>
      </c>
      <c r="R605" s="60">
        <v>5.6295811518324603</v>
      </c>
      <c r="S605" s="63">
        <v>28.495145631067956</v>
      </c>
      <c r="T605" s="60">
        <v>0.37400500951146953</v>
      </c>
      <c r="U605" s="15">
        <v>2.7179714867974316</v>
      </c>
      <c r="V605" s="15"/>
      <c r="W605" s="15"/>
    </row>
    <row r="606" spans="1:23" x14ac:dyDescent="0.25">
      <c r="B606" s="8"/>
      <c r="C606" s="9"/>
      <c r="D606" s="9"/>
      <c r="E606" s="8"/>
      <c r="F606" s="8"/>
      <c r="G606" s="9"/>
      <c r="H606" s="9"/>
      <c r="I606" s="9"/>
      <c r="J606" s="9"/>
      <c r="K606" s="9"/>
      <c r="L606" s="32"/>
      <c r="M606" s="9"/>
      <c r="N606" s="9"/>
      <c r="O606" s="9"/>
      <c r="P606" s="22">
        <v>0.88385889952057128</v>
      </c>
      <c r="Q606" s="151">
        <f t="shared" si="22"/>
        <v>41870.608498325004</v>
      </c>
      <c r="R606" s="60">
        <v>3.4581151832460733</v>
      </c>
      <c r="S606" s="63">
        <v>20.436893203883496</v>
      </c>
      <c r="T606" s="60">
        <v>0.27554458836588419</v>
      </c>
      <c r="U606" s="15">
        <v>7.5463575450994043</v>
      </c>
      <c r="V606" s="15"/>
      <c r="W606" s="15"/>
    </row>
    <row r="607" spans="1:23" x14ac:dyDescent="0.25">
      <c r="B607" s="8"/>
      <c r="C607" s="9"/>
      <c r="D607" s="9"/>
      <c r="E607" s="8"/>
      <c r="F607" s="8"/>
      <c r="G607" s="9"/>
      <c r="H607" s="9"/>
      <c r="I607" s="9"/>
      <c r="J607" s="9"/>
      <c r="K607" s="9"/>
      <c r="L607" s="32"/>
      <c r="M607" s="9"/>
      <c r="N607" s="9"/>
      <c r="O607" s="9"/>
      <c r="P607" s="22">
        <v>0.97013099035124672</v>
      </c>
      <c r="Q607" s="151">
        <f t="shared" si="22"/>
        <v>41902.097811478197</v>
      </c>
      <c r="R607" s="60">
        <v>3.8154450261780104</v>
      </c>
      <c r="S607" s="63">
        <v>17.815533980582522</v>
      </c>
      <c r="T607" s="60">
        <v>0.24709931129533425</v>
      </c>
      <c r="U607" s="15">
        <v>3.232403100900799</v>
      </c>
      <c r="V607" s="15"/>
      <c r="W607" s="15"/>
    </row>
    <row r="608" spans="1:23" x14ac:dyDescent="0.25">
      <c r="A608" s="6">
        <v>16</v>
      </c>
      <c r="B608" s="6" t="s">
        <v>87</v>
      </c>
      <c r="C608" s="44">
        <v>34.299999999999997</v>
      </c>
      <c r="D608" s="44">
        <v>116.883</v>
      </c>
      <c r="E608" s="33" t="s">
        <v>24</v>
      </c>
      <c r="F608" s="33" t="s">
        <v>39</v>
      </c>
      <c r="G608" s="11">
        <v>1.0306</v>
      </c>
      <c r="H608" s="11">
        <v>15.6</v>
      </c>
      <c r="I608" s="11">
        <v>2.0084845053180302</v>
      </c>
      <c r="J608" s="11">
        <v>0.30849066698869121</v>
      </c>
      <c r="K608" s="11">
        <f>I608/J608</f>
        <v>6.5106815869786372</v>
      </c>
      <c r="L608" s="14">
        <v>1.6011515507956235</v>
      </c>
      <c r="M608" s="7">
        <f>9.353*EXP(-0.023*H608-0.622*L608-0.182*J608-0.009*K608)*(I608/(I608+0.567))</f>
        <v>1.6779658120206944</v>
      </c>
      <c r="N608" s="7">
        <f>LN(M608)/10</f>
        <v>5.1758223359472402E-2</v>
      </c>
      <c r="O608" s="11">
        <f>4.3573*EXP(-1.002*M608)</f>
        <v>0.81101466358307306</v>
      </c>
      <c r="P608" s="95">
        <v>7.575757575757576E-3</v>
      </c>
      <c r="Q608" s="149">
        <v>41447</v>
      </c>
      <c r="R608" s="122">
        <v>0.67283069043632426</v>
      </c>
      <c r="S608" s="50">
        <v>26.036585365853657</v>
      </c>
      <c r="T608" s="122">
        <v>0.13212121212121214</v>
      </c>
      <c r="U608" s="13">
        <v>0.92573985542510295</v>
      </c>
      <c r="V608" s="13"/>
      <c r="W608" s="13" t="s">
        <v>111</v>
      </c>
    </row>
    <row r="609" spans="2:23" x14ac:dyDescent="0.25">
      <c r="B609" s="8"/>
      <c r="C609" s="9"/>
      <c r="D609" s="9"/>
      <c r="E609" s="8"/>
      <c r="F609" s="8"/>
      <c r="G609" s="9"/>
      <c r="H609" s="9"/>
      <c r="I609" s="9"/>
      <c r="J609" s="9"/>
      <c r="K609" s="9"/>
      <c r="L609" s="32"/>
      <c r="M609" s="8"/>
      <c r="N609" s="8"/>
      <c r="O609" s="18"/>
      <c r="P609" s="96">
        <v>3.1565656565656568E-2</v>
      </c>
      <c r="Q609" s="151">
        <v>41455.012626262629</v>
      </c>
      <c r="R609" s="123">
        <v>1.3131586723136017</v>
      </c>
      <c r="S609" s="51">
        <v>26.768292682926827</v>
      </c>
      <c r="T609" s="123">
        <v>0.18060606060606063</v>
      </c>
      <c r="U609" s="15">
        <v>1.2333028955121055</v>
      </c>
      <c r="V609" s="15"/>
      <c r="W609" s="15"/>
    </row>
    <row r="610" spans="2:23" x14ac:dyDescent="0.25">
      <c r="B610" s="8"/>
      <c r="C610" s="9"/>
      <c r="D610" s="9"/>
      <c r="E610" s="8"/>
      <c r="F610" s="8"/>
      <c r="G610" s="9"/>
      <c r="H610" s="9"/>
      <c r="I610" s="9"/>
      <c r="J610" s="9"/>
      <c r="K610" s="9"/>
      <c r="L610" s="32"/>
      <c r="M610" s="8"/>
      <c r="N610" s="9"/>
      <c r="O610" s="9"/>
      <c r="P610" s="96">
        <v>5.1767676767676768E-2</v>
      </c>
      <c r="Q610" s="151">
        <v>41461.760101010106</v>
      </c>
      <c r="R610" s="123">
        <v>3.0111379231097537</v>
      </c>
      <c r="S610" s="51">
        <v>28.689024390243905</v>
      </c>
      <c r="T610" s="123">
        <v>0.24848484848484848</v>
      </c>
      <c r="U610" s="15">
        <v>1.570290089205276</v>
      </c>
      <c r="V610" s="15"/>
      <c r="W610" s="15"/>
    </row>
    <row r="611" spans="2:23" x14ac:dyDescent="0.25">
      <c r="B611" s="8"/>
      <c r="C611" s="9"/>
      <c r="D611" s="9"/>
      <c r="E611" s="8"/>
      <c r="F611" s="8"/>
      <c r="G611" s="9"/>
      <c r="H611" s="9"/>
      <c r="I611" s="9"/>
      <c r="J611" s="9"/>
      <c r="K611" s="9"/>
      <c r="L611" s="32"/>
      <c r="M611" s="9"/>
      <c r="N611" s="9"/>
      <c r="O611" s="9"/>
      <c r="P611" s="96">
        <v>0.10101010101010101</v>
      </c>
      <c r="Q611" s="151">
        <v>41475</v>
      </c>
      <c r="R611" s="123">
        <v>1.631455399061033</v>
      </c>
      <c r="S611" s="51">
        <v>28.323170731707318</v>
      </c>
      <c r="T611" s="123">
        <v>0.30545454545454548</v>
      </c>
      <c r="U611" s="15">
        <v>2.5225200469904636</v>
      </c>
      <c r="V611" s="15"/>
      <c r="W611" s="15"/>
    </row>
    <row r="612" spans="2:23" x14ac:dyDescent="0.25">
      <c r="B612" s="8"/>
      <c r="C612" s="9"/>
      <c r="D612" s="9"/>
      <c r="E612" s="8"/>
      <c r="F612" s="8"/>
      <c r="G612" s="9"/>
      <c r="H612" s="9"/>
      <c r="I612" s="9"/>
      <c r="J612" s="9"/>
      <c r="K612" s="9"/>
      <c r="L612" s="32"/>
      <c r="M612" s="18"/>
      <c r="N612" s="18"/>
      <c r="O612" s="18"/>
      <c r="P612" s="96">
        <v>0.14015151515151514</v>
      </c>
      <c r="Q612" s="151">
        <v>41491.280303030304</v>
      </c>
      <c r="R612" s="123">
        <v>4.9314652483666563</v>
      </c>
      <c r="S612" s="51">
        <v>29.695121951219512</v>
      </c>
      <c r="T612" s="123">
        <v>0.28727272727272729</v>
      </c>
      <c r="U612" s="15">
        <v>4.5181614507083738</v>
      </c>
      <c r="V612" s="15"/>
      <c r="W612" s="15"/>
    </row>
    <row r="613" spans="2:23" x14ac:dyDescent="0.25">
      <c r="B613" s="8"/>
      <c r="C613" s="9"/>
      <c r="D613" s="9"/>
      <c r="E613" s="8"/>
      <c r="F613" s="8"/>
      <c r="G613" s="9"/>
      <c r="H613" s="9"/>
      <c r="I613" s="9"/>
      <c r="J613" s="9"/>
      <c r="K613" s="9"/>
      <c r="L613" s="32"/>
      <c r="M613" s="9"/>
      <c r="N613" s="9"/>
      <c r="O613" s="9"/>
      <c r="P613" s="96">
        <v>0.18055555555555555</v>
      </c>
      <c r="Q613" s="151">
        <v>41504.775252525251</v>
      </c>
      <c r="R613" s="123">
        <v>2.6865212252536201</v>
      </c>
      <c r="S613" s="51">
        <v>28.04878048780488</v>
      </c>
      <c r="T613" s="123">
        <v>0.15151515151515152</v>
      </c>
      <c r="U613" s="15">
        <v>7.3245681288756757</v>
      </c>
      <c r="V613" s="15"/>
      <c r="W613" s="15"/>
    </row>
    <row r="614" spans="2:23" x14ac:dyDescent="0.25">
      <c r="B614" s="8"/>
      <c r="C614" s="9"/>
      <c r="D614" s="9"/>
      <c r="E614" s="8"/>
      <c r="F614" s="8"/>
      <c r="G614" s="9"/>
      <c r="H614" s="9"/>
      <c r="I614" s="9"/>
      <c r="J614" s="9"/>
      <c r="K614" s="9"/>
      <c r="L614" s="32"/>
      <c r="M614" s="9"/>
      <c r="N614" s="9"/>
      <c r="O614" s="9"/>
      <c r="P614" s="96">
        <v>0.20202020202020202</v>
      </c>
      <c r="Q614" s="151">
        <v>41506</v>
      </c>
      <c r="R614" s="123">
        <v>3.4870645786138739</v>
      </c>
      <c r="S614" s="51">
        <v>27.042682926829269</v>
      </c>
      <c r="T614" s="123">
        <v>0.33939393939393936</v>
      </c>
      <c r="U614" s="15">
        <v>7.6528723520416699</v>
      </c>
      <c r="V614" s="15"/>
      <c r="W614" s="15"/>
    </row>
    <row r="615" spans="2:23" x14ac:dyDescent="0.25">
      <c r="B615" s="8"/>
      <c r="C615" s="9"/>
      <c r="D615" s="9"/>
      <c r="E615" s="8"/>
      <c r="F615" s="8"/>
      <c r="G615" s="9"/>
      <c r="H615" s="9"/>
      <c r="I615" s="9"/>
      <c r="J615" s="9"/>
      <c r="K615" s="9"/>
      <c r="L615" s="32"/>
      <c r="M615" s="9"/>
      <c r="N615" s="9"/>
      <c r="O615" s="9"/>
      <c r="P615" s="96">
        <v>0.22222222222222221</v>
      </c>
      <c r="Q615" s="151">
        <v>41513</v>
      </c>
      <c r="R615" s="123">
        <v>2.1723874716832463</v>
      </c>
      <c r="S615" s="51">
        <v>23.658536585365855</v>
      </c>
      <c r="T615" s="123">
        <v>0.17212121212121212</v>
      </c>
      <c r="U615" s="15">
        <v>6.4527012455397754</v>
      </c>
      <c r="V615" s="15"/>
      <c r="W615" s="15"/>
    </row>
    <row r="616" spans="2:23" x14ac:dyDescent="0.25">
      <c r="B616" s="8"/>
      <c r="C616" s="9"/>
      <c r="D616" s="9"/>
      <c r="E616" s="8"/>
      <c r="F616" s="8"/>
      <c r="G616" s="9"/>
      <c r="H616" s="9"/>
      <c r="I616" s="9"/>
      <c r="J616" s="9"/>
      <c r="K616" s="9"/>
      <c r="L616" s="32"/>
      <c r="M616" s="9"/>
      <c r="N616" s="9"/>
      <c r="O616" s="9"/>
      <c r="P616" s="96">
        <v>0.26515151515151514</v>
      </c>
      <c r="Q616" s="151">
        <v>41521</v>
      </c>
      <c r="R616" s="123">
        <v>2.2351357562625167</v>
      </c>
      <c r="S616" s="51">
        <v>24.207317073170731</v>
      </c>
      <c r="T616" s="123">
        <v>0.33696969696969697</v>
      </c>
      <c r="U616" s="15">
        <v>5.1295082136387693</v>
      </c>
      <c r="V616" s="15"/>
      <c r="W616" s="15"/>
    </row>
    <row r="617" spans="2:23" x14ac:dyDescent="0.25">
      <c r="B617" s="8"/>
      <c r="C617" s="9"/>
      <c r="D617" s="9"/>
      <c r="E617" s="8"/>
      <c r="F617" s="8"/>
      <c r="G617" s="9"/>
      <c r="H617" s="9"/>
      <c r="I617" s="9"/>
      <c r="J617" s="9"/>
      <c r="K617" s="9"/>
      <c r="L617" s="32"/>
      <c r="M617" s="9"/>
      <c r="N617" s="9"/>
      <c r="O617" s="9"/>
      <c r="P617" s="96">
        <v>0.2866161616161616</v>
      </c>
      <c r="Q617" s="151">
        <v>41529</v>
      </c>
      <c r="R617" s="123">
        <v>1.9779868019304638</v>
      </c>
      <c r="S617" s="51">
        <v>24.024390243902438</v>
      </c>
      <c r="T617" s="123">
        <v>0.23272727272727273</v>
      </c>
      <c r="U617" s="15">
        <v>4.0776495784575193</v>
      </c>
      <c r="V617" s="15"/>
      <c r="W617" s="15"/>
    </row>
    <row r="618" spans="2:23" x14ac:dyDescent="0.25">
      <c r="B618" s="8"/>
      <c r="C618" s="9"/>
      <c r="D618" s="9"/>
      <c r="E618" s="8"/>
      <c r="F618" s="8"/>
      <c r="G618" s="9"/>
      <c r="H618" s="9"/>
      <c r="I618" s="9"/>
      <c r="J618" s="9"/>
      <c r="K618" s="9"/>
      <c r="L618" s="32"/>
      <c r="M618" s="9"/>
      <c r="N618" s="9"/>
      <c r="O618" s="9"/>
      <c r="P618" s="96">
        <v>0.31313131313131315</v>
      </c>
      <c r="Q618" s="151">
        <v>41537</v>
      </c>
      <c r="R618" s="123">
        <v>0.66302242358580377</v>
      </c>
      <c r="S618" s="51">
        <v>20.457317073170731</v>
      </c>
      <c r="T618" s="123">
        <v>0.26303030303030306</v>
      </c>
      <c r="U618" s="15">
        <v>3.2414854196909011</v>
      </c>
      <c r="V618" s="15"/>
      <c r="W618" s="15"/>
    </row>
    <row r="619" spans="2:23" x14ac:dyDescent="0.25">
      <c r="B619" s="8"/>
      <c r="C619" s="9"/>
      <c r="D619" s="9"/>
      <c r="E619" s="8"/>
      <c r="F619" s="8"/>
      <c r="G619" s="9"/>
      <c r="H619" s="9"/>
      <c r="I619" s="9"/>
      <c r="J619" s="9"/>
      <c r="K619" s="9"/>
      <c r="L619" s="32"/>
      <c r="M619" s="9"/>
      <c r="N619" s="9"/>
      <c r="O619" s="9"/>
      <c r="P619" s="96">
        <v>0.41035353535353536</v>
      </c>
      <c r="Q619" s="151">
        <v>41544</v>
      </c>
      <c r="R619" s="123">
        <v>0.7560162841852982</v>
      </c>
      <c r="S619" s="51">
        <v>14.512195121951219</v>
      </c>
      <c r="T619" s="123">
        <v>0.20606060606060606</v>
      </c>
      <c r="U619" s="15">
        <v>2.651773782322115</v>
      </c>
      <c r="V619" s="15"/>
      <c r="W619" s="15"/>
    </row>
    <row r="620" spans="2:23" x14ac:dyDescent="0.25">
      <c r="B620" s="8"/>
      <c r="C620" s="9"/>
      <c r="D620" s="9"/>
      <c r="E620" s="8"/>
      <c r="F620" s="8"/>
      <c r="G620" s="9"/>
      <c r="H620" s="9"/>
      <c r="I620" s="9"/>
      <c r="J620" s="9"/>
      <c r="K620" s="9"/>
      <c r="L620" s="32"/>
      <c r="M620" s="9"/>
      <c r="N620" s="9"/>
      <c r="O620" s="9"/>
      <c r="P620" s="96">
        <v>0.44823232323232326</v>
      </c>
      <c r="Q620" s="151">
        <v>41578</v>
      </c>
      <c r="R620" s="123">
        <v>0.40226205719163466</v>
      </c>
      <c r="S620" s="51">
        <v>12.317073170731707</v>
      </c>
      <c r="T620" s="123">
        <v>0.17212121212121212</v>
      </c>
      <c r="U620" s="15"/>
      <c r="V620" s="15"/>
      <c r="W620" s="15"/>
    </row>
    <row r="621" spans="2:23" x14ac:dyDescent="0.25">
      <c r="B621" s="8"/>
      <c r="C621" s="9"/>
      <c r="D621" s="9"/>
      <c r="E621" s="8"/>
      <c r="F621" s="8"/>
      <c r="G621" s="9"/>
      <c r="H621" s="9"/>
      <c r="I621" s="9"/>
      <c r="J621" s="9"/>
      <c r="K621" s="9"/>
      <c r="L621" s="32"/>
      <c r="M621" s="9"/>
      <c r="N621" s="9"/>
      <c r="O621" s="9"/>
      <c r="P621" s="96">
        <v>0.49116161616161619</v>
      </c>
      <c r="Q621" s="151">
        <v>41593</v>
      </c>
      <c r="R621" s="123">
        <v>0.52907186710003606</v>
      </c>
      <c r="S621" s="51">
        <v>6.6463414634146343</v>
      </c>
      <c r="T621" s="123">
        <v>0.1915151515151515</v>
      </c>
      <c r="U621" s="15">
        <v>0.7398494921789569</v>
      </c>
      <c r="V621" s="15"/>
      <c r="W621" s="15"/>
    </row>
    <row r="622" spans="2:23" x14ac:dyDescent="0.25">
      <c r="B622" s="8"/>
      <c r="C622" s="9"/>
      <c r="D622" s="9"/>
      <c r="E622" s="8"/>
      <c r="F622" s="8"/>
      <c r="G622" s="9"/>
      <c r="H622" s="9"/>
      <c r="I622" s="9"/>
      <c r="J622" s="9"/>
      <c r="K622" s="9"/>
      <c r="L622" s="32"/>
      <c r="M622" s="9"/>
      <c r="N622" s="9"/>
      <c r="O622" s="9"/>
      <c r="P622" s="96">
        <v>0.51641414141414144</v>
      </c>
      <c r="Q622" s="151">
        <v>41600</v>
      </c>
      <c r="R622" s="123">
        <v>0.43209724547752726</v>
      </c>
      <c r="S622" s="51">
        <v>5.9146341463414629</v>
      </c>
      <c r="T622" s="123">
        <v>0.16121212121212122</v>
      </c>
      <c r="U622" s="15">
        <v>0.80931100660572308</v>
      </c>
      <c r="V622" s="15"/>
      <c r="W622" s="15"/>
    </row>
    <row r="623" spans="2:23" x14ac:dyDescent="0.25">
      <c r="B623" s="8"/>
      <c r="C623" s="9"/>
      <c r="D623" s="9"/>
      <c r="E623" s="8"/>
      <c r="F623" s="8"/>
      <c r="G623" s="9"/>
      <c r="H623" s="9"/>
      <c r="I623" s="9"/>
      <c r="J623" s="9"/>
      <c r="K623" s="9"/>
      <c r="L623" s="32"/>
      <c r="M623" s="9"/>
      <c r="N623" s="9"/>
      <c r="O623" s="9"/>
      <c r="P623" s="96">
        <v>0.61742424242424243</v>
      </c>
      <c r="Q623" s="151">
        <v>41653</v>
      </c>
      <c r="R623" s="123">
        <v>0.10838340063692178</v>
      </c>
      <c r="S623" s="51">
        <v>8.75</v>
      </c>
      <c r="T623" s="123">
        <v>0.12121212121212122</v>
      </c>
      <c r="U623" s="15">
        <v>1.5965762577012514</v>
      </c>
      <c r="V623" s="15"/>
      <c r="W623" s="15"/>
    </row>
    <row r="624" spans="2:23" x14ac:dyDescent="0.25">
      <c r="B624" s="8"/>
      <c r="C624" s="9"/>
      <c r="D624" s="9"/>
      <c r="E624" s="8"/>
      <c r="F624" s="8"/>
      <c r="G624" s="9"/>
      <c r="H624" s="9"/>
      <c r="I624" s="9"/>
      <c r="J624" s="9"/>
      <c r="K624" s="9"/>
      <c r="L624" s="32"/>
      <c r="M624" s="9"/>
      <c r="N624" s="9"/>
      <c r="O624" s="9"/>
      <c r="P624" s="96">
        <v>0.74116161616161613</v>
      </c>
      <c r="Q624" s="151">
        <v>41692</v>
      </c>
      <c r="R624" s="123">
        <v>0.20059752454118648</v>
      </c>
      <c r="S624" s="51">
        <v>7.1951219512195124</v>
      </c>
      <c r="T624" s="123">
        <v>0.16848484848484849</v>
      </c>
      <c r="U624" s="15">
        <v>2.6322052622055292</v>
      </c>
      <c r="V624" s="15"/>
      <c r="W624" s="15"/>
    </row>
    <row r="625" spans="1:23" x14ac:dyDescent="0.25">
      <c r="B625" s="8"/>
      <c r="C625" s="9"/>
      <c r="D625" s="9"/>
      <c r="E625" s="8"/>
      <c r="F625" s="8"/>
      <c r="G625" s="9"/>
      <c r="H625" s="9"/>
      <c r="I625" s="9"/>
      <c r="J625" s="9"/>
      <c r="K625" s="9"/>
      <c r="L625" s="32"/>
      <c r="M625" s="9"/>
      <c r="N625" s="9"/>
      <c r="O625" s="9"/>
      <c r="P625" s="96">
        <v>0.77651515151515149</v>
      </c>
      <c r="Q625" s="151">
        <v>41704</v>
      </c>
      <c r="R625" s="123">
        <v>0.19944843888505862</v>
      </c>
      <c r="S625" s="51">
        <v>7.5609756097560972</v>
      </c>
      <c r="T625" s="123">
        <v>0.1503030303030303</v>
      </c>
      <c r="U625" s="15">
        <v>3.0699337991824502</v>
      </c>
      <c r="V625" s="15"/>
      <c r="W625" s="15"/>
    </row>
    <row r="626" spans="1:23" x14ac:dyDescent="0.25">
      <c r="B626" s="8"/>
      <c r="C626" s="9"/>
      <c r="D626" s="9"/>
      <c r="E626" s="8"/>
      <c r="F626" s="8"/>
      <c r="G626" s="9"/>
      <c r="H626" s="9"/>
      <c r="I626" s="9"/>
      <c r="J626" s="9"/>
      <c r="K626" s="9"/>
      <c r="L626" s="32"/>
      <c r="M626" s="9"/>
      <c r="N626" s="9"/>
      <c r="O626" s="9"/>
      <c r="P626" s="96">
        <v>0.8244949494949495</v>
      </c>
      <c r="Q626" s="151">
        <v>41719</v>
      </c>
      <c r="R626" s="123">
        <v>0.99912997800321734</v>
      </c>
      <c r="S626" s="51">
        <v>12.591463414634147</v>
      </c>
      <c r="T626" s="123">
        <v>0.10666666666666666</v>
      </c>
      <c r="U626" s="15">
        <v>3.7208364590127916</v>
      </c>
      <c r="V626" s="15"/>
      <c r="W626" s="15"/>
    </row>
    <row r="627" spans="1:23" x14ac:dyDescent="0.25">
      <c r="B627" s="8"/>
      <c r="C627" s="9"/>
      <c r="D627" s="9"/>
      <c r="E627" s="8"/>
      <c r="F627" s="8"/>
      <c r="G627" s="9"/>
      <c r="H627" s="9"/>
      <c r="I627" s="9"/>
      <c r="J627" s="9"/>
      <c r="K627" s="9"/>
      <c r="L627" s="32"/>
      <c r="M627" s="9"/>
      <c r="N627" s="9"/>
      <c r="O627" s="9"/>
      <c r="P627" s="96">
        <v>0.87247474747474751</v>
      </c>
      <c r="Q627" s="151">
        <v>41739</v>
      </c>
      <c r="R627" s="123">
        <v>0.51680127384352748</v>
      </c>
      <c r="S627" s="51">
        <v>15.24390243902439</v>
      </c>
      <c r="T627" s="123">
        <v>6.6666666666666666E-2</v>
      </c>
      <c r="U627" s="15">
        <v>4.8082755079735735</v>
      </c>
      <c r="V627" s="15"/>
      <c r="W627" s="15"/>
    </row>
    <row r="628" spans="1:23" x14ac:dyDescent="0.25">
      <c r="B628" s="8"/>
      <c r="C628" s="9"/>
      <c r="D628" s="9"/>
      <c r="E628" s="8"/>
      <c r="F628" s="8"/>
      <c r="G628" s="9"/>
      <c r="H628" s="9"/>
      <c r="I628" s="9"/>
      <c r="J628" s="9"/>
      <c r="K628" s="9"/>
      <c r="L628" s="32"/>
      <c r="M628" s="9"/>
      <c r="N628" s="9"/>
      <c r="O628" s="9"/>
      <c r="P628" s="96">
        <v>0.97095959595959591</v>
      </c>
      <c r="Q628" s="151">
        <v>41766</v>
      </c>
      <c r="R628" s="123">
        <v>0.80214386552414729</v>
      </c>
      <c r="S628" s="51">
        <v>17.439024390243901</v>
      </c>
      <c r="T628" s="123">
        <v>9.696969696969697E-2</v>
      </c>
      <c r="U628" s="15">
        <v>2.0676592537315774</v>
      </c>
      <c r="V628" s="15"/>
      <c r="W628" s="15"/>
    </row>
    <row r="629" spans="1:23" x14ac:dyDescent="0.25">
      <c r="B629" s="8"/>
      <c r="C629" s="9"/>
      <c r="D629" s="9"/>
      <c r="E629" s="8"/>
      <c r="F629" s="8"/>
      <c r="G629" s="9"/>
      <c r="H629" s="9"/>
      <c r="I629" s="9"/>
      <c r="J629" s="9"/>
      <c r="K629" s="9"/>
      <c r="L629" s="32"/>
      <c r="M629" s="9"/>
      <c r="N629" s="9"/>
      <c r="O629" s="9"/>
      <c r="P629" s="96">
        <v>1.0037878787878789</v>
      </c>
      <c r="Q629" s="151">
        <v>41775</v>
      </c>
      <c r="R629" s="123">
        <v>0.67291276798319055</v>
      </c>
      <c r="S629" s="51">
        <v>20.365853658536587</v>
      </c>
      <c r="T629" s="123">
        <v>8.9696969696969692E-2</v>
      </c>
      <c r="U629" s="15">
        <v>1.3618746533080437</v>
      </c>
      <c r="V629" s="15"/>
      <c r="W629" s="15"/>
    </row>
    <row r="630" spans="1:23" ht="16.5" x14ac:dyDescent="0.3">
      <c r="A630" s="6">
        <v>17</v>
      </c>
      <c r="B630" s="33" t="s">
        <v>88</v>
      </c>
      <c r="C630" s="44">
        <v>32.75</v>
      </c>
      <c r="D630" s="44">
        <v>111.217</v>
      </c>
      <c r="E630" s="33" t="s">
        <v>25</v>
      </c>
      <c r="F630" s="33" t="s">
        <v>129</v>
      </c>
      <c r="G630" s="44">
        <v>0.74929999999999997</v>
      </c>
      <c r="H630" s="44">
        <v>14.908333333333331</v>
      </c>
      <c r="I630" s="11">
        <v>1.1574748614409833</v>
      </c>
      <c r="J630" s="11">
        <v>0.12313562355755142</v>
      </c>
      <c r="K630" s="11">
        <f>I630/J630</f>
        <v>9.4</v>
      </c>
      <c r="L630" s="14">
        <v>1.4403619480350713</v>
      </c>
      <c r="M630" s="7">
        <f>9.353*EXP(-0.023*H630-0.622*L630-0.182*J630-0.009*K630)*(I630/(I630+0.567))</f>
        <v>1.6342890506890742</v>
      </c>
      <c r="N630" s="7">
        <f>LN(M630)/10</f>
        <v>4.9120787839980702E-2</v>
      </c>
      <c r="O630" s="11">
        <f>4.3573*EXP(-1.002*M630)</f>
        <v>0.84729612485582695</v>
      </c>
      <c r="P630" s="10"/>
      <c r="Q630" s="149">
        <v>41713</v>
      </c>
      <c r="R630" s="13">
        <f>1400*1000/44/3600*0.13522</f>
        <v>1.1951262626262629</v>
      </c>
      <c r="S630" s="25">
        <f>40*0.384858-5</f>
        <v>10.394319999999999</v>
      </c>
      <c r="T630" s="13">
        <f>35*0.247619/100</f>
        <v>8.6666649999999998E-2</v>
      </c>
      <c r="U630" s="13">
        <v>3.1502356682450285</v>
      </c>
      <c r="V630" s="13"/>
      <c r="W630" s="13" t="s">
        <v>114</v>
      </c>
    </row>
    <row r="631" spans="1:23" x14ac:dyDescent="0.25">
      <c r="B631" s="8"/>
      <c r="C631" s="9"/>
      <c r="D631" s="9"/>
      <c r="E631" s="8"/>
      <c r="F631" s="8"/>
      <c r="G631" s="9"/>
      <c r="H631" s="9"/>
      <c r="I631" s="9"/>
      <c r="J631" s="9"/>
      <c r="K631" s="9"/>
      <c r="L631" s="32"/>
      <c r="M631" s="8"/>
      <c r="N631" s="8"/>
      <c r="O631" s="18"/>
      <c r="P631" s="22"/>
      <c r="Q631" s="151">
        <v>41744</v>
      </c>
      <c r="R631" s="15">
        <f>1400*1000/44/3600*0.141509</f>
        <v>1.2507108585858586</v>
      </c>
      <c r="S631" s="26">
        <f>40*0.536278-5</f>
        <v>16.451120000000003</v>
      </c>
      <c r="T631" s="15">
        <f>0.574603*35/100</f>
        <v>0.20111104999999999</v>
      </c>
      <c r="U631" s="15">
        <v>4.5913036126192308</v>
      </c>
      <c r="V631" s="15"/>
      <c r="W631" s="15"/>
    </row>
    <row r="632" spans="1:23" x14ac:dyDescent="0.25">
      <c r="B632" s="8"/>
      <c r="C632" s="9"/>
      <c r="D632" s="9"/>
      <c r="E632" s="8"/>
      <c r="F632" s="8"/>
      <c r="G632" s="9"/>
      <c r="H632" s="9"/>
      <c r="I632" s="9"/>
      <c r="J632" s="9"/>
      <c r="K632" s="9"/>
      <c r="L632" s="32"/>
      <c r="M632" s="8"/>
      <c r="N632" s="9"/>
      <c r="O632" s="9"/>
      <c r="P632" s="22"/>
      <c r="Q632" s="151">
        <v>41774</v>
      </c>
      <c r="R632" s="15">
        <f>1400*1000/44/3600*0.179245</f>
        <v>1.5842361111111112</v>
      </c>
      <c r="S632" s="26">
        <f>40*0.646688-5</f>
        <v>20.867520000000003</v>
      </c>
      <c r="T632" s="15">
        <f>0.53333*35/100</f>
        <v>0.18666549999999998</v>
      </c>
      <c r="U632" s="15">
        <v>2.2862273765359395</v>
      </c>
      <c r="V632" s="15"/>
      <c r="W632" s="15"/>
    </row>
    <row r="633" spans="1:23" x14ac:dyDescent="0.25">
      <c r="B633" s="8"/>
      <c r="C633" s="9"/>
      <c r="D633" s="9"/>
      <c r="E633" s="8"/>
      <c r="F633" s="8"/>
      <c r="G633" s="9"/>
      <c r="H633" s="9"/>
      <c r="I633" s="9"/>
      <c r="J633" s="9"/>
      <c r="K633" s="9"/>
      <c r="L633" s="32"/>
      <c r="M633" s="9"/>
      <c r="N633" s="9"/>
      <c r="O633" s="9"/>
      <c r="P633" s="22"/>
      <c r="Q633" s="151">
        <v>41805</v>
      </c>
      <c r="R633" s="15">
        <f>1400*1000/44/3600*0.128931</f>
        <v>1.1395416666666667</v>
      </c>
      <c r="S633" s="26">
        <f>40*0.678233-5</f>
        <v>22.12932</v>
      </c>
      <c r="T633" s="15">
        <f>0.485714*35/100</f>
        <v>0.16999990000000001</v>
      </c>
      <c r="U633" s="15">
        <v>0.81972780670744105</v>
      </c>
      <c r="V633" s="15"/>
      <c r="W633" s="15"/>
    </row>
    <row r="634" spans="1:23" x14ac:dyDescent="0.25">
      <c r="B634" s="8"/>
      <c r="C634" s="9"/>
      <c r="D634" s="9"/>
      <c r="E634" s="8"/>
      <c r="F634" s="8"/>
      <c r="G634" s="9"/>
      <c r="H634" s="9"/>
      <c r="I634" s="9"/>
      <c r="J634" s="9"/>
      <c r="K634" s="9"/>
      <c r="L634" s="32"/>
      <c r="M634" s="9"/>
      <c r="N634" s="9"/>
      <c r="O634" s="9"/>
      <c r="P634" s="22"/>
      <c r="Q634" s="151">
        <v>41835</v>
      </c>
      <c r="R634" s="15">
        <f>1400*1000/44/3600*0.267296</f>
        <v>2.3624646464646464</v>
      </c>
      <c r="S634" s="26">
        <f>40*0.883281-5</f>
        <v>30.331240000000001</v>
      </c>
      <c r="T634" s="15">
        <f>0.165079*35/100</f>
        <v>5.7777650000000007E-2</v>
      </c>
      <c r="U634" s="15">
        <v>2.3274430338578838</v>
      </c>
      <c r="V634" s="15"/>
      <c r="W634" s="15"/>
    </row>
    <row r="635" spans="1:23" x14ac:dyDescent="0.25">
      <c r="B635" s="8"/>
      <c r="C635" s="9"/>
      <c r="D635" s="9"/>
      <c r="E635" s="8"/>
      <c r="F635" s="8"/>
      <c r="G635" s="9"/>
      <c r="H635" s="9"/>
      <c r="I635" s="9"/>
      <c r="J635" s="9"/>
      <c r="K635" s="9"/>
      <c r="L635" s="32"/>
      <c r="M635" s="9"/>
      <c r="N635" s="9"/>
      <c r="O635" s="9"/>
      <c r="P635" s="22"/>
      <c r="Q635" s="151">
        <v>41897</v>
      </c>
      <c r="R635" s="15">
        <f>1400*1000/44/3600*0.163522</f>
        <v>1.4452702020202022</v>
      </c>
      <c r="S635" s="26">
        <f>40*0.62776-5</f>
        <v>20.110399999999998</v>
      </c>
      <c r="T635" s="15">
        <f>0.590476*35/100</f>
        <v>0.20666660000000001</v>
      </c>
      <c r="U635" s="15">
        <v>3.6363471985172326</v>
      </c>
      <c r="V635" s="15"/>
      <c r="W635" s="15"/>
    </row>
    <row r="636" spans="1:23" x14ac:dyDescent="0.25">
      <c r="B636" s="8"/>
      <c r="C636" s="9"/>
      <c r="D636" s="9"/>
      <c r="E636" s="8"/>
      <c r="F636" s="8"/>
      <c r="G636" s="9"/>
      <c r="H636" s="9"/>
      <c r="I636" s="9"/>
      <c r="J636" s="9"/>
      <c r="K636" s="9"/>
      <c r="L636" s="32"/>
      <c r="M636" s="9"/>
      <c r="N636" s="9"/>
      <c r="O636" s="9"/>
      <c r="P636" s="22"/>
      <c r="Q636" s="151">
        <v>41927</v>
      </c>
      <c r="R636" s="15">
        <f>1400*1000/44/3600*0.157233</f>
        <v>1.3896856060606062</v>
      </c>
      <c r="S636" s="26">
        <f>40*0.542587-5</f>
        <v>16.703480000000003</v>
      </c>
      <c r="T636" s="15">
        <f>0.514286*35/100</f>
        <v>0.1800001</v>
      </c>
      <c r="U636" s="15">
        <v>1.5758730688646012</v>
      </c>
      <c r="V636" s="15"/>
      <c r="W636" s="15"/>
    </row>
    <row r="637" spans="1:23" x14ac:dyDescent="0.25">
      <c r="B637" s="8"/>
      <c r="C637" s="9"/>
      <c r="D637" s="9"/>
      <c r="E637" s="8"/>
      <c r="F637" s="8"/>
      <c r="G637" s="9"/>
      <c r="H637" s="9"/>
      <c r="I637" s="9"/>
      <c r="J637" s="9"/>
      <c r="K637" s="9"/>
      <c r="L637" s="32"/>
      <c r="M637" s="9"/>
      <c r="N637" s="9"/>
      <c r="O637" s="9"/>
      <c r="P637" s="22"/>
      <c r="Q637" s="151">
        <v>41958</v>
      </c>
      <c r="R637" s="15">
        <f>1400*1000/44/3600*0.125786</f>
        <v>1.1117449494949496</v>
      </c>
      <c r="S637" s="26">
        <f>40*0.359621-5</f>
        <v>9.3848400000000005</v>
      </c>
      <c r="T637" s="15">
        <f>0.403175*35/100</f>
        <v>0.14111124999999999</v>
      </c>
      <c r="U637" s="15">
        <v>0.73295943862894808</v>
      </c>
      <c r="V637" s="15"/>
      <c r="W637" s="15"/>
    </row>
    <row r="638" spans="1:23" x14ac:dyDescent="0.25">
      <c r="B638" s="8"/>
      <c r="C638" s="9"/>
      <c r="D638" s="9"/>
      <c r="E638" s="8"/>
      <c r="F638" s="8"/>
      <c r="G638" s="9"/>
      <c r="H638" s="9"/>
      <c r="I638" s="9"/>
      <c r="J638" s="9"/>
      <c r="K638" s="9"/>
      <c r="L638" s="32"/>
      <c r="M638" s="9"/>
      <c r="N638" s="9"/>
      <c r="O638" s="9"/>
      <c r="P638" s="22"/>
      <c r="Q638" s="151">
        <v>41988</v>
      </c>
      <c r="R638" s="15">
        <f>1400*1000/44/3600*0.132075</f>
        <v>1.1673295454545456</v>
      </c>
      <c r="S638" s="26">
        <f>40*0.176656-5</f>
        <v>2.0662400000000005</v>
      </c>
      <c r="T638" s="15">
        <f>0.285714*35/100</f>
        <v>9.9999900000000003E-2</v>
      </c>
      <c r="U638" s="15">
        <v>1.0553480632438443</v>
      </c>
      <c r="V638" s="15"/>
      <c r="W638" s="15"/>
    </row>
    <row r="639" spans="1:23" x14ac:dyDescent="0.25">
      <c r="B639" s="8"/>
      <c r="C639" s="9"/>
      <c r="D639" s="9"/>
      <c r="E639" s="8"/>
      <c r="F639" s="8"/>
      <c r="G639" s="9"/>
      <c r="H639" s="9"/>
      <c r="I639" s="9"/>
      <c r="J639" s="9"/>
      <c r="K639" s="9"/>
      <c r="L639" s="32"/>
      <c r="M639" s="9"/>
      <c r="N639" s="9"/>
      <c r="O639" s="9"/>
      <c r="P639" s="22"/>
      <c r="Q639" s="151">
        <v>42019</v>
      </c>
      <c r="R639" s="15">
        <f>1400*1000/44/3600*0.128931</f>
        <v>1.1395416666666667</v>
      </c>
      <c r="S639" s="26">
        <f>40*0.223975-5</f>
        <v>3.9589999999999996</v>
      </c>
      <c r="T639" s="15">
        <f>0.231746*35/100</f>
        <v>8.1111100000000005E-2</v>
      </c>
      <c r="U639" s="15">
        <v>1.5381145684384681</v>
      </c>
      <c r="V639" s="15"/>
      <c r="W639" s="15"/>
    </row>
    <row r="640" spans="1:23" x14ac:dyDescent="0.25">
      <c r="B640" s="8"/>
      <c r="C640" s="9"/>
      <c r="D640" s="9"/>
      <c r="E640" s="8"/>
      <c r="F640" s="8"/>
      <c r="G640" s="9"/>
      <c r="H640" s="9"/>
      <c r="I640" s="9"/>
      <c r="J640" s="9"/>
      <c r="K640" s="9"/>
      <c r="L640" s="32"/>
      <c r="M640" s="9"/>
      <c r="N640" s="9"/>
      <c r="O640" s="9"/>
      <c r="P640" s="22"/>
      <c r="Q640" s="151">
        <v>42050</v>
      </c>
      <c r="R640" s="15">
        <f>1400*1000/44/3600*0.125786</f>
        <v>1.1117449494949496</v>
      </c>
      <c r="S640" s="26">
        <f>40*0.139-5</f>
        <v>0.5600000000000005</v>
      </c>
      <c r="T640" s="15">
        <f>0.466667*35/100</f>
        <v>0.16333345000000002</v>
      </c>
      <c r="U640" s="15">
        <v>2.2417214832146084</v>
      </c>
      <c r="V640" s="15"/>
      <c r="W640" s="15"/>
    </row>
    <row r="641" spans="1:23" x14ac:dyDescent="0.25">
      <c r="B641" s="8"/>
      <c r="C641" s="9"/>
      <c r="D641" s="9"/>
      <c r="E641" s="8"/>
      <c r="F641" s="8"/>
      <c r="G641" s="9"/>
      <c r="H641" s="9"/>
      <c r="I641" s="9"/>
      <c r="J641" s="9"/>
      <c r="K641" s="9"/>
      <c r="L641" s="32"/>
      <c r="M641" s="9"/>
      <c r="N641" s="9"/>
      <c r="O641" s="9"/>
      <c r="P641" s="22"/>
      <c r="Q641" s="151">
        <v>42078</v>
      </c>
      <c r="R641" s="15">
        <f>1400*1000/44/3600*0.144654</f>
        <v>1.2785075757575759</v>
      </c>
      <c r="S641" s="26">
        <f>40*0.378549-5</f>
        <v>10.141960000000001</v>
      </c>
      <c r="T641" s="15">
        <f>0.593651*35/100</f>
        <v>0.20777785000000001</v>
      </c>
      <c r="U641" s="15">
        <v>3.1502356682450285</v>
      </c>
      <c r="V641" s="15"/>
      <c r="W641" s="15"/>
    </row>
    <row r="642" spans="1:23" x14ac:dyDescent="0.25">
      <c r="A642" s="6">
        <v>18</v>
      </c>
      <c r="B642" s="6" t="s">
        <v>89</v>
      </c>
      <c r="C642" s="11">
        <v>32.200000000000003</v>
      </c>
      <c r="D642" s="11">
        <v>118.7</v>
      </c>
      <c r="E642" s="6" t="s">
        <v>26</v>
      </c>
      <c r="F642" s="6" t="s">
        <v>130</v>
      </c>
      <c r="G642" s="11">
        <v>1.7695000000000001</v>
      </c>
      <c r="H642" s="11">
        <v>17.190460000000002</v>
      </c>
      <c r="I642" s="11">
        <f>6.525*0.98*1.54*0.2</f>
        <v>1.9695060000000002</v>
      </c>
      <c r="J642" s="7">
        <f>0.92*0.98*0.2*1.54</f>
        <v>0.27769280000000007</v>
      </c>
      <c r="K642" s="11">
        <f>I642/J642</f>
        <v>7.0923913043478253</v>
      </c>
      <c r="L642" s="14">
        <v>1.54</v>
      </c>
      <c r="M642" s="44">
        <f>9.353*EXP(-0.023*H642-0.622*L642-0.182*J642-0.009*K642)*(I642/(I642+0.567))</f>
        <v>1.6737391951194573</v>
      </c>
      <c r="N642" s="44">
        <f>LN(M642)/10</f>
        <v>5.150601625099259E-2</v>
      </c>
      <c r="O642" s="44">
        <f>4.3573*EXP(-1.002*M642)</f>
        <v>0.81445665094827036</v>
      </c>
      <c r="P642" s="10"/>
      <c r="Q642" s="153">
        <v>43418</v>
      </c>
      <c r="R642" s="13">
        <v>1.7633333333333301</v>
      </c>
      <c r="S642" s="25">
        <v>20.803333333333331</v>
      </c>
      <c r="T642" s="13">
        <v>0.28261482862202997</v>
      </c>
      <c r="U642" s="13">
        <v>0.37333333333333335</v>
      </c>
      <c r="V642" s="13"/>
      <c r="W642" s="13" t="s">
        <v>167</v>
      </c>
    </row>
    <row r="643" spans="1:23" x14ac:dyDescent="0.25">
      <c r="C643" s="3"/>
      <c r="D643" s="3"/>
      <c r="G643" s="3"/>
      <c r="H643" s="9"/>
      <c r="I643" s="4"/>
      <c r="J643" s="4"/>
      <c r="K643" s="3"/>
      <c r="L643" s="40"/>
      <c r="O643" s="80"/>
      <c r="P643" s="5"/>
      <c r="Q643" s="154">
        <v>43426</v>
      </c>
      <c r="R643" s="12">
        <v>1.07</v>
      </c>
      <c r="S643" s="19">
        <v>16.176666666666666</v>
      </c>
      <c r="T643" s="12">
        <v>0.29486420630390553</v>
      </c>
      <c r="U643" s="12">
        <v>0.58666666666666656</v>
      </c>
      <c r="V643" s="12"/>
      <c r="W643" s="12"/>
    </row>
    <row r="644" spans="1:23" x14ac:dyDescent="0.25">
      <c r="C644" s="3"/>
      <c r="D644" s="3"/>
      <c r="E644" s="82"/>
      <c r="F644" s="82"/>
      <c r="G644" s="3"/>
      <c r="H644" s="4"/>
      <c r="I644" s="4"/>
      <c r="J644" s="4"/>
      <c r="K644" s="3"/>
      <c r="L644" s="40"/>
      <c r="N644" s="80"/>
      <c r="O644" s="80"/>
      <c r="P644" s="5"/>
      <c r="Q644" s="154">
        <v>43432</v>
      </c>
      <c r="R644" s="12">
        <v>2.3733333333333335</v>
      </c>
      <c r="S644" s="19">
        <v>19.936666666666664</v>
      </c>
      <c r="T644" s="12">
        <v>0.22605669722006835</v>
      </c>
      <c r="U644" s="12">
        <v>1.1466666666666665</v>
      </c>
      <c r="V644" s="12"/>
      <c r="W644" s="12"/>
    </row>
    <row r="645" spans="1:23" x14ac:dyDescent="0.25">
      <c r="C645" s="3"/>
      <c r="D645" s="3"/>
      <c r="G645" s="3"/>
      <c r="H645" s="3"/>
      <c r="I645" s="3"/>
      <c r="J645" s="3"/>
      <c r="K645" s="3"/>
      <c r="L645" s="40"/>
      <c r="M645" s="83"/>
      <c r="N645" s="83"/>
      <c r="O645" s="83"/>
      <c r="P645" s="5"/>
      <c r="Q645" s="154">
        <v>43442</v>
      </c>
      <c r="R645" s="12">
        <v>0.83666666666666656</v>
      </c>
      <c r="S645" s="19">
        <v>6.88</v>
      </c>
      <c r="T645" s="12">
        <v>0.31232982615653199</v>
      </c>
      <c r="U645" s="12">
        <v>1.5633333333333332</v>
      </c>
      <c r="V645" s="12"/>
      <c r="W645" s="12"/>
    </row>
    <row r="646" spans="1:23" x14ac:dyDescent="0.25">
      <c r="C646" s="3"/>
      <c r="D646" s="3"/>
      <c r="G646" s="3"/>
      <c r="H646" s="3"/>
      <c r="I646" s="3"/>
      <c r="J646" s="3"/>
      <c r="K646" s="3"/>
      <c r="L646" s="40"/>
      <c r="M646" s="83"/>
      <c r="N646" s="83"/>
      <c r="O646" s="83"/>
      <c r="P646" s="5"/>
      <c r="Q646" s="154">
        <v>43447</v>
      </c>
      <c r="R646" s="12">
        <v>0.59</v>
      </c>
      <c r="S646" s="19">
        <v>7.9933333333333323</v>
      </c>
      <c r="T646" s="12">
        <v>0.29638805233131593</v>
      </c>
      <c r="U646" s="12">
        <v>1.7433333333333334</v>
      </c>
      <c r="V646" s="12"/>
      <c r="W646" s="12"/>
    </row>
    <row r="647" spans="1:23" x14ac:dyDescent="0.25">
      <c r="C647" s="3"/>
      <c r="D647" s="3"/>
      <c r="G647" s="3"/>
      <c r="H647" s="3"/>
      <c r="I647" s="3"/>
      <c r="J647" s="3"/>
      <c r="K647" s="3"/>
      <c r="L647" s="40"/>
      <c r="M647" s="83"/>
      <c r="N647" s="83"/>
      <c r="O647" s="83"/>
      <c r="P647" s="5"/>
      <c r="Q647" s="154">
        <v>43456</v>
      </c>
      <c r="R647" s="12">
        <v>1.1533333333333333</v>
      </c>
      <c r="S647" s="19">
        <v>12.64</v>
      </c>
      <c r="T647" s="12">
        <v>0.393562541310023</v>
      </c>
      <c r="U647" s="12">
        <v>1.71</v>
      </c>
      <c r="V647" s="12"/>
      <c r="W647" s="12"/>
    </row>
    <row r="648" spans="1:23" x14ac:dyDescent="0.25">
      <c r="C648" s="3"/>
      <c r="D648" s="3"/>
      <c r="G648" s="3"/>
      <c r="H648" s="3"/>
      <c r="I648" s="3"/>
      <c r="J648" s="3"/>
      <c r="K648" s="3"/>
      <c r="L648" s="40"/>
      <c r="M648" s="83"/>
      <c r="N648" s="83"/>
      <c r="O648" s="83"/>
      <c r="P648" s="5"/>
      <c r="Q648" s="154">
        <v>43463</v>
      </c>
      <c r="R648" s="12">
        <v>0.68666666666666665</v>
      </c>
      <c r="S648" s="19">
        <v>7.1466666666666674</v>
      </c>
      <c r="T648" s="12">
        <v>0.34075541551399463</v>
      </c>
      <c r="U648" s="12">
        <v>1.7366666666666666</v>
      </c>
      <c r="V648" s="12"/>
      <c r="W648" s="12"/>
    </row>
    <row r="649" spans="1:23" x14ac:dyDescent="0.25">
      <c r="C649" s="3"/>
      <c r="D649" s="3"/>
      <c r="G649" s="3"/>
      <c r="H649" s="3"/>
      <c r="I649" s="3"/>
      <c r="J649" s="3"/>
      <c r="K649" s="3"/>
      <c r="L649" s="40"/>
      <c r="M649" s="83"/>
      <c r="N649" s="83"/>
      <c r="O649" s="83"/>
      <c r="P649" s="5"/>
      <c r="Q649" s="154">
        <v>43468</v>
      </c>
      <c r="R649" s="12">
        <v>0.91333333333333344</v>
      </c>
      <c r="S649" s="19">
        <v>7.3833333333333329</v>
      </c>
      <c r="T649" s="12">
        <v>0.33583222065620727</v>
      </c>
      <c r="U649" s="12">
        <v>1.8533333333333333</v>
      </c>
      <c r="V649" s="12"/>
      <c r="W649" s="12"/>
    </row>
    <row r="650" spans="1:23" x14ac:dyDescent="0.25">
      <c r="C650" s="3"/>
      <c r="D650" s="3"/>
      <c r="G650" s="3"/>
      <c r="H650" s="3"/>
      <c r="I650" s="3"/>
      <c r="J650" s="3"/>
      <c r="K650" s="3"/>
      <c r="L650" s="40"/>
      <c r="M650" s="83"/>
      <c r="N650" s="83"/>
      <c r="O650" s="83"/>
      <c r="P650" s="5"/>
      <c r="Q650" s="154">
        <v>43479</v>
      </c>
      <c r="R650" s="12">
        <v>1.1766666666666667</v>
      </c>
      <c r="S650" s="19">
        <v>8.2666666666666675</v>
      </c>
      <c r="T650" s="12">
        <v>0.30781689753689373</v>
      </c>
      <c r="U650" s="12">
        <v>1.7999999999999998</v>
      </c>
      <c r="V650" s="12"/>
      <c r="W650" s="12"/>
    </row>
    <row r="651" spans="1:23" x14ac:dyDescent="0.25">
      <c r="C651" s="3"/>
      <c r="D651" s="3"/>
      <c r="G651" s="3"/>
      <c r="H651" s="3"/>
      <c r="I651" s="3"/>
      <c r="J651" s="3"/>
      <c r="K651" s="3"/>
      <c r="L651" s="40"/>
      <c r="M651" s="83"/>
      <c r="N651" s="83"/>
      <c r="O651" s="83"/>
      <c r="P651" s="5"/>
      <c r="Q651" s="154">
        <v>43484</v>
      </c>
      <c r="R651" s="12">
        <v>1.6266666666666669</v>
      </c>
      <c r="S651" s="19">
        <v>9.9566666666666688</v>
      </c>
      <c r="T651" s="12">
        <v>0.20835663951707098</v>
      </c>
      <c r="U651" s="12">
        <v>2.14</v>
      </c>
      <c r="V651" s="12"/>
      <c r="W651" s="12"/>
    </row>
    <row r="652" spans="1:23" x14ac:dyDescent="0.25">
      <c r="C652" s="3"/>
      <c r="D652" s="3"/>
      <c r="G652" s="3"/>
      <c r="H652" s="3"/>
      <c r="I652" s="3"/>
      <c r="J652" s="3"/>
      <c r="K652" s="3"/>
      <c r="L652" s="40"/>
      <c r="M652" s="83"/>
      <c r="N652" s="83"/>
      <c r="O652" s="83"/>
      <c r="P652" s="5"/>
      <c r="Q652" s="154">
        <v>43489</v>
      </c>
      <c r="R652" s="12">
        <v>1.2066666666666666</v>
      </c>
      <c r="S652" s="19">
        <v>8.7700000000000014</v>
      </c>
      <c r="T652" s="12">
        <v>0.32047654145691823</v>
      </c>
      <c r="U652" s="12">
        <v>2.1533333333333333</v>
      </c>
      <c r="V652" s="12"/>
      <c r="W652" s="12"/>
    </row>
    <row r="653" spans="1:23" x14ac:dyDescent="0.25">
      <c r="C653" s="3"/>
      <c r="D653" s="3"/>
      <c r="G653" s="3"/>
      <c r="H653" s="3"/>
      <c r="I653" s="3"/>
      <c r="J653" s="3"/>
      <c r="K653" s="3"/>
      <c r="L653" s="40"/>
      <c r="M653" s="83"/>
      <c r="N653" s="83"/>
      <c r="O653" s="83"/>
      <c r="P653" s="5"/>
      <c r="Q653" s="154">
        <v>43494</v>
      </c>
      <c r="R653" s="12">
        <v>1.9900000000000002</v>
      </c>
      <c r="S653" s="19">
        <v>9.1733333333333338</v>
      </c>
      <c r="T653" s="12">
        <v>0.36062402333292204</v>
      </c>
      <c r="U653" s="12">
        <v>2.7300000000000004</v>
      </c>
      <c r="V653" s="12"/>
      <c r="W653" s="12"/>
    </row>
    <row r="654" spans="1:23" x14ac:dyDescent="0.25">
      <c r="C654" s="3"/>
      <c r="D654" s="3"/>
      <c r="G654" s="3"/>
      <c r="H654" s="3"/>
      <c r="I654" s="3"/>
      <c r="J654" s="3"/>
      <c r="K654" s="3"/>
      <c r="L654" s="40"/>
      <c r="M654" s="83"/>
      <c r="N654" s="83"/>
      <c r="O654" s="83"/>
      <c r="P654" s="5"/>
      <c r="Q654" s="155">
        <v>43512</v>
      </c>
      <c r="R654" s="12">
        <v>0.60666666666666669</v>
      </c>
      <c r="S654" s="19">
        <v>3.6266666666666665</v>
      </c>
      <c r="T654" s="12"/>
      <c r="U654" s="12">
        <v>2.8433333333333333</v>
      </c>
      <c r="V654" s="12"/>
      <c r="W654" s="12"/>
    </row>
    <row r="655" spans="1:23" x14ac:dyDescent="0.25">
      <c r="C655" s="3"/>
      <c r="D655" s="3"/>
      <c r="G655" s="3"/>
      <c r="H655" s="3"/>
      <c r="I655" s="3"/>
      <c r="J655" s="3"/>
      <c r="K655" s="3"/>
      <c r="L655" s="40"/>
      <c r="M655" s="83"/>
      <c r="N655" s="83"/>
      <c r="O655" s="83"/>
      <c r="P655" s="5"/>
      <c r="Q655" s="155">
        <v>43520</v>
      </c>
      <c r="R655" s="12">
        <v>0.96</v>
      </c>
      <c r="S655" s="19">
        <v>11.156666666666666</v>
      </c>
      <c r="T655" s="12">
        <v>0.25123333333333336</v>
      </c>
      <c r="U655" s="12">
        <v>2.9233333333333333</v>
      </c>
      <c r="V655" s="12"/>
      <c r="W655" s="12"/>
    </row>
    <row r="656" spans="1:23" x14ac:dyDescent="0.25">
      <c r="C656" s="3"/>
      <c r="D656" s="3"/>
      <c r="G656" s="3"/>
      <c r="H656" s="3"/>
      <c r="I656" s="3"/>
      <c r="J656" s="3"/>
      <c r="K656" s="3"/>
      <c r="L656" s="40"/>
      <c r="M656" s="83"/>
      <c r="N656" s="83"/>
      <c r="O656" s="83"/>
      <c r="P656" s="5"/>
      <c r="Q656" s="155">
        <v>43528</v>
      </c>
      <c r="R656" s="12">
        <v>1.9233333333333331</v>
      </c>
      <c r="S656" s="19">
        <v>6.419999999999999</v>
      </c>
      <c r="T656" s="12">
        <v>0.33266666666666667</v>
      </c>
      <c r="U656" s="12">
        <v>3.1966666666666668</v>
      </c>
      <c r="V656" s="12"/>
      <c r="W656" s="12"/>
    </row>
    <row r="657" spans="3:23" x14ac:dyDescent="0.25">
      <c r="C657" s="3"/>
      <c r="D657" s="3"/>
      <c r="G657" s="3"/>
      <c r="H657" s="3"/>
      <c r="I657" s="3"/>
      <c r="J657" s="3"/>
      <c r="K657" s="3"/>
      <c r="L657" s="40"/>
      <c r="M657" s="83"/>
      <c r="N657" s="83"/>
      <c r="O657" s="83"/>
      <c r="P657" s="5"/>
      <c r="Q657" s="155">
        <v>43533</v>
      </c>
      <c r="R657" s="12">
        <v>2.9433333333333334</v>
      </c>
      <c r="S657" s="19">
        <v>12.363333333333332</v>
      </c>
      <c r="T657" s="12">
        <v>0.38133333333333336</v>
      </c>
      <c r="U657" s="12">
        <v>3.6300000000000003</v>
      </c>
      <c r="V657" s="12"/>
      <c r="W657" s="12"/>
    </row>
    <row r="658" spans="3:23" x14ac:dyDescent="0.25">
      <c r="C658" s="3"/>
      <c r="D658" s="3"/>
      <c r="G658" s="3"/>
      <c r="H658" s="3"/>
      <c r="I658" s="3"/>
      <c r="J658" s="3"/>
      <c r="K658" s="3"/>
      <c r="L658" s="40"/>
      <c r="M658" s="83"/>
      <c r="N658" s="83"/>
      <c r="O658" s="83"/>
      <c r="P658" s="5"/>
      <c r="Q658" s="154">
        <v>43535</v>
      </c>
      <c r="R658" s="12">
        <v>3.2633333333333332</v>
      </c>
      <c r="S658" s="19">
        <v>13.64</v>
      </c>
      <c r="T658" s="12">
        <v>0.30933333333333335</v>
      </c>
      <c r="U658" s="12">
        <v>4.0799999999999992</v>
      </c>
      <c r="V658" s="12"/>
      <c r="W658" s="12"/>
    </row>
    <row r="659" spans="3:23" x14ac:dyDescent="0.25">
      <c r="C659" s="3"/>
      <c r="D659" s="3"/>
      <c r="G659" s="3"/>
      <c r="H659" s="3"/>
      <c r="I659" s="3"/>
      <c r="J659" s="3"/>
      <c r="K659" s="3"/>
      <c r="L659" s="40"/>
      <c r="M659" s="83"/>
      <c r="N659" s="83"/>
      <c r="O659" s="83"/>
      <c r="P659" s="5"/>
      <c r="Q659" s="154">
        <v>43540</v>
      </c>
      <c r="R659" s="12">
        <v>3.5233333333333334</v>
      </c>
      <c r="S659" s="19">
        <v>16.653333333333332</v>
      </c>
      <c r="T659" s="12">
        <v>0.26533333333333337</v>
      </c>
      <c r="U659" s="12">
        <v>4.123333333333334</v>
      </c>
      <c r="V659" s="12"/>
      <c r="W659" s="12"/>
    </row>
    <row r="660" spans="3:23" x14ac:dyDescent="0.25">
      <c r="C660" s="3"/>
      <c r="D660" s="3"/>
      <c r="G660" s="3"/>
      <c r="H660" s="3"/>
      <c r="I660" s="3"/>
      <c r="J660" s="3"/>
      <c r="K660" s="3"/>
      <c r="L660" s="40"/>
      <c r="M660" s="83"/>
      <c r="N660" s="83"/>
      <c r="O660" s="83"/>
      <c r="P660" s="5"/>
      <c r="Q660" s="154">
        <v>43547</v>
      </c>
      <c r="R660" s="12">
        <v>2.4666666666666668</v>
      </c>
      <c r="S660" s="19">
        <v>10.233333333333334</v>
      </c>
      <c r="T660" s="12">
        <v>0.32499999999999996</v>
      </c>
      <c r="U660" s="12">
        <v>4.5233333333333334</v>
      </c>
      <c r="V660" s="12"/>
      <c r="W660" s="12"/>
    </row>
    <row r="661" spans="3:23" x14ac:dyDescent="0.25">
      <c r="C661" s="3"/>
      <c r="D661" s="3"/>
      <c r="G661" s="3"/>
      <c r="H661" s="3"/>
      <c r="I661" s="3"/>
      <c r="J661" s="3"/>
      <c r="K661" s="3"/>
      <c r="L661" s="40"/>
      <c r="M661" s="83"/>
      <c r="N661" s="83"/>
      <c r="O661" s="83"/>
      <c r="P661" s="5"/>
      <c r="Q661" s="155">
        <v>43554</v>
      </c>
      <c r="R661" s="12">
        <v>2.9633333333333334</v>
      </c>
      <c r="S661" s="19">
        <v>13.483333333333334</v>
      </c>
      <c r="T661" s="12">
        <v>0.25766666666666665</v>
      </c>
      <c r="U661" s="12">
        <v>5.0666666666666664</v>
      </c>
      <c r="V661" s="12"/>
      <c r="W661" s="12"/>
    </row>
    <row r="662" spans="3:23" x14ac:dyDescent="0.25">
      <c r="C662" s="3"/>
      <c r="D662" s="3"/>
      <c r="G662" s="3"/>
      <c r="H662" s="3"/>
      <c r="I662" s="3"/>
      <c r="J662" s="3"/>
      <c r="K662" s="3"/>
      <c r="L662" s="40"/>
      <c r="M662" s="83"/>
      <c r="N662" s="83"/>
      <c r="O662" s="83"/>
      <c r="P662" s="5"/>
      <c r="Q662" s="154">
        <v>43560</v>
      </c>
      <c r="R662" s="12">
        <v>2.1233333333333335</v>
      </c>
      <c r="S662" s="19">
        <v>15.01</v>
      </c>
      <c r="T662" s="12">
        <v>9.2333333333333337E-2</v>
      </c>
      <c r="U662" s="12">
        <v>5.7666666666666666</v>
      </c>
      <c r="V662" s="12"/>
      <c r="W662" s="12"/>
    </row>
    <row r="663" spans="3:23" x14ac:dyDescent="0.25">
      <c r="C663" s="3"/>
      <c r="D663" s="3"/>
      <c r="G663" s="3"/>
      <c r="H663" s="3"/>
      <c r="I663" s="3"/>
      <c r="J663" s="3"/>
      <c r="K663" s="3"/>
      <c r="L663" s="40"/>
      <c r="M663" s="83"/>
      <c r="N663" s="83"/>
      <c r="O663" s="83"/>
      <c r="P663" s="5"/>
      <c r="Q663" s="154">
        <v>43567</v>
      </c>
      <c r="R663" s="12">
        <v>1.76</v>
      </c>
      <c r="S663" s="19">
        <v>15.283333333333331</v>
      </c>
      <c r="T663" s="12">
        <v>0.19066666666666668</v>
      </c>
      <c r="U663" s="12">
        <v>6.19</v>
      </c>
      <c r="V663" s="12"/>
      <c r="W663" s="12"/>
    </row>
    <row r="664" spans="3:23" x14ac:dyDescent="0.25">
      <c r="C664" s="3"/>
      <c r="D664" s="3"/>
      <c r="G664" s="3"/>
      <c r="H664" s="3"/>
      <c r="I664" s="3"/>
      <c r="J664" s="3"/>
      <c r="K664" s="3"/>
      <c r="L664" s="40"/>
      <c r="M664" s="83"/>
      <c r="N664" s="83"/>
      <c r="O664" s="83"/>
      <c r="P664" s="5"/>
      <c r="Q664" s="154">
        <v>43574</v>
      </c>
      <c r="R664" s="12">
        <v>2.08</v>
      </c>
      <c r="S664" s="19">
        <v>18.77333333333333</v>
      </c>
      <c r="T664" s="12">
        <v>2.3000000000000003E-2</v>
      </c>
      <c r="U664" s="12">
        <v>5.9266666666666667</v>
      </c>
      <c r="V664" s="12"/>
      <c r="W664" s="12"/>
    </row>
    <row r="665" spans="3:23" x14ac:dyDescent="0.25">
      <c r="C665" s="3"/>
      <c r="D665" s="3"/>
      <c r="G665" s="3"/>
      <c r="H665" s="3"/>
      <c r="I665" s="3"/>
      <c r="J665" s="3"/>
      <c r="K665" s="3"/>
      <c r="L665" s="40"/>
      <c r="M665" s="83"/>
      <c r="N665" s="83"/>
      <c r="O665" s="83"/>
      <c r="P665" s="5"/>
      <c r="Q665" s="154">
        <v>43582</v>
      </c>
      <c r="R665" s="12">
        <v>2.9233333333333333</v>
      </c>
      <c r="S665" s="19">
        <v>19.356666666666666</v>
      </c>
      <c r="T665" s="12">
        <v>0.19376666666666664</v>
      </c>
      <c r="U665" s="12">
        <v>5.0966666666666667</v>
      </c>
      <c r="V665" s="12"/>
      <c r="W665" s="12"/>
    </row>
    <row r="666" spans="3:23" x14ac:dyDescent="0.25">
      <c r="C666" s="3"/>
      <c r="D666" s="3"/>
      <c r="G666" s="3"/>
      <c r="H666" s="3"/>
      <c r="I666" s="3"/>
      <c r="J666" s="3"/>
      <c r="K666" s="3"/>
      <c r="L666" s="40"/>
      <c r="M666" s="83"/>
      <c r="N666" s="83"/>
      <c r="O666" s="83"/>
      <c r="P666" s="5"/>
      <c r="Q666" s="154">
        <v>43586</v>
      </c>
      <c r="R666" s="12">
        <v>2.21</v>
      </c>
      <c r="S666" s="19">
        <v>20.64</v>
      </c>
      <c r="T666" s="12">
        <v>0.25133333333333335</v>
      </c>
      <c r="U666" s="12">
        <v>3.9266666666666672</v>
      </c>
      <c r="V666" s="12"/>
      <c r="W666" s="12"/>
    </row>
    <row r="667" spans="3:23" x14ac:dyDescent="0.25">
      <c r="C667" s="3"/>
      <c r="D667" s="3"/>
      <c r="G667" s="3"/>
      <c r="H667" s="3"/>
      <c r="I667" s="3"/>
      <c r="J667" s="3"/>
      <c r="K667" s="3"/>
      <c r="L667" s="40"/>
      <c r="M667" s="83"/>
      <c r="N667" s="83"/>
      <c r="O667" s="83"/>
      <c r="P667" s="5"/>
      <c r="Q667" s="154">
        <v>43593</v>
      </c>
      <c r="R667" s="12">
        <v>2.35</v>
      </c>
      <c r="S667" s="19">
        <v>31.403333333333332</v>
      </c>
      <c r="T667" s="12">
        <v>4.4199999999999996E-2</v>
      </c>
      <c r="U667" s="12">
        <v>2.9599999999999995</v>
      </c>
      <c r="V667" s="12"/>
      <c r="W667" s="12"/>
    </row>
    <row r="668" spans="3:23" x14ac:dyDescent="0.25">
      <c r="C668" s="3"/>
      <c r="D668" s="3"/>
      <c r="G668" s="3"/>
      <c r="H668" s="3"/>
      <c r="I668" s="3"/>
      <c r="J668" s="3"/>
      <c r="K668" s="3"/>
      <c r="L668" s="40"/>
      <c r="M668" s="83"/>
      <c r="N668" s="83"/>
      <c r="O668" s="83"/>
      <c r="P668" s="5"/>
      <c r="Q668" s="156">
        <v>43631</v>
      </c>
      <c r="R668" s="12">
        <v>2.7966666666666669</v>
      </c>
      <c r="S668" s="19">
        <v>26.923333333333332</v>
      </c>
      <c r="T668" s="12">
        <v>6.0666666666666667E-2</v>
      </c>
      <c r="U668" s="12"/>
      <c r="V668" s="12"/>
      <c r="W668" s="12"/>
    </row>
    <row r="669" spans="3:23" x14ac:dyDescent="0.25">
      <c r="C669" s="3"/>
      <c r="D669" s="3"/>
      <c r="G669" s="3"/>
      <c r="H669" s="3"/>
      <c r="I669" s="3"/>
      <c r="J669" s="3"/>
      <c r="K669" s="3"/>
      <c r="L669" s="40"/>
      <c r="M669" s="83"/>
      <c r="N669" s="83"/>
      <c r="O669" s="83"/>
      <c r="P669" s="5"/>
      <c r="Q669" s="156">
        <v>43639</v>
      </c>
      <c r="R669" s="12">
        <v>3.4649999999999999</v>
      </c>
      <c r="S669" s="19">
        <v>28.786666666666665</v>
      </c>
      <c r="T669" s="12">
        <v>0.23433333333333337</v>
      </c>
      <c r="U669" s="12">
        <v>0.34</v>
      </c>
      <c r="V669" s="12"/>
      <c r="W669" s="12"/>
    </row>
    <row r="670" spans="3:23" x14ac:dyDescent="0.25">
      <c r="C670" s="3"/>
      <c r="D670" s="3"/>
      <c r="G670" s="3"/>
      <c r="H670" s="3"/>
      <c r="I670" s="3"/>
      <c r="J670" s="3"/>
      <c r="K670" s="3"/>
      <c r="L670" s="40"/>
      <c r="M670" s="83"/>
      <c r="N670" s="83"/>
      <c r="O670" s="83"/>
      <c r="P670" s="5"/>
      <c r="Q670" s="156">
        <v>43643</v>
      </c>
      <c r="R670" s="12">
        <v>2.6433333333333331</v>
      </c>
      <c r="S670" s="19">
        <v>30.873333333333335</v>
      </c>
      <c r="T670" s="12">
        <v>0.26033333333333336</v>
      </c>
      <c r="U670" s="12">
        <v>0.52333333333333332</v>
      </c>
      <c r="V670" s="12"/>
      <c r="W670" s="12"/>
    </row>
    <row r="671" spans="3:23" x14ac:dyDescent="0.25">
      <c r="C671" s="3"/>
      <c r="D671" s="3"/>
      <c r="G671" s="3"/>
      <c r="H671" s="3"/>
      <c r="I671" s="3"/>
      <c r="J671" s="3"/>
      <c r="K671" s="3"/>
      <c r="L671" s="40"/>
      <c r="M671" s="83"/>
      <c r="N671" s="83"/>
      <c r="O671" s="83"/>
      <c r="P671" s="5"/>
      <c r="Q671" s="156">
        <v>43651</v>
      </c>
      <c r="R671" s="12">
        <v>3.7399999999999998</v>
      </c>
      <c r="S671" s="19">
        <v>32.803333333333335</v>
      </c>
      <c r="T671" s="12">
        <v>0.10566666666666667</v>
      </c>
      <c r="U671" s="12">
        <v>1.2566666666666666</v>
      </c>
      <c r="V671" s="12"/>
      <c r="W671" s="12"/>
    </row>
    <row r="672" spans="3:23" x14ac:dyDescent="0.25">
      <c r="C672" s="3"/>
      <c r="D672" s="3"/>
      <c r="G672" s="3"/>
      <c r="H672" s="3"/>
      <c r="I672" s="3"/>
      <c r="J672" s="3"/>
      <c r="K672" s="3"/>
      <c r="L672" s="40"/>
      <c r="M672" s="83"/>
      <c r="N672" s="83"/>
      <c r="O672" s="83"/>
      <c r="P672" s="5"/>
      <c r="Q672" s="156">
        <v>43657</v>
      </c>
      <c r="R672" s="12">
        <v>3.5449999999999999</v>
      </c>
      <c r="S672" s="19">
        <v>25.16</v>
      </c>
      <c r="T672" s="12">
        <v>0.31766666666666665</v>
      </c>
      <c r="U672" s="12">
        <v>2.2200000000000002</v>
      </c>
      <c r="V672" s="12"/>
      <c r="W672" s="12"/>
    </row>
    <row r="673" spans="1:23" x14ac:dyDescent="0.25">
      <c r="C673" s="3"/>
      <c r="D673" s="3"/>
      <c r="G673" s="3"/>
      <c r="H673" s="3"/>
      <c r="I673" s="3"/>
      <c r="J673" s="3"/>
      <c r="K673" s="3"/>
      <c r="L673" s="40"/>
      <c r="M673" s="83"/>
      <c r="N673" s="83"/>
      <c r="O673" s="83"/>
      <c r="P673" s="5"/>
      <c r="Q673" s="156">
        <v>43663</v>
      </c>
      <c r="R673" s="12">
        <v>1.9900000000000002</v>
      </c>
      <c r="S673" s="19">
        <v>25.276666666666667</v>
      </c>
      <c r="T673" s="12">
        <v>0.40966666666666662</v>
      </c>
      <c r="U673" s="12">
        <v>2.7433333333333336</v>
      </c>
      <c r="V673" s="12"/>
      <c r="W673" s="12"/>
    </row>
    <row r="674" spans="1:23" x14ac:dyDescent="0.25">
      <c r="C674" s="3"/>
      <c r="D674" s="3"/>
      <c r="G674" s="3"/>
      <c r="H674" s="3"/>
      <c r="I674" s="3"/>
      <c r="J674" s="3"/>
      <c r="K674" s="3"/>
      <c r="L674" s="40"/>
      <c r="M674" s="83"/>
      <c r="N674" s="83"/>
      <c r="O674" s="83"/>
      <c r="P674" s="5"/>
      <c r="Q674" s="157">
        <v>43669</v>
      </c>
      <c r="R674" s="12">
        <v>4.29</v>
      </c>
      <c r="S674" s="19">
        <v>28.2</v>
      </c>
      <c r="T674" s="12">
        <v>0.14899999999999999</v>
      </c>
      <c r="U674" s="12">
        <v>3.436666666666667</v>
      </c>
      <c r="V674" s="12"/>
      <c r="W674" s="12"/>
    </row>
    <row r="675" spans="1:23" x14ac:dyDescent="0.25">
      <c r="C675" s="3"/>
      <c r="D675" s="3"/>
      <c r="G675" s="3"/>
      <c r="H675" s="3"/>
      <c r="I675" s="3"/>
      <c r="J675" s="3"/>
      <c r="K675" s="3"/>
      <c r="L675" s="40"/>
      <c r="M675" s="83"/>
      <c r="N675" s="83"/>
      <c r="O675" s="83"/>
      <c r="P675" s="5"/>
      <c r="Q675" s="156">
        <v>43676</v>
      </c>
      <c r="R675" s="12">
        <v>4.1966666666666663</v>
      </c>
      <c r="S675" s="19">
        <v>29.790000000000003</v>
      </c>
      <c r="T675" s="12">
        <v>3.0000000000000002E-2</v>
      </c>
      <c r="U675" s="12">
        <v>4.1066666666666665</v>
      </c>
      <c r="V675" s="12"/>
      <c r="W675" s="12"/>
    </row>
    <row r="676" spans="1:23" x14ac:dyDescent="0.25">
      <c r="C676" s="3"/>
      <c r="D676" s="3"/>
      <c r="G676" s="3"/>
      <c r="H676" s="3"/>
      <c r="I676" s="3"/>
      <c r="J676" s="3"/>
      <c r="K676" s="3"/>
      <c r="L676" s="40"/>
      <c r="M676" s="83"/>
      <c r="N676" s="83"/>
      <c r="O676" s="83"/>
      <c r="P676" s="5"/>
      <c r="Q676" s="156">
        <v>43683</v>
      </c>
      <c r="R676" s="12">
        <v>4.6533333333333333</v>
      </c>
      <c r="S676" s="19">
        <v>28.19</v>
      </c>
      <c r="T676" s="12">
        <v>0.26133333333333336</v>
      </c>
      <c r="U676" s="12">
        <v>4.7133333333333338</v>
      </c>
      <c r="V676" s="12"/>
      <c r="W676" s="12"/>
    </row>
    <row r="677" spans="1:23" x14ac:dyDescent="0.25">
      <c r="C677" s="3"/>
      <c r="D677" s="3"/>
      <c r="G677" s="3"/>
      <c r="H677" s="3"/>
      <c r="I677" s="3"/>
      <c r="J677" s="3"/>
      <c r="K677" s="3"/>
      <c r="L677" s="40"/>
      <c r="M677" s="83"/>
      <c r="N677" s="83"/>
      <c r="O677" s="83"/>
      <c r="P677" s="5"/>
      <c r="Q677" s="156">
        <v>43690</v>
      </c>
      <c r="R677" s="12">
        <v>3.8633333333333333</v>
      </c>
      <c r="S677" s="19">
        <v>26.546666666666667</v>
      </c>
      <c r="T677" s="12">
        <v>0.23766666666666666</v>
      </c>
      <c r="U677" s="12">
        <v>5.456666666666667</v>
      </c>
      <c r="V677" s="12"/>
      <c r="W677" s="12"/>
    </row>
    <row r="678" spans="1:23" x14ac:dyDescent="0.25">
      <c r="C678" s="3"/>
      <c r="D678" s="3"/>
      <c r="G678" s="3"/>
      <c r="H678" s="3"/>
      <c r="I678" s="3"/>
      <c r="J678" s="3"/>
      <c r="K678" s="3"/>
      <c r="L678" s="40"/>
      <c r="M678" s="83"/>
      <c r="N678" s="83"/>
      <c r="O678" s="83"/>
      <c r="P678" s="5"/>
      <c r="Q678" s="157">
        <v>43697</v>
      </c>
      <c r="R678" s="12">
        <v>4.8099999999999996</v>
      </c>
      <c r="S678" s="19">
        <v>27.646666666666665</v>
      </c>
      <c r="T678" s="12">
        <v>7.6999999999999999E-2</v>
      </c>
      <c r="U678" s="12">
        <v>6.0566666666666675</v>
      </c>
      <c r="V678" s="12"/>
      <c r="W678" s="12"/>
    </row>
    <row r="679" spans="1:23" x14ac:dyDescent="0.25">
      <c r="C679" s="3"/>
      <c r="D679" s="3"/>
      <c r="G679" s="3"/>
      <c r="H679" s="3"/>
      <c r="I679" s="3"/>
      <c r="J679" s="3"/>
      <c r="K679" s="3"/>
      <c r="L679" s="40"/>
      <c r="M679" s="83"/>
      <c r="N679" s="83"/>
      <c r="O679" s="83"/>
      <c r="P679" s="5"/>
      <c r="Q679" s="156">
        <v>43706</v>
      </c>
      <c r="R679" s="12">
        <v>5.0666666666666664</v>
      </c>
      <c r="S679" s="19">
        <v>27.153333333333336</v>
      </c>
      <c r="T679" s="12">
        <v>0.22666666666666666</v>
      </c>
      <c r="U679" s="12">
        <v>5.9833333333333343</v>
      </c>
      <c r="V679" s="12"/>
      <c r="W679" s="12"/>
    </row>
    <row r="680" spans="1:23" x14ac:dyDescent="0.25">
      <c r="C680" s="3"/>
      <c r="D680" s="3"/>
      <c r="G680" s="3"/>
      <c r="H680" s="3"/>
      <c r="I680" s="3"/>
      <c r="J680" s="3"/>
      <c r="K680" s="3"/>
      <c r="L680" s="40"/>
      <c r="M680" s="83"/>
      <c r="N680" s="83"/>
      <c r="O680" s="83"/>
      <c r="P680" s="5"/>
      <c r="Q680" s="156">
        <v>43713</v>
      </c>
      <c r="R680" s="12">
        <v>3.2366666666666668</v>
      </c>
      <c r="S680" s="19">
        <v>25.593333333333334</v>
      </c>
      <c r="T680" s="12">
        <v>0.28333333333333333</v>
      </c>
      <c r="U680" s="12">
        <v>6.06</v>
      </c>
      <c r="V680" s="12"/>
      <c r="W680" s="12"/>
    </row>
    <row r="681" spans="1:23" x14ac:dyDescent="0.25">
      <c r="C681" s="3"/>
      <c r="D681" s="3"/>
      <c r="G681" s="3"/>
      <c r="H681" s="3"/>
      <c r="I681" s="3"/>
      <c r="J681" s="3"/>
      <c r="K681" s="3"/>
      <c r="L681" s="40"/>
      <c r="M681" s="83"/>
      <c r="N681" s="83"/>
      <c r="O681" s="83"/>
      <c r="P681" s="5"/>
      <c r="Q681" s="156">
        <v>43718</v>
      </c>
      <c r="R681" s="12">
        <v>3.7833333333333332</v>
      </c>
      <c r="S681" s="19">
        <v>26.803333333333331</v>
      </c>
      <c r="T681" s="12">
        <v>0.16700000000000001</v>
      </c>
      <c r="U681" s="12">
        <v>5.8433333333333337</v>
      </c>
      <c r="V681" s="12"/>
      <c r="W681" s="12"/>
    </row>
    <row r="682" spans="1:23" x14ac:dyDescent="0.25">
      <c r="C682" s="3"/>
      <c r="D682" s="3"/>
      <c r="G682" s="3"/>
      <c r="H682" s="3"/>
      <c r="I682" s="3"/>
      <c r="J682" s="3"/>
      <c r="K682" s="3"/>
      <c r="L682" s="40"/>
      <c r="M682" s="83"/>
      <c r="N682" s="83"/>
      <c r="O682" s="83"/>
      <c r="P682" s="5"/>
      <c r="Q682" s="157">
        <v>43725</v>
      </c>
      <c r="R682" s="12">
        <v>3.19</v>
      </c>
      <c r="S682" s="19">
        <v>24.040000000000003</v>
      </c>
      <c r="T682" s="12">
        <v>0.10266666666666667</v>
      </c>
      <c r="U682" s="12">
        <v>5.2333333333333334</v>
      </c>
      <c r="V682" s="12"/>
      <c r="W682" s="12"/>
    </row>
    <row r="683" spans="1:23" x14ac:dyDescent="0.25">
      <c r="C683" s="3"/>
      <c r="D683" s="3"/>
      <c r="G683" s="3"/>
      <c r="H683" s="3"/>
      <c r="I683" s="3"/>
      <c r="J683" s="3"/>
      <c r="K683" s="3"/>
      <c r="L683" s="40"/>
      <c r="M683" s="83"/>
      <c r="N683" s="83"/>
      <c r="O683" s="83"/>
      <c r="P683" s="5"/>
      <c r="Q683" s="156">
        <v>43732</v>
      </c>
      <c r="R683" s="12">
        <v>3.8433333333333337</v>
      </c>
      <c r="S683" s="19">
        <v>25.073333333333334</v>
      </c>
      <c r="T683" s="12">
        <v>2.066666666666667E-2</v>
      </c>
      <c r="U683" s="12">
        <v>4.6499999999999995</v>
      </c>
      <c r="V683" s="12"/>
      <c r="W683" s="12"/>
    </row>
    <row r="684" spans="1:23" x14ac:dyDescent="0.25">
      <c r="C684" s="3"/>
      <c r="D684" s="3"/>
      <c r="G684" s="3"/>
      <c r="H684" s="3"/>
      <c r="I684" s="3"/>
      <c r="J684" s="3"/>
      <c r="K684" s="3"/>
      <c r="L684" s="40"/>
      <c r="M684" s="83"/>
      <c r="N684" s="83"/>
      <c r="O684" s="83"/>
      <c r="P684" s="5"/>
      <c r="Q684" s="156">
        <v>43740</v>
      </c>
      <c r="R684" s="12">
        <v>3.2099999999999995</v>
      </c>
      <c r="S684" s="19">
        <v>24.830000000000002</v>
      </c>
      <c r="T684" s="12">
        <v>3.2333333333333332E-2</v>
      </c>
      <c r="U684" s="12">
        <v>4.2533333333333339</v>
      </c>
      <c r="V684" s="12"/>
      <c r="W684" s="12"/>
    </row>
    <row r="685" spans="1:23" x14ac:dyDescent="0.25">
      <c r="C685" s="3"/>
      <c r="D685" s="3"/>
      <c r="G685" s="3"/>
      <c r="H685" s="3"/>
      <c r="I685" s="3"/>
      <c r="J685" s="3"/>
      <c r="K685" s="3"/>
      <c r="L685" s="40"/>
      <c r="M685" s="83"/>
      <c r="N685" s="83"/>
      <c r="O685" s="83"/>
      <c r="P685" s="5"/>
      <c r="Q685" s="156">
        <v>43746</v>
      </c>
      <c r="R685" s="12">
        <v>2.68</v>
      </c>
      <c r="S685" s="19">
        <v>19.463333333333335</v>
      </c>
      <c r="T685" s="12">
        <v>0.13833333333333334</v>
      </c>
      <c r="U685" s="12">
        <v>3.53</v>
      </c>
      <c r="V685" s="12"/>
      <c r="W685" s="12"/>
    </row>
    <row r="686" spans="1:23" x14ac:dyDescent="0.25">
      <c r="C686" s="3"/>
      <c r="D686" s="3"/>
      <c r="G686" s="3"/>
      <c r="H686" s="3"/>
      <c r="I686" s="3"/>
      <c r="J686" s="3"/>
      <c r="K686" s="3"/>
      <c r="L686" s="40"/>
      <c r="M686" s="83"/>
      <c r="N686" s="83"/>
      <c r="O686" s="83"/>
      <c r="P686" s="5"/>
      <c r="Q686" s="156">
        <v>43753</v>
      </c>
      <c r="R686" s="12">
        <v>1.843333333333333</v>
      </c>
      <c r="S686" s="19">
        <v>20.163333333333334</v>
      </c>
      <c r="T686" s="12">
        <v>5.0666666666666672E-2</v>
      </c>
      <c r="U686" s="12">
        <v>2.813333333333333</v>
      </c>
      <c r="V686" s="12"/>
      <c r="W686" s="12"/>
    </row>
    <row r="687" spans="1:23" x14ac:dyDescent="0.25">
      <c r="C687" s="3"/>
      <c r="D687" s="3"/>
      <c r="G687" s="3"/>
      <c r="H687" s="3"/>
      <c r="I687" s="3"/>
      <c r="J687" s="3"/>
      <c r="K687" s="3"/>
      <c r="L687" s="40"/>
      <c r="M687" s="83"/>
      <c r="N687" s="83"/>
      <c r="O687" s="83"/>
      <c r="P687" s="5"/>
      <c r="Q687" s="156">
        <v>43756</v>
      </c>
      <c r="R687" s="12">
        <v>2.04</v>
      </c>
      <c r="S687" s="19">
        <v>24.016666666666669</v>
      </c>
      <c r="T687" s="12">
        <v>3.4666666666666672E-2</v>
      </c>
      <c r="U687" s="12">
        <v>2.09</v>
      </c>
      <c r="V687" s="12"/>
      <c r="W687" s="12"/>
    </row>
    <row r="688" spans="1:23" x14ac:dyDescent="0.25">
      <c r="A688" s="6"/>
      <c r="B688" s="6" t="s">
        <v>89</v>
      </c>
      <c r="C688" s="11">
        <v>32.200000000000003</v>
      </c>
      <c r="D688" s="11">
        <v>118.7</v>
      </c>
      <c r="E688" s="6" t="s">
        <v>26</v>
      </c>
      <c r="F688" s="6" t="s">
        <v>47</v>
      </c>
      <c r="G688" s="11">
        <v>1.7695000000000001</v>
      </c>
      <c r="H688" s="11">
        <v>17.190460000000002</v>
      </c>
      <c r="I688" s="11">
        <f>6.525*0.98*1.54*0.2</f>
        <v>1.9695060000000002</v>
      </c>
      <c r="J688" s="7">
        <f>0.92*0.98*0.2*1.54</f>
        <v>0.27769280000000007</v>
      </c>
      <c r="K688" s="11">
        <f>I688/J688</f>
        <v>7.0923913043478253</v>
      </c>
      <c r="L688" s="14">
        <v>1.54</v>
      </c>
      <c r="M688" s="44">
        <f>9.353*EXP(-0.023*H688-0.622*L688-0.182*J688-0.009*K688)*(I688/(I688+0.567))</f>
        <v>1.6737391951194573</v>
      </c>
      <c r="N688" s="44">
        <f>LN(M688)/10</f>
        <v>5.150601625099259E-2</v>
      </c>
      <c r="O688" s="44">
        <f>4.3573*EXP(-1.002*M688)</f>
        <v>0.81445665094827036</v>
      </c>
      <c r="P688" s="10"/>
      <c r="Q688" s="153">
        <v>43418</v>
      </c>
      <c r="R688" s="13">
        <v>1.8166666666666664</v>
      </c>
      <c r="S688" s="25">
        <v>20.669999999999998</v>
      </c>
      <c r="T688" s="13">
        <v>0.25442367711493818</v>
      </c>
      <c r="U688" s="13">
        <v>0.32666666666666699</v>
      </c>
      <c r="V688" s="13"/>
      <c r="W688" s="13" t="s">
        <v>115</v>
      </c>
    </row>
    <row r="689" spans="3:23" x14ac:dyDescent="0.25">
      <c r="C689" s="3"/>
      <c r="D689" s="3"/>
      <c r="G689" s="3"/>
      <c r="H689" s="3"/>
      <c r="I689" s="4"/>
      <c r="J689" s="4"/>
      <c r="K689" s="3"/>
      <c r="L689" s="40"/>
      <c r="O689" s="80"/>
      <c r="P689" s="5"/>
      <c r="Q689" s="154">
        <v>43426</v>
      </c>
      <c r="R689" s="12">
        <v>1.1033333333333333</v>
      </c>
      <c r="S689" s="19">
        <v>15.673333333333332</v>
      </c>
      <c r="T689" s="12">
        <v>0.26544225608236699</v>
      </c>
      <c r="U689" s="12">
        <v>0.37333333333333335</v>
      </c>
      <c r="V689" s="12"/>
      <c r="W689" s="12"/>
    </row>
    <row r="690" spans="3:23" x14ac:dyDescent="0.25">
      <c r="C690" s="3"/>
      <c r="D690" s="3"/>
      <c r="E690" s="82"/>
      <c r="F690" s="82"/>
      <c r="G690" s="3"/>
      <c r="H690" s="4"/>
      <c r="I690" s="4"/>
      <c r="J690" s="4"/>
      <c r="K690" s="3"/>
      <c r="L690" s="40"/>
      <c r="N690" s="80"/>
      <c r="O690" s="80"/>
      <c r="P690" s="5"/>
      <c r="Q690" s="154">
        <v>43432</v>
      </c>
      <c r="R690" s="12">
        <v>1.8833333333333335</v>
      </c>
      <c r="S690" s="19">
        <v>19.679999999999996</v>
      </c>
      <c r="T690" s="12">
        <v>0.32006627521876924</v>
      </c>
      <c r="U690" s="12">
        <v>0.54333333333333333</v>
      </c>
      <c r="V690" s="12"/>
      <c r="W690" s="12"/>
    </row>
    <row r="691" spans="3:23" x14ac:dyDescent="0.25">
      <c r="C691" s="3"/>
      <c r="D691" s="3"/>
      <c r="G691" s="3"/>
      <c r="H691" s="3"/>
      <c r="I691" s="3"/>
      <c r="J691" s="3"/>
      <c r="K691" s="3"/>
      <c r="L691" s="40"/>
      <c r="M691" s="83"/>
      <c r="N691" s="83"/>
      <c r="O691" s="83"/>
      <c r="P691" s="5"/>
      <c r="Q691" s="154">
        <v>43442</v>
      </c>
      <c r="R691" s="12">
        <v>0.74333333333333329</v>
      </c>
      <c r="S691" s="19">
        <v>6.8900000000000006</v>
      </c>
      <c r="T691" s="12">
        <v>0.31367784379616426</v>
      </c>
      <c r="U691" s="12">
        <v>0.55333333333333323</v>
      </c>
      <c r="V691" s="12"/>
      <c r="W691" s="12"/>
    </row>
    <row r="692" spans="3:23" x14ac:dyDescent="0.25">
      <c r="C692" s="3"/>
      <c r="D692" s="3"/>
      <c r="G692" s="3"/>
      <c r="H692" s="3"/>
      <c r="I692" s="3"/>
      <c r="J692" s="3"/>
      <c r="K692" s="3"/>
      <c r="L692" s="40"/>
      <c r="M692" s="83"/>
      <c r="N692" s="83"/>
      <c r="O692" s="83"/>
      <c r="P692" s="5"/>
      <c r="Q692" s="154">
        <v>43447</v>
      </c>
      <c r="R692" s="12">
        <v>0.43</v>
      </c>
      <c r="S692" s="19">
        <v>8.4133333333333322</v>
      </c>
      <c r="T692" s="12">
        <v>0.2915234669361213</v>
      </c>
      <c r="U692" s="12">
        <v>0.73666666666666669</v>
      </c>
      <c r="V692" s="12"/>
      <c r="W692" s="12"/>
    </row>
    <row r="693" spans="3:23" x14ac:dyDescent="0.25">
      <c r="C693" s="3"/>
      <c r="D693" s="3"/>
      <c r="G693" s="3"/>
      <c r="H693" s="3"/>
      <c r="I693" s="3"/>
      <c r="J693" s="3"/>
      <c r="K693" s="3"/>
      <c r="L693" s="40"/>
      <c r="M693" s="83"/>
      <c r="N693" s="83"/>
      <c r="O693" s="83"/>
      <c r="P693" s="5"/>
      <c r="Q693" s="154">
        <v>43456</v>
      </c>
      <c r="R693" s="12">
        <v>0.90333333333333332</v>
      </c>
      <c r="S693" s="19">
        <v>12.726666666666667</v>
      </c>
      <c r="T693" s="12">
        <v>0.39813407939225409</v>
      </c>
      <c r="U693" s="12">
        <v>0.73000000000000009</v>
      </c>
      <c r="V693" s="12"/>
      <c r="W693" s="12"/>
    </row>
    <row r="694" spans="3:23" x14ac:dyDescent="0.25">
      <c r="C694" s="3"/>
      <c r="D694" s="3"/>
      <c r="G694" s="3"/>
      <c r="H694" s="3"/>
      <c r="I694" s="3"/>
      <c r="J694" s="3"/>
      <c r="K694" s="3"/>
      <c r="L694" s="40"/>
      <c r="M694" s="83"/>
      <c r="N694" s="83"/>
      <c r="O694" s="83"/>
      <c r="P694" s="5"/>
      <c r="Q694" s="154">
        <v>43463</v>
      </c>
      <c r="R694" s="12">
        <v>0.66666666666666663</v>
      </c>
      <c r="S694" s="19">
        <v>6.956666666666667</v>
      </c>
      <c r="T694" s="12">
        <v>0.34890213081438076</v>
      </c>
      <c r="U694" s="12">
        <v>0.63</v>
      </c>
      <c r="V694" s="12"/>
      <c r="W694" s="12"/>
    </row>
    <row r="695" spans="3:23" x14ac:dyDescent="0.25">
      <c r="C695" s="3"/>
      <c r="D695" s="3"/>
      <c r="G695" s="3"/>
      <c r="H695" s="3"/>
      <c r="I695" s="3"/>
      <c r="J695" s="3"/>
      <c r="K695" s="3"/>
      <c r="L695" s="40"/>
      <c r="M695" s="83"/>
      <c r="N695" s="83"/>
      <c r="O695" s="83"/>
      <c r="P695" s="5"/>
      <c r="Q695" s="154">
        <v>43468</v>
      </c>
      <c r="R695" s="12">
        <v>0.93333333333333324</v>
      </c>
      <c r="S695" s="19">
        <v>7.4333333333333336</v>
      </c>
      <c r="T695" s="12">
        <v>0.31051293281615816</v>
      </c>
      <c r="U695" s="12">
        <v>0.63</v>
      </c>
      <c r="V695" s="12"/>
      <c r="W695" s="12"/>
    </row>
    <row r="696" spans="3:23" x14ac:dyDescent="0.25">
      <c r="C696" s="3"/>
      <c r="D696" s="3"/>
      <c r="G696" s="3"/>
      <c r="H696" s="3"/>
      <c r="I696" s="3"/>
      <c r="J696" s="3"/>
      <c r="K696" s="3"/>
      <c r="L696" s="40"/>
      <c r="M696" s="83"/>
      <c r="N696" s="83"/>
      <c r="O696" s="83"/>
      <c r="P696" s="5"/>
      <c r="Q696" s="154">
        <v>43479</v>
      </c>
      <c r="R696" s="12">
        <v>1.43</v>
      </c>
      <c r="S696" s="19">
        <v>8.32</v>
      </c>
      <c r="T696" s="12">
        <v>0.31291592078245911</v>
      </c>
      <c r="U696" s="12">
        <v>0.59</v>
      </c>
      <c r="V696" s="12"/>
      <c r="W696" s="12"/>
    </row>
    <row r="697" spans="3:23" x14ac:dyDescent="0.25">
      <c r="C697" s="3"/>
      <c r="D697" s="3"/>
      <c r="G697" s="3"/>
      <c r="H697" s="3"/>
      <c r="I697" s="3"/>
      <c r="J697" s="3"/>
      <c r="K697" s="3"/>
      <c r="L697" s="40"/>
      <c r="M697" s="83"/>
      <c r="N697" s="83"/>
      <c r="O697" s="83"/>
      <c r="P697" s="5"/>
      <c r="Q697" s="154">
        <v>43484</v>
      </c>
      <c r="R697" s="12">
        <v>1.3</v>
      </c>
      <c r="S697" s="19">
        <v>9.9333333333333353</v>
      </c>
      <c r="T697" s="12">
        <v>0.11505037506948253</v>
      </c>
      <c r="U697" s="12">
        <v>0.68666666666666665</v>
      </c>
      <c r="V697" s="12"/>
      <c r="W697" s="12"/>
    </row>
    <row r="698" spans="3:23" x14ac:dyDescent="0.25">
      <c r="C698" s="3"/>
      <c r="D698" s="3"/>
      <c r="G698" s="3"/>
      <c r="H698" s="3"/>
      <c r="I698" s="3"/>
      <c r="J698" s="3"/>
      <c r="K698" s="3"/>
      <c r="L698" s="40"/>
      <c r="M698" s="83"/>
      <c r="N698" s="83"/>
      <c r="O698" s="83"/>
      <c r="P698" s="5"/>
      <c r="Q698" s="154">
        <v>43489</v>
      </c>
      <c r="R698" s="12">
        <v>1.0366666666666668</v>
      </c>
      <c r="S698" s="19">
        <v>8.92</v>
      </c>
      <c r="T698" s="12">
        <v>0.20671557456447523</v>
      </c>
      <c r="U698" s="12">
        <v>0.96</v>
      </c>
      <c r="V698" s="12"/>
      <c r="W698" s="12"/>
    </row>
    <row r="699" spans="3:23" x14ac:dyDescent="0.25">
      <c r="C699" s="3"/>
      <c r="D699" s="3"/>
      <c r="G699" s="3"/>
      <c r="H699" s="3"/>
      <c r="I699" s="3"/>
      <c r="J699" s="3"/>
      <c r="K699" s="3"/>
      <c r="L699" s="40"/>
      <c r="M699" s="83"/>
      <c r="N699" s="83"/>
      <c r="O699" s="83"/>
      <c r="P699" s="5"/>
      <c r="Q699" s="154">
        <v>43494</v>
      </c>
      <c r="R699" s="12">
        <v>0.91</v>
      </c>
      <c r="S699" s="19">
        <v>9.1133333333333333</v>
      </c>
      <c r="T699" s="12">
        <v>0.31174373153060503</v>
      </c>
      <c r="U699" s="12">
        <v>0.69000000000000006</v>
      </c>
      <c r="V699" s="12"/>
      <c r="W699" s="12"/>
    </row>
    <row r="700" spans="3:23" x14ac:dyDescent="0.25">
      <c r="C700" s="3"/>
      <c r="D700" s="3"/>
      <c r="G700" s="3"/>
      <c r="H700" s="3"/>
      <c r="I700" s="3"/>
      <c r="J700" s="3"/>
      <c r="K700" s="3"/>
      <c r="L700" s="40"/>
      <c r="M700" s="83"/>
      <c r="N700" s="83"/>
      <c r="O700" s="83"/>
      <c r="P700" s="5"/>
      <c r="Q700" s="155">
        <v>43512</v>
      </c>
      <c r="R700" s="12">
        <v>0.6</v>
      </c>
      <c r="S700" s="19">
        <v>3.51</v>
      </c>
      <c r="T700" s="12"/>
      <c r="U700" s="12">
        <v>1.1266666666666667</v>
      </c>
      <c r="V700" s="12"/>
      <c r="W700" s="12"/>
    </row>
    <row r="701" spans="3:23" x14ac:dyDescent="0.25">
      <c r="C701" s="3"/>
      <c r="D701" s="3"/>
      <c r="G701" s="3"/>
      <c r="H701" s="3"/>
      <c r="I701" s="3"/>
      <c r="J701" s="3"/>
      <c r="K701" s="3"/>
      <c r="L701" s="40"/>
      <c r="M701" s="83"/>
      <c r="N701" s="83"/>
      <c r="O701" s="83"/>
      <c r="P701" s="5"/>
      <c r="Q701" s="155">
        <v>43520</v>
      </c>
      <c r="R701" s="12">
        <v>0.70333333333333325</v>
      </c>
      <c r="S701" s="19">
        <v>11.263333333333334</v>
      </c>
      <c r="T701" s="12">
        <v>0.23289999999999997</v>
      </c>
      <c r="U701" s="12">
        <v>1.2666666666666668</v>
      </c>
      <c r="V701" s="12"/>
      <c r="W701" s="12"/>
    </row>
    <row r="702" spans="3:23" x14ac:dyDescent="0.25">
      <c r="C702" s="3"/>
      <c r="D702" s="3"/>
      <c r="G702" s="3"/>
      <c r="H702" s="3"/>
      <c r="I702" s="3"/>
      <c r="J702" s="3"/>
      <c r="K702" s="3"/>
      <c r="L702" s="40"/>
      <c r="M702" s="83"/>
      <c r="N702" s="83"/>
      <c r="O702" s="83"/>
      <c r="P702" s="5"/>
      <c r="Q702" s="155">
        <v>43528</v>
      </c>
      <c r="R702" s="12">
        <v>1.0766666666666669</v>
      </c>
      <c r="S702" s="19">
        <v>6.6833333333333336</v>
      </c>
      <c r="T702" s="12">
        <v>0.36400000000000005</v>
      </c>
      <c r="U702" s="12">
        <v>1.6233333333333331</v>
      </c>
      <c r="V702" s="12"/>
      <c r="W702" s="12"/>
    </row>
    <row r="703" spans="3:23" x14ac:dyDescent="0.25">
      <c r="C703" s="3"/>
      <c r="D703" s="3"/>
      <c r="G703" s="3"/>
      <c r="H703" s="3"/>
      <c r="I703" s="3"/>
      <c r="J703" s="3"/>
      <c r="K703" s="3"/>
      <c r="L703" s="40"/>
      <c r="M703" s="83"/>
      <c r="N703" s="83"/>
      <c r="O703" s="83"/>
      <c r="P703" s="5"/>
      <c r="Q703" s="155">
        <v>43533</v>
      </c>
      <c r="R703" s="12">
        <v>1.1066666666666667</v>
      </c>
      <c r="S703" s="19">
        <v>12.449999999999998</v>
      </c>
      <c r="T703" s="12">
        <v>0.27166666666666667</v>
      </c>
      <c r="U703" s="12">
        <v>1.8566666666666667</v>
      </c>
      <c r="V703" s="12"/>
      <c r="W703" s="12"/>
    </row>
    <row r="704" spans="3:23" x14ac:dyDescent="0.25">
      <c r="C704" s="3"/>
      <c r="D704" s="3"/>
      <c r="G704" s="3"/>
      <c r="H704" s="3"/>
      <c r="I704" s="3"/>
      <c r="J704" s="3"/>
      <c r="K704" s="3"/>
      <c r="L704" s="40"/>
      <c r="M704" s="83"/>
      <c r="N704" s="83"/>
      <c r="O704" s="83"/>
      <c r="P704" s="5"/>
      <c r="Q704" s="154">
        <v>43535</v>
      </c>
      <c r="R704" s="12">
        <v>1.8333333333333333</v>
      </c>
      <c r="S704" s="19">
        <v>13.513333333333334</v>
      </c>
      <c r="T704" s="12">
        <v>0.28133333333333327</v>
      </c>
      <c r="U704" s="12">
        <v>2.2300000000000004</v>
      </c>
      <c r="V704" s="12"/>
      <c r="W704" s="12"/>
    </row>
    <row r="705" spans="3:23" x14ac:dyDescent="0.25">
      <c r="C705" s="3"/>
      <c r="D705" s="3"/>
      <c r="G705" s="3"/>
      <c r="H705" s="3"/>
      <c r="I705" s="3"/>
      <c r="J705" s="3"/>
      <c r="K705" s="3"/>
      <c r="L705" s="40"/>
      <c r="M705" s="83"/>
      <c r="N705" s="83"/>
      <c r="O705" s="83"/>
      <c r="P705" s="5"/>
      <c r="Q705" s="154">
        <v>43540</v>
      </c>
      <c r="R705" s="12">
        <v>1.8900000000000003</v>
      </c>
      <c r="S705" s="19">
        <v>16.743333333333332</v>
      </c>
      <c r="T705" s="12">
        <v>0.14833333333333334</v>
      </c>
      <c r="U705" s="12">
        <v>2.65</v>
      </c>
      <c r="V705" s="12"/>
      <c r="W705" s="12"/>
    </row>
    <row r="706" spans="3:23" x14ac:dyDescent="0.25">
      <c r="C706" s="3"/>
      <c r="D706" s="3"/>
      <c r="G706" s="3"/>
      <c r="H706" s="3"/>
      <c r="I706" s="3"/>
      <c r="J706" s="3"/>
      <c r="K706" s="3"/>
      <c r="L706" s="40"/>
      <c r="M706" s="83"/>
      <c r="N706" s="83"/>
      <c r="O706" s="83"/>
      <c r="P706" s="5"/>
      <c r="Q706" s="154">
        <v>43547</v>
      </c>
      <c r="R706" s="12">
        <v>0.87333333333333341</v>
      </c>
      <c r="S706" s="19">
        <v>10.563333333333333</v>
      </c>
      <c r="T706" s="12">
        <v>0.3</v>
      </c>
      <c r="U706" s="12">
        <v>3.4166666666666665</v>
      </c>
      <c r="V706" s="12"/>
      <c r="W706" s="12"/>
    </row>
    <row r="707" spans="3:23" x14ac:dyDescent="0.25">
      <c r="C707" s="3"/>
      <c r="D707" s="3"/>
      <c r="G707" s="3"/>
      <c r="H707" s="3"/>
      <c r="I707" s="3"/>
      <c r="J707" s="3"/>
      <c r="K707" s="3"/>
      <c r="L707" s="40"/>
      <c r="M707" s="83"/>
      <c r="N707" s="83"/>
      <c r="O707" s="83"/>
      <c r="P707" s="5"/>
      <c r="Q707" s="155">
        <v>43554</v>
      </c>
      <c r="R707" s="12">
        <v>2.4433333333333334</v>
      </c>
      <c r="S707" s="19">
        <v>13.126666666666667</v>
      </c>
      <c r="T707" s="12">
        <v>0.24599999999999997</v>
      </c>
      <c r="U707" s="12">
        <v>4.3966666666666674</v>
      </c>
      <c r="V707" s="12"/>
      <c r="W707" s="12"/>
    </row>
    <row r="708" spans="3:23" x14ac:dyDescent="0.25">
      <c r="C708" s="3"/>
      <c r="D708" s="3"/>
      <c r="G708" s="3"/>
      <c r="H708" s="3"/>
      <c r="I708" s="3"/>
      <c r="J708" s="3"/>
      <c r="K708" s="3"/>
      <c r="L708" s="40"/>
      <c r="M708" s="83"/>
      <c r="N708" s="83"/>
      <c r="O708" s="83"/>
      <c r="P708" s="5"/>
      <c r="Q708" s="154">
        <v>43560</v>
      </c>
      <c r="R708" s="12">
        <v>1.9566666666666668</v>
      </c>
      <c r="S708" s="19">
        <v>14.959999999999999</v>
      </c>
      <c r="T708" s="12">
        <v>0.182</v>
      </c>
      <c r="U708" s="12">
        <v>5.333333333333333</v>
      </c>
      <c r="V708" s="12"/>
      <c r="W708" s="12"/>
    </row>
    <row r="709" spans="3:23" x14ac:dyDescent="0.25">
      <c r="C709" s="3"/>
      <c r="D709" s="3"/>
      <c r="G709" s="3"/>
      <c r="H709" s="3"/>
      <c r="I709" s="3"/>
      <c r="J709" s="3"/>
      <c r="K709" s="3"/>
      <c r="L709" s="40"/>
      <c r="M709" s="83"/>
      <c r="N709" s="83"/>
      <c r="O709" s="83"/>
      <c r="P709" s="5"/>
      <c r="Q709" s="154">
        <v>43567</v>
      </c>
      <c r="R709" s="12">
        <v>2.0799999999999996</v>
      </c>
      <c r="S709" s="19">
        <v>15.253333333333332</v>
      </c>
      <c r="T709" s="12">
        <v>0.25066666666666665</v>
      </c>
      <c r="U709" s="12">
        <v>4.6266666666666669</v>
      </c>
      <c r="V709" s="12"/>
      <c r="W709" s="12"/>
    </row>
    <row r="710" spans="3:23" x14ac:dyDescent="0.25">
      <c r="C710" s="3"/>
      <c r="D710" s="3"/>
      <c r="G710" s="3"/>
      <c r="H710" s="3"/>
      <c r="I710" s="3"/>
      <c r="J710" s="3"/>
      <c r="K710" s="3"/>
      <c r="L710" s="40"/>
      <c r="M710" s="83"/>
      <c r="N710" s="83"/>
      <c r="O710" s="83"/>
      <c r="P710" s="5"/>
      <c r="Q710" s="154">
        <v>43574</v>
      </c>
      <c r="R710" s="12">
        <v>1.4833333333333334</v>
      </c>
      <c r="S710" s="19">
        <v>18.38</v>
      </c>
      <c r="T710" s="12">
        <v>9.2666666666666661E-2</v>
      </c>
      <c r="U710" s="12">
        <v>4.373333333333334</v>
      </c>
      <c r="V710" s="12"/>
      <c r="W710" s="12"/>
    </row>
    <row r="711" spans="3:23" x14ac:dyDescent="0.25">
      <c r="C711" s="3"/>
      <c r="D711" s="3"/>
      <c r="G711" s="3"/>
      <c r="H711" s="3"/>
      <c r="I711" s="3"/>
      <c r="J711" s="3"/>
      <c r="K711" s="3"/>
      <c r="L711" s="40"/>
      <c r="M711" s="83"/>
      <c r="N711" s="83"/>
      <c r="O711" s="83"/>
      <c r="P711" s="5"/>
      <c r="Q711" s="154">
        <v>43582</v>
      </c>
      <c r="R711" s="12">
        <v>3.3533333333333331</v>
      </c>
      <c r="S711" s="19">
        <v>19.703333333333333</v>
      </c>
      <c r="T711" s="12">
        <v>0.21733333333333335</v>
      </c>
      <c r="U711" s="12">
        <v>3.8533333333333335</v>
      </c>
      <c r="V711" s="12"/>
      <c r="W711" s="12"/>
    </row>
    <row r="712" spans="3:23" x14ac:dyDescent="0.25">
      <c r="C712" s="3"/>
      <c r="D712" s="3"/>
      <c r="G712" s="3"/>
      <c r="H712" s="3"/>
      <c r="I712" s="3"/>
      <c r="J712" s="3"/>
      <c r="K712" s="3"/>
      <c r="L712" s="40"/>
      <c r="M712" s="83"/>
      <c r="N712" s="83"/>
      <c r="O712" s="83"/>
      <c r="P712" s="5"/>
      <c r="Q712" s="154">
        <v>43586</v>
      </c>
      <c r="R712" s="12">
        <v>1.8499999999999999</v>
      </c>
      <c r="S712" s="19">
        <v>20.52333333333333</v>
      </c>
      <c r="T712" s="12">
        <v>0.27699999999999997</v>
      </c>
      <c r="U712" s="12">
        <v>3.223333333333334</v>
      </c>
      <c r="V712" s="12"/>
      <c r="W712" s="12"/>
    </row>
    <row r="713" spans="3:23" x14ac:dyDescent="0.25">
      <c r="C713" s="3"/>
      <c r="D713" s="3"/>
      <c r="G713" s="3"/>
      <c r="H713" s="3"/>
      <c r="I713" s="3"/>
      <c r="J713" s="3"/>
      <c r="K713" s="3"/>
      <c r="L713" s="40"/>
      <c r="M713" s="83"/>
      <c r="N713" s="83"/>
      <c r="O713" s="83"/>
      <c r="P713" s="5"/>
      <c r="Q713" s="154">
        <v>43593</v>
      </c>
      <c r="R713" s="12">
        <v>1.6899999999999997</v>
      </c>
      <c r="S713" s="19">
        <v>31.610000000000003</v>
      </c>
      <c r="T713" s="12">
        <v>3.8861333333333331E-2</v>
      </c>
      <c r="U713" s="12">
        <v>2.6533333333333338</v>
      </c>
      <c r="V713" s="12"/>
      <c r="W713" s="12"/>
    </row>
    <row r="714" spans="3:23" x14ac:dyDescent="0.25">
      <c r="C714" s="3"/>
      <c r="D714" s="3"/>
      <c r="G714" s="3"/>
      <c r="H714" s="3"/>
      <c r="I714" s="3"/>
      <c r="J714" s="3"/>
      <c r="K714" s="3"/>
      <c r="L714" s="40"/>
      <c r="M714" s="83"/>
      <c r="N714" s="83"/>
      <c r="O714" s="83"/>
      <c r="P714" s="5"/>
      <c r="Q714" s="156">
        <v>43631</v>
      </c>
      <c r="R714" s="12">
        <v>2.8200000000000003</v>
      </c>
      <c r="S714" s="19">
        <v>27.066666666666663</v>
      </c>
      <c r="T714" s="12">
        <v>6.5000000000000002E-2</v>
      </c>
      <c r="U714" s="12"/>
      <c r="V714" s="12"/>
      <c r="W714" s="12"/>
    </row>
    <row r="715" spans="3:23" x14ac:dyDescent="0.25">
      <c r="C715" s="3"/>
      <c r="D715" s="3"/>
      <c r="G715" s="3"/>
      <c r="H715" s="3"/>
      <c r="I715" s="3"/>
      <c r="J715" s="3"/>
      <c r="K715" s="3"/>
      <c r="L715" s="40"/>
      <c r="M715" s="83"/>
      <c r="N715" s="83"/>
      <c r="O715" s="83"/>
      <c r="P715" s="5"/>
      <c r="Q715" s="156">
        <v>43639</v>
      </c>
      <c r="R715" s="12">
        <v>2.7100000000000004</v>
      </c>
      <c r="S715" s="19">
        <v>29.033333333333331</v>
      </c>
      <c r="T715" s="12">
        <v>0.19233333333333333</v>
      </c>
      <c r="U715" s="12">
        <v>0.27666666666666667</v>
      </c>
      <c r="V715" s="12"/>
      <c r="W715" s="12"/>
    </row>
    <row r="716" spans="3:23" x14ac:dyDescent="0.25">
      <c r="C716" s="3"/>
      <c r="D716" s="3"/>
      <c r="G716" s="3"/>
      <c r="H716" s="3"/>
      <c r="I716" s="3"/>
      <c r="J716" s="3"/>
      <c r="K716" s="3"/>
      <c r="L716" s="40"/>
      <c r="M716" s="83"/>
      <c r="N716" s="83"/>
      <c r="O716" s="83"/>
      <c r="P716" s="5"/>
      <c r="Q716" s="156">
        <v>43643</v>
      </c>
      <c r="R716" s="12">
        <v>2.74</v>
      </c>
      <c r="S716" s="19">
        <v>30.853333333333335</v>
      </c>
      <c r="T716" s="12">
        <v>0.22199999999999998</v>
      </c>
      <c r="U716" s="12">
        <v>0.39333333333333337</v>
      </c>
      <c r="V716" s="12"/>
      <c r="W716" s="12"/>
    </row>
    <row r="717" spans="3:23" x14ac:dyDescent="0.25">
      <c r="C717" s="3"/>
      <c r="D717" s="3"/>
      <c r="G717" s="3"/>
      <c r="H717" s="3"/>
      <c r="I717" s="3"/>
      <c r="J717" s="3"/>
      <c r="K717" s="3"/>
      <c r="L717" s="40"/>
      <c r="M717" s="83"/>
      <c r="N717" s="83"/>
      <c r="O717" s="83"/>
      <c r="P717" s="5"/>
      <c r="Q717" s="156">
        <v>43651</v>
      </c>
      <c r="R717" s="12">
        <v>4.4333333333333336</v>
      </c>
      <c r="S717" s="19">
        <v>32.71</v>
      </c>
      <c r="T717" s="12">
        <v>0.11</v>
      </c>
      <c r="U717" s="12">
        <v>1.2266666666666668</v>
      </c>
      <c r="V717" s="12"/>
      <c r="W717" s="12"/>
    </row>
    <row r="718" spans="3:23" x14ac:dyDescent="0.25">
      <c r="C718" s="3"/>
      <c r="D718" s="3"/>
      <c r="G718" s="3"/>
      <c r="H718" s="3"/>
      <c r="I718" s="3"/>
      <c r="J718" s="3"/>
      <c r="K718" s="3"/>
      <c r="L718" s="40"/>
      <c r="M718" s="83"/>
      <c r="N718" s="83"/>
      <c r="O718" s="83"/>
      <c r="P718" s="5"/>
      <c r="Q718" s="156">
        <v>43657</v>
      </c>
      <c r="R718" s="12">
        <v>3.7533333333333339</v>
      </c>
      <c r="S718" s="19">
        <v>24.833333333333332</v>
      </c>
      <c r="T718" s="12">
        <v>0.39033333333333325</v>
      </c>
      <c r="U718" s="12">
        <v>1.4933333333333332</v>
      </c>
      <c r="V718" s="12"/>
      <c r="W718" s="12"/>
    </row>
    <row r="719" spans="3:23" x14ac:dyDescent="0.25">
      <c r="C719" s="3"/>
      <c r="D719" s="3"/>
      <c r="G719" s="3"/>
      <c r="H719" s="3"/>
      <c r="I719" s="3"/>
      <c r="J719" s="3"/>
      <c r="K719" s="3"/>
      <c r="L719" s="40"/>
      <c r="M719" s="83"/>
      <c r="N719" s="83"/>
      <c r="O719" s="83"/>
      <c r="P719" s="5"/>
      <c r="Q719" s="156">
        <v>43663</v>
      </c>
      <c r="R719" s="12">
        <v>2.31</v>
      </c>
      <c r="S719" s="19">
        <v>25.513333333333332</v>
      </c>
      <c r="T719" s="12">
        <v>0.40300000000000002</v>
      </c>
      <c r="U719" s="12">
        <v>1.843333333333333</v>
      </c>
      <c r="V719" s="12"/>
      <c r="W719" s="12"/>
    </row>
    <row r="720" spans="3:23" x14ac:dyDescent="0.25">
      <c r="C720" s="3"/>
      <c r="D720" s="3"/>
      <c r="G720" s="3"/>
      <c r="H720" s="3"/>
      <c r="I720" s="3"/>
      <c r="J720" s="3"/>
      <c r="K720" s="3"/>
      <c r="L720" s="40"/>
      <c r="M720" s="83"/>
      <c r="N720" s="83"/>
      <c r="O720" s="83"/>
      <c r="P720" s="5"/>
      <c r="Q720" s="157">
        <v>43669</v>
      </c>
      <c r="R720" s="12">
        <v>4.2333333333333334</v>
      </c>
      <c r="S720" s="19">
        <v>27.786666666666665</v>
      </c>
      <c r="T720" s="12">
        <v>0.14866666666666667</v>
      </c>
      <c r="U720" s="12">
        <v>2.2666666666666671</v>
      </c>
      <c r="V720" s="12"/>
      <c r="W720" s="12"/>
    </row>
    <row r="721" spans="1:23" x14ac:dyDescent="0.25">
      <c r="C721" s="3"/>
      <c r="D721" s="3"/>
      <c r="G721" s="3"/>
      <c r="H721" s="3"/>
      <c r="I721" s="3"/>
      <c r="J721" s="3"/>
      <c r="K721" s="3"/>
      <c r="L721" s="40"/>
      <c r="M721" s="83"/>
      <c r="N721" s="83"/>
      <c r="O721" s="83"/>
      <c r="P721" s="5"/>
      <c r="Q721" s="156">
        <v>43676</v>
      </c>
      <c r="R721" s="12">
        <v>3.17</v>
      </c>
      <c r="S721" s="19">
        <v>29.349999999999998</v>
      </c>
      <c r="T721" s="12">
        <v>7.4333333333333335E-2</v>
      </c>
      <c r="U721" s="12">
        <v>2.4866666666666668</v>
      </c>
      <c r="V721" s="12"/>
      <c r="W721" s="12"/>
    </row>
    <row r="722" spans="1:23" x14ac:dyDescent="0.25">
      <c r="C722" s="3"/>
      <c r="D722" s="3"/>
      <c r="G722" s="3"/>
      <c r="H722" s="3"/>
      <c r="I722" s="3"/>
      <c r="J722" s="3"/>
      <c r="K722" s="3"/>
      <c r="L722" s="40"/>
      <c r="M722" s="83"/>
      <c r="N722" s="83"/>
      <c r="O722" s="83"/>
      <c r="P722" s="5"/>
      <c r="Q722" s="156">
        <v>43683</v>
      </c>
      <c r="R722" s="12">
        <v>3.8599999999999994</v>
      </c>
      <c r="S722" s="19">
        <v>28.383333333333336</v>
      </c>
      <c r="T722" s="12">
        <v>0.29233333333333328</v>
      </c>
      <c r="U722" s="12">
        <v>2.9800000000000004</v>
      </c>
      <c r="V722" s="12"/>
      <c r="W722" s="12"/>
    </row>
    <row r="723" spans="1:23" x14ac:dyDescent="0.25">
      <c r="C723" s="3"/>
      <c r="D723" s="3"/>
      <c r="G723" s="3"/>
      <c r="H723" s="3"/>
      <c r="I723" s="3"/>
      <c r="J723" s="3"/>
      <c r="K723" s="3"/>
      <c r="L723" s="40"/>
      <c r="M723" s="83"/>
      <c r="N723" s="83"/>
      <c r="O723" s="83"/>
      <c r="P723" s="5"/>
      <c r="Q723" s="156">
        <v>43690</v>
      </c>
      <c r="R723" s="12">
        <v>3.3066666666666666</v>
      </c>
      <c r="S723" s="19">
        <v>26.213333333333335</v>
      </c>
      <c r="T723" s="12">
        <v>0.23466666666666666</v>
      </c>
      <c r="U723" s="12">
        <v>3.8699999999999997</v>
      </c>
      <c r="V723" s="12"/>
      <c r="W723" s="12"/>
    </row>
    <row r="724" spans="1:23" x14ac:dyDescent="0.25">
      <c r="C724" s="3"/>
      <c r="D724" s="3"/>
      <c r="G724" s="3"/>
      <c r="H724" s="3"/>
      <c r="I724" s="3"/>
      <c r="J724" s="3"/>
      <c r="K724" s="3"/>
      <c r="L724" s="40"/>
      <c r="M724" s="83"/>
      <c r="N724" s="83"/>
      <c r="O724" s="83"/>
      <c r="P724" s="5"/>
      <c r="Q724" s="157">
        <v>43697</v>
      </c>
      <c r="R724" s="12">
        <v>5.1166666666666663</v>
      </c>
      <c r="S724" s="19">
        <v>27.586666666666662</v>
      </c>
      <c r="T724" s="12">
        <v>8.8000000000000009E-2</v>
      </c>
      <c r="U724" s="12">
        <v>4.1633333333333331</v>
      </c>
      <c r="V724" s="12"/>
      <c r="W724" s="12"/>
    </row>
    <row r="725" spans="1:23" x14ac:dyDescent="0.25">
      <c r="C725" s="3"/>
      <c r="D725" s="3"/>
      <c r="G725" s="3"/>
      <c r="H725" s="3"/>
      <c r="I725" s="3"/>
      <c r="J725" s="3"/>
      <c r="K725" s="3"/>
      <c r="L725" s="40"/>
      <c r="M725" s="83"/>
      <c r="N725" s="83"/>
      <c r="O725" s="83"/>
      <c r="P725" s="5"/>
      <c r="Q725" s="156">
        <v>43706</v>
      </c>
      <c r="R725" s="12">
        <v>4.57</v>
      </c>
      <c r="S725" s="19">
        <v>29.646666666666665</v>
      </c>
      <c r="T725" s="12">
        <v>0.21099999999999999</v>
      </c>
      <c r="U725" s="12">
        <v>3.0366666666666671</v>
      </c>
      <c r="V725" s="12"/>
      <c r="W725" s="12"/>
    </row>
    <row r="726" spans="1:23" x14ac:dyDescent="0.25">
      <c r="C726" s="3"/>
      <c r="D726" s="3"/>
      <c r="G726" s="3"/>
      <c r="H726" s="3"/>
      <c r="I726" s="3"/>
      <c r="J726" s="3"/>
      <c r="K726" s="3"/>
      <c r="L726" s="40"/>
      <c r="M726" s="83"/>
      <c r="N726" s="83"/>
      <c r="O726" s="83"/>
      <c r="P726" s="5"/>
      <c r="Q726" s="156">
        <v>43713</v>
      </c>
      <c r="R726" s="12">
        <v>2.81</v>
      </c>
      <c r="S726" s="19">
        <v>27.75333333333333</v>
      </c>
      <c r="T726" s="12">
        <v>0.216</v>
      </c>
      <c r="U726" s="12">
        <v>1.88</v>
      </c>
      <c r="V726" s="12"/>
      <c r="W726" s="12"/>
    </row>
    <row r="727" spans="1:23" x14ac:dyDescent="0.25">
      <c r="C727" s="3"/>
      <c r="D727" s="3"/>
      <c r="G727" s="3"/>
      <c r="H727" s="3"/>
      <c r="I727" s="3"/>
      <c r="J727" s="3"/>
      <c r="K727" s="3"/>
      <c r="L727" s="40"/>
      <c r="M727" s="83"/>
      <c r="N727" s="83"/>
      <c r="O727" s="83"/>
      <c r="P727" s="5"/>
      <c r="Q727" s="157">
        <v>43725</v>
      </c>
      <c r="R727" s="12">
        <v>1.4133333333333333</v>
      </c>
      <c r="S727" s="19">
        <v>29.02</v>
      </c>
      <c r="T727" s="12">
        <v>2.2666666666666668E-2</v>
      </c>
      <c r="U727" s="12">
        <v>0.13666666666666666</v>
      </c>
      <c r="V727" s="12"/>
      <c r="W727" s="12"/>
    </row>
    <row r="728" spans="1:23" x14ac:dyDescent="0.25">
      <c r="C728" s="3"/>
      <c r="D728" s="3"/>
      <c r="G728" s="3"/>
      <c r="H728" s="3"/>
      <c r="I728" s="3"/>
      <c r="J728" s="3"/>
      <c r="K728" s="3"/>
      <c r="L728" s="40"/>
      <c r="M728" s="83"/>
      <c r="N728" s="83"/>
      <c r="O728" s="83"/>
      <c r="P728" s="5"/>
      <c r="Q728" s="156">
        <v>43732</v>
      </c>
      <c r="R728" s="12">
        <v>1.75</v>
      </c>
      <c r="S728" s="19">
        <v>32.360000000000007</v>
      </c>
      <c r="T728" s="12">
        <v>2.1000000000000001E-2</v>
      </c>
      <c r="U728" s="12">
        <v>0.30333333333333334</v>
      </c>
      <c r="V728" s="12"/>
      <c r="W728" s="12"/>
    </row>
    <row r="729" spans="1:23" x14ac:dyDescent="0.25">
      <c r="C729" s="3"/>
      <c r="D729" s="3"/>
      <c r="G729" s="3"/>
      <c r="H729" s="3"/>
      <c r="I729" s="3"/>
      <c r="J729" s="3"/>
      <c r="K729" s="3"/>
      <c r="L729" s="40"/>
      <c r="M729" s="83"/>
      <c r="N729" s="83"/>
      <c r="O729" s="83"/>
      <c r="P729" s="5"/>
      <c r="Q729" s="156">
        <v>43746</v>
      </c>
      <c r="R729" s="12">
        <v>1.7900000000000003</v>
      </c>
      <c r="S729" s="19">
        <v>22.346666666666668</v>
      </c>
      <c r="T729" s="12">
        <v>6.5666666666666665E-2</v>
      </c>
      <c r="U729" s="12">
        <v>0.35333333333333333</v>
      </c>
      <c r="V729" s="12"/>
      <c r="W729" s="12"/>
    </row>
    <row r="730" spans="1:23" x14ac:dyDescent="0.25">
      <c r="C730" s="3"/>
      <c r="D730" s="3"/>
      <c r="G730" s="3"/>
      <c r="H730" s="3"/>
      <c r="I730" s="3"/>
      <c r="J730" s="3"/>
      <c r="K730" s="3"/>
      <c r="L730" s="40"/>
      <c r="M730" s="83"/>
      <c r="N730" s="83"/>
      <c r="O730" s="83"/>
      <c r="P730" s="5"/>
      <c r="Q730" s="156">
        <v>43753</v>
      </c>
      <c r="R730" s="12">
        <v>1.8766666666666667</v>
      </c>
      <c r="S730" s="19">
        <v>23.45</v>
      </c>
      <c r="T730" s="12">
        <v>3.9666666666666663E-2</v>
      </c>
      <c r="U730" s="12">
        <v>0.27999999999999997</v>
      </c>
      <c r="V730" s="12"/>
      <c r="W730" s="12"/>
    </row>
    <row r="731" spans="1:23" x14ac:dyDescent="0.25">
      <c r="C731" s="3"/>
      <c r="D731" s="3"/>
      <c r="G731" s="3"/>
      <c r="H731" s="3"/>
      <c r="I731" s="3"/>
      <c r="J731" s="3"/>
      <c r="K731" s="3"/>
      <c r="L731" s="40"/>
      <c r="M731" s="83"/>
      <c r="N731" s="83"/>
      <c r="O731" s="83"/>
      <c r="P731" s="5"/>
      <c r="Q731" s="156">
        <v>43756</v>
      </c>
      <c r="R731" s="12">
        <v>1.6300000000000001</v>
      </c>
      <c r="S731" s="19">
        <v>31.116666666666664</v>
      </c>
      <c r="T731" s="12">
        <v>3.4666666666666672E-2</v>
      </c>
      <c r="U731" s="12">
        <v>0.4466666666666666</v>
      </c>
      <c r="V731" s="12"/>
      <c r="W731" s="12"/>
    </row>
    <row r="732" spans="1:23" x14ac:dyDescent="0.25">
      <c r="A732" s="6"/>
      <c r="B732" s="6" t="s">
        <v>89</v>
      </c>
      <c r="C732" s="11">
        <v>32.200000000000003</v>
      </c>
      <c r="D732" s="11">
        <v>118.7</v>
      </c>
      <c r="E732" s="6" t="s">
        <v>27</v>
      </c>
      <c r="F732" s="6" t="s">
        <v>131</v>
      </c>
      <c r="G732" s="11">
        <v>1.2856000000000001</v>
      </c>
      <c r="H732" s="7">
        <v>17.696190000000001</v>
      </c>
      <c r="I732" s="11">
        <f>6.525*0.98*1.54*0.2</f>
        <v>1.9695060000000002</v>
      </c>
      <c r="J732" s="7">
        <f>0.92*0.98*0.2*1.54</f>
        <v>0.27769280000000007</v>
      </c>
      <c r="K732" s="11">
        <f>I732/J732</f>
        <v>7.0923913043478253</v>
      </c>
      <c r="L732" s="14">
        <v>1.54</v>
      </c>
      <c r="M732" s="44">
        <f>9.353*EXP(-0.023*H732-0.622*L732-0.182*J732-0.009*K732)*(I732/(I732+0.567))</f>
        <v>1.654383401782469</v>
      </c>
      <c r="N732" s="44">
        <f>LN(M732)/10</f>
        <v>5.0342837250992589E-2</v>
      </c>
      <c r="O732" s="44">
        <f>4.3573*EXP(-1.002*M732)</f>
        <v>0.8304068072036298</v>
      </c>
      <c r="P732" s="10"/>
      <c r="Q732" s="158">
        <v>43782</v>
      </c>
      <c r="R732" s="13">
        <v>3.6166666666666667</v>
      </c>
      <c r="S732" s="146">
        <f>AVERAGE(R732:R732)</f>
        <v>3.6166666666666667</v>
      </c>
      <c r="T732" s="13">
        <v>0.26566666666666666</v>
      </c>
      <c r="U732" s="13"/>
      <c r="V732" s="13"/>
      <c r="W732" s="13"/>
    </row>
    <row r="733" spans="1:23" x14ac:dyDescent="0.25">
      <c r="C733" s="3"/>
      <c r="D733" s="3"/>
      <c r="G733" s="3"/>
      <c r="H733" s="4"/>
      <c r="I733" s="4"/>
      <c r="J733" s="4"/>
      <c r="K733" s="3"/>
      <c r="L733" s="40"/>
      <c r="O733" s="80"/>
      <c r="P733" s="5"/>
      <c r="Q733" s="159">
        <v>43788</v>
      </c>
      <c r="R733" s="12">
        <v>2.5066666666666664</v>
      </c>
      <c r="S733" s="19">
        <v>17.226666666666663</v>
      </c>
      <c r="T733" s="12">
        <v>0.22700000000000001</v>
      </c>
      <c r="U733" s="12">
        <v>8.3333333333333329E-2</v>
      </c>
      <c r="V733" s="12"/>
      <c r="W733" s="12"/>
    </row>
    <row r="734" spans="1:23" x14ac:dyDescent="0.25">
      <c r="C734" s="3"/>
      <c r="D734" s="3"/>
      <c r="E734" s="82"/>
      <c r="F734" s="82"/>
      <c r="G734" s="3"/>
      <c r="H734" s="4"/>
      <c r="I734" s="4"/>
      <c r="J734" s="4"/>
      <c r="K734" s="3"/>
      <c r="L734" s="40"/>
      <c r="N734" s="80"/>
      <c r="O734" s="80"/>
      <c r="P734" s="5"/>
      <c r="Q734" s="159">
        <v>43797</v>
      </c>
      <c r="R734" s="12">
        <v>1.9266666666666667</v>
      </c>
      <c r="S734" s="19">
        <v>13.01</v>
      </c>
      <c r="T734" s="12">
        <v>0.24066666666666667</v>
      </c>
      <c r="U734" s="12">
        <v>0.15333333333333335</v>
      </c>
      <c r="V734" s="12"/>
      <c r="W734" s="12"/>
    </row>
    <row r="735" spans="1:23" x14ac:dyDescent="0.25">
      <c r="C735" s="3"/>
      <c r="D735" s="3"/>
      <c r="G735" s="3"/>
      <c r="H735" s="3"/>
      <c r="I735" s="3"/>
      <c r="J735" s="3"/>
      <c r="K735" s="3"/>
      <c r="L735" s="40"/>
      <c r="M735" s="3"/>
      <c r="N735" s="3"/>
      <c r="O735" s="3"/>
      <c r="P735" s="5"/>
      <c r="Q735" s="160">
        <v>43804</v>
      </c>
      <c r="R735" s="12">
        <v>2.2200000000000002</v>
      </c>
      <c r="S735" s="19">
        <v>14.643333333333333</v>
      </c>
      <c r="T735" s="12">
        <v>0.10433333333333333</v>
      </c>
      <c r="U735" s="12">
        <v>0.3</v>
      </c>
      <c r="V735" s="12"/>
      <c r="W735" s="12"/>
    </row>
    <row r="736" spans="1:23" x14ac:dyDescent="0.25">
      <c r="C736" s="3"/>
      <c r="D736" s="3"/>
      <c r="G736" s="3"/>
      <c r="H736" s="3"/>
      <c r="I736" s="3"/>
      <c r="J736" s="3"/>
      <c r="K736" s="3"/>
      <c r="L736" s="40"/>
      <c r="M736" s="3"/>
      <c r="N736" s="3"/>
      <c r="O736" s="3"/>
      <c r="P736" s="5"/>
      <c r="Q736" s="159">
        <v>43812</v>
      </c>
      <c r="R736" s="12">
        <v>2.2333333333333334</v>
      </c>
      <c r="S736" s="19">
        <v>13.17</v>
      </c>
      <c r="T736" s="12">
        <v>0.12866666666666668</v>
      </c>
      <c r="U736" s="12">
        <v>0.49666666666666665</v>
      </c>
      <c r="V736" s="12"/>
      <c r="W736" s="12"/>
    </row>
    <row r="737" spans="3:23" x14ac:dyDescent="0.25">
      <c r="C737" s="3"/>
      <c r="D737" s="3"/>
      <c r="G737" s="3"/>
      <c r="H737" s="3"/>
      <c r="I737" s="3"/>
      <c r="J737" s="3"/>
      <c r="K737" s="3"/>
      <c r="L737" s="40"/>
      <c r="M737" s="3"/>
      <c r="N737" s="3"/>
      <c r="O737" s="3"/>
      <c r="P737" s="5"/>
      <c r="Q737" s="159">
        <v>43818</v>
      </c>
      <c r="R737" s="12">
        <v>2.4433333333333334</v>
      </c>
      <c r="S737" s="19">
        <v>13.536666666666667</v>
      </c>
      <c r="T737" s="12">
        <v>0.27599999999999997</v>
      </c>
      <c r="U737" s="12">
        <v>0.91666666666666663</v>
      </c>
      <c r="V737" s="12"/>
      <c r="W737" s="12"/>
    </row>
    <row r="738" spans="3:23" x14ac:dyDescent="0.25">
      <c r="C738" s="3"/>
      <c r="D738" s="3"/>
      <c r="G738" s="3"/>
      <c r="H738" s="3"/>
      <c r="I738" s="3"/>
      <c r="J738" s="3"/>
      <c r="K738" s="3"/>
      <c r="L738" s="40"/>
      <c r="M738" s="3"/>
      <c r="N738" s="3"/>
      <c r="O738" s="3"/>
      <c r="P738" s="5"/>
      <c r="Q738" s="159">
        <v>43826</v>
      </c>
      <c r="R738" s="12">
        <v>2.2600000000000002</v>
      </c>
      <c r="S738" s="19">
        <v>10.57</v>
      </c>
      <c r="T738" s="12">
        <v>0.26966666666666667</v>
      </c>
      <c r="U738" s="12"/>
      <c r="V738" s="12"/>
      <c r="W738" s="12"/>
    </row>
    <row r="739" spans="3:23" x14ac:dyDescent="0.25">
      <c r="C739" s="3"/>
      <c r="D739" s="3"/>
      <c r="G739" s="3"/>
      <c r="H739" s="3"/>
      <c r="I739" s="3"/>
      <c r="J739" s="3"/>
      <c r="K739" s="3"/>
      <c r="L739" s="40"/>
      <c r="M739" s="3"/>
      <c r="N739" s="3"/>
      <c r="O739" s="3"/>
      <c r="P739" s="5"/>
      <c r="Q739" s="160">
        <v>43831</v>
      </c>
      <c r="R739" s="12">
        <v>0.58000000000000007</v>
      </c>
      <c r="S739" s="19">
        <v>10.673333333333332</v>
      </c>
      <c r="T739" s="12">
        <v>0.26833333333333331</v>
      </c>
      <c r="U739" s="12"/>
      <c r="V739" s="12"/>
      <c r="W739" s="12"/>
    </row>
    <row r="740" spans="3:23" x14ac:dyDescent="0.25">
      <c r="C740" s="3"/>
      <c r="D740" s="3"/>
      <c r="G740" s="3"/>
      <c r="H740" s="3"/>
      <c r="I740" s="3"/>
      <c r="J740" s="3"/>
      <c r="K740" s="3"/>
      <c r="L740" s="40"/>
      <c r="M740" s="3"/>
      <c r="N740" s="3"/>
      <c r="O740" s="3"/>
      <c r="P740" s="5"/>
      <c r="Q740" s="160">
        <v>43842</v>
      </c>
      <c r="R740" s="12">
        <v>0.80666666666666664</v>
      </c>
      <c r="S740" s="19">
        <v>11.716666666666667</v>
      </c>
      <c r="T740" s="12">
        <v>0.36733333333333335</v>
      </c>
      <c r="U740" s="12"/>
      <c r="V740" s="12"/>
      <c r="W740" s="12"/>
    </row>
    <row r="741" spans="3:23" x14ac:dyDescent="0.25">
      <c r="C741" s="3"/>
      <c r="D741" s="3"/>
      <c r="G741" s="3"/>
      <c r="H741" s="3"/>
      <c r="I741" s="3"/>
      <c r="J741" s="3"/>
      <c r="K741" s="3"/>
      <c r="L741" s="40"/>
      <c r="M741" s="3"/>
      <c r="N741" s="3"/>
      <c r="O741" s="3"/>
      <c r="P741" s="5"/>
      <c r="Q741" s="160">
        <v>43847</v>
      </c>
      <c r="R741" s="12">
        <v>0.29000000000000004</v>
      </c>
      <c r="S741" s="19">
        <v>9.5200000000000014</v>
      </c>
      <c r="T741" s="12">
        <v>0.36766666666666664</v>
      </c>
      <c r="U741" s="12"/>
      <c r="V741" s="12"/>
      <c r="W741" s="12"/>
    </row>
    <row r="742" spans="3:23" x14ac:dyDescent="0.25">
      <c r="C742" s="3"/>
      <c r="D742" s="3"/>
      <c r="G742" s="3"/>
      <c r="H742" s="3"/>
      <c r="I742" s="3"/>
      <c r="J742" s="3"/>
      <c r="K742" s="3"/>
      <c r="L742" s="40"/>
      <c r="M742" s="3"/>
      <c r="N742" s="3"/>
      <c r="O742" s="3"/>
      <c r="P742" s="5"/>
      <c r="Q742" s="159">
        <v>43934</v>
      </c>
      <c r="R742" s="12">
        <v>1.8499999999999996</v>
      </c>
      <c r="S742" s="19">
        <v>18.683333333333334</v>
      </c>
      <c r="T742" s="12">
        <v>0.13100000000000001</v>
      </c>
      <c r="U742" s="12">
        <v>1.8499999999999999</v>
      </c>
      <c r="V742" s="12"/>
      <c r="W742" s="12"/>
    </row>
    <row r="743" spans="3:23" x14ac:dyDescent="0.25">
      <c r="C743" s="3"/>
      <c r="D743" s="3"/>
      <c r="G743" s="3"/>
      <c r="H743" s="3"/>
      <c r="I743" s="3"/>
      <c r="J743" s="3"/>
      <c r="K743" s="3"/>
      <c r="L743" s="40"/>
      <c r="M743" s="3"/>
      <c r="N743" s="3"/>
      <c r="O743" s="3"/>
      <c r="P743" s="5"/>
      <c r="Q743" s="160">
        <v>43938</v>
      </c>
      <c r="R743" s="12">
        <v>2.5299999999999998</v>
      </c>
      <c r="S743" s="19">
        <v>19.740000000000002</v>
      </c>
      <c r="T743" s="12">
        <v>0.29866666666666669</v>
      </c>
      <c r="U743" s="12">
        <v>2.4733333333333332</v>
      </c>
      <c r="V743" s="12"/>
      <c r="W743" s="12"/>
    </row>
    <row r="744" spans="3:23" x14ac:dyDescent="0.25">
      <c r="C744" s="3"/>
      <c r="D744" s="3"/>
      <c r="G744" s="3"/>
      <c r="H744" s="3"/>
      <c r="I744" s="3"/>
      <c r="J744" s="3"/>
      <c r="K744" s="3"/>
      <c r="L744" s="40"/>
      <c r="M744" s="3"/>
      <c r="N744" s="3"/>
      <c r="O744" s="3"/>
      <c r="P744" s="5"/>
      <c r="Q744" s="159">
        <v>43943</v>
      </c>
      <c r="R744" s="12">
        <v>2.7166666666666668</v>
      </c>
      <c r="S744" s="19">
        <v>21.743333333333336</v>
      </c>
      <c r="T744" s="12">
        <v>0.26666666666666666</v>
      </c>
      <c r="U744" s="12">
        <v>2.8366666666666664</v>
      </c>
      <c r="V744" s="12"/>
      <c r="W744" s="12"/>
    </row>
    <row r="745" spans="3:23" x14ac:dyDescent="0.25">
      <c r="C745" s="3"/>
      <c r="D745" s="3"/>
      <c r="G745" s="3"/>
      <c r="H745" s="3"/>
      <c r="I745" s="3"/>
      <c r="J745" s="3"/>
      <c r="K745" s="3"/>
      <c r="L745" s="40"/>
      <c r="M745" s="3"/>
      <c r="N745" s="3"/>
      <c r="O745" s="3"/>
      <c r="P745" s="5"/>
      <c r="Q745" s="159">
        <v>43946</v>
      </c>
      <c r="R745" s="12">
        <v>2.4466666666666668</v>
      </c>
      <c r="S745" s="19">
        <v>23.419999999999998</v>
      </c>
      <c r="T745" s="12">
        <v>0.128</v>
      </c>
      <c r="U745" s="12">
        <v>3.9833333333333329</v>
      </c>
      <c r="V745" s="12"/>
      <c r="W745" s="12"/>
    </row>
    <row r="746" spans="3:23" x14ac:dyDescent="0.25">
      <c r="C746" s="3"/>
      <c r="D746" s="3"/>
      <c r="G746" s="3"/>
      <c r="H746" s="3"/>
      <c r="I746" s="3"/>
      <c r="J746" s="3"/>
      <c r="K746" s="3"/>
      <c r="L746" s="40"/>
      <c r="M746" s="3"/>
      <c r="N746" s="3"/>
      <c r="O746" s="3"/>
      <c r="P746" s="5"/>
      <c r="Q746" s="159">
        <v>43949</v>
      </c>
      <c r="R746" s="12">
        <v>2.4466666666666668</v>
      </c>
      <c r="S746" s="19">
        <v>28.01</v>
      </c>
      <c r="T746" s="12">
        <v>9.9999999999999992E-2</v>
      </c>
      <c r="U746" s="12">
        <v>3.3233333333333328</v>
      </c>
      <c r="V746" s="12"/>
      <c r="W746" s="12"/>
    </row>
    <row r="747" spans="3:23" x14ac:dyDescent="0.25">
      <c r="C747" s="3"/>
      <c r="D747" s="3"/>
      <c r="G747" s="3"/>
      <c r="H747" s="3"/>
      <c r="I747" s="3"/>
      <c r="J747" s="3"/>
      <c r="K747" s="3"/>
      <c r="L747" s="40"/>
      <c r="M747" s="3"/>
      <c r="N747" s="3"/>
      <c r="O747" s="3"/>
      <c r="P747" s="5"/>
      <c r="Q747" s="159">
        <v>43951</v>
      </c>
      <c r="R747" s="12">
        <v>2.5866666666666664</v>
      </c>
      <c r="S747" s="19">
        <v>27.816666666666666</v>
      </c>
      <c r="T747" s="12">
        <v>0.14800000000000002</v>
      </c>
      <c r="U747" s="12">
        <v>3.776666666666666</v>
      </c>
      <c r="V747" s="12"/>
      <c r="W747" s="12"/>
    </row>
    <row r="748" spans="3:23" x14ac:dyDescent="0.25">
      <c r="C748" s="3"/>
      <c r="D748" s="3"/>
      <c r="G748" s="3"/>
      <c r="H748" s="3"/>
      <c r="I748" s="3"/>
      <c r="J748" s="3"/>
      <c r="K748" s="3"/>
      <c r="L748" s="40"/>
      <c r="M748" s="3"/>
      <c r="N748" s="3"/>
      <c r="O748" s="3"/>
      <c r="P748" s="5"/>
      <c r="Q748" s="159">
        <v>43955</v>
      </c>
      <c r="R748" s="12">
        <v>2.6933333333333334</v>
      </c>
      <c r="S748" s="19">
        <v>28.313333333333333</v>
      </c>
      <c r="T748" s="12">
        <v>7.1999999999999995E-2</v>
      </c>
      <c r="U748" s="12">
        <v>3.3633333333333333</v>
      </c>
      <c r="V748" s="12"/>
      <c r="W748" s="12"/>
    </row>
    <row r="749" spans="3:23" x14ac:dyDescent="0.25">
      <c r="C749" s="3"/>
      <c r="D749" s="3"/>
      <c r="G749" s="3"/>
      <c r="H749" s="3"/>
      <c r="I749" s="3"/>
      <c r="J749" s="3"/>
      <c r="K749" s="3"/>
      <c r="L749" s="40"/>
      <c r="M749" s="3"/>
      <c r="N749" s="3"/>
      <c r="O749" s="3"/>
      <c r="P749" s="5"/>
      <c r="Q749" s="160">
        <v>43960</v>
      </c>
      <c r="R749" s="12">
        <v>1.4966666666666668</v>
      </c>
      <c r="S749" s="19">
        <v>21.283333333333331</v>
      </c>
      <c r="T749" s="12">
        <v>8.666666666666667E-2</v>
      </c>
      <c r="U749" s="12">
        <v>2.8866666666666667</v>
      </c>
      <c r="V749" s="12"/>
      <c r="W749" s="12"/>
    </row>
    <row r="750" spans="3:23" x14ac:dyDescent="0.25">
      <c r="C750" s="3"/>
      <c r="D750" s="3"/>
      <c r="G750" s="3"/>
      <c r="H750" s="3"/>
      <c r="I750" s="3"/>
      <c r="J750" s="3"/>
      <c r="K750" s="3"/>
      <c r="L750" s="40"/>
      <c r="M750" s="3"/>
      <c r="N750" s="3"/>
      <c r="O750" s="3"/>
      <c r="P750" s="5"/>
      <c r="Q750" s="160">
        <v>43963</v>
      </c>
      <c r="R750" s="12">
        <v>2.5700000000000003</v>
      </c>
      <c r="S750" s="19">
        <v>28.48</v>
      </c>
      <c r="T750" s="12">
        <v>0.127</v>
      </c>
      <c r="U750" s="12">
        <v>1.9766666666666666</v>
      </c>
      <c r="V750" s="12"/>
      <c r="W750" s="12"/>
    </row>
    <row r="751" spans="3:23" x14ac:dyDescent="0.25">
      <c r="C751" s="3"/>
      <c r="D751" s="3"/>
      <c r="G751" s="3"/>
      <c r="H751" s="3"/>
      <c r="I751" s="3"/>
      <c r="J751" s="3"/>
      <c r="K751" s="3"/>
      <c r="L751" s="40"/>
      <c r="M751" s="3"/>
      <c r="N751" s="3"/>
      <c r="O751" s="3"/>
      <c r="P751" s="5"/>
      <c r="Q751" s="159">
        <v>43967</v>
      </c>
      <c r="R751" s="12">
        <v>3.4733333333333332</v>
      </c>
      <c r="S751" s="19">
        <v>33.656666666666666</v>
      </c>
      <c r="T751" s="12">
        <v>0.3076666666666667</v>
      </c>
      <c r="U751" s="12"/>
      <c r="V751" s="12"/>
      <c r="W751" s="12"/>
    </row>
    <row r="752" spans="3:23" x14ac:dyDescent="0.25">
      <c r="C752" s="3"/>
      <c r="D752" s="3"/>
      <c r="G752" s="3"/>
      <c r="H752" s="3"/>
      <c r="I752" s="3"/>
      <c r="J752" s="3"/>
      <c r="K752" s="3"/>
      <c r="L752" s="40"/>
      <c r="M752" s="3"/>
      <c r="N752" s="3"/>
      <c r="O752" s="3"/>
      <c r="P752" s="5"/>
      <c r="Q752" s="160">
        <v>43970</v>
      </c>
      <c r="R752" s="12">
        <v>2.3366666666666664</v>
      </c>
      <c r="S752" s="19">
        <v>25.453333333333333</v>
      </c>
      <c r="T752" s="12">
        <v>0.25233333333333335</v>
      </c>
      <c r="U752" s="12">
        <v>0.31</v>
      </c>
      <c r="V752" s="12"/>
      <c r="W752" s="12"/>
    </row>
    <row r="753" spans="3:23" x14ac:dyDescent="0.25">
      <c r="C753" s="3"/>
      <c r="D753" s="3"/>
      <c r="G753" s="3"/>
      <c r="H753" s="3"/>
      <c r="I753" s="3"/>
      <c r="J753" s="3"/>
      <c r="K753" s="3"/>
      <c r="L753" s="40"/>
      <c r="M753" s="3"/>
      <c r="N753" s="3"/>
      <c r="O753" s="3"/>
      <c r="P753" s="5"/>
      <c r="Q753" s="156">
        <v>44002</v>
      </c>
      <c r="R753" s="12">
        <v>5.0233333333333334</v>
      </c>
      <c r="S753" s="19">
        <v>31.036666666666665</v>
      </c>
      <c r="T753" s="12">
        <v>0.40300000000000002</v>
      </c>
      <c r="U753" s="12">
        <v>0.1466666666666667</v>
      </c>
      <c r="V753" s="12"/>
      <c r="W753" s="12"/>
    </row>
    <row r="754" spans="3:23" x14ac:dyDescent="0.25">
      <c r="C754" s="3"/>
      <c r="D754" s="3"/>
      <c r="G754" s="3"/>
      <c r="H754" s="3"/>
      <c r="I754" s="3"/>
      <c r="J754" s="3"/>
      <c r="K754" s="3"/>
      <c r="L754" s="40"/>
      <c r="M754" s="3"/>
      <c r="N754" s="3"/>
      <c r="O754" s="3"/>
      <c r="P754" s="5"/>
      <c r="Q754" s="156">
        <v>44008</v>
      </c>
      <c r="R754" s="12">
        <v>4.9266666666666667</v>
      </c>
      <c r="S754" s="19">
        <v>31.429999999999996</v>
      </c>
      <c r="T754" s="12">
        <v>0.39599999999999996</v>
      </c>
      <c r="U754" s="12">
        <v>0.45333333333333331</v>
      </c>
      <c r="V754" s="12"/>
      <c r="W754" s="12"/>
    </row>
    <row r="755" spans="3:23" x14ac:dyDescent="0.25">
      <c r="C755" s="3"/>
      <c r="D755" s="3"/>
      <c r="G755" s="3"/>
      <c r="H755" s="3"/>
      <c r="I755" s="3"/>
      <c r="J755" s="3"/>
      <c r="K755" s="3"/>
      <c r="L755" s="40"/>
      <c r="M755" s="3"/>
      <c r="N755" s="3"/>
      <c r="O755" s="3"/>
      <c r="P755" s="5"/>
      <c r="Q755" s="156">
        <v>44012</v>
      </c>
      <c r="R755" s="12">
        <v>2.81</v>
      </c>
      <c r="S755" s="19">
        <v>28.743333333333329</v>
      </c>
      <c r="T755" s="12">
        <v>0.39266666666666666</v>
      </c>
      <c r="U755" s="12">
        <v>0.53666666666666674</v>
      </c>
      <c r="V755" s="12"/>
      <c r="W755" s="12"/>
    </row>
    <row r="756" spans="3:23" x14ac:dyDescent="0.25">
      <c r="C756" s="3"/>
      <c r="D756" s="3"/>
      <c r="G756" s="3"/>
      <c r="H756" s="3"/>
      <c r="I756" s="3"/>
      <c r="J756" s="3"/>
      <c r="K756" s="3"/>
      <c r="L756" s="40"/>
      <c r="M756" s="3"/>
      <c r="N756" s="3"/>
      <c r="O756" s="3"/>
      <c r="P756" s="5"/>
      <c r="Q756" s="156">
        <v>44019</v>
      </c>
      <c r="R756" s="12">
        <v>5.626666666666666</v>
      </c>
      <c r="S756" s="19">
        <v>31.563333333333333</v>
      </c>
      <c r="T756" s="12">
        <v>0.39466666666666667</v>
      </c>
      <c r="U756" s="12">
        <v>1.2133333333333336</v>
      </c>
      <c r="V756" s="12"/>
      <c r="W756" s="12"/>
    </row>
    <row r="757" spans="3:23" x14ac:dyDescent="0.25">
      <c r="C757" s="3"/>
      <c r="D757" s="3"/>
      <c r="G757" s="3"/>
      <c r="H757" s="3"/>
      <c r="I757" s="3"/>
      <c r="J757" s="3"/>
      <c r="K757" s="3"/>
      <c r="L757" s="40"/>
      <c r="M757" s="3"/>
      <c r="N757" s="3"/>
      <c r="O757" s="3"/>
      <c r="P757" s="5"/>
      <c r="Q757" s="156">
        <v>44028</v>
      </c>
      <c r="R757" s="12">
        <v>3.0499999999999994</v>
      </c>
      <c r="S757" s="19">
        <v>24.693333333333339</v>
      </c>
      <c r="T757" s="12">
        <v>0.41733333333333333</v>
      </c>
      <c r="U757" s="12">
        <v>2.3633333333333333</v>
      </c>
      <c r="V757" s="12"/>
      <c r="W757" s="12"/>
    </row>
    <row r="758" spans="3:23" x14ac:dyDescent="0.25">
      <c r="C758" s="3"/>
      <c r="D758" s="3"/>
      <c r="G758" s="3"/>
      <c r="H758" s="3"/>
      <c r="I758" s="3"/>
      <c r="J758" s="3"/>
      <c r="K758" s="3"/>
      <c r="L758" s="40"/>
      <c r="M758" s="3"/>
      <c r="N758" s="3"/>
      <c r="O758" s="3"/>
      <c r="P758" s="5"/>
      <c r="Q758" s="156">
        <v>44033</v>
      </c>
      <c r="R758" s="12">
        <v>4.083333333333333</v>
      </c>
      <c r="S758" s="19">
        <v>29.233333333333334</v>
      </c>
      <c r="T758" s="12">
        <v>0.40933333333333333</v>
      </c>
      <c r="U758" s="12">
        <v>3.2133333333333334</v>
      </c>
      <c r="V758" s="12"/>
      <c r="W758" s="12"/>
    </row>
    <row r="759" spans="3:23" x14ac:dyDescent="0.25">
      <c r="C759" s="3"/>
      <c r="D759" s="3"/>
      <c r="G759" s="3"/>
      <c r="H759" s="3"/>
      <c r="I759" s="3"/>
      <c r="J759" s="3"/>
      <c r="K759" s="3"/>
      <c r="L759" s="40"/>
      <c r="M759" s="3"/>
      <c r="N759" s="3"/>
      <c r="O759" s="3"/>
      <c r="P759" s="5"/>
      <c r="Q759" s="156">
        <v>44041</v>
      </c>
      <c r="R759" s="12">
        <v>5.23</v>
      </c>
      <c r="S759" s="19">
        <v>27.703333333333333</v>
      </c>
      <c r="T759" s="12">
        <v>0.37266666666666665</v>
      </c>
      <c r="U759" s="12">
        <v>4.6400000000000006</v>
      </c>
      <c r="V759" s="12"/>
      <c r="W759" s="12"/>
    </row>
    <row r="760" spans="3:23" x14ac:dyDescent="0.25">
      <c r="C760" s="3"/>
      <c r="D760" s="3"/>
      <c r="G760" s="3"/>
      <c r="H760" s="3"/>
      <c r="I760" s="3"/>
      <c r="J760" s="3"/>
      <c r="K760" s="3"/>
      <c r="L760" s="40"/>
      <c r="M760" s="3"/>
      <c r="N760" s="3"/>
      <c r="O760" s="3"/>
      <c r="P760" s="5"/>
      <c r="Q760" s="156">
        <v>44047</v>
      </c>
      <c r="R760" s="12">
        <v>6.27</v>
      </c>
      <c r="S760" s="19">
        <v>30.36</v>
      </c>
      <c r="T760" s="12">
        <v>0.28633333333333333</v>
      </c>
      <c r="U760" s="12">
        <v>5.9533333333333331</v>
      </c>
      <c r="V760" s="12"/>
      <c r="W760" s="12"/>
    </row>
    <row r="761" spans="3:23" x14ac:dyDescent="0.25">
      <c r="C761" s="3"/>
      <c r="D761" s="3"/>
      <c r="G761" s="3"/>
      <c r="H761" s="3"/>
      <c r="I761" s="3"/>
      <c r="J761" s="3"/>
      <c r="K761" s="3"/>
      <c r="L761" s="40"/>
      <c r="M761" s="3"/>
      <c r="N761" s="3"/>
      <c r="O761" s="3"/>
      <c r="P761" s="5"/>
      <c r="Q761" s="156">
        <v>44054</v>
      </c>
      <c r="R761" s="12">
        <v>4.913333333333334</v>
      </c>
      <c r="S761" s="19">
        <v>29.863333333333333</v>
      </c>
      <c r="T761" s="12">
        <v>0.39533333333333331</v>
      </c>
      <c r="U761" s="12">
        <v>5.126666666666666</v>
      </c>
      <c r="V761" s="12"/>
      <c r="W761" s="12"/>
    </row>
    <row r="762" spans="3:23" x14ac:dyDescent="0.25">
      <c r="C762" s="3"/>
      <c r="D762" s="3"/>
      <c r="G762" s="3"/>
      <c r="H762" s="3"/>
      <c r="I762" s="3"/>
      <c r="J762" s="3"/>
      <c r="K762" s="3"/>
      <c r="L762" s="40"/>
      <c r="M762" s="3"/>
      <c r="N762" s="3"/>
      <c r="O762" s="3"/>
      <c r="P762" s="5"/>
      <c r="Q762" s="156">
        <v>44061</v>
      </c>
      <c r="R762" s="12">
        <v>5.543333333333333</v>
      </c>
      <c r="S762" s="19">
        <v>32.32</v>
      </c>
      <c r="T762" s="12">
        <v>0.31766666666666671</v>
      </c>
      <c r="U762" s="12">
        <v>5.1966666666666663</v>
      </c>
      <c r="V762" s="12"/>
      <c r="W762" s="12"/>
    </row>
    <row r="763" spans="3:23" x14ac:dyDescent="0.25">
      <c r="C763" s="3"/>
      <c r="D763" s="3"/>
      <c r="G763" s="3"/>
      <c r="H763" s="3"/>
      <c r="I763" s="3"/>
      <c r="J763" s="3"/>
      <c r="K763" s="3"/>
      <c r="L763" s="40"/>
      <c r="M763" s="3"/>
      <c r="N763" s="3"/>
      <c r="O763" s="3"/>
      <c r="P763" s="5"/>
      <c r="Q763" s="156">
        <v>44068</v>
      </c>
      <c r="R763" s="12">
        <v>4.6033333333333326</v>
      </c>
      <c r="S763" s="19">
        <v>29.62</v>
      </c>
      <c r="T763" s="12">
        <v>0.33733333333333332</v>
      </c>
      <c r="U763" s="12">
        <v>5.0466666666666669</v>
      </c>
      <c r="V763" s="12"/>
      <c r="W763" s="12"/>
    </row>
    <row r="764" spans="3:23" x14ac:dyDescent="0.25">
      <c r="C764" s="3"/>
      <c r="D764" s="3"/>
      <c r="G764" s="3"/>
      <c r="H764" s="3"/>
      <c r="I764" s="3"/>
      <c r="J764" s="3"/>
      <c r="K764" s="3"/>
      <c r="L764" s="40"/>
      <c r="M764" s="3"/>
      <c r="N764" s="3"/>
      <c r="O764" s="3"/>
      <c r="P764" s="5"/>
      <c r="Q764" s="156">
        <v>44076</v>
      </c>
      <c r="R764" s="12">
        <v>2.59</v>
      </c>
      <c r="S764" s="19">
        <v>28.533333333333331</v>
      </c>
      <c r="T764" s="12">
        <v>0.45900000000000002</v>
      </c>
      <c r="U764" s="12">
        <v>3.5666666666666664</v>
      </c>
      <c r="V764" s="12"/>
      <c r="W764" s="12"/>
    </row>
    <row r="765" spans="3:23" x14ac:dyDescent="0.25">
      <c r="C765" s="3"/>
      <c r="D765" s="3"/>
      <c r="G765" s="3"/>
      <c r="H765" s="3"/>
      <c r="I765" s="3"/>
      <c r="J765" s="3"/>
      <c r="K765" s="3"/>
      <c r="L765" s="40"/>
      <c r="M765" s="3"/>
      <c r="N765" s="3"/>
      <c r="O765" s="3"/>
      <c r="P765" s="5"/>
      <c r="Q765" s="156">
        <v>44082</v>
      </c>
      <c r="R765" s="12">
        <v>4.6733333333333329</v>
      </c>
      <c r="S765" s="19">
        <v>28.863333333333333</v>
      </c>
      <c r="T765" s="12">
        <v>0.27166666666666667</v>
      </c>
      <c r="U765" s="12">
        <v>2.3266666666666667</v>
      </c>
      <c r="V765" s="12"/>
      <c r="W765" s="12"/>
    </row>
    <row r="766" spans="3:23" x14ac:dyDescent="0.25">
      <c r="C766" s="3"/>
      <c r="D766" s="3"/>
      <c r="G766" s="3"/>
      <c r="H766" s="3"/>
      <c r="I766" s="3"/>
      <c r="J766" s="3"/>
      <c r="K766" s="3"/>
      <c r="L766" s="40"/>
      <c r="M766" s="3"/>
      <c r="N766" s="3"/>
      <c r="O766" s="3"/>
      <c r="P766" s="5"/>
      <c r="Q766" s="156">
        <v>44089</v>
      </c>
      <c r="R766" s="12">
        <v>2.706666666666667</v>
      </c>
      <c r="S766" s="19">
        <v>25.783333333333331</v>
      </c>
      <c r="T766" s="12">
        <v>0.15833333333333333</v>
      </c>
      <c r="U766" s="12">
        <v>1.2266666666666666</v>
      </c>
      <c r="V766" s="12"/>
      <c r="W766" s="12"/>
    </row>
    <row r="767" spans="3:23" x14ac:dyDescent="0.25">
      <c r="C767" s="3"/>
      <c r="D767" s="3"/>
      <c r="G767" s="3"/>
      <c r="H767" s="3"/>
      <c r="I767" s="3"/>
      <c r="J767" s="3"/>
      <c r="K767" s="3"/>
      <c r="L767" s="40"/>
      <c r="M767" s="3"/>
      <c r="N767" s="3"/>
      <c r="O767" s="3"/>
      <c r="P767" s="5"/>
      <c r="Q767" s="156">
        <v>44098</v>
      </c>
      <c r="R767" s="12">
        <v>2.6199999999999997</v>
      </c>
      <c r="S767" s="19">
        <v>24.290000000000003</v>
      </c>
      <c r="T767" s="12">
        <v>0.3136666666666667</v>
      </c>
      <c r="U767" s="12">
        <v>0.83666666666666678</v>
      </c>
      <c r="V767" s="12"/>
      <c r="W767" s="12"/>
    </row>
    <row r="768" spans="3:23" x14ac:dyDescent="0.25">
      <c r="C768" s="3"/>
      <c r="D768" s="3"/>
      <c r="G768" s="3"/>
      <c r="H768" s="3"/>
      <c r="I768" s="3"/>
      <c r="J768" s="3"/>
      <c r="K768" s="3"/>
      <c r="L768" s="40"/>
      <c r="M768" s="3"/>
      <c r="N768" s="3"/>
      <c r="O768" s="3"/>
      <c r="P768" s="5"/>
      <c r="Q768" s="157">
        <v>44103</v>
      </c>
      <c r="R768" s="12">
        <v>1.9466666666666665</v>
      </c>
      <c r="S768" s="19">
        <v>24.743333333333336</v>
      </c>
      <c r="T768" s="12">
        <v>0.27566666666666667</v>
      </c>
      <c r="U768" s="12">
        <v>0.55000000000000004</v>
      </c>
      <c r="V768" s="12"/>
      <c r="W768" s="12"/>
    </row>
    <row r="769" spans="1:23" x14ac:dyDescent="0.25">
      <c r="C769" s="3"/>
      <c r="D769" s="3"/>
      <c r="G769" s="3"/>
      <c r="H769" s="3"/>
      <c r="I769" s="3"/>
      <c r="J769" s="3"/>
      <c r="K769" s="3"/>
      <c r="L769" s="40"/>
      <c r="M769" s="3"/>
      <c r="N769" s="3"/>
      <c r="O769" s="3"/>
      <c r="P769" s="5"/>
      <c r="Q769" s="156">
        <v>44110</v>
      </c>
      <c r="R769" s="12">
        <v>1.7366666666666666</v>
      </c>
      <c r="S769" s="19">
        <v>20.153333333333332</v>
      </c>
      <c r="T769" s="12">
        <v>0.35200000000000004</v>
      </c>
      <c r="U769" s="12">
        <v>0.48333333333333334</v>
      </c>
      <c r="V769" s="12"/>
      <c r="W769" s="12"/>
    </row>
    <row r="770" spans="1:23" x14ac:dyDescent="0.25">
      <c r="C770" s="3"/>
      <c r="D770" s="3"/>
      <c r="G770" s="3"/>
      <c r="H770" s="3"/>
      <c r="I770" s="3"/>
      <c r="J770" s="3"/>
      <c r="K770" s="3"/>
      <c r="L770" s="40"/>
      <c r="M770" s="3"/>
      <c r="N770" s="3"/>
      <c r="O770" s="3"/>
      <c r="P770" s="5"/>
      <c r="Q770" s="157">
        <v>44117</v>
      </c>
      <c r="R770" s="12">
        <v>1.89</v>
      </c>
      <c r="S770" s="19">
        <v>22.216666666666669</v>
      </c>
      <c r="T770" s="12">
        <v>0.23899999999999999</v>
      </c>
      <c r="U770" s="12">
        <v>0.3666666666666667</v>
      </c>
      <c r="V770" s="12"/>
      <c r="W770" s="12"/>
    </row>
    <row r="771" spans="1:23" x14ac:dyDescent="0.25">
      <c r="C771" s="3"/>
      <c r="D771" s="3"/>
      <c r="G771" s="3"/>
      <c r="H771" s="3"/>
      <c r="I771" s="3"/>
      <c r="J771" s="3"/>
      <c r="K771" s="3"/>
      <c r="L771" s="40"/>
      <c r="M771" s="3"/>
      <c r="N771" s="3"/>
      <c r="O771" s="3"/>
      <c r="P771" s="5"/>
      <c r="Q771" s="156">
        <v>44122</v>
      </c>
      <c r="R771" s="12">
        <v>2.3466666666666698</v>
      </c>
      <c r="S771" s="19">
        <v>18.33666666666667</v>
      </c>
      <c r="T771" s="12">
        <v>0.32033333333333336</v>
      </c>
      <c r="U771" s="12">
        <v>0.24333333333333332</v>
      </c>
      <c r="V771" s="12"/>
      <c r="W771" s="12"/>
    </row>
    <row r="772" spans="1:23" x14ac:dyDescent="0.25">
      <c r="A772" s="6"/>
      <c r="B772" s="6" t="s">
        <v>89</v>
      </c>
      <c r="C772" s="11">
        <v>32.200000000000003</v>
      </c>
      <c r="D772" s="11">
        <v>118.7</v>
      </c>
      <c r="E772" s="6" t="s">
        <v>27</v>
      </c>
      <c r="F772" s="6" t="s">
        <v>132</v>
      </c>
      <c r="G772" s="11">
        <v>1.2856000000000001</v>
      </c>
      <c r="H772" s="11">
        <v>17.696190000000001</v>
      </c>
      <c r="I772" s="11">
        <f>6.525*0.98*1.54*0.2</f>
        <v>1.9695060000000002</v>
      </c>
      <c r="J772" s="7">
        <f>0.92*0.98*0.2*1.54</f>
        <v>0.27769280000000007</v>
      </c>
      <c r="K772" s="11">
        <f>I772/J772</f>
        <v>7.0923913043478253</v>
      </c>
      <c r="L772" s="14">
        <v>1.54</v>
      </c>
      <c r="M772" s="44">
        <f>9.353*EXP(-0.023*H772-0.622*L772-0.182*J772-0.009*K772)*(I772/(I772+0.567))</f>
        <v>1.654383401782469</v>
      </c>
      <c r="N772" s="44">
        <f>LN(M772)/10</f>
        <v>5.0342837250992589E-2</v>
      </c>
      <c r="O772" s="44">
        <f>4.3573*EXP(-1.002*M772)</f>
        <v>0.8304068072036298</v>
      </c>
      <c r="P772" s="10"/>
      <c r="Q772" s="158">
        <v>43782</v>
      </c>
      <c r="R772" s="13">
        <v>3.0466666666666669</v>
      </c>
      <c r="S772" s="25">
        <v>23.24</v>
      </c>
      <c r="T772" s="13">
        <v>0.23633333333333337</v>
      </c>
      <c r="U772" s="13"/>
      <c r="V772" s="13"/>
      <c r="W772" s="13"/>
    </row>
    <row r="773" spans="1:23" x14ac:dyDescent="0.25">
      <c r="C773" s="3"/>
      <c r="D773" s="3"/>
      <c r="G773" s="3"/>
      <c r="H773" s="4"/>
      <c r="I773" s="4"/>
      <c r="J773" s="4"/>
      <c r="K773" s="3"/>
      <c r="L773" s="40"/>
      <c r="M773" s="8"/>
      <c r="N773" s="8"/>
      <c r="O773" s="80"/>
      <c r="P773" s="22"/>
      <c r="Q773" s="159">
        <v>43788</v>
      </c>
      <c r="R773" s="15">
        <v>1.3133333333333332</v>
      </c>
      <c r="S773" s="26">
        <v>17.056666666666668</v>
      </c>
      <c r="T773" s="15">
        <v>0.26600000000000001</v>
      </c>
      <c r="U773" s="15">
        <v>0.11666666666666668</v>
      </c>
      <c r="V773" s="15"/>
      <c r="W773" s="15"/>
    </row>
    <row r="774" spans="1:23" x14ac:dyDescent="0.25">
      <c r="C774" s="3"/>
      <c r="D774" s="3"/>
      <c r="E774" s="82"/>
      <c r="F774" s="82"/>
      <c r="G774" s="3"/>
      <c r="H774" s="4"/>
      <c r="I774" s="4"/>
      <c r="J774" s="4"/>
      <c r="K774" s="3"/>
      <c r="L774" s="40"/>
      <c r="N774" s="80"/>
      <c r="O774" s="80"/>
      <c r="P774" s="5"/>
      <c r="Q774" s="159">
        <v>43797</v>
      </c>
      <c r="R774" s="12">
        <v>1.1433333333333333</v>
      </c>
      <c r="S774" s="19">
        <v>12.896666666666667</v>
      </c>
      <c r="T774" s="12">
        <v>0.18200000000000002</v>
      </c>
      <c r="U774" s="12">
        <v>0.19000000000000003</v>
      </c>
      <c r="V774" s="12"/>
      <c r="W774" s="12"/>
    </row>
    <row r="775" spans="1:23" x14ac:dyDescent="0.25">
      <c r="C775" s="3"/>
      <c r="D775" s="3"/>
      <c r="E775" s="82"/>
      <c r="F775" s="82"/>
      <c r="G775" s="3"/>
      <c r="H775" s="4"/>
      <c r="I775" s="4"/>
      <c r="J775" s="4"/>
      <c r="K775" s="3"/>
      <c r="L775" s="40"/>
      <c r="M775" s="85"/>
      <c r="N775" s="85"/>
      <c r="O775" s="85"/>
      <c r="P775" s="5"/>
      <c r="Q775" s="160">
        <v>43804</v>
      </c>
      <c r="R775" s="12">
        <v>0.52333333333333332</v>
      </c>
      <c r="S775" s="19">
        <v>13</v>
      </c>
      <c r="T775" s="12">
        <v>0.28666666666666668</v>
      </c>
      <c r="U775" s="12">
        <v>0.4433333333333333</v>
      </c>
      <c r="V775" s="12"/>
      <c r="W775" s="12"/>
    </row>
    <row r="776" spans="1:23" x14ac:dyDescent="0.25">
      <c r="C776" s="3"/>
      <c r="D776" s="3"/>
      <c r="G776" s="3"/>
      <c r="H776" s="3"/>
      <c r="I776" s="3"/>
      <c r="J776" s="3"/>
      <c r="K776" s="3"/>
      <c r="L776" s="40"/>
      <c r="M776" s="3"/>
      <c r="N776" s="3"/>
      <c r="O776" s="3"/>
      <c r="P776" s="5"/>
      <c r="Q776" s="159">
        <v>43812</v>
      </c>
      <c r="R776" s="12">
        <v>0.86666666666666659</v>
      </c>
      <c r="S776" s="19">
        <v>13.64</v>
      </c>
      <c r="T776" s="12">
        <v>0.19866666666666669</v>
      </c>
      <c r="U776" s="12">
        <v>0.79666666666666652</v>
      </c>
      <c r="V776" s="12"/>
      <c r="W776" s="12"/>
    </row>
    <row r="777" spans="1:23" x14ac:dyDescent="0.25">
      <c r="C777" s="3"/>
      <c r="D777" s="3"/>
      <c r="G777" s="3"/>
      <c r="H777" s="3"/>
      <c r="I777" s="3"/>
      <c r="J777" s="3"/>
      <c r="K777" s="3"/>
      <c r="L777" s="40"/>
      <c r="M777" s="3"/>
      <c r="N777" s="3"/>
      <c r="O777" s="3"/>
      <c r="P777" s="5"/>
      <c r="Q777" s="159">
        <v>43818</v>
      </c>
      <c r="R777" s="12">
        <v>0.8666666666666667</v>
      </c>
      <c r="S777" s="19">
        <v>10.986666666666666</v>
      </c>
      <c r="T777" s="12">
        <v>0.29666666666666663</v>
      </c>
      <c r="U777" s="12">
        <v>1.0733333333333333</v>
      </c>
      <c r="V777" s="12"/>
      <c r="W777" s="12"/>
    </row>
    <row r="778" spans="1:23" x14ac:dyDescent="0.25">
      <c r="C778" s="3"/>
      <c r="D778" s="3"/>
      <c r="G778" s="3"/>
      <c r="H778" s="3"/>
      <c r="I778" s="3"/>
      <c r="J778" s="3"/>
      <c r="K778" s="3"/>
      <c r="L778" s="40"/>
      <c r="M778" s="3"/>
      <c r="N778" s="3"/>
      <c r="O778" s="3"/>
      <c r="P778" s="5"/>
      <c r="Q778" s="159">
        <v>43826</v>
      </c>
      <c r="R778" s="12">
        <v>0.62333333333333341</v>
      </c>
      <c r="S778" s="19">
        <v>9.24</v>
      </c>
      <c r="T778" s="12">
        <v>0.34800000000000003</v>
      </c>
      <c r="U778" s="12"/>
      <c r="V778" s="12"/>
      <c r="W778" s="12"/>
    </row>
    <row r="779" spans="1:23" x14ac:dyDescent="0.25">
      <c r="C779" s="3"/>
      <c r="D779" s="3"/>
      <c r="G779" s="3"/>
      <c r="H779" s="3"/>
      <c r="I779" s="3"/>
      <c r="J779" s="3"/>
      <c r="K779" s="3"/>
      <c r="L779" s="40"/>
      <c r="M779" s="3"/>
      <c r="N779" s="3"/>
      <c r="O779" s="3"/>
      <c r="P779" s="5"/>
      <c r="Q779" s="160">
        <v>43831</v>
      </c>
      <c r="R779" s="12">
        <v>0.85</v>
      </c>
      <c r="S779" s="19">
        <v>8.2733333333333334</v>
      </c>
      <c r="T779" s="12">
        <v>0.30033333333333334</v>
      </c>
      <c r="U779" s="12"/>
      <c r="V779" s="12"/>
      <c r="W779" s="12"/>
    </row>
    <row r="780" spans="1:23" x14ac:dyDescent="0.25">
      <c r="C780" s="3"/>
      <c r="D780" s="3"/>
      <c r="G780" s="3"/>
      <c r="H780" s="3"/>
      <c r="I780" s="3"/>
      <c r="J780" s="3"/>
      <c r="K780" s="3"/>
      <c r="L780" s="40"/>
      <c r="M780" s="3"/>
      <c r="N780" s="3"/>
      <c r="O780" s="3"/>
      <c r="P780" s="5"/>
      <c r="Q780" s="160">
        <v>43842</v>
      </c>
      <c r="R780" s="12">
        <v>0.6166666666666667</v>
      </c>
      <c r="S780" s="19">
        <v>9.3899999999999988</v>
      </c>
      <c r="T780" s="12">
        <v>0.3666666666666667</v>
      </c>
      <c r="U780" s="12"/>
      <c r="V780" s="12"/>
      <c r="W780" s="12"/>
    </row>
    <row r="781" spans="1:23" x14ac:dyDescent="0.25">
      <c r="C781" s="3"/>
      <c r="D781" s="3"/>
      <c r="G781" s="3"/>
      <c r="H781" s="3"/>
      <c r="I781" s="3"/>
      <c r="J781" s="3"/>
      <c r="K781" s="3"/>
      <c r="L781" s="40"/>
      <c r="M781" s="3"/>
      <c r="N781" s="3"/>
      <c r="O781" s="3"/>
      <c r="P781" s="5"/>
      <c r="Q781" s="160">
        <v>43847</v>
      </c>
      <c r="R781" s="12">
        <v>0.49666666666666665</v>
      </c>
      <c r="S781" s="19">
        <v>8.6333333333333346</v>
      </c>
      <c r="T781" s="12">
        <v>0.375</v>
      </c>
      <c r="U781" s="12"/>
      <c r="V781" s="12"/>
      <c r="W781" s="12"/>
    </row>
    <row r="782" spans="1:23" x14ac:dyDescent="0.25">
      <c r="C782" s="3"/>
      <c r="D782" s="3"/>
      <c r="G782" s="3"/>
      <c r="H782" s="3"/>
      <c r="I782" s="3"/>
      <c r="J782" s="3"/>
      <c r="K782" s="3"/>
      <c r="L782" s="40"/>
      <c r="M782" s="3"/>
      <c r="N782" s="3"/>
      <c r="O782" s="3"/>
      <c r="P782" s="5"/>
      <c r="Q782" s="159">
        <v>43934</v>
      </c>
      <c r="R782" s="12">
        <v>1.6566666666666665</v>
      </c>
      <c r="S782" s="19">
        <v>18.23</v>
      </c>
      <c r="T782" s="12">
        <v>0.14266666666666669</v>
      </c>
      <c r="U782" s="12">
        <v>1.7466666666666668</v>
      </c>
      <c r="V782" s="12"/>
      <c r="W782" s="12"/>
    </row>
    <row r="783" spans="1:23" x14ac:dyDescent="0.25">
      <c r="C783" s="3"/>
      <c r="D783" s="3"/>
      <c r="G783" s="3"/>
      <c r="H783" s="3"/>
      <c r="I783" s="3"/>
      <c r="J783" s="3"/>
      <c r="K783" s="3"/>
      <c r="L783" s="40"/>
      <c r="M783" s="3"/>
      <c r="N783" s="3"/>
      <c r="O783" s="3"/>
      <c r="P783" s="5"/>
      <c r="Q783" s="160">
        <v>43938</v>
      </c>
      <c r="R783" s="12">
        <v>3.0166666666666671</v>
      </c>
      <c r="S783" s="19">
        <v>19.516666666666666</v>
      </c>
      <c r="T783" s="12">
        <v>5.0333333333333341E-2</v>
      </c>
      <c r="U783" s="12">
        <v>2.36</v>
      </c>
      <c r="V783" s="12"/>
      <c r="W783" s="12"/>
    </row>
    <row r="784" spans="1:23" x14ac:dyDescent="0.25">
      <c r="C784" s="3"/>
      <c r="D784" s="3"/>
      <c r="G784" s="3"/>
      <c r="H784" s="3"/>
      <c r="I784" s="3"/>
      <c r="J784" s="3"/>
      <c r="K784" s="3"/>
      <c r="L784" s="40"/>
      <c r="M784" s="3"/>
      <c r="N784" s="3"/>
      <c r="O784" s="3"/>
      <c r="P784" s="5"/>
      <c r="Q784" s="159">
        <v>43943</v>
      </c>
      <c r="R784" s="12">
        <v>2.313333333333333</v>
      </c>
      <c r="S784" s="19">
        <v>21.51</v>
      </c>
      <c r="T784" s="12">
        <v>0.32733333333333331</v>
      </c>
      <c r="U784" s="12">
        <v>2.8366666666666664</v>
      </c>
      <c r="V784" s="12"/>
      <c r="W784" s="12"/>
    </row>
    <row r="785" spans="3:23" x14ac:dyDescent="0.25">
      <c r="C785" s="3"/>
      <c r="D785" s="3"/>
      <c r="G785" s="3"/>
      <c r="H785" s="3"/>
      <c r="I785" s="3"/>
      <c r="J785" s="3"/>
      <c r="K785" s="3"/>
      <c r="L785" s="40"/>
      <c r="M785" s="3"/>
      <c r="N785" s="3"/>
      <c r="O785" s="3"/>
      <c r="P785" s="5"/>
      <c r="Q785" s="159">
        <v>43946</v>
      </c>
      <c r="R785" s="12">
        <v>2.0166666666666666</v>
      </c>
      <c r="S785" s="19">
        <v>23.553333333333331</v>
      </c>
      <c r="T785" s="12">
        <v>0.152</v>
      </c>
      <c r="U785" s="12">
        <v>3.5199999999999996</v>
      </c>
      <c r="V785" s="12"/>
      <c r="W785" s="12"/>
    </row>
    <row r="786" spans="3:23" x14ac:dyDescent="0.25">
      <c r="C786" s="3"/>
      <c r="D786" s="3"/>
      <c r="G786" s="3"/>
      <c r="H786" s="3"/>
      <c r="I786" s="3"/>
      <c r="J786" s="3"/>
      <c r="K786" s="3"/>
      <c r="L786" s="40"/>
      <c r="M786" s="3"/>
      <c r="N786" s="3"/>
      <c r="O786" s="3"/>
      <c r="P786" s="5"/>
      <c r="Q786" s="159">
        <v>43949</v>
      </c>
      <c r="R786" s="12">
        <v>2.27</v>
      </c>
      <c r="S786" s="19">
        <v>28.503333333333334</v>
      </c>
      <c r="T786" s="12">
        <v>9.2666666666666675E-2</v>
      </c>
      <c r="U786" s="12">
        <v>3.7466666666666666</v>
      </c>
      <c r="V786" s="12"/>
      <c r="W786" s="12"/>
    </row>
    <row r="787" spans="3:23" x14ac:dyDescent="0.25">
      <c r="C787" s="3"/>
      <c r="D787" s="3"/>
      <c r="G787" s="3"/>
      <c r="H787" s="3"/>
      <c r="I787" s="3"/>
      <c r="J787" s="3"/>
      <c r="K787" s="3"/>
      <c r="L787" s="40"/>
      <c r="M787" s="3"/>
      <c r="N787" s="3"/>
      <c r="O787" s="3"/>
      <c r="P787" s="5"/>
      <c r="Q787" s="159">
        <v>43951</v>
      </c>
      <c r="R787" s="12">
        <v>2.1</v>
      </c>
      <c r="S787" s="19">
        <v>27.633333333333336</v>
      </c>
      <c r="T787" s="12">
        <v>0.13066666666666668</v>
      </c>
      <c r="U787" s="12">
        <v>3.7733333333333334</v>
      </c>
      <c r="V787" s="12"/>
      <c r="W787" s="12"/>
    </row>
    <row r="788" spans="3:23" x14ac:dyDescent="0.25">
      <c r="C788" s="3"/>
      <c r="D788" s="3"/>
      <c r="G788" s="3"/>
      <c r="H788" s="3"/>
      <c r="I788" s="3"/>
      <c r="J788" s="3"/>
      <c r="K788" s="3"/>
      <c r="L788" s="40"/>
      <c r="M788" s="3"/>
      <c r="N788" s="3"/>
      <c r="O788" s="3"/>
      <c r="P788" s="5"/>
      <c r="Q788" s="159">
        <v>43955</v>
      </c>
      <c r="R788" s="12">
        <v>2.2600000000000002</v>
      </c>
      <c r="S788" s="19">
        <v>28.956666666666667</v>
      </c>
      <c r="T788" s="12">
        <v>0.14600000000000002</v>
      </c>
      <c r="U788" s="12">
        <v>3.2333333333333338</v>
      </c>
      <c r="V788" s="12"/>
      <c r="W788" s="12"/>
    </row>
    <row r="789" spans="3:23" x14ac:dyDescent="0.25">
      <c r="C789" s="3"/>
      <c r="D789" s="3"/>
      <c r="G789" s="3"/>
      <c r="H789" s="3"/>
      <c r="I789" s="3"/>
      <c r="J789" s="3"/>
      <c r="K789" s="3"/>
      <c r="L789" s="40"/>
      <c r="M789" s="3"/>
      <c r="N789" s="3"/>
      <c r="O789" s="3"/>
      <c r="P789" s="5"/>
      <c r="Q789" s="160">
        <v>43960</v>
      </c>
      <c r="R789" s="12">
        <v>1.7333333333333334</v>
      </c>
      <c r="S789" s="19">
        <v>21.400000000000002</v>
      </c>
      <c r="T789" s="12">
        <v>9.7000000000000017E-2</v>
      </c>
      <c r="U789" s="12">
        <v>2.98</v>
      </c>
      <c r="V789" s="12"/>
      <c r="W789" s="12"/>
    </row>
    <row r="790" spans="3:23" x14ac:dyDescent="0.25">
      <c r="C790" s="3"/>
      <c r="D790" s="3"/>
      <c r="G790" s="3"/>
      <c r="H790" s="3"/>
      <c r="I790" s="3"/>
      <c r="J790" s="3"/>
      <c r="K790" s="3"/>
      <c r="L790" s="40"/>
      <c r="M790" s="3"/>
      <c r="N790" s="3"/>
      <c r="O790" s="3"/>
      <c r="P790" s="5"/>
      <c r="Q790" s="160">
        <v>43963</v>
      </c>
      <c r="R790" s="12">
        <v>2.6333333333333333</v>
      </c>
      <c r="S790" s="19">
        <v>27.583333333333332</v>
      </c>
      <c r="T790" s="12">
        <v>0.16966666666666666</v>
      </c>
      <c r="U790" s="12">
        <v>2.523333333333333</v>
      </c>
      <c r="V790" s="12"/>
      <c r="W790" s="12"/>
    </row>
    <row r="791" spans="3:23" x14ac:dyDescent="0.25">
      <c r="C791" s="3"/>
      <c r="D791" s="3"/>
      <c r="G791" s="3"/>
      <c r="H791" s="3"/>
      <c r="I791" s="3"/>
      <c r="J791" s="3"/>
      <c r="K791" s="3"/>
      <c r="L791" s="40"/>
      <c r="M791" s="3"/>
      <c r="N791" s="3"/>
      <c r="O791" s="3"/>
      <c r="P791" s="5"/>
      <c r="Q791" s="159">
        <v>43967</v>
      </c>
      <c r="R791" s="12">
        <v>3.49</v>
      </c>
      <c r="S791" s="19">
        <v>34.093333333333334</v>
      </c>
      <c r="T791" s="12">
        <v>0.32233333333333336</v>
      </c>
      <c r="U791" s="12"/>
      <c r="V791" s="12"/>
      <c r="W791" s="12"/>
    </row>
    <row r="792" spans="3:23" x14ac:dyDescent="0.25">
      <c r="C792" s="3"/>
      <c r="D792" s="3"/>
      <c r="G792" s="3"/>
      <c r="H792" s="3"/>
      <c r="I792" s="3"/>
      <c r="J792" s="3"/>
      <c r="K792" s="3"/>
      <c r="L792" s="40"/>
      <c r="M792" s="3"/>
      <c r="N792" s="3"/>
      <c r="O792" s="3"/>
      <c r="P792" s="5"/>
      <c r="Q792" s="160">
        <v>43970</v>
      </c>
      <c r="R792" s="12">
        <v>2.7966666666666669</v>
      </c>
      <c r="S792" s="19">
        <v>26.186666666666667</v>
      </c>
      <c r="T792" s="12">
        <v>0.20499999999999999</v>
      </c>
      <c r="U792" s="12">
        <v>1.62</v>
      </c>
      <c r="V792" s="12"/>
      <c r="W792" s="12"/>
    </row>
    <row r="793" spans="3:23" x14ac:dyDescent="0.25">
      <c r="C793" s="3"/>
      <c r="D793" s="3"/>
      <c r="G793" s="3"/>
      <c r="H793" s="3"/>
      <c r="I793" s="3"/>
      <c r="J793" s="3"/>
      <c r="K793" s="3"/>
      <c r="L793" s="40"/>
      <c r="M793" s="3"/>
      <c r="N793" s="3"/>
      <c r="O793" s="3"/>
      <c r="P793" s="5"/>
      <c r="Q793" s="156">
        <v>44002</v>
      </c>
      <c r="R793" s="12">
        <v>4.7233333333333327</v>
      </c>
      <c r="S793" s="19">
        <v>30.86</v>
      </c>
      <c r="T793" s="12">
        <v>0.35833333333333334</v>
      </c>
      <c r="U793" s="12">
        <v>0.14333333333333334</v>
      </c>
      <c r="V793" s="12"/>
      <c r="W793" s="12"/>
    </row>
    <row r="794" spans="3:23" x14ac:dyDescent="0.25">
      <c r="C794" s="3"/>
      <c r="D794" s="3"/>
      <c r="G794" s="3"/>
      <c r="H794" s="3"/>
      <c r="I794" s="3"/>
      <c r="J794" s="3"/>
      <c r="K794" s="3"/>
      <c r="L794" s="40"/>
      <c r="M794" s="3"/>
      <c r="N794" s="3"/>
      <c r="O794" s="3"/>
      <c r="P794" s="5"/>
      <c r="Q794" s="156">
        <v>44008</v>
      </c>
      <c r="R794" s="12">
        <v>4.7566666666666668</v>
      </c>
      <c r="S794" s="19">
        <v>31.736666666666668</v>
      </c>
      <c r="T794" s="12">
        <v>0.31666666666666665</v>
      </c>
      <c r="U794" s="12">
        <v>0.29333333333333339</v>
      </c>
      <c r="V794" s="12"/>
      <c r="W794" s="12"/>
    </row>
    <row r="795" spans="3:23" x14ac:dyDescent="0.25">
      <c r="C795" s="3"/>
      <c r="D795" s="3"/>
      <c r="G795" s="3"/>
      <c r="H795" s="3"/>
      <c r="I795" s="3"/>
      <c r="J795" s="3"/>
      <c r="K795" s="3"/>
      <c r="L795" s="40"/>
      <c r="M795" s="3"/>
      <c r="N795" s="3"/>
      <c r="O795" s="3"/>
      <c r="P795" s="5"/>
      <c r="Q795" s="156">
        <v>44012</v>
      </c>
      <c r="R795" s="12">
        <v>5.2866666666666662</v>
      </c>
      <c r="S795" s="19">
        <v>28.546666666666667</v>
      </c>
      <c r="T795" s="12">
        <v>0.42633333333333329</v>
      </c>
      <c r="U795" s="12">
        <v>0.40666666666666668</v>
      </c>
      <c r="V795" s="12"/>
      <c r="W795" s="12"/>
    </row>
    <row r="796" spans="3:23" x14ac:dyDescent="0.25">
      <c r="C796" s="3"/>
      <c r="D796" s="3"/>
      <c r="G796" s="3"/>
      <c r="H796" s="3"/>
      <c r="I796" s="3"/>
      <c r="J796" s="3"/>
      <c r="K796" s="3"/>
      <c r="L796" s="40"/>
      <c r="M796" s="3"/>
      <c r="N796" s="3"/>
      <c r="O796" s="3"/>
      <c r="P796" s="5"/>
      <c r="Q796" s="156">
        <v>44019</v>
      </c>
      <c r="R796" s="12">
        <v>5.84</v>
      </c>
      <c r="S796" s="19">
        <v>31.643333333333334</v>
      </c>
      <c r="T796" s="12">
        <v>0.39633333333333337</v>
      </c>
      <c r="U796" s="12">
        <v>0.7533333333333333</v>
      </c>
      <c r="V796" s="12"/>
      <c r="W796" s="12"/>
    </row>
    <row r="797" spans="3:23" x14ac:dyDescent="0.25">
      <c r="C797" s="3"/>
      <c r="D797" s="3"/>
      <c r="G797" s="3"/>
      <c r="H797" s="3"/>
      <c r="I797" s="3"/>
      <c r="J797" s="3"/>
      <c r="K797" s="3"/>
      <c r="L797" s="40"/>
      <c r="M797" s="3"/>
      <c r="N797" s="3"/>
      <c r="O797" s="3"/>
      <c r="P797" s="5"/>
      <c r="Q797" s="156">
        <v>44028</v>
      </c>
      <c r="R797" s="12">
        <v>3.49</v>
      </c>
      <c r="S797" s="19">
        <v>26.676666666666666</v>
      </c>
      <c r="T797" s="12">
        <v>0.42133333333333334</v>
      </c>
      <c r="U797" s="12">
        <v>1.2266666666666666</v>
      </c>
      <c r="V797" s="12"/>
      <c r="W797" s="12"/>
    </row>
    <row r="798" spans="3:23" x14ac:dyDescent="0.25">
      <c r="C798" s="3"/>
      <c r="D798" s="3"/>
      <c r="G798" s="3"/>
      <c r="H798" s="3"/>
      <c r="I798" s="3"/>
      <c r="J798" s="3"/>
      <c r="K798" s="3"/>
      <c r="L798" s="40"/>
      <c r="M798" s="3"/>
      <c r="N798" s="3"/>
      <c r="O798" s="3"/>
      <c r="P798" s="5"/>
      <c r="Q798" s="156">
        <v>44033</v>
      </c>
      <c r="R798" s="12">
        <v>5.4533333333333331</v>
      </c>
      <c r="S798" s="19">
        <v>30.61</v>
      </c>
      <c r="T798" s="12">
        <v>0.41300000000000003</v>
      </c>
      <c r="U798" s="12">
        <v>0.74333333333333329</v>
      </c>
      <c r="V798" s="12"/>
      <c r="W798" s="12"/>
    </row>
    <row r="799" spans="3:23" x14ac:dyDescent="0.25">
      <c r="C799" s="3"/>
      <c r="D799" s="3"/>
      <c r="G799" s="3"/>
      <c r="H799" s="3"/>
      <c r="I799" s="3"/>
      <c r="J799" s="3"/>
      <c r="K799" s="3"/>
      <c r="L799" s="40"/>
      <c r="M799" s="3"/>
      <c r="N799" s="3"/>
      <c r="O799" s="3"/>
      <c r="P799" s="5"/>
      <c r="Q799" s="156">
        <v>44041</v>
      </c>
      <c r="R799" s="12">
        <v>5.19</v>
      </c>
      <c r="S799" s="19">
        <v>29.47666666666667</v>
      </c>
      <c r="T799" s="12">
        <v>0.40533333333333332</v>
      </c>
      <c r="U799" s="12">
        <v>0.52333333333333332</v>
      </c>
      <c r="V799" s="12"/>
      <c r="W799" s="12"/>
    </row>
    <row r="800" spans="3:23" x14ac:dyDescent="0.25">
      <c r="C800" s="3"/>
      <c r="D800" s="3"/>
      <c r="G800" s="3"/>
      <c r="H800" s="3"/>
      <c r="I800" s="3"/>
      <c r="J800" s="3"/>
      <c r="K800" s="3"/>
      <c r="L800" s="40"/>
      <c r="M800" s="3"/>
      <c r="N800" s="3"/>
      <c r="O800" s="3"/>
      <c r="P800" s="5"/>
      <c r="Q800" s="156">
        <v>44047</v>
      </c>
      <c r="R800" s="12">
        <v>5.6833333333333336</v>
      </c>
      <c r="S800" s="19">
        <v>33.226666666666667</v>
      </c>
      <c r="T800" s="12">
        <v>0.15833333333333333</v>
      </c>
      <c r="U800" s="12">
        <v>0.56333333333333335</v>
      </c>
      <c r="V800" s="12"/>
      <c r="W800" s="12"/>
    </row>
    <row r="801" spans="1:23" x14ac:dyDescent="0.25">
      <c r="C801" s="3"/>
      <c r="D801" s="3"/>
      <c r="G801" s="3"/>
      <c r="H801" s="3"/>
      <c r="I801" s="3"/>
      <c r="J801" s="3"/>
      <c r="K801" s="3"/>
      <c r="L801" s="40"/>
      <c r="M801" s="3"/>
      <c r="N801" s="3"/>
      <c r="O801" s="3"/>
      <c r="P801" s="5"/>
      <c r="Q801" s="156">
        <v>44054</v>
      </c>
      <c r="R801" s="12">
        <v>5.15</v>
      </c>
      <c r="S801" s="19">
        <v>32.65</v>
      </c>
      <c r="T801" s="12">
        <v>0.39600000000000007</v>
      </c>
      <c r="U801" s="12">
        <v>0.43333333333333335</v>
      </c>
      <c r="V801" s="12"/>
      <c r="W801" s="12"/>
    </row>
    <row r="802" spans="1:23" x14ac:dyDescent="0.25">
      <c r="C802" s="3"/>
      <c r="D802" s="3"/>
      <c r="G802" s="3"/>
      <c r="H802" s="3"/>
      <c r="I802" s="3"/>
      <c r="J802" s="3"/>
      <c r="K802" s="3"/>
      <c r="L802" s="40"/>
      <c r="M802" s="3"/>
      <c r="N802" s="3"/>
      <c r="O802" s="3"/>
      <c r="P802" s="5"/>
      <c r="Q802" s="156">
        <v>44061</v>
      </c>
      <c r="R802" s="12">
        <v>4.5033333333333339</v>
      </c>
      <c r="S802" s="19">
        <v>36.61</v>
      </c>
      <c r="T802" s="12">
        <v>0.18266666666666667</v>
      </c>
      <c r="U802" s="12">
        <v>1.0233333333333334</v>
      </c>
      <c r="V802" s="12"/>
      <c r="W802" s="12"/>
    </row>
    <row r="803" spans="1:23" x14ac:dyDescent="0.25">
      <c r="C803" s="3"/>
      <c r="D803" s="3"/>
      <c r="G803" s="3"/>
      <c r="H803" s="3"/>
      <c r="I803" s="3"/>
      <c r="J803" s="3"/>
      <c r="K803" s="3"/>
      <c r="L803" s="40"/>
      <c r="M803" s="3"/>
      <c r="N803" s="3"/>
      <c r="O803" s="3"/>
      <c r="P803" s="5"/>
      <c r="Q803" s="156">
        <v>44068</v>
      </c>
      <c r="R803" s="12">
        <v>5.1433333333333335</v>
      </c>
      <c r="S803" s="19">
        <v>31.546666666666667</v>
      </c>
      <c r="T803" s="12">
        <v>0.33033333333333337</v>
      </c>
      <c r="U803" s="12">
        <v>1.0766666666666667</v>
      </c>
      <c r="V803" s="12"/>
      <c r="W803" s="12"/>
    </row>
    <row r="804" spans="1:23" x14ac:dyDescent="0.25">
      <c r="C804" s="3"/>
      <c r="D804" s="3"/>
      <c r="G804" s="3"/>
      <c r="H804" s="3"/>
      <c r="I804" s="3"/>
      <c r="J804" s="3"/>
      <c r="K804" s="3"/>
      <c r="L804" s="40"/>
      <c r="M804" s="3"/>
      <c r="N804" s="3"/>
      <c r="O804" s="3"/>
      <c r="P804" s="5"/>
      <c r="Q804" s="156">
        <v>44076</v>
      </c>
      <c r="R804" s="12">
        <v>3.1433333333333331</v>
      </c>
      <c r="S804" s="19">
        <v>29.966666666666669</v>
      </c>
      <c r="T804" s="12">
        <v>0.56833333333333325</v>
      </c>
      <c r="U804" s="12">
        <v>1.2100000000000002</v>
      </c>
      <c r="V804" s="12"/>
      <c r="W804" s="12"/>
    </row>
    <row r="805" spans="1:23" x14ac:dyDescent="0.25">
      <c r="C805" s="3"/>
      <c r="D805" s="3"/>
      <c r="G805" s="3"/>
      <c r="H805" s="3"/>
      <c r="I805" s="3"/>
      <c r="J805" s="3"/>
      <c r="K805" s="3"/>
      <c r="L805" s="40"/>
      <c r="M805" s="3"/>
      <c r="N805" s="3"/>
      <c r="O805" s="3"/>
      <c r="P805" s="5"/>
      <c r="Q805" s="156">
        <v>44082</v>
      </c>
      <c r="R805" s="12">
        <v>4.4233333333333329</v>
      </c>
      <c r="S805" s="19">
        <v>31.493333333333336</v>
      </c>
      <c r="T805" s="12">
        <v>0.13433333333333333</v>
      </c>
      <c r="U805" s="12">
        <v>1.2966666666666666</v>
      </c>
      <c r="V805" s="12"/>
      <c r="W805" s="12"/>
    </row>
    <row r="806" spans="1:23" x14ac:dyDescent="0.25">
      <c r="C806" s="3"/>
      <c r="D806" s="3"/>
      <c r="G806" s="3"/>
      <c r="H806" s="3"/>
      <c r="I806" s="3"/>
      <c r="J806" s="3"/>
      <c r="K806" s="3"/>
      <c r="L806" s="40"/>
      <c r="M806" s="3"/>
      <c r="N806" s="3"/>
      <c r="O806" s="3"/>
      <c r="P806" s="5"/>
      <c r="Q806" s="156">
        <v>44089</v>
      </c>
      <c r="R806" s="12">
        <v>2.1433333333333335</v>
      </c>
      <c r="S806" s="19">
        <v>26.466666666666669</v>
      </c>
      <c r="T806" s="12">
        <v>9.4999999999999987E-2</v>
      </c>
      <c r="U806" s="12">
        <v>0.9</v>
      </c>
      <c r="V806" s="12"/>
      <c r="W806" s="12"/>
    </row>
    <row r="807" spans="1:23" x14ac:dyDescent="0.25">
      <c r="C807" s="3"/>
      <c r="D807" s="3"/>
      <c r="G807" s="3"/>
      <c r="H807" s="3"/>
      <c r="I807" s="3"/>
      <c r="J807" s="3"/>
      <c r="K807" s="3"/>
      <c r="L807" s="40"/>
      <c r="M807" s="3"/>
      <c r="N807" s="3"/>
      <c r="O807" s="3"/>
      <c r="P807" s="5"/>
      <c r="Q807" s="156">
        <v>44098</v>
      </c>
      <c r="R807" s="12">
        <v>2.7366666666666668</v>
      </c>
      <c r="S807" s="19">
        <v>25.679999999999996</v>
      </c>
      <c r="T807" s="12">
        <v>0.27099999999999996</v>
      </c>
      <c r="U807" s="12">
        <v>1.5233333333333334</v>
      </c>
      <c r="V807" s="12"/>
      <c r="W807" s="12"/>
    </row>
    <row r="808" spans="1:23" x14ac:dyDescent="0.25">
      <c r="C808" s="3"/>
      <c r="D808" s="3"/>
      <c r="G808" s="3"/>
      <c r="H808" s="3"/>
      <c r="I808" s="3"/>
      <c r="J808" s="3"/>
      <c r="K808" s="3"/>
      <c r="L808" s="40"/>
      <c r="M808" s="3"/>
      <c r="N808" s="3"/>
      <c r="O808" s="3"/>
      <c r="P808" s="5"/>
      <c r="Q808" s="157">
        <v>44103</v>
      </c>
      <c r="R808" s="12">
        <v>2.1733333333333333</v>
      </c>
      <c r="S808" s="19">
        <v>26.476666666666663</v>
      </c>
      <c r="T808" s="12">
        <v>0.17033333333333334</v>
      </c>
      <c r="U808" s="12">
        <v>1.43</v>
      </c>
      <c r="V808" s="12"/>
      <c r="W808" s="12"/>
    </row>
    <row r="809" spans="1:23" x14ac:dyDescent="0.25">
      <c r="C809" s="3"/>
      <c r="D809" s="3"/>
      <c r="G809" s="3"/>
      <c r="H809" s="3"/>
      <c r="I809" s="3"/>
      <c r="J809" s="3"/>
      <c r="K809" s="3"/>
      <c r="L809" s="40"/>
      <c r="M809" s="3"/>
      <c r="N809" s="3"/>
      <c r="O809" s="3"/>
      <c r="P809" s="5"/>
      <c r="Q809" s="156">
        <v>44110</v>
      </c>
      <c r="R809" s="12">
        <v>1.7766666666666666</v>
      </c>
      <c r="S809" s="19">
        <v>20.643333333333334</v>
      </c>
      <c r="T809" s="12">
        <v>0.31066666666666665</v>
      </c>
      <c r="U809" s="12">
        <v>2.5399999999999996</v>
      </c>
      <c r="V809" s="12"/>
      <c r="W809" s="12"/>
    </row>
    <row r="810" spans="1:23" x14ac:dyDescent="0.25">
      <c r="C810" s="3"/>
      <c r="D810" s="3"/>
      <c r="G810" s="3"/>
      <c r="H810" s="3"/>
      <c r="I810" s="3"/>
      <c r="J810" s="3"/>
      <c r="K810" s="3"/>
      <c r="L810" s="40"/>
      <c r="M810" s="3"/>
      <c r="N810" s="3"/>
      <c r="O810" s="3"/>
      <c r="P810" s="5"/>
      <c r="Q810" s="157">
        <v>44117</v>
      </c>
      <c r="R810" s="12">
        <v>2</v>
      </c>
      <c r="S810" s="19">
        <v>23.743333333333329</v>
      </c>
      <c r="T810" s="12">
        <v>0.18200000000000002</v>
      </c>
      <c r="U810" s="12">
        <v>2.1233333333333335</v>
      </c>
      <c r="V810" s="12"/>
      <c r="W810" s="12"/>
    </row>
    <row r="811" spans="1:23" x14ac:dyDescent="0.25">
      <c r="C811" s="3"/>
      <c r="D811" s="3"/>
      <c r="G811" s="3"/>
      <c r="H811" s="3"/>
      <c r="I811" s="3"/>
      <c r="J811" s="3"/>
      <c r="K811" s="3"/>
      <c r="L811" s="40"/>
      <c r="M811" s="3"/>
      <c r="N811" s="3"/>
      <c r="O811" s="3"/>
      <c r="P811" s="5"/>
      <c r="Q811" s="156">
        <v>44122</v>
      </c>
      <c r="R811" s="12">
        <v>1.45</v>
      </c>
      <c r="S811" s="19">
        <v>18.246666666666666</v>
      </c>
      <c r="T811" s="12">
        <v>0.29566666666666669</v>
      </c>
      <c r="U811" s="12">
        <v>1.4600000000000002</v>
      </c>
      <c r="V811" s="12"/>
      <c r="W811" s="12"/>
    </row>
    <row r="812" spans="1:23" x14ac:dyDescent="0.25">
      <c r="A812" s="6"/>
      <c r="B812" s="6" t="s">
        <v>89</v>
      </c>
      <c r="C812" s="11">
        <v>32.200000000000003</v>
      </c>
      <c r="D812" s="11">
        <v>118.7</v>
      </c>
      <c r="E812" s="6" t="s">
        <v>27</v>
      </c>
      <c r="F812" s="6" t="s">
        <v>133</v>
      </c>
      <c r="G812" s="11">
        <v>1.2856000000000001</v>
      </c>
      <c r="H812" s="11">
        <v>17.696190000000001</v>
      </c>
      <c r="I812" s="11">
        <f>6.525*0.98*1.54*0.2</f>
        <v>1.9695060000000002</v>
      </c>
      <c r="J812" s="7">
        <f>0.92*0.98*0.2*1.54</f>
        <v>0.27769280000000007</v>
      </c>
      <c r="K812" s="11">
        <f>I812/J812</f>
        <v>7.0923913043478253</v>
      </c>
      <c r="L812" s="14">
        <v>1.54</v>
      </c>
      <c r="M812" s="86">
        <f>9.353*EXP(-0.023*H812-0.622*L812-0.182*J812-0.009*K812)*(I812/(I812+0.567))</f>
        <v>1.654383401782469</v>
      </c>
      <c r="N812" s="11">
        <f>LN(M812)/10</f>
        <v>5.0342837250992589E-2</v>
      </c>
      <c r="O812" s="86">
        <f>4.3573*EXP(-1.002*M812)</f>
        <v>0.8304068072036298</v>
      </c>
      <c r="P812" s="10"/>
      <c r="Q812" s="158">
        <v>43782</v>
      </c>
      <c r="R812" s="13">
        <v>3.3699999999999997</v>
      </c>
      <c r="S812" s="25">
        <v>18.180000000000003</v>
      </c>
      <c r="T812" s="13">
        <v>0.26800000000000002</v>
      </c>
      <c r="U812" s="13">
        <v>3.6666666666666674E-2</v>
      </c>
      <c r="V812" s="13"/>
      <c r="W812" s="13"/>
    </row>
    <row r="813" spans="1:23" x14ac:dyDescent="0.25">
      <c r="C813" s="3"/>
      <c r="D813" s="3"/>
      <c r="G813" s="3"/>
      <c r="H813" s="4"/>
      <c r="I813" s="4"/>
      <c r="J813" s="4"/>
      <c r="K813" s="3"/>
      <c r="L813" s="40"/>
      <c r="O813" s="3"/>
      <c r="P813" s="5"/>
      <c r="Q813" s="159">
        <v>43788</v>
      </c>
      <c r="R813" s="12">
        <v>1.2366666666666666</v>
      </c>
      <c r="S813" s="19">
        <v>16.873333333333331</v>
      </c>
      <c r="T813" s="12">
        <v>0.22266666666666665</v>
      </c>
      <c r="U813" s="12">
        <v>0.08</v>
      </c>
      <c r="V813" s="12"/>
      <c r="W813" s="12"/>
    </row>
    <row r="814" spans="1:23" x14ac:dyDescent="0.25">
      <c r="C814" s="3"/>
      <c r="D814" s="3"/>
      <c r="E814" s="82"/>
      <c r="F814" s="82"/>
      <c r="G814" s="3"/>
      <c r="H814" s="4"/>
      <c r="I814" s="4"/>
      <c r="J814" s="4"/>
      <c r="K814" s="3"/>
      <c r="L814" s="40"/>
      <c r="N814" s="87"/>
      <c r="O814" s="87"/>
      <c r="P814" s="5"/>
      <c r="Q814" s="159">
        <v>43797</v>
      </c>
      <c r="R814" s="12">
        <v>1.1366666666666667</v>
      </c>
      <c r="S814" s="19">
        <v>12.976666666666667</v>
      </c>
      <c r="T814" s="12">
        <v>0.17433333333333334</v>
      </c>
      <c r="U814" s="12">
        <v>0.14333333333333334</v>
      </c>
      <c r="V814" s="12"/>
      <c r="W814" s="12"/>
    </row>
    <row r="815" spans="1:23" x14ac:dyDescent="0.25">
      <c r="C815" s="3"/>
      <c r="D815" s="3"/>
      <c r="G815" s="3"/>
      <c r="H815" s="3"/>
      <c r="I815" s="3"/>
      <c r="J815" s="3"/>
      <c r="K815" s="3"/>
      <c r="L815" s="40"/>
      <c r="M815" s="3"/>
      <c r="N815" s="3"/>
      <c r="O815" s="3"/>
      <c r="P815" s="5"/>
      <c r="Q815" s="160">
        <v>43804</v>
      </c>
      <c r="R815" s="12">
        <v>0.9</v>
      </c>
      <c r="S815" s="19">
        <v>13.226666666666667</v>
      </c>
      <c r="T815" s="12">
        <v>0.25333333333333335</v>
      </c>
      <c r="U815" s="12">
        <v>0.13666666666666669</v>
      </c>
      <c r="V815" s="12"/>
      <c r="W815" s="12"/>
    </row>
    <row r="816" spans="1:23" x14ac:dyDescent="0.25">
      <c r="C816" s="3"/>
      <c r="D816" s="3"/>
      <c r="G816" s="3"/>
      <c r="H816" s="3"/>
      <c r="I816" s="3"/>
      <c r="J816" s="3"/>
      <c r="K816" s="3"/>
      <c r="L816" s="40"/>
      <c r="M816" s="3"/>
      <c r="N816" s="3"/>
      <c r="O816" s="3"/>
      <c r="P816" s="5"/>
      <c r="Q816" s="159">
        <v>43812</v>
      </c>
      <c r="R816" s="12">
        <v>0.65333333333333332</v>
      </c>
      <c r="S816" s="19">
        <v>13.623333333333335</v>
      </c>
      <c r="T816" s="12">
        <v>0.12766666666666668</v>
      </c>
      <c r="U816" s="12">
        <v>0.17</v>
      </c>
      <c r="V816" s="12"/>
      <c r="W816" s="12"/>
    </row>
    <row r="817" spans="3:23" x14ac:dyDescent="0.25">
      <c r="C817" s="3"/>
      <c r="D817" s="3"/>
      <c r="G817" s="3"/>
      <c r="H817" s="3"/>
      <c r="I817" s="3"/>
      <c r="J817" s="3"/>
      <c r="K817" s="3"/>
      <c r="L817" s="40"/>
      <c r="M817" s="3"/>
      <c r="N817" s="3"/>
      <c r="O817" s="3"/>
      <c r="P817" s="5"/>
      <c r="Q817" s="159">
        <v>43818</v>
      </c>
      <c r="R817" s="12">
        <v>0.65666666666666673</v>
      </c>
      <c r="S817" s="19">
        <v>12.453333333333333</v>
      </c>
      <c r="T817" s="12">
        <v>0.30133333333333329</v>
      </c>
      <c r="U817" s="12"/>
      <c r="V817" s="12"/>
      <c r="W817" s="12"/>
    </row>
    <row r="818" spans="3:23" x14ac:dyDescent="0.25">
      <c r="C818" s="3"/>
      <c r="D818" s="3"/>
      <c r="G818" s="3"/>
      <c r="H818" s="3"/>
      <c r="I818" s="3"/>
      <c r="J818" s="3"/>
      <c r="K818" s="3"/>
      <c r="L818" s="40"/>
      <c r="M818" s="3"/>
      <c r="N818" s="3"/>
      <c r="O818" s="3"/>
      <c r="P818" s="5"/>
      <c r="Q818" s="159">
        <v>43826</v>
      </c>
      <c r="R818" s="12">
        <v>0.67666666666666675</v>
      </c>
      <c r="S818" s="19">
        <v>9.4033333333333342</v>
      </c>
      <c r="T818" s="12">
        <v>0.32966666666666666</v>
      </c>
      <c r="U818" s="12"/>
      <c r="V818" s="12"/>
      <c r="W818" s="12"/>
    </row>
    <row r="819" spans="3:23" x14ac:dyDescent="0.25">
      <c r="C819" s="3"/>
      <c r="D819" s="3"/>
      <c r="G819" s="3"/>
      <c r="H819" s="3"/>
      <c r="I819" s="3"/>
      <c r="J819" s="3"/>
      <c r="K819" s="3"/>
      <c r="L819" s="40"/>
      <c r="M819" s="3"/>
      <c r="N819" s="3"/>
      <c r="O819" s="3"/>
      <c r="P819" s="5"/>
      <c r="Q819" s="160">
        <v>43831</v>
      </c>
      <c r="R819" s="12">
        <v>0.53333333333333333</v>
      </c>
      <c r="S819" s="19">
        <v>8.2866666666666671</v>
      </c>
      <c r="T819" s="12">
        <v>0.27266666666666667</v>
      </c>
      <c r="U819" s="12"/>
      <c r="V819" s="12"/>
      <c r="W819" s="12"/>
    </row>
    <row r="820" spans="3:23" x14ac:dyDescent="0.25">
      <c r="C820" s="3"/>
      <c r="D820" s="3"/>
      <c r="G820" s="3"/>
      <c r="H820" s="3"/>
      <c r="I820" s="3"/>
      <c r="J820" s="3"/>
      <c r="K820" s="3"/>
      <c r="L820" s="40"/>
      <c r="M820" s="3"/>
      <c r="N820" s="3"/>
      <c r="O820" s="3"/>
      <c r="P820" s="5"/>
      <c r="Q820" s="160">
        <v>43842</v>
      </c>
      <c r="R820" s="12">
        <v>0.44</v>
      </c>
      <c r="S820" s="19">
        <v>9.4533333333333331</v>
      </c>
      <c r="T820" s="12">
        <v>0.36499999999999999</v>
      </c>
      <c r="U820" s="12"/>
      <c r="V820" s="12"/>
      <c r="W820" s="12"/>
    </row>
    <row r="821" spans="3:23" x14ac:dyDescent="0.25">
      <c r="C821" s="3"/>
      <c r="D821" s="3"/>
      <c r="G821" s="3"/>
      <c r="H821" s="3"/>
      <c r="I821" s="3"/>
      <c r="J821" s="3"/>
      <c r="K821" s="3"/>
      <c r="L821" s="40"/>
      <c r="M821" s="3"/>
      <c r="N821" s="3"/>
      <c r="O821" s="3"/>
      <c r="P821" s="5"/>
      <c r="Q821" s="160">
        <v>43847</v>
      </c>
      <c r="R821" s="12">
        <v>0.76333333333333331</v>
      </c>
      <c r="S821" s="19">
        <v>7.8</v>
      </c>
      <c r="T821" s="12">
        <v>0.38433333333333336</v>
      </c>
      <c r="U821" s="12">
        <v>1.1933333333333334</v>
      </c>
      <c r="V821" s="12"/>
      <c r="W821" s="12"/>
    </row>
    <row r="822" spans="3:23" x14ac:dyDescent="0.25">
      <c r="C822" s="3"/>
      <c r="D822" s="3"/>
      <c r="G822" s="3"/>
      <c r="H822" s="3"/>
      <c r="I822" s="3"/>
      <c r="J822" s="3"/>
      <c r="K822" s="3"/>
      <c r="L822" s="40"/>
      <c r="M822" s="3"/>
      <c r="N822" s="3"/>
      <c r="O822" s="3"/>
      <c r="P822" s="5"/>
      <c r="Q822" s="159">
        <v>43934</v>
      </c>
      <c r="R822" s="12">
        <v>1.6766666666666667</v>
      </c>
      <c r="S822" s="19">
        <v>22.483333333333331</v>
      </c>
      <c r="T822" s="12">
        <v>0.21200000000000005</v>
      </c>
      <c r="U822" s="12">
        <v>1.4666666666666668</v>
      </c>
      <c r="V822" s="12"/>
      <c r="W822" s="12"/>
    </row>
    <row r="823" spans="3:23" x14ac:dyDescent="0.25">
      <c r="C823" s="3"/>
      <c r="D823" s="3"/>
      <c r="G823" s="3"/>
      <c r="H823" s="3"/>
      <c r="I823" s="3"/>
      <c r="J823" s="3"/>
      <c r="K823" s="3"/>
      <c r="L823" s="40"/>
      <c r="M823" s="3"/>
      <c r="N823" s="3"/>
      <c r="O823" s="3"/>
      <c r="P823" s="5"/>
      <c r="Q823" s="160">
        <v>43938</v>
      </c>
      <c r="R823" s="12">
        <v>2.46</v>
      </c>
      <c r="S823" s="19">
        <v>20.78</v>
      </c>
      <c r="T823" s="12">
        <v>0.14600000000000002</v>
      </c>
      <c r="U823" s="12">
        <v>1.51</v>
      </c>
      <c r="V823" s="12"/>
      <c r="W823" s="12"/>
    </row>
    <row r="824" spans="3:23" x14ac:dyDescent="0.25">
      <c r="C824" s="3"/>
      <c r="D824" s="3"/>
      <c r="G824" s="3"/>
      <c r="H824" s="3"/>
      <c r="I824" s="3"/>
      <c r="J824" s="3"/>
      <c r="K824" s="3"/>
      <c r="L824" s="40"/>
      <c r="M824" s="3"/>
      <c r="N824" s="3"/>
      <c r="O824" s="3"/>
      <c r="P824" s="5"/>
      <c r="Q824" s="159">
        <v>43943</v>
      </c>
      <c r="R824" s="12">
        <v>2.6966666666666668</v>
      </c>
      <c r="S824" s="19">
        <v>23.873333333333335</v>
      </c>
      <c r="T824" s="12">
        <v>0.34200000000000003</v>
      </c>
      <c r="U824" s="12">
        <v>1.57</v>
      </c>
      <c r="V824" s="12"/>
      <c r="W824" s="12"/>
    </row>
    <row r="825" spans="3:23" x14ac:dyDescent="0.25">
      <c r="C825" s="3"/>
      <c r="D825" s="3"/>
      <c r="G825" s="3"/>
      <c r="H825" s="3"/>
      <c r="I825" s="3"/>
      <c r="J825" s="3"/>
      <c r="K825" s="3"/>
      <c r="L825" s="40"/>
      <c r="M825" s="3"/>
      <c r="N825" s="3"/>
      <c r="O825" s="3"/>
      <c r="P825" s="5"/>
      <c r="Q825" s="159">
        <v>43946</v>
      </c>
      <c r="R825" s="12">
        <v>2.8200000000000003</v>
      </c>
      <c r="S825" s="19">
        <v>25.44</v>
      </c>
      <c r="T825" s="12">
        <v>0.217</v>
      </c>
      <c r="U825" s="12">
        <v>1.7033333333333334</v>
      </c>
      <c r="V825" s="12"/>
      <c r="W825" s="12"/>
    </row>
    <row r="826" spans="3:23" x14ac:dyDescent="0.25">
      <c r="C826" s="3"/>
      <c r="D826" s="3"/>
      <c r="G826" s="3"/>
      <c r="H826" s="3"/>
      <c r="I826" s="3"/>
      <c r="J826" s="3"/>
      <c r="K826" s="3"/>
      <c r="L826" s="40"/>
      <c r="M826" s="3"/>
      <c r="N826" s="3"/>
      <c r="O826" s="3"/>
      <c r="P826" s="5"/>
      <c r="Q826" s="159">
        <v>43949</v>
      </c>
      <c r="R826" s="12">
        <v>3.69</v>
      </c>
      <c r="S826" s="19">
        <v>29.33</v>
      </c>
      <c r="T826" s="12">
        <v>4.1333333333333333E-2</v>
      </c>
      <c r="U826" s="12">
        <v>1.7966666666666669</v>
      </c>
      <c r="V826" s="12"/>
      <c r="W826" s="12"/>
    </row>
    <row r="827" spans="3:23" x14ac:dyDescent="0.25">
      <c r="C827" s="3"/>
      <c r="D827" s="3"/>
      <c r="G827" s="3"/>
      <c r="H827" s="3"/>
      <c r="I827" s="3"/>
      <c r="J827" s="3"/>
      <c r="K827" s="3"/>
      <c r="L827" s="40"/>
      <c r="M827" s="3"/>
      <c r="N827" s="3"/>
      <c r="O827" s="3"/>
      <c r="P827" s="5"/>
      <c r="Q827" s="159">
        <v>43951</v>
      </c>
      <c r="R827" s="12">
        <v>3.3466666666666671</v>
      </c>
      <c r="S827" s="19">
        <v>28.393333333333334</v>
      </c>
      <c r="T827" s="12">
        <v>6.6333333333333341E-2</v>
      </c>
      <c r="U827" s="12">
        <v>1.61</v>
      </c>
      <c r="V827" s="12"/>
      <c r="W827" s="12"/>
    </row>
    <row r="828" spans="3:23" x14ac:dyDescent="0.25">
      <c r="C828" s="3"/>
      <c r="D828" s="3"/>
      <c r="G828" s="3"/>
      <c r="H828" s="3"/>
      <c r="I828" s="3"/>
      <c r="J828" s="3"/>
      <c r="K828" s="3"/>
      <c r="L828" s="40"/>
      <c r="M828" s="3"/>
      <c r="N828" s="3"/>
      <c r="O828" s="3"/>
      <c r="P828" s="5"/>
      <c r="Q828" s="159">
        <v>43955</v>
      </c>
      <c r="R828" s="12">
        <v>3.5</v>
      </c>
      <c r="S828" s="19">
        <v>29.466666666666669</v>
      </c>
      <c r="T828" s="12">
        <v>3.1333333333333331E-2</v>
      </c>
      <c r="U828" s="12">
        <v>1.3266666666666667</v>
      </c>
      <c r="V828" s="12"/>
      <c r="W828" s="12"/>
    </row>
    <row r="829" spans="3:23" x14ac:dyDescent="0.25">
      <c r="C829" s="3"/>
      <c r="D829" s="3"/>
      <c r="G829" s="3"/>
      <c r="H829" s="3"/>
      <c r="I829" s="3"/>
      <c r="J829" s="3"/>
      <c r="K829" s="3"/>
      <c r="L829" s="40"/>
      <c r="M829" s="3"/>
      <c r="N829" s="3"/>
      <c r="O829" s="3"/>
      <c r="P829" s="5"/>
      <c r="Q829" s="160">
        <v>43960</v>
      </c>
      <c r="R829" s="12">
        <v>2.41</v>
      </c>
      <c r="S829" s="19">
        <v>21.76</v>
      </c>
      <c r="T829" s="12">
        <v>5.9333333333333328E-2</v>
      </c>
      <c r="U829" s="12">
        <v>1.1166666666666665</v>
      </c>
      <c r="V829" s="12"/>
      <c r="W829" s="12"/>
    </row>
    <row r="830" spans="3:23" x14ac:dyDescent="0.25">
      <c r="C830" s="3"/>
      <c r="D830" s="3"/>
      <c r="G830" s="3"/>
      <c r="H830" s="3"/>
      <c r="I830" s="3"/>
      <c r="J830" s="3"/>
      <c r="K830" s="3"/>
      <c r="L830" s="40"/>
      <c r="M830" s="3"/>
      <c r="N830" s="3"/>
      <c r="O830" s="3"/>
      <c r="P830" s="5"/>
      <c r="Q830" s="160">
        <v>43963</v>
      </c>
      <c r="R830" s="12">
        <v>3.14</v>
      </c>
      <c r="S830" s="19">
        <v>28.833333333333332</v>
      </c>
      <c r="T830" s="12">
        <v>0.10566666666666667</v>
      </c>
      <c r="U830" s="12"/>
      <c r="V830" s="12"/>
      <c r="W830" s="12"/>
    </row>
    <row r="831" spans="3:23" x14ac:dyDescent="0.25">
      <c r="C831" s="3"/>
      <c r="D831" s="3"/>
      <c r="G831" s="3"/>
      <c r="H831" s="3"/>
      <c r="I831" s="3"/>
      <c r="J831" s="3"/>
      <c r="K831" s="3"/>
      <c r="L831" s="40"/>
      <c r="M831" s="3"/>
      <c r="N831" s="3"/>
      <c r="O831" s="3"/>
      <c r="P831" s="5"/>
      <c r="Q831" s="159">
        <v>43967</v>
      </c>
      <c r="R831" s="12">
        <v>3.78</v>
      </c>
      <c r="S831" s="19">
        <v>34.364999999999995</v>
      </c>
      <c r="T831" s="12">
        <v>0.29666666666666663</v>
      </c>
      <c r="U831" s="12">
        <v>0.5099999999999999</v>
      </c>
      <c r="V831" s="12"/>
      <c r="W831" s="12"/>
    </row>
    <row r="832" spans="3:23" x14ac:dyDescent="0.25">
      <c r="C832" s="3"/>
      <c r="D832" s="3"/>
      <c r="G832" s="3"/>
      <c r="H832" s="3"/>
      <c r="I832" s="3"/>
      <c r="J832" s="3"/>
      <c r="K832" s="3"/>
      <c r="L832" s="40"/>
      <c r="M832" s="3"/>
      <c r="N832" s="3"/>
      <c r="O832" s="3"/>
      <c r="P832" s="5"/>
      <c r="Q832" s="160">
        <v>43970</v>
      </c>
      <c r="R832" s="12">
        <v>2.77</v>
      </c>
      <c r="S832" s="19">
        <v>25.459999999999997</v>
      </c>
      <c r="T832" s="12">
        <v>0.16600000000000001</v>
      </c>
      <c r="U832" s="12">
        <v>0.11</v>
      </c>
      <c r="V832" s="12"/>
      <c r="W832" s="12"/>
    </row>
    <row r="833" spans="3:23" x14ac:dyDescent="0.25">
      <c r="C833" s="3"/>
      <c r="D833" s="3"/>
      <c r="G833" s="3"/>
      <c r="H833" s="3"/>
      <c r="I833" s="3"/>
      <c r="J833" s="3"/>
      <c r="K833" s="3"/>
      <c r="L833" s="40"/>
      <c r="M833" s="3"/>
      <c r="N833" s="3"/>
      <c r="O833" s="3"/>
      <c r="P833" s="5"/>
      <c r="Q833" s="156">
        <v>44002</v>
      </c>
      <c r="R833" s="12">
        <v>4.9899999999999993</v>
      </c>
      <c r="S833" s="19">
        <v>30.409999999999997</v>
      </c>
      <c r="T833" s="12">
        <v>0.38266666666666671</v>
      </c>
      <c r="U833" s="12">
        <v>0.16666666666666666</v>
      </c>
      <c r="V833" s="12"/>
      <c r="W833" s="12"/>
    </row>
    <row r="834" spans="3:23" x14ac:dyDescent="0.25">
      <c r="C834" s="3"/>
      <c r="D834" s="3"/>
      <c r="G834" s="3"/>
      <c r="H834" s="3"/>
      <c r="I834" s="3"/>
      <c r="J834" s="3"/>
      <c r="K834" s="3"/>
      <c r="L834" s="40"/>
      <c r="M834" s="3"/>
      <c r="N834" s="3"/>
      <c r="O834" s="3"/>
      <c r="P834" s="5"/>
      <c r="Q834" s="156">
        <v>44008</v>
      </c>
      <c r="R834" s="12">
        <v>5</v>
      </c>
      <c r="S834" s="19">
        <v>31.09</v>
      </c>
      <c r="T834" s="12">
        <v>0.40766666666666662</v>
      </c>
      <c r="U834" s="12">
        <v>0.51666666666666672</v>
      </c>
      <c r="V834" s="12"/>
      <c r="W834" s="12"/>
    </row>
    <row r="835" spans="3:23" x14ac:dyDescent="0.25">
      <c r="C835" s="3"/>
      <c r="D835" s="3"/>
      <c r="G835" s="3"/>
      <c r="H835" s="3"/>
      <c r="I835" s="3"/>
      <c r="J835" s="3"/>
      <c r="K835" s="3"/>
      <c r="L835" s="40"/>
      <c r="M835" s="3"/>
      <c r="N835" s="3"/>
      <c r="O835" s="3"/>
      <c r="P835" s="5"/>
      <c r="Q835" s="156">
        <v>44012</v>
      </c>
      <c r="R835" s="12">
        <v>4.0733333333333333</v>
      </c>
      <c r="S835" s="19">
        <v>28.463333333333335</v>
      </c>
      <c r="T835" s="12">
        <v>0.40133333333333332</v>
      </c>
      <c r="U835" s="12">
        <v>1.8333333333333333</v>
      </c>
      <c r="V835" s="12"/>
      <c r="W835" s="12"/>
    </row>
    <row r="836" spans="3:23" x14ac:dyDescent="0.25">
      <c r="C836" s="3"/>
      <c r="D836" s="3"/>
      <c r="G836" s="3"/>
      <c r="H836" s="3"/>
      <c r="I836" s="3"/>
      <c r="J836" s="3"/>
      <c r="K836" s="3"/>
      <c r="L836" s="40"/>
      <c r="M836" s="3"/>
      <c r="N836" s="3"/>
      <c r="O836" s="3"/>
      <c r="P836" s="5"/>
      <c r="Q836" s="156">
        <v>44019</v>
      </c>
      <c r="R836" s="12">
        <v>5.1700000000000008</v>
      </c>
      <c r="S836" s="19">
        <v>31.593333333333334</v>
      </c>
      <c r="T836" s="12">
        <v>0.39100000000000001</v>
      </c>
      <c r="U836" s="12">
        <v>2.4666666666666663</v>
      </c>
      <c r="V836" s="12"/>
      <c r="W836" s="12"/>
    </row>
    <row r="837" spans="3:23" x14ac:dyDescent="0.25">
      <c r="C837" s="3"/>
      <c r="D837" s="3"/>
      <c r="G837" s="3"/>
      <c r="H837" s="3"/>
      <c r="I837" s="3"/>
      <c r="J837" s="3"/>
      <c r="K837" s="3"/>
      <c r="L837" s="40"/>
      <c r="M837" s="3"/>
      <c r="N837" s="3"/>
      <c r="O837" s="3"/>
      <c r="P837" s="5"/>
      <c r="Q837" s="156">
        <v>44028</v>
      </c>
      <c r="R837" s="12">
        <v>2.936666666666667</v>
      </c>
      <c r="S837" s="19">
        <v>24.846666666666664</v>
      </c>
      <c r="T837" s="12">
        <v>0.42033333333333328</v>
      </c>
      <c r="U837" s="12">
        <v>4.126666666666666</v>
      </c>
      <c r="V837" s="12"/>
      <c r="W837" s="12"/>
    </row>
    <row r="838" spans="3:23" x14ac:dyDescent="0.25">
      <c r="C838" s="3"/>
      <c r="D838" s="3"/>
      <c r="G838" s="3"/>
      <c r="H838" s="3"/>
      <c r="I838" s="3"/>
      <c r="J838" s="3"/>
      <c r="K838" s="3"/>
      <c r="L838" s="40"/>
      <c r="M838" s="3"/>
      <c r="N838" s="3"/>
      <c r="O838" s="3"/>
      <c r="P838" s="5"/>
      <c r="Q838" s="156">
        <v>44033</v>
      </c>
      <c r="R838" s="12">
        <v>4.5599999999999996</v>
      </c>
      <c r="S838" s="19">
        <v>28.753333333333334</v>
      </c>
      <c r="T838" s="12">
        <v>0.41599999999999998</v>
      </c>
      <c r="U838" s="12">
        <v>4.4833333333333334</v>
      </c>
      <c r="V838" s="12"/>
      <c r="W838" s="12"/>
    </row>
    <row r="839" spans="3:23" x14ac:dyDescent="0.25">
      <c r="C839" s="3"/>
      <c r="D839" s="3"/>
      <c r="G839" s="3"/>
      <c r="H839" s="3"/>
      <c r="I839" s="3"/>
      <c r="J839" s="3"/>
      <c r="K839" s="3"/>
      <c r="L839" s="40"/>
      <c r="M839" s="3"/>
      <c r="N839" s="3"/>
      <c r="O839" s="3"/>
      <c r="P839" s="5"/>
      <c r="Q839" s="156">
        <v>44041</v>
      </c>
      <c r="R839" s="12">
        <v>4.92</v>
      </c>
      <c r="S839" s="19">
        <v>28.179999999999996</v>
      </c>
      <c r="T839" s="12">
        <v>0.38733333333333331</v>
      </c>
      <c r="U839" s="12">
        <v>4.6366666666666667</v>
      </c>
      <c r="V839" s="12"/>
      <c r="W839" s="12"/>
    </row>
    <row r="840" spans="3:23" x14ac:dyDescent="0.25">
      <c r="C840" s="3"/>
      <c r="D840" s="3"/>
      <c r="G840" s="3"/>
      <c r="H840" s="3"/>
      <c r="I840" s="3"/>
      <c r="J840" s="3"/>
      <c r="K840" s="3"/>
      <c r="L840" s="40"/>
      <c r="M840" s="3"/>
      <c r="N840" s="3"/>
      <c r="O840" s="3"/>
      <c r="P840" s="5"/>
      <c r="Q840" s="156">
        <v>44047</v>
      </c>
      <c r="R840" s="12">
        <v>7.043333333333333</v>
      </c>
      <c r="S840" s="19">
        <v>30.693333333333332</v>
      </c>
      <c r="T840" s="12">
        <v>0.33466666666666667</v>
      </c>
      <c r="U840" s="12">
        <v>4.34</v>
      </c>
      <c r="V840" s="12"/>
      <c r="W840" s="12"/>
    </row>
    <row r="841" spans="3:23" x14ac:dyDescent="0.25">
      <c r="C841" s="3"/>
      <c r="D841" s="3"/>
      <c r="G841" s="3"/>
      <c r="H841" s="3"/>
      <c r="I841" s="3"/>
      <c r="J841" s="3"/>
      <c r="K841" s="3"/>
      <c r="L841" s="40"/>
      <c r="M841" s="3"/>
      <c r="N841" s="3"/>
      <c r="O841" s="3"/>
      <c r="P841" s="5"/>
      <c r="Q841" s="156">
        <v>44054</v>
      </c>
      <c r="R841" s="12">
        <v>3.36</v>
      </c>
      <c r="S841" s="19">
        <v>29.883333333333336</v>
      </c>
      <c r="T841" s="12">
        <v>0.38166666666666665</v>
      </c>
      <c r="U841" s="12">
        <v>3.313333333333333</v>
      </c>
      <c r="V841" s="12"/>
      <c r="W841" s="12"/>
    </row>
    <row r="842" spans="3:23" x14ac:dyDescent="0.25">
      <c r="C842" s="3"/>
      <c r="D842" s="3"/>
      <c r="G842" s="3"/>
      <c r="H842" s="3"/>
      <c r="I842" s="3"/>
      <c r="J842" s="3"/>
      <c r="K842" s="3"/>
      <c r="L842" s="40"/>
      <c r="M842" s="3"/>
      <c r="N842" s="3"/>
      <c r="O842" s="3"/>
      <c r="P842" s="5"/>
      <c r="Q842" s="156">
        <v>44061</v>
      </c>
      <c r="R842" s="12">
        <v>5.04</v>
      </c>
      <c r="S842" s="19">
        <v>34.243333333333332</v>
      </c>
      <c r="T842" s="12">
        <v>0.17066666666666666</v>
      </c>
      <c r="U842" s="12">
        <v>2.9766666666666666</v>
      </c>
      <c r="V842" s="12"/>
      <c r="W842" s="12"/>
    </row>
    <row r="843" spans="3:23" x14ac:dyDescent="0.25">
      <c r="C843" s="3"/>
      <c r="D843" s="3"/>
      <c r="G843" s="3"/>
      <c r="H843" s="3"/>
      <c r="I843" s="3"/>
      <c r="J843" s="3"/>
      <c r="K843" s="3"/>
      <c r="L843" s="40"/>
      <c r="M843" s="3"/>
      <c r="N843" s="3"/>
      <c r="O843" s="3"/>
      <c r="P843" s="5"/>
      <c r="Q843" s="156">
        <v>44068</v>
      </c>
      <c r="R843" s="12">
        <v>5.3133333333333335</v>
      </c>
      <c r="S843" s="19">
        <v>31.330000000000002</v>
      </c>
      <c r="T843" s="12">
        <v>0.33333333333333331</v>
      </c>
      <c r="U843" s="12">
        <v>2.686666666666667</v>
      </c>
      <c r="V843" s="12"/>
      <c r="W843" s="12"/>
    </row>
    <row r="844" spans="3:23" x14ac:dyDescent="0.25">
      <c r="C844" s="3"/>
      <c r="D844" s="3"/>
      <c r="G844" s="3"/>
      <c r="H844" s="3"/>
      <c r="I844" s="3"/>
      <c r="J844" s="3"/>
      <c r="K844" s="3"/>
      <c r="L844" s="40"/>
      <c r="M844" s="3"/>
      <c r="N844" s="3"/>
      <c r="O844" s="3"/>
      <c r="P844" s="5"/>
      <c r="Q844" s="156">
        <v>44076</v>
      </c>
      <c r="R844" s="12">
        <v>4.2733333333333334</v>
      </c>
      <c r="S844" s="19">
        <v>28.733333333333334</v>
      </c>
      <c r="T844" s="12">
        <v>0.52866666666666662</v>
      </c>
      <c r="U844" s="12">
        <v>2.2999999999999998</v>
      </c>
      <c r="V844" s="12"/>
      <c r="W844" s="12"/>
    </row>
    <row r="845" spans="3:23" x14ac:dyDescent="0.25">
      <c r="C845" s="3"/>
      <c r="D845" s="3"/>
      <c r="G845" s="3"/>
      <c r="H845" s="3"/>
      <c r="I845" s="3"/>
      <c r="J845" s="3"/>
      <c r="K845" s="3"/>
      <c r="L845" s="40"/>
      <c r="M845" s="3"/>
      <c r="N845" s="3"/>
      <c r="O845" s="3"/>
      <c r="P845" s="5"/>
      <c r="Q845" s="156">
        <v>44082</v>
      </c>
      <c r="R845" s="12">
        <v>4.9833333333333334</v>
      </c>
      <c r="S845" s="19">
        <v>30.446666666666669</v>
      </c>
      <c r="T845" s="12">
        <v>0.22566666666666665</v>
      </c>
      <c r="U845" s="12">
        <v>1.47</v>
      </c>
      <c r="V845" s="12"/>
      <c r="W845" s="12"/>
    </row>
    <row r="846" spans="3:23" x14ac:dyDescent="0.25">
      <c r="C846" s="3"/>
      <c r="D846" s="3"/>
      <c r="G846" s="3"/>
      <c r="H846" s="3"/>
      <c r="I846" s="3"/>
      <c r="J846" s="3"/>
      <c r="K846" s="3"/>
      <c r="L846" s="40"/>
      <c r="M846" s="3"/>
      <c r="N846" s="3"/>
      <c r="O846" s="3"/>
      <c r="P846" s="5"/>
      <c r="Q846" s="156">
        <v>44089</v>
      </c>
      <c r="R846" s="12">
        <v>3.6366666666666667</v>
      </c>
      <c r="S846" s="19">
        <v>25.626666666666665</v>
      </c>
      <c r="T846" s="12">
        <v>0.12166666666666666</v>
      </c>
      <c r="U846" s="12">
        <v>1.0866666666666667</v>
      </c>
      <c r="V846" s="12"/>
      <c r="W846" s="12"/>
    </row>
    <row r="847" spans="3:23" x14ac:dyDescent="0.25">
      <c r="C847" s="3"/>
      <c r="D847" s="3"/>
      <c r="G847" s="3"/>
      <c r="H847" s="3"/>
      <c r="I847" s="3"/>
      <c r="J847" s="3"/>
      <c r="K847" s="3"/>
      <c r="L847" s="40"/>
      <c r="M847" s="3"/>
      <c r="N847" s="3"/>
      <c r="O847" s="3"/>
      <c r="P847" s="5"/>
      <c r="Q847" s="156">
        <v>44098</v>
      </c>
      <c r="R847" s="12">
        <v>3.1266666666666669</v>
      </c>
      <c r="S847" s="19">
        <v>24.153333333333332</v>
      </c>
      <c r="T847" s="12">
        <v>0.3096666666666667</v>
      </c>
      <c r="U847" s="12">
        <v>0.94999999999999984</v>
      </c>
      <c r="V847" s="12"/>
      <c r="W847" s="12"/>
    </row>
    <row r="848" spans="3:23" x14ac:dyDescent="0.25">
      <c r="C848" s="3"/>
      <c r="D848" s="3"/>
      <c r="G848" s="3"/>
      <c r="H848" s="3"/>
      <c r="I848" s="3"/>
      <c r="J848" s="3"/>
      <c r="K848" s="3"/>
      <c r="L848" s="40"/>
      <c r="M848" s="3"/>
      <c r="N848" s="3"/>
      <c r="O848" s="3"/>
      <c r="P848" s="5"/>
      <c r="Q848" s="157">
        <v>44103</v>
      </c>
      <c r="R848" s="12">
        <v>3.1</v>
      </c>
      <c r="S848" s="19">
        <v>25.853333333333335</v>
      </c>
      <c r="T848" s="12">
        <v>0.254</v>
      </c>
      <c r="U848" s="12">
        <v>0.56999999999999995</v>
      </c>
      <c r="V848" s="12"/>
      <c r="W848" s="12"/>
    </row>
    <row r="849" spans="1:23" x14ac:dyDescent="0.25">
      <c r="C849" s="3"/>
      <c r="D849" s="3"/>
      <c r="G849" s="3"/>
      <c r="H849" s="3"/>
      <c r="I849" s="3"/>
      <c r="J849" s="3"/>
      <c r="K849" s="3"/>
      <c r="L849" s="40"/>
      <c r="M849" s="3"/>
      <c r="N849" s="3"/>
      <c r="O849" s="3"/>
      <c r="P849" s="5"/>
      <c r="Q849" s="156">
        <v>44110</v>
      </c>
      <c r="R849" s="12">
        <v>1.57</v>
      </c>
      <c r="S849" s="19">
        <v>20.383333333333329</v>
      </c>
      <c r="T849" s="12">
        <v>0.32400000000000001</v>
      </c>
      <c r="U849" s="12">
        <v>0.35666666666666669</v>
      </c>
      <c r="V849" s="12"/>
      <c r="W849" s="12"/>
    </row>
    <row r="850" spans="1:23" x14ac:dyDescent="0.25">
      <c r="C850" s="3"/>
      <c r="D850" s="3"/>
      <c r="G850" s="3"/>
      <c r="H850" s="3"/>
      <c r="I850" s="3"/>
      <c r="J850" s="3"/>
      <c r="K850" s="3"/>
      <c r="L850" s="40"/>
      <c r="M850" s="3"/>
      <c r="N850" s="3"/>
      <c r="O850" s="3"/>
      <c r="P850" s="5"/>
      <c r="Q850" s="157">
        <v>44117</v>
      </c>
      <c r="R850" s="12">
        <v>2.0399999999999996</v>
      </c>
      <c r="S850" s="19">
        <v>22.073333333333334</v>
      </c>
      <c r="T850" s="12">
        <v>0.24466666666666667</v>
      </c>
      <c r="U850" s="12">
        <v>0.37666666666666665</v>
      </c>
      <c r="V850" s="12"/>
      <c r="W850" s="12"/>
    </row>
    <row r="851" spans="1:23" x14ac:dyDescent="0.25">
      <c r="C851" s="3"/>
      <c r="D851" s="3"/>
      <c r="G851" s="3"/>
      <c r="H851" s="3"/>
      <c r="I851" s="3"/>
      <c r="J851" s="3"/>
      <c r="K851" s="3"/>
      <c r="L851" s="40"/>
      <c r="M851" s="3"/>
      <c r="N851" s="3"/>
      <c r="O851" s="3"/>
      <c r="P851" s="5"/>
      <c r="Q851" s="156">
        <v>44122</v>
      </c>
      <c r="R851" s="12">
        <v>1.5799999999999998</v>
      </c>
      <c r="S851" s="19">
        <v>19.156666666666666</v>
      </c>
      <c r="T851" s="12">
        <v>0.34333333333333327</v>
      </c>
      <c r="U851" s="12"/>
      <c r="V851" s="12"/>
      <c r="W851" s="12"/>
    </row>
    <row r="852" spans="1:23" x14ac:dyDescent="0.25">
      <c r="A852" s="6"/>
      <c r="B852" s="6" t="s">
        <v>89</v>
      </c>
      <c r="C852" s="11">
        <v>32.200000000000003</v>
      </c>
      <c r="D852" s="11">
        <v>118.7</v>
      </c>
      <c r="E852" s="6" t="s">
        <v>146</v>
      </c>
      <c r="F852" s="6" t="s">
        <v>134</v>
      </c>
      <c r="G852" s="11">
        <v>1.77</v>
      </c>
      <c r="H852" s="11">
        <v>17.190460273972594</v>
      </c>
      <c r="I852" s="11">
        <f>6.525*0.98*1.54*0.2</f>
        <v>1.9695060000000002</v>
      </c>
      <c r="J852" s="7">
        <f>0.92*0.98*0.2*1.54</f>
        <v>0.27769280000000007</v>
      </c>
      <c r="K852" s="11">
        <f>I852/J852</f>
        <v>7.0923913043478253</v>
      </c>
      <c r="L852" s="14">
        <v>1.54</v>
      </c>
      <c r="M852" s="86">
        <f>9.353*EXP(-0.023*H852-0.622*L852-0.182*J852-0.009*K852)*(I852/(I852+0.567))</f>
        <v>1.673739184572608</v>
      </c>
      <c r="N852" s="11">
        <f>LN(M852)/10</f>
        <v>5.1506015620855619E-2</v>
      </c>
      <c r="O852" s="86">
        <f>4.3573*EXP(-1.002*M852)</f>
        <v>0.81445665955540192</v>
      </c>
      <c r="P852" s="10"/>
      <c r="Q852" s="158">
        <v>43408</v>
      </c>
      <c r="R852" s="139">
        <v>1.24</v>
      </c>
      <c r="S852" s="25">
        <v>24.704999999999998</v>
      </c>
      <c r="T852" s="13">
        <v>0.21530186083430672</v>
      </c>
      <c r="U852" s="13"/>
      <c r="V852" s="13"/>
      <c r="W852" s="13" t="s">
        <v>116</v>
      </c>
    </row>
    <row r="853" spans="1:23" x14ac:dyDescent="0.25">
      <c r="B853" s="84"/>
      <c r="C853" s="3"/>
      <c r="D853" s="3"/>
      <c r="G853" s="9"/>
      <c r="H853" s="4"/>
      <c r="I853" s="4"/>
      <c r="J853" s="4"/>
      <c r="K853" s="3"/>
      <c r="L853" s="32"/>
      <c r="O853" s="3"/>
      <c r="P853" s="22"/>
      <c r="Q853" s="159">
        <v>43413</v>
      </c>
      <c r="R853" s="140">
        <v>2.2800000000000002</v>
      </c>
      <c r="S853" s="19">
        <v>21.69</v>
      </c>
      <c r="T853" s="12">
        <v>0.26730310651968542</v>
      </c>
      <c r="U853" s="12"/>
      <c r="V853" s="12"/>
      <c r="W853" s="12"/>
    </row>
    <row r="854" spans="1:23" x14ac:dyDescent="0.25">
      <c r="B854" s="84"/>
      <c r="C854" s="3"/>
      <c r="D854" s="3"/>
      <c r="G854" s="3"/>
      <c r="H854" s="4"/>
      <c r="I854" s="4"/>
      <c r="J854" s="4"/>
      <c r="K854" s="3"/>
      <c r="L854" s="32"/>
      <c r="N854" s="88"/>
      <c r="O854" s="88"/>
      <c r="P854" s="22"/>
      <c r="Q854" s="159">
        <v>43421</v>
      </c>
      <c r="R854" s="140">
        <v>0.90250000000000008</v>
      </c>
      <c r="S854" s="19">
        <v>15.3675</v>
      </c>
      <c r="T854" s="12">
        <v>0.23604961059212476</v>
      </c>
      <c r="U854" s="12">
        <v>0.45499999999999996</v>
      </c>
      <c r="V854" s="12"/>
      <c r="W854" s="12"/>
    </row>
    <row r="855" spans="1:23" x14ac:dyDescent="0.25">
      <c r="B855" s="84"/>
      <c r="C855" s="3"/>
      <c r="D855" s="3"/>
      <c r="G855" s="3"/>
      <c r="H855" s="3"/>
      <c r="I855" s="3"/>
      <c r="J855" s="3"/>
      <c r="K855" s="3"/>
      <c r="L855" s="32"/>
      <c r="M855" s="89"/>
      <c r="N855" s="89"/>
      <c r="O855" s="89"/>
      <c r="P855" s="22"/>
      <c r="Q855" s="159">
        <v>43426</v>
      </c>
      <c r="R855" s="140">
        <v>0.87749999999999995</v>
      </c>
      <c r="S855" s="19">
        <v>17.8475</v>
      </c>
      <c r="T855" s="12">
        <v>0.23468694058684431</v>
      </c>
      <c r="U855" s="12">
        <v>0.6</v>
      </c>
      <c r="V855" s="12"/>
      <c r="W855" s="12"/>
    </row>
    <row r="856" spans="1:23" x14ac:dyDescent="0.25">
      <c r="B856" s="81"/>
      <c r="C856" s="3"/>
      <c r="D856" s="3"/>
      <c r="G856" s="3"/>
      <c r="H856" s="3"/>
      <c r="I856" s="3"/>
      <c r="J856" s="3"/>
      <c r="K856" s="3"/>
      <c r="L856" s="32"/>
      <c r="M856" s="90"/>
      <c r="N856" s="90"/>
      <c r="O856" s="90"/>
      <c r="P856" s="22"/>
      <c r="Q856" s="161">
        <v>43433</v>
      </c>
      <c r="R856" s="140">
        <v>0.88500000000000001</v>
      </c>
      <c r="S856" s="19">
        <v>16.615000000000002</v>
      </c>
      <c r="T856" s="12">
        <v>0.29125000000000001</v>
      </c>
      <c r="U856" s="12">
        <v>1.1475000000000002</v>
      </c>
      <c r="V856" s="12"/>
      <c r="W856" s="12"/>
    </row>
    <row r="857" spans="1:23" x14ac:dyDescent="0.25">
      <c r="B857" s="84"/>
      <c r="C857" s="3"/>
      <c r="D857" s="3"/>
      <c r="G857" s="3"/>
      <c r="H857" s="3"/>
      <c r="I857" s="3"/>
      <c r="J857" s="3"/>
      <c r="K857" s="3"/>
      <c r="L857" s="32"/>
      <c r="M857" s="9"/>
      <c r="N857" s="9"/>
      <c r="O857" s="9"/>
      <c r="P857" s="22"/>
      <c r="Q857" s="159">
        <v>43447</v>
      </c>
      <c r="R857" s="140">
        <v>0.38</v>
      </c>
      <c r="S857" s="19">
        <v>11.264999999999999</v>
      </c>
      <c r="T857" s="12">
        <v>0.25375000000000003</v>
      </c>
      <c r="U857" s="12">
        <v>1.7849999999999999</v>
      </c>
      <c r="V857" s="12"/>
      <c r="W857" s="12"/>
    </row>
    <row r="858" spans="1:23" x14ac:dyDescent="0.25">
      <c r="B858" s="84"/>
      <c r="C858" s="3"/>
      <c r="D858" s="3"/>
      <c r="G858" s="3"/>
      <c r="H858" s="3"/>
      <c r="I858" s="3"/>
      <c r="J858" s="3"/>
      <c r="K858" s="3"/>
      <c r="L858" s="32"/>
      <c r="M858" s="9"/>
      <c r="N858" s="9"/>
      <c r="O858" s="9"/>
      <c r="P858" s="22"/>
      <c r="Q858" s="159">
        <v>43455</v>
      </c>
      <c r="R858" s="140">
        <v>0.59250000000000003</v>
      </c>
      <c r="S858" s="19">
        <v>15.4475</v>
      </c>
      <c r="T858" s="12">
        <v>0.33875000000000005</v>
      </c>
      <c r="U858" s="12">
        <v>2.2549999999999999</v>
      </c>
      <c r="V858" s="12"/>
      <c r="W858" s="12"/>
    </row>
    <row r="859" spans="1:23" x14ac:dyDescent="0.25">
      <c r="B859" s="84"/>
      <c r="C859" s="3"/>
      <c r="D859" s="3"/>
      <c r="G859" s="3"/>
      <c r="H859" s="3"/>
      <c r="I859" s="3"/>
      <c r="J859" s="3"/>
      <c r="K859" s="3"/>
      <c r="L859" s="40"/>
      <c r="M859" s="3"/>
      <c r="N859" s="3"/>
      <c r="O859" s="3"/>
      <c r="P859" s="5"/>
      <c r="Q859" s="156">
        <v>43463</v>
      </c>
      <c r="R859" s="140">
        <v>0.51250000000000007</v>
      </c>
      <c r="S859" s="19">
        <v>6.9224999999999994</v>
      </c>
      <c r="T859" s="12">
        <v>0.33250000000000002</v>
      </c>
      <c r="U859" s="12">
        <v>2.27</v>
      </c>
      <c r="V859" s="12"/>
      <c r="W859" s="12"/>
    </row>
    <row r="860" spans="1:23" x14ac:dyDescent="0.25">
      <c r="B860" s="84"/>
      <c r="C860" s="3"/>
      <c r="D860" s="3"/>
      <c r="G860" s="3"/>
      <c r="H860" s="3"/>
      <c r="I860" s="3"/>
      <c r="J860" s="3"/>
      <c r="K860" s="3"/>
      <c r="L860" s="40"/>
      <c r="M860" s="3"/>
      <c r="N860" s="3"/>
      <c r="O860" s="3"/>
      <c r="P860" s="5"/>
      <c r="Q860" s="156">
        <v>43473</v>
      </c>
      <c r="R860" s="140">
        <v>0.64</v>
      </c>
      <c r="S860" s="19">
        <v>5.7125000000000004</v>
      </c>
      <c r="T860" s="12">
        <v>0.32524999999999998</v>
      </c>
      <c r="U860" s="12">
        <v>2.2625000000000002</v>
      </c>
      <c r="V860" s="12"/>
      <c r="W860" s="12"/>
    </row>
    <row r="861" spans="1:23" x14ac:dyDescent="0.25">
      <c r="B861" s="84"/>
      <c r="C861" s="3"/>
      <c r="D861" s="3"/>
      <c r="G861" s="3"/>
      <c r="H861" s="3"/>
      <c r="I861" s="3"/>
      <c r="J861" s="3"/>
      <c r="K861" s="3"/>
      <c r="L861" s="40"/>
      <c r="M861" s="3"/>
      <c r="N861" s="3"/>
      <c r="O861" s="3"/>
      <c r="P861" s="5"/>
      <c r="Q861" s="156">
        <v>43479</v>
      </c>
      <c r="R861" s="140">
        <v>0.84000000000000008</v>
      </c>
      <c r="S861" s="19">
        <v>7.982499999999999</v>
      </c>
      <c r="T861" s="12">
        <v>0.3145</v>
      </c>
      <c r="U861" s="12">
        <v>2.415</v>
      </c>
      <c r="V861" s="12"/>
      <c r="W861" s="12"/>
    </row>
    <row r="862" spans="1:23" x14ac:dyDescent="0.25">
      <c r="B862" s="84"/>
      <c r="C862" s="3"/>
      <c r="D862" s="3"/>
      <c r="G862" s="3"/>
      <c r="H862" s="3"/>
      <c r="I862" s="3"/>
      <c r="J862" s="3"/>
      <c r="K862" s="3"/>
      <c r="L862" s="40"/>
      <c r="M862" s="3"/>
      <c r="N862" s="3"/>
      <c r="O862" s="3"/>
      <c r="P862" s="5"/>
      <c r="Q862" s="156">
        <v>43484</v>
      </c>
      <c r="R862" s="140">
        <v>1.2375</v>
      </c>
      <c r="S862" s="19">
        <v>8.5874999999999986</v>
      </c>
      <c r="T862" s="12">
        <v>0.32050000000000001</v>
      </c>
      <c r="U862" s="12">
        <v>2.3774999999999999</v>
      </c>
      <c r="V862" s="12"/>
      <c r="W862" s="12"/>
    </row>
    <row r="863" spans="1:23" x14ac:dyDescent="0.25">
      <c r="B863" s="84"/>
      <c r="C863" s="3"/>
      <c r="D863" s="3"/>
      <c r="G863" s="3"/>
      <c r="H863" s="3"/>
      <c r="I863" s="3"/>
      <c r="J863" s="3"/>
      <c r="K863" s="3"/>
      <c r="L863" s="40"/>
      <c r="M863" s="3"/>
      <c r="N863" s="3"/>
      <c r="O863" s="3"/>
      <c r="P863" s="5"/>
      <c r="Q863" s="156">
        <v>43489</v>
      </c>
      <c r="R863" s="140">
        <v>1.32</v>
      </c>
      <c r="S863" s="19">
        <v>9.7850000000000001</v>
      </c>
      <c r="T863" s="12">
        <v>0.1885</v>
      </c>
      <c r="U863" s="12">
        <v>2.5300000000000002</v>
      </c>
      <c r="V863" s="12"/>
      <c r="W863" s="12"/>
    </row>
    <row r="864" spans="1:23" x14ac:dyDescent="0.25">
      <c r="B864" s="84"/>
      <c r="C864" s="3"/>
      <c r="D864" s="3"/>
      <c r="G864" s="3"/>
      <c r="H864" s="3"/>
      <c r="I864" s="3"/>
      <c r="J864" s="3"/>
      <c r="K864" s="3"/>
      <c r="L864" s="40"/>
      <c r="M864" s="3"/>
      <c r="N864" s="3"/>
      <c r="O864" s="3"/>
      <c r="P864" s="5"/>
      <c r="Q864" s="156">
        <v>43494</v>
      </c>
      <c r="R864" s="140">
        <v>1.0649999999999999</v>
      </c>
      <c r="S864" s="19">
        <v>8.1749999999999989</v>
      </c>
      <c r="T864" s="12">
        <v>0.26400000000000001</v>
      </c>
      <c r="U864" s="12">
        <v>2.5999999999999996</v>
      </c>
      <c r="V864" s="12"/>
      <c r="W864" s="12"/>
    </row>
    <row r="865" spans="2:23" x14ac:dyDescent="0.25">
      <c r="B865" s="2"/>
      <c r="C865" s="3"/>
      <c r="D865" s="3"/>
      <c r="G865" s="3"/>
      <c r="H865" s="3"/>
      <c r="I865" s="3"/>
      <c r="J865" s="3"/>
      <c r="K865" s="3"/>
      <c r="L865" s="40"/>
      <c r="M865" s="3"/>
      <c r="N865" s="3"/>
      <c r="O865" s="3"/>
      <c r="P865" s="5"/>
      <c r="Q865" s="150">
        <v>43512</v>
      </c>
      <c r="R865" s="140">
        <v>0.69500000000000006</v>
      </c>
      <c r="S865" s="19">
        <v>3.21</v>
      </c>
      <c r="T865" s="12">
        <v>0.137825</v>
      </c>
      <c r="U865" s="12">
        <v>2.9225000000000003</v>
      </c>
      <c r="V865" s="12"/>
      <c r="W865" s="12"/>
    </row>
    <row r="866" spans="2:23" x14ac:dyDescent="0.25">
      <c r="B866" s="2"/>
      <c r="C866" s="3"/>
      <c r="D866" s="3"/>
      <c r="G866" s="3"/>
      <c r="H866" s="3"/>
      <c r="I866" s="3"/>
      <c r="J866" s="3"/>
      <c r="K866" s="3"/>
      <c r="L866" s="40"/>
      <c r="M866" s="3"/>
      <c r="N866" s="3"/>
      <c r="O866" s="3"/>
      <c r="P866" s="5"/>
      <c r="Q866" s="150">
        <v>43520</v>
      </c>
      <c r="R866" s="140">
        <v>1.19</v>
      </c>
      <c r="S866" s="19">
        <v>11.995000000000001</v>
      </c>
      <c r="T866" s="12">
        <v>0.43590000000000001</v>
      </c>
      <c r="U866" s="12">
        <v>3.0575000000000001</v>
      </c>
      <c r="V866" s="12"/>
      <c r="W866" s="12"/>
    </row>
    <row r="867" spans="2:23" x14ac:dyDescent="0.25">
      <c r="B867" s="2"/>
      <c r="C867" s="3"/>
      <c r="D867" s="3"/>
      <c r="G867" s="3"/>
      <c r="H867" s="3"/>
      <c r="I867" s="3"/>
      <c r="J867" s="3"/>
      <c r="K867" s="3"/>
      <c r="L867" s="40"/>
      <c r="M867" s="3"/>
      <c r="N867" s="3"/>
      <c r="O867" s="3"/>
      <c r="P867" s="5"/>
      <c r="Q867" s="150">
        <v>43528</v>
      </c>
      <c r="R867" s="140">
        <v>1.2549999999999999</v>
      </c>
      <c r="S867" s="19">
        <v>8.7050000000000001</v>
      </c>
      <c r="T867" s="12">
        <v>0.39799999999999996</v>
      </c>
      <c r="U867" s="12">
        <v>3.39</v>
      </c>
      <c r="V867" s="12"/>
      <c r="W867" s="12"/>
    </row>
    <row r="868" spans="2:23" x14ac:dyDescent="0.25">
      <c r="B868" s="2"/>
      <c r="C868" s="3"/>
      <c r="D868" s="3"/>
      <c r="G868" s="3"/>
      <c r="H868" s="3"/>
      <c r="I868" s="3"/>
      <c r="J868" s="3"/>
      <c r="K868" s="3"/>
      <c r="L868" s="40"/>
      <c r="M868" s="3"/>
      <c r="N868" s="3"/>
      <c r="O868" s="3"/>
      <c r="P868" s="5"/>
      <c r="Q868" s="150">
        <v>43533</v>
      </c>
      <c r="R868" s="140">
        <v>2.0525000000000002</v>
      </c>
      <c r="S868" s="19">
        <v>12.217499999999999</v>
      </c>
      <c r="T868" s="12">
        <v>0.20475000000000002</v>
      </c>
      <c r="U868" s="12">
        <v>3.6725000000000003</v>
      </c>
      <c r="V868" s="12"/>
      <c r="W868" s="12"/>
    </row>
    <row r="869" spans="2:23" x14ac:dyDescent="0.25">
      <c r="B869" s="84"/>
      <c r="C869" s="3"/>
      <c r="D869" s="3"/>
      <c r="G869" s="3"/>
      <c r="H869" s="3"/>
      <c r="I869" s="3"/>
      <c r="J869" s="3"/>
      <c r="K869" s="3"/>
      <c r="L869" s="40"/>
      <c r="M869" s="3"/>
      <c r="N869" s="3"/>
      <c r="O869" s="3"/>
      <c r="P869" s="5"/>
      <c r="Q869" s="156">
        <v>43535</v>
      </c>
      <c r="R869" s="140">
        <v>2.1324999999999998</v>
      </c>
      <c r="S869" s="19">
        <v>13.772499999999999</v>
      </c>
      <c r="T869" s="12">
        <v>0.23199999999999998</v>
      </c>
      <c r="U869" s="12">
        <v>3.7649999999999997</v>
      </c>
      <c r="V869" s="12"/>
      <c r="W869" s="12"/>
    </row>
    <row r="870" spans="2:23" x14ac:dyDescent="0.25">
      <c r="B870" s="84"/>
      <c r="C870" s="3"/>
      <c r="D870" s="3"/>
      <c r="G870" s="3"/>
      <c r="H870" s="3"/>
      <c r="I870" s="3"/>
      <c r="J870" s="3"/>
      <c r="K870" s="3"/>
      <c r="L870" s="40"/>
      <c r="M870" s="3"/>
      <c r="N870" s="3"/>
      <c r="O870" s="3"/>
      <c r="P870" s="5"/>
      <c r="Q870" s="156">
        <v>43538</v>
      </c>
      <c r="R870" s="140">
        <v>2.5425</v>
      </c>
      <c r="S870" s="19">
        <v>14.404999999999999</v>
      </c>
      <c r="T870" s="12">
        <v>0.19925000000000001</v>
      </c>
      <c r="U870" s="12">
        <v>3.9949999999999997</v>
      </c>
      <c r="V870" s="12"/>
      <c r="W870" s="12"/>
    </row>
    <row r="871" spans="2:23" x14ac:dyDescent="0.25">
      <c r="B871" s="84"/>
      <c r="C871" s="3"/>
      <c r="D871" s="3"/>
      <c r="G871" s="3"/>
      <c r="H871" s="3"/>
      <c r="I871" s="3"/>
      <c r="J871" s="3"/>
      <c r="K871" s="3"/>
      <c r="L871" s="40"/>
      <c r="M871" s="3"/>
      <c r="N871" s="3"/>
      <c r="O871" s="3"/>
      <c r="P871" s="5"/>
      <c r="Q871" s="156">
        <v>43542</v>
      </c>
      <c r="R871" s="140">
        <v>2.9674999999999998</v>
      </c>
      <c r="S871" s="19">
        <v>14.34</v>
      </c>
      <c r="T871" s="12">
        <v>0.21525</v>
      </c>
      <c r="U871" s="12">
        <v>4.2050000000000001</v>
      </c>
      <c r="V871" s="12"/>
      <c r="W871" s="12"/>
    </row>
    <row r="872" spans="2:23" x14ac:dyDescent="0.25">
      <c r="B872" s="84"/>
      <c r="C872" s="3"/>
      <c r="D872" s="3"/>
      <c r="G872" s="3"/>
      <c r="H872" s="3"/>
      <c r="I872" s="3"/>
      <c r="J872" s="3"/>
      <c r="K872" s="3"/>
      <c r="L872" s="40"/>
      <c r="M872" s="3"/>
      <c r="N872" s="3"/>
      <c r="O872" s="3"/>
      <c r="P872" s="5"/>
      <c r="Q872" s="156">
        <v>43545</v>
      </c>
      <c r="R872" s="140">
        <v>1.8875</v>
      </c>
      <c r="S872" s="19">
        <v>14.192500000000001</v>
      </c>
      <c r="T872" s="12">
        <v>0.35575000000000001</v>
      </c>
      <c r="U872" s="12">
        <v>4.4899999999999993</v>
      </c>
      <c r="V872" s="12"/>
      <c r="W872" s="12"/>
    </row>
    <row r="873" spans="2:23" x14ac:dyDescent="0.25">
      <c r="B873" s="84"/>
      <c r="C873" s="3"/>
      <c r="D873" s="3"/>
      <c r="G873" s="3"/>
      <c r="H873" s="3"/>
      <c r="I873" s="3"/>
      <c r="J873" s="3"/>
      <c r="K873" s="3"/>
      <c r="L873" s="40"/>
      <c r="M873" s="3"/>
      <c r="N873" s="3"/>
      <c r="O873" s="3"/>
      <c r="P873" s="5"/>
      <c r="Q873" s="156">
        <v>43549</v>
      </c>
      <c r="R873" s="140">
        <v>1.5549999999999999</v>
      </c>
      <c r="S873" s="19">
        <v>12.4975</v>
      </c>
      <c r="T873" s="12">
        <v>0.27975</v>
      </c>
      <c r="U873" s="12">
        <v>4.3499999999999996</v>
      </c>
      <c r="V873" s="12"/>
      <c r="W873" s="12"/>
    </row>
    <row r="874" spans="2:23" x14ac:dyDescent="0.25">
      <c r="B874" s="84"/>
      <c r="C874" s="3"/>
      <c r="D874" s="3"/>
      <c r="G874" s="3"/>
      <c r="H874" s="3"/>
      <c r="I874" s="3"/>
      <c r="J874" s="3"/>
      <c r="K874" s="3"/>
      <c r="L874" s="40"/>
      <c r="M874" s="3"/>
      <c r="N874" s="3"/>
      <c r="O874" s="3"/>
      <c r="P874" s="5"/>
      <c r="Q874" s="156">
        <v>43553</v>
      </c>
      <c r="R874" s="140">
        <v>2.19</v>
      </c>
      <c r="S874" s="19">
        <v>14.585000000000001</v>
      </c>
      <c r="T874" s="12">
        <v>0.249</v>
      </c>
      <c r="U874" s="12">
        <v>4.4525000000000006</v>
      </c>
      <c r="V874" s="12"/>
      <c r="W874" s="12"/>
    </row>
    <row r="875" spans="2:23" x14ac:dyDescent="0.25">
      <c r="B875" s="84"/>
      <c r="C875" s="3"/>
      <c r="D875" s="3"/>
      <c r="G875" s="3"/>
      <c r="H875" s="3"/>
      <c r="I875" s="3"/>
      <c r="J875" s="3"/>
      <c r="K875" s="3"/>
      <c r="L875" s="40"/>
      <c r="M875" s="3"/>
      <c r="N875" s="3"/>
      <c r="O875" s="3"/>
      <c r="P875" s="5"/>
      <c r="Q875" s="156">
        <v>43556</v>
      </c>
      <c r="R875" s="140">
        <v>2.1724999999999999</v>
      </c>
      <c r="S875" s="19">
        <v>14.595000000000001</v>
      </c>
      <c r="T875" s="12">
        <v>0.217</v>
      </c>
      <c r="U875" s="12">
        <v>4.7749999999999995</v>
      </c>
      <c r="V875" s="12"/>
      <c r="W875" s="12"/>
    </row>
    <row r="876" spans="2:23" x14ac:dyDescent="0.25">
      <c r="B876" s="84"/>
      <c r="C876" s="3"/>
      <c r="D876" s="3"/>
      <c r="G876" s="3"/>
      <c r="H876" s="3"/>
      <c r="I876" s="3"/>
      <c r="J876" s="3"/>
      <c r="K876" s="3"/>
      <c r="L876" s="40"/>
      <c r="M876" s="3"/>
      <c r="N876" s="3"/>
      <c r="O876" s="3"/>
      <c r="P876" s="5"/>
      <c r="Q876" s="156">
        <v>43561</v>
      </c>
      <c r="R876" s="140">
        <v>2.0425</v>
      </c>
      <c r="S876" s="19">
        <v>15.71</v>
      </c>
      <c r="T876" s="12">
        <v>0.20249999999999999</v>
      </c>
      <c r="U876" s="12">
        <v>5.375</v>
      </c>
      <c r="V876" s="12"/>
      <c r="W876" s="12"/>
    </row>
    <row r="877" spans="2:23" x14ac:dyDescent="0.25">
      <c r="B877" s="84"/>
      <c r="C877" s="3"/>
      <c r="D877" s="3"/>
      <c r="G877" s="3"/>
      <c r="H877" s="3"/>
      <c r="I877" s="3"/>
      <c r="J877" s="3"/>
      <c r="K877" s="3"/>
      <c r="L877" s="40"/>
      <c r="M877" s="3"/>
      <c r="N877" s="3"/>
      <c r="O877" s="3"/>
      <c r="P877" s="5"/>
      <c r="Q877" s="156">
        <v>43565</v>
      </c>
      <c r="R877" s="140">
        <v>2.1525000000000003</v>
      </c>
      <c r="S877" s="19">
        <v>14.18</v>
      </c>
      <c r="T877" s="12">
        <v>0.34125000000000005</v>
      </c>
      <c r="U877" s="12">
        <v>6.0875000000000004</v>
      </c>
      <c r="V877" s="12"/>
      <c r="W877" s="12"/>
    </row>
    <row r="878" spans="2:23" x14ac:dyDescent="0.25">
      <c r="B878" s="84"/>
      <c r="C878" s="3"/>
      <c r="D878" s="3"/>
      <c r="G878" s="3"/>
      <c r="H878" s="3"/>
      <c r="I878" s="3"/>
      <c r="J878" s="3"/>
      <c r="K878" s="3"/>
      <c r="L878" s="40"/>
      <c r="M878" s="3"/>
      <c r="N878" s="3"/>
      <c r="O878" s="3"/>
      <c r="P878" s="5"/>
      <c r="Q878" s="156">
        <v>43568</v>
      </c>
      <c r="R878" s="140">
        <v>2.8675000000000002</v>
      </c>
      <c r="S878" s="19">
        <v>15.732500000000002</v>
      </c>
      <c r="T878" s="12">
        <v>0.13600000000000001</v>
      </c>
      <c r="U878" s="12">
        <v>6.0049999999999999</v>
      </c>
      <c r="V878" s="12"/>
      <c r="W878" s="12"/>
    </row>
    <row r="879" spans="2:23" x14ac:dyDescent="0.25">
      <c r="B879" s="84"/>
      <c r="C879" s="3"/>
      <c r="D879" s="3"/>
      <c r="G879" s="3"/>
      <c r="H879" s="3"/>
      <c r="I879" s="3"/>
      <c r="J879" s="3"/>
      <c r="K879" s="3"/>
      <c r="L879" s="40"/>
      <c r="M879" s="3"/>
      <c r="N879" s="3"/>
      <c r="O879" s="3"/>
      <c r="P879" s="5"/>
      <c r="Q879" s="156">
        <v>43570</v>
      </c>
      <c r="R879" s="140">
        <v>2.17</v>
      </c>
      <c r="S879" s="19">
        <v>19.174999999999997</v>
      </c>
      <c r="T879" s="12">
        <v>0.10324999999999999</v>
      </c>
      <c r="U879" s="12">
        <v>5.4474999999999998</v>
      </c>
      <c r="V879" s="12"/>
      <c r="W879" s="12"/>
    </row>
    <row r="880" spans="2:23" x14ac:dyDescent="0.25">
      <c r="B880" s="84"/>
      <c r="C880" s="3"/>
      <c r="D880" s="3"/>
      <c r="G880" s="3"/>
      <c r="H880" s="3"/>
      <c r="I880" s="3"/>
      <c r="J880" s="3"/>
      <c r="K880" s="3"/>
      <c r="L880" s="40"/>
      <c r="M880" s="3"/>
      <c r="N880" s="3"/>
      <c r="O880" s="3"/>
      <c r="P880" s="5"/>
      <c r="Q880" s="156">
        <v>43575</v>
      </c>
      <c r="R880" s="140">
        <v>1.97</v>
      </c>
      <c r="S880" s="19">
        <v>22.185000000000002</v>
      </c>
      <c r="T880" s="12">
        <v>4.4999999999999998E-2</v>
      </c>
      <c r="U880" s="12">
        <v>4.4350000000000005</v>
      </c>
      <c r="V880" s="12"/>
      <c r="W880" s="12"/>
    </row>
    <row r="881" spans="2:23" x14ac:dyDescent="0.25">
      <c r="B881" s="84"/>
      <c r="C881" s="3"/>
      <c r="D881" s="3"/>
      <c r="G881" s="3"/>
      <c r="H881" s="3"/>
      <c r="I881" s="3"/>
      <c r="J881" s="3"/>
      <c r="K881" s="3"/>
      <c r="L881" s="40"/>
      <c r="M881" s="3"/>
      <c r="N881" s="3"/>
      <c r="O881" s="3"/>
      <c r="P881" s="5"/>
      <c r="Q881" s="156">
        <v>43582</v>
      </c>
      <c r="R881" s="140">
        <v>1.6025</v>
      </c>
      <c r="S881" s="19">
        <v>20.8825</v>
      </c>
      <c r="T881" s="12">
        <v>0.1275</v>
      </c>
      <c r="U881" s="12">
        <v>3.4824999999999999</v>
      </c>
      <c r="V881" s="12"/>
      <c r="W881" s="12"/>
    </row>
    <row r="882" spans="2:23" x14ac:dyDescent="0.25">
      <c r="B882" s="84"/>
      <c r="C882" s="3"/>
      <c r="D882" s="3"/>
      <c r="G882" s="3"/>
      <c r="H882" s="3"/>
      <c r="I882" s="3"/>
      <c r="J882" s="3"/>
      <c r="K882" s="3"/>
      <c r="L882" s="40"/>
      <c r="M882" s="3"/>
      <c r="N882" s="3"/>
      <c r="O882" s="3"/>
      <c r="P882" s="5"/>
      <c r="Q882" s="156">
        <v>43585</v>
      </c>
      <c r="R882" s="140">
        <v>1.6149999999999998</v>
      </c>
      <c r="S882" s="19">
        <v>20.342500000000001</v>
      </c>
      <c r="T882" s="12">
        <v>0.14499999999999999</v>
      </c>
      <c r="U882" s="12">
        <v>3.3325000000000005</v>
      </c>
      <c r="V882" s="12"/>
      <c r="W882" s="12"/>
    </row>
    <row r="883" spans="2:23" x14ac:dyDescent="0.25">
      <c r="B883" s="84"/>
      <c r="C883" s="3"/>
      <c r="D883" s="3"/>
      <c r="G883" s="3"/>
      <c r="H883" s="3"/>
      <c r="I883" s="3"/>
      <c r="J883" s="3"/>
      <c r="K883" s="3"/>
      <c r="L883" s="40"/>
      <c r="M883" s="3"/>
      <c r="N883" s="3"/>
      <c r="O883" s="3"/>
      <c r="P883" s="5"/>
      <c r="Q883" s="156">
        <v>43589</v>
      </c>
      <c r="R883" s="140">
        <v>1.0225</v>
      </c>
      <c r="S883" s="19">
        <v>21.114999999999998</v>
      </c>
      <c r="T883" s="12">
        <v>0.10675</v>
      </c>
      <c r="U883" s="12">
        <v>2.9125000000000001</v>
      </c>
      <c r="V883" s="12"/>
      <c r="W883" s="12"/>
    </row>
    <row r="884" spans="2:23" x14ac:dyDescent="0.25">
      <c r="B884" s="84"/>
      <c r="C884" s="3"/>
      <c r="D884" s="3"/>
      <c r="G884" s="3"/>
      <c r="H884" s="3"/>
      <c r="I884" s="3"/>
      <c r="J884" s="3"/>
      <c r="K884" s="3"/>
      <c r="L884" s="40"/>
      <c r="M884" s="3"/>
      <c r="N884" s="3"/>
      <c r="O884" s="3"/>
      <c r="P884" s="5"/>
      <c r="Q884" s="156">
        <v>43592</v>
      </c>
      <c r="R884" s="140">
        <v>1.77</v>
      </c>
      <c r="S884" s="19">
        <v>22.317499999999999</v>
      </c>
      <c r="T884" s="12">
        <v>8.3250000000000005E-2</v>
      </c>
      <c r="U884" s="12">
        <v>2.37</v>
      </c>
      <c r="V884" s="12"/>
      <c r="W884" s="12"/>
    </row>
    <row r="885" spans="2:23" x14ac:dyDescent="0.25">
      <c r="B885" s="84"/>
      <c r="C885" s="3"/>
      <c r="D885" s="3"/>
      <c r="G885" s="3"/>
      <c r="H885" s="3"/>
      <c r="I885" s="3"/>
      <c r="J885" s="3"/>
      <c r="K885" s="3"/>
      <c r="L885" s="40"/>
      <c r="M885" s="3"/>
      <c r="N885" s="3"/>
      <c r="O885" s="3"/>
      <c r="P885" s="5"/>
      <c r="Q885" s="156">
        <v>43598</v>
      </c>
      <c r="R885" s="140">
        <v>1.2574999999999998</v>
      </c>
      <c r="S885" s="19">
        <v>28.4375</v>
      </c>
      <c r="T885" s="12">
        <v>9.4E-2</v>
      </c>
      <c r="U885" s="12">
        <v>1.7374999999999998</v>
      </c>
      <c r="V885" s="12"/>
      <c r="W885" s="12"/>
    </row>
    <row r="886" spans="2:23" x14ac:dyDescent="0.25">
      <c r="B886" s="2"/>
      <c r="C886" s="3"/>
      <c r="D886" s="3"/>
      <c r="G886" s="3"/>
      <c r="H886" s="3"/>
      <c r="I886" s="3"/>
      <c r="J886" s="3"/>
      <c r="K886" s="3"/>
      <c r="L886" s="40"/>
      <c r="M886" s="3"/>
      <c r="N886" s="3"/>
      <c r="O886" s="3"/>
      <c r="P886" s="5"/>
      <c r="Q886" s="150">
        <v>43631</v>
      </c>
      <c r="R886" s="140">
        <v>1.6600000000000001</v>
      </c>
      <c r="S886" s="19">
        <v>30.375</v>
      </c>
      <c r="T886" s="12">
        <v>6.1249999999999999E-2</v>
      </c>
      <c r="U886" s="12"/>
      <c r="V886" s="12"/>
      <c r="W886" s="12"/>
    </row>
    <row r="887" spans="2:23" x14ac:dyDescent="0.25">
      <c r="B887" s="2"/>
      <c r="C887" s="3"/>
      <c r="D887" s="3"/>
      <c r="G887" s="3"/>
      <c r="H887" s="3"/>
      <c r="I887" s="3"/>
      <c r="J887" s="3"/>
      <c r="K887" s="3"/>
      <c r="L887" s="40"/>
      <c r="M887" s="3"/>
      <c r="N887" s="3"/>
      <c r="O887" s="3"/>
      <c r="P887" s="5"/>
      <c r="Q887" s="150">
        <v>43635</v>
      </c>
      <c r="R887" s="140">
        <v>1.3174999999999999</v>
      </c>
      <c r="S887" s="19">
        <v>27.23</v>
      </c>
      <c r="T887" s="12">
        <v>0.13900000000000001</v>
      </c>
      <c r="U887" s="12"/>
      <c r="V887" s="12"/>
      <c r="W887" s="12"/>
    </row>
    <row r="888" spans="2:23" x14ac:dyDescent="0.25">
      <c r="B888" s="2"/>
      <c r="C888" s="3"/>
      <c r="D888" s="3"/>
      <c r="G888" s="3"/>
      <c r="H888" s="3"/>
      <c r="I888" s="3"/>
      <c r="J888" s="3"/>
      <c r="K888" s="3"/>
      <c r="L888" s="40"/>
      <c r="M888" s="3"/>
      <c r="N888" s="3"/>
      <c r="O888" s="3"/>
      <c r="P888" s="5"/>
      <c r="Q888" s="150">
        <v>43639</v>
      </c>
      <c r="R888" s="140">
        <v>1.75</v>
      </c>
      <c r="S888" s="19">
        <v>28.0075</v>
      </c>
      <c r="T888" s="12">
        <v>0.26400000000000001</v>
      </c>
      <c r="U888" s="12">
        <v>0.3075</v>
      </c>
      <c r="V888" s="12"/>
      <c r="W888" s="12"/>
    </row>
    <row r="889" spans="2:23" x14ac:dyDescent="0.25">
      <c r="B889" s="2"/>
      <c r="C889" s="3"/>
      <c r="D889" s="3"/>
      <c r="G889" s="3"/>
      <c r="H889" s="3"/>
      <c r="I889" s="3"/>
      <c r="J889" s="3"/>
      <c r="K889" s="3"/>
      <c r="L889" s="40"/>
      <c r="M889" s="3"/>
      <c r="N889" s="3"/>
      <c r="O889" s="3"/>
      <c r="P889" s="5"/>
      <c r="Q889" s="150">
        <v>43643</v>
      </c>
      <c r="R889" s="140">
        <v>2.0674999999999999</v>
      </c>
      <c r="S889" s="19">
        <v>30.267499999999998</v>
      </c>
      <c r="T889" s="12">
        <v>8.2500000000000004E-2</v>
      </c>
      <c r="U889" s="12">
        <v>0.62750000000000006</v>
      </c>
      <c r="V889" s="12"/>
      <c r="W889" s="12"/>
    </row>
    <row r="890" spans="2:23" x14ac:dyDescent="0.25">
      <c r="B890" s="2"/>
      <c r="C890" s="3"/>
      <c r="D890" s="3"/>
      <c r="G890" s="3"/>
      <c r="H890" s="3"/>
      <c r="I890" s="3"/>
      <c r="J890" s="3"/>
      <c r="K890" s="3"/>
      <c r="L890" s="40"/>
      <c r="M890" s="3"/>
      <c r="N890" s="3"/>
      <c r="O890" s="3"/>
      <c r="P890" s="5"/>
      <c r="Q890" s="150">
        <v>43646</v>
      </c>
      <c r="R890" s="140">
        <v>2.5099999999999998</v>
      </c>
      <c r="S890" s="19">
        <v>31.247499999999999</v>
      </c>
      <c r="T890" s="12">
        <v>0.22875000000000001</v>
      </c>
      <c r="U890" s="12">
        <v>1.1475</v>
      </c>
      <c r="V890" s="12"/>
      <c r="W890" s="12"/>
    </row>
    <row r="891" spans="2:23" x14ac:dyDescent="0.25">
      <c r="B891" s="2"/>
      <c r="C891" s="3"/>
      <c r="D891" s="3"/>
      <c r="G891" s="3"/>
      <c r="H891" s="3"/>
      <c r="I891" s="3"/>
      <c r="J891" s="3"/>
      <c r="K891" s="3"/>
      <c r="L891" s="40"/>
      <c r="M891" s="3"/>
      <c r="N891" s="3"/>
      <c r="O891" s="3"/>
      <c r="P891" s="5"/>
      <c r="Q891" s="150">
        <v>43650</v>
      </c>
      <c r="R891" s="140">
        <v>2.4375</v>
      </c>
      <c r="S891" s="19">
        <v>28.297499999999999</v>
      </c>
      <c r="T891" s="12">
        <v>9.9500000000000005E-2</v>
      </c>
      <c r="U891" s="12">
        <v>1.2925</v>
      </c>
      <c r="V891" s="12"/>
      <c r="W891" s="12"/>
    </row>
    <row r="892" spans="2:23" x14ac:dyDescent="0.25">
      <c r="B892" s="84"/>
      <c r="C892" s="3"/>
      <c r="D892" s="3"/>
      <c r="G892" s="3"/>
      <c r="H892" s="3"/>
      <c r="I892" s="3"/>
      <c r="J892" s="3"/>
      <c r="K892" s="3"/>
      <c r="L892" s="40"/>
      <c r="M892" s="3"/>
      <c r="N892" s="3"/>
      <c r="O892" s="3"/>
      <c r="P892" s="5"/>
      <c r="Q892" s="156">
        <v>43654</v>
      </c>
      <c r="R892" s="140">
        <v>2.2000000000000002</v>
      </c>
      <c r="S892" s="19">
        <v>26.465</v>
      </c>
      <c r="T892" s="12">
        <v>0.33774999999999999</v>
      </c>
      <c r="U892" s="12">
        <v>1.45</v>
      </c>
      <c r="V892" s="12"/>
      <c r="W892" s="12"/>
    </row>
    <row r="893" spans="2:23" x14ac:dyDescent="0.25">
      <c r="B893" s="84"/>
      <c r="C893" s="3"/>
      <c r="D893" s="3"/>
      <c r="G893" s="3"/>
      <c r="H893" s="3"/>
      <c r="I893" s="3"/>
      <c r="J893" s="3"/>
      <c r="K893" s="3"/>
      <c r="L893" s="40"/>
      <c r="M893" s="3"/>
      <c r="N893" s="3"/>
      <c r="O893" s="3"/>
      <c r="P893" s="5"/>
      <c r="Q893" s="156">
        <v>43657</v>
      </c>
      <c r="R893" s="140">
        <v>2.3574999999999999</v>
      </c>
      <c r="S893" s="19">
        <v>28.295000000000002</v>
      </c>
      <c r="T893" s="12">
        <v>0.19800000000000001</v>
      </c>
      <c r="U893" s="12">
        <v>1.9924999999999999</v>
      </c>
      <c r="V893" s="12"/>
      <c r="W893" s="12"/>
    </row>
    <row r="894" spans="2:23" x14ac:dyDescent="0.25">
      <c r="B894" s="2"/>
      <c r="C894" s="3"/>
      <c r="D894" s="3"/>
      <c r="G894" s="3"/>
      <c r="H894" s="3"/>
      <c r="I894" s="3"/>
      <c r="J894" s="3"/>
      <c r="K894" s="3"/>
      <c r="L894" s="40"/>
      <c r="M894" s="3"/>
      <c r="N894" s="3"/>
      <c r="O894" s="3"/>
      <c r="P894" s="5"/>
      <c r="Q894" s="150">
        <v>43661</v>
      </c>
      <c r="R894" s="140">
        <v>1.7250000000000001</v>
      </c>
      <c r="S894" s="19">
        <v>26.952499999999997</v>
      </c>
      <c r="T894" s="12">
        <v>0.35175000000000006</v>
      </c>
      <c r="U894" s="12">
        <v>2.2449999999999997</v>
      </c>
      <c r="V894" s="12"/>
      <c r="W894" s="12"/>
    </row>
    <row r="895" spans="2:23" x14ac:dyDescent="0.25">
      <c r="B895" s="2"/>
      <c r="C895" s="3"/>
      <c r="D895" s="3"/>
      <c r="G895" s="3"/>
      <c r="H895" s="3"/>
      <c r="I895" s="3"/>
      <c r="J895" s="3"/>
      <c r="K895" s="3"/>
      <c r="L895" s="40"/>
      <c r="M895" s="3"/>
      <c r="N895" s="3"/>
      <c r="O895" s="3"/>
      <c r="P895" s="5"/>
      <c r="Q895" s="150">
        <v>43664</v>
      </c>
      <c r="R895" s="140">
        <v>3.3075000000000006</v>
      </c>
      <c r="S895" s="19">
        <v>29.15</v>
      </c>
      <c r="T895" s="12">
        <v>0.23959999999999998</v>
      </c>
      <c r="U895" s="12">
        <v>3.0824999999999996</v>
      </c>
      <c r="V895" s="12"/>
      <c r="W895" s="12"/>
    </row>
    <row r="896" spans="2:23" x14ac:dyDescent="0.25">
      <c r="B896" s="2"/>
      <c r="C896" s="3"/>
      <c r="D896" s="3"/>
      <c r="G896" s="3"/>
      <c r="H896" s="3"/>
      <c r="I896" s="3"/>
      <c r="J896" s="3"/>
      <c r="K896" s="3"/>
      <c r="L896" s="40"/>
      <c r="M896" s="3"/>
      <c r="N896" s="3"/>
      <c r="O896" s="3"/>
      <c r="P896" s="5"/>
      <c r="Q896" s="150">
        <v>43667</v>
      </c>
      <c r="R896" s="140">
        <v>2.9275000000000002</v>
      </c>
      <c r="S896" s="19">
        <v>31.012499999999999</v>
      </c>
      <c r="T896" s="12">
        <v>0.15500000000000003</v>
      </c>
      <c r="U896" s="12">
        <v>3.5449999999999999</v>
      </c>
      <c r="V896" s="12"/>
      <c r="W896" s="12"/>
    </row>
    <row r="897" spans="2:23" x14ac:dyDescent="0.25">
      <c r="B897" s="2"/>
      <c r="C897" s="3"/>
      <c r="D897" s="3"/>
      <c r="G897" s="3"/>
      <c r="H897" s="3"/>
      <c r="I897" s="3"/>
      <c r="J897" s="3"/>
      <c r="K897" s="3"/>
      <c r="L897" s="40"/>
      <c r="M897" s="3"/>
      <c r="N897" s="3"/>
      <c r="O897" s="3"/>
      <c r="P897" s="5"/>
      <c r="Q897" s="150">
        <v>43671</v>
      </c>
      <c r="R897" s="140">
        <v>3.2875000000000001</v>
      </c>
      <c r="S897" s="19">
        <v>29.362499999999997</v>
      </c>
      <c r="T897" s="12">
        <v>9.9750000000000005E-2</v>
      </c>
      <c r="U897" s="12">
        <v>3.6749999999999998</v>
      </c>
      <c r="V897" s="12"/>
      <c r="W897" s="12"/>
    </row>
    <row r="898" spans="2:23" x14ac:dyDescent="0.25">
      <c r="B898" s="2"/>
      <c r="C898" s="3"/>
      <c r="D898" s="3"/>
      <c r="G898" s="3"/>
      <c r="H898" s="3"/>
      <c r="I898" s="3"/>
      <c r="J898" s="3"/>
      <c r="K898" s="3"/>
      <c r="L898" s="40"/>
      <c r="M898" s="3"/>
      <c r="N898" s="3"/>
      <c r="O898" s="3"/>
      <c r="P898" s="5"/>
      <c r="Q898" s="150">
        <v>43676</v>
      </c>
      <c r="R898" s="140">
        <v>3.11</v>
      </c>
      <c r="S898" s="19">
        <v>32.847499999999997</v>
      </c>
      <c r="T898" s="12">
        <v>0.13325000000000001</v>
      </c>
      <c r="U898" s="12">
        <v>3.7149999999999999</v>
      </c>
      <c r="V898" s="12"/>
      <c r="W898" s="12"/>
    </row>
    <row r="899" spans="2:23" x14ac:dyDescent="0.25">
      <c r="B899" s="2"/>
      <c r="C899" s="3"/>
      <c r="D899" s="3"/>
      <c r="G899" s="3"/>
      <c r="H899" s="3"/>
      <c r="I899" s="3"/>
      <c r="J899" s="3"/>
      <c r="K899" s="3"/>
      <c r="L899" s="40"/>
      <c r="M899" s="3"/>
      <c r="N899" s="3"/>
      <c r="O899" s="3"/>
      <c r="P899" s="5"/>
      <c r="Q899" s="150">
        <v>43678</v>
      </c>
      <c r="R899" s="140">
        <v>3.3224999999999998</v>
      </c>
      <c r="S899" s="19">
        <v>30.274999999999999</v>
      </c>
      <c r="T899" s="12">
        <v>0.11624999999999999</v>
      </c>
      <c r="U899" s="12">
        <v>4.03</v>
      </c>
      <c r="V899" s="12"/>
      <c r="W899" s="12"/>
    </row>
    <row r="900" spans="2:23" x14ac:dyDescent="0.25">
      <c r="B900" s="2"/>
      <c r="C900" s="3"/>
      <c r="D900" s="3"/>
      <c r="G900" s="3"/>
      <c r="H900" s="3"/>
      <c r="I900" s="3"/>
      <c r="J900" s="3"/>
      <c r="K900" s="3"/>
      <c r="L900" s="40"/>
      <c r="M900" s="3"/>
      <c r="N900" s="3"/>
      <c r="O900" s="3"/>
      <c r="P900" s="5"/>
      <c r="Q900" s="150">
        <v>43683</v>
      </c>
      <c r="R900" s="140">
        <v>2.9049999999999998</v>
      </c>
      <c r="S900" s="19">
        <v>28.682500000000001</v>
      </c>
      <c r="T900" s="12">
        <v>0.28699999999999998</v>
      </c>
      <c r="U900" s="12">
        <v>4.8375000000000004</v>
      </c>
      <c r="V900" s="12"/>
      <c r="W900" s="12"/>
    </row>
    <row r="901" spans="2:23" x14ac:dyDescent="0.25">
      <c r="B901" s="2"/>
      <c r="C901" s="3"/>
      <c r="D901" s="3"/>
      <c r="G901" s="3"/>
      <c r="H901" s="3"/>
      <c r="I901" s="3"/>
      <c r="J901" s="3"/>
      <c r="K901" s="3"/>
      <c r="L901" s="40"/>
      <c r="M901" s="3"/>
      <c r="N901" s="3"/>
      <c r="O901" s="3"/>
      <c r="P901" s="5"/>
      <c r="Q901" s="150">
        <v>43686</v>
      </c>
      <c r="R901" s="140">
        <v>3.2449999999999997</v>
      </c>
      <c r="S901" s="19">
        <v>26.272499999999997</v>
      </c>
      <c r="T901" s="12">
        <v>0.20099999999999998</v>
      </c>
      <c r="U901" s="12">
        <v>4.9950000000000001</v>
      </c>
      <c r="V901" s="12"/>
      <c r="W901" s="12"/>
    </row>
    <row r="902" spans="2:23" x14ac:dyDescent="0.25">
      <c r="B902" s="2"/>
      <c r="C902" s="3"/>
      <c r="D902" s="3"/>
      <c r="G902" s="3"/>
      <c r="H902" s="3"/>
      <c r="I902" s="3"/>
      <c r="J902" s="3"/>
      <c r="K902" s="3"/>
      <c r="L902" s="40"/>
      <c r="M902" s="3"/>
      <c r="N902" s="3"/>
      <c r="O902" s="3"/>
      <c r="P902" s="5"/>
      <c r="Q902" s="150">
        <v>43691</v>
      </c>
      <c r="R902" s="140">
        <v>3.45</v>
      </c>
      <c r="S902" s="19">
        <v>25.884999999999998</v>
      </c>
      <c r="T902" s="12">
        <v>0.14075000000000001</v>
      </c>
      <c r="U902" s="12">
        <v>5.165</v>
      </c>
      <c r="V902" s="12"/>
      <c r="W902" s="12"/>
    </row>
    <row r="903" spans="2:23" x14ac:dyDescent="0.25">
      <c r="B903" s="2"/>
      <c r="C903" s="3"/>
      <c r="D903" s="3"/>
      <c r="G903" s="3"/>
      <c r="H903" s="3"/>
      <c r="I903" s="3"/>
      <c r="J903" s="3"/>
      <c r="K903" s="3"/>
      <c r="L903" s="40"/>
      <c r="M903" s="3"/>
      <c r="N903" s="3"/>
      <c r="O903" s="3"/>
      <c r="P903" s="5"/>
      <c r="Q903" s="150">
        <v>43697</v>
      </c>
      <c r="R903" s="140">
        <v>3.7799999999999994</v>
      </c>
      <c r="S903" s="19">
        <v>28.497500000000002</v>
      </c>
      <c r="T903" s="12">
        <v>0.121</v>
      </c>
      <c r="U903" s="12">
        <v>6.16</v>
      </c>
      <c r="V903" s="12"/>
      <c r="W903" s="12"/>
    </row>
    <row r="904" spans="2:23" x14ac:dyDescent="0.25">
      <c r="B904" s="2"/>
      <c r="C904" s="3"/>
      <c r="D904" s="3"/>
      <c r="G904" s="3"/>
      <c r="H904" s="3"/>
      <c r="I904" s="3"/>
      <c r="J904" s="3"/>
      <c r="K904" s="3"/>
      <c r="L904" s="40"/>
      <c r="M904" s="3"/>
      <c r="N904" s="3"/>
      <c r="O904" s="3"/>
      <c r="P904" s="5"/>
      <c r="Q904" s="150">
        <v>43701</v>
      </c>
      <c r="R904" s="140">
        <v>3.0575000000000001</v>
      </c>
      <c r="S904" s="19">
        <v>28.625</v>
      </c>
      <c r="T904" s="12">
        <v>0.12525</v>
      </c>
      <c r="U904" s="12">
        <v>6.0524999999999993</v>
      </c>
      <c r="V904" s="12"/>
      <c r="W904" s="12"/>
    </row>
    <row r="905" spans="2:23" x14ac:dyDescent="0.25">
      <c r="B905" s="2"/>
      <c r="C905" s="3"/>
      <c r="D905" s="3"/>
      <c r="G905" s="3"/>
      <c r="H905" s="3"/>
      <c r="I905" s="3"/>
      <c r="J905" s="3"/>
      <c r="K905" s="3"/>
      <c r="L905" s="40"/>
      <c r="M905" s="3"/>
      <c r="N905" s="3"/>
      <c r="O905" s="3"/>
      <c r="P905" s="5"/>
      <c r="Q905" s="150">
        <v>43704</v>
      </c>
      <c r="R905" s="140">
        <v>2.3525</v>
      </c>
      <c r="S905" s="19">
        <v>27.94</v>
      </c>
      <c r="T905" s="12">
        <v>0.20124999999999998</v>
      </c>
      <c r="U905" s="12">
        <v>6.0399999999999991</v>
      </c>
      <c r="V905" s="12"/>
      <c r="W905" s="12"/>
    </row>
    <row r="906" spans="2:23" x14ac:dyDescent="0.25">
      <c r="B906" s="2"/>
      <c r="C906" s="3"/>
      <c r="D906" s="3"/>
      <c r="G906" s="3"/>
      <c r="H906" s="3"/>
      <c r="I906" s="3"/>
      <c r="J906" s="3"/>
      <c r="K906" s="3"/>
      <c r="L906" s="40"/>
      <c r="M906" s="3"/>
      <c r="N906" s="3"/>
      <c r="O906" s="3"/>
      <c r="P906" s="5"/>
      <c r="Q906" s="150">
        <v>43707</v>
      </c>
      <c r="R906" s="140">
        <v>2.3824999999999998</v>
      </c>
      <c r="S906" s="19">
        <v>26.37</v>
      </c>
      <c r="T906" s="12">
        <v>0.27324999999999999</v>
      </c>
      <c r="U906" s="12">
        <v>6.11</v>
      </c>
      <c r="V906" s="12"/>
      <c r="W906" s="12"/>
    </row>
    <row r="907" spans="2:23" x14ac:dyDescent="0.25">
      <c r="B907" s="2"/>
      <c r="C907" s="3"/>
      <c r="D907" s="3"/>
      <c r="G907" s="3"/>
      <c r="H907" s="3"/>
      <c r="I907" s="3"/>
      <c r="J907" s="3"/>
      <c r="K907" s="3"/>
      <c r="L907" s="40"/>
      <c r="M907" s="3"/>
      <c r="N907" s="3"/>
      <c r="O907" s="3"/>
      <c r="P907" s="5"/>
      <c r="Q907" s="150">
        <v>43711</v>
      </c>
      <c r="R907" s="140">
        <v>2.0075000000000003</v>
      </c>
      <c r="S907" s="19">
        <v>25.494999999999997</v>
      </c>
      <c r="T907" s="12">
        <v>0.32350000000000001</v>
      </c>
      <c r="U907" s="12">
        <v>5.7725</v>
      </c>
      <c r="V907" s="12"/>
      <c r="W907" s="12"/>
    </row>
    <row r="908" spans="2:23" x14ac:dyDescent="0.25">
      <c r="B908" s="2"/>
      <c r="C908" s="3"/>
      <c r="D908" s="3"/>
      <c r="G908" s="3"/>
      <c r="H908" s="3"/>
      <c r="I908" s="3"/>
      <c r="J908" s="3"/>
      <c r="K908" s="3"/>
      <c r="L908" s="40"/>
      <c r="M908" s="3"/>
      <c r="N908" s="3"/>
      <c r="O908" s="3"/>
      <c r="P908" s="5"/>
      <c r="Q908" s="150">
        <v>43715</v>
      </c>
      <c r="R908" s="140">
        <v>2.3049999999999997</v>
      </c>
      <c r="S908" s="19">
        <v>26.524999999999999</v>
      </c>
      <c r="T908" s="12">
        <v>0.33350000000000002</v>
      </c>
      <c r="U908" s="12">
        <v>5.3775000000000004</v>
      </c>
      <c r="V908" s="12"/>
      <c r="W908" s="12"/>
    </row>
    <row r="909" spans="2:23" x14ac:dyDescent="0.25">
      <c r="B909" s="2"/>
      <c r="C909" s="3"/>
      <c r="D909" s="3"/>
      <c r="G909" s="3"/>
      <c r="H909" s="3"/>
      <c r="I909" s="3"/>
      <c r="J909" s="3"/>
      <c r="K909" s="3"/>
      <c r="L909" s="40"/>
      <c r="M909" s="3"/>
      <c r="N909" s="3"/>
      <c r="O909" s="3"/>
      <c r="P909" s="5"/>
      <c r="Q909" s="150">
        <v>43718</v>
      </c>
      <c r="R909" s="140">
        <v>2.9474999999999998</v>
      </c>
      <c r="S909" s="19">
        <v>27.53</v>
      </c>
      <c r="T909" s="12">
        <v>0.24</v>
      </c>
      <c r="U909" s="12">
        <v>5.1074999999999999</v>
      </c>
      <c r="V909" s="12"/>
      <c r="W909" s="12"/>
    </row>
    <row r="910" spans="2:23" x14ac:dyDescent="0.25">
      <c r="B910" s="2"/>
      <c r="C910" s="3"/>
      <c r="D910" s="3"/>
      <c r="G910" s="3"/>
      <c r="H910" s="3"/>
      <c r="I910" s="3"/>
      <c r="J910" s="3"/>
      <c r="K910" s="3"/>
      <c r="L910" s="40"/>
      <c r="M910" s="3"/>
      <c r="N910" s="3"/>
      <c r="O910" s="3"/>
      <c r="P910" s="5"/>
      <c r="Q910" s="150">
        <v>43721</v>
      </c>
      <c r="R910" s="140">
        <v>3.9375</v>
      </c>
      <c r="S910" s="19">
        <v>26.07</v>
      </c>
      <c r="T910" s="12">
        <v>0.13874999999999998</v>
      </c>
      <c r="U910" s="12">
        <v>4.9074999999999998</v>
      </c>
      <c r="V910" s="12"/>
      <c r="W910" s="12"/>
    </row>
    <row r="911" spans="2:23" x14ac:dyDescent="0.25">
      <c r="B911" s="2"/>
      <c r="C911" s="3"/>
      <c r="D911" s="3"/>
      <c r="G911" s="3"/>
      <c r="H911" s="3"/>
      <c r="I911" s="3"/>
      <c r="J911" s="3"/>
      <c r="K911" s="3"/>
      <c r="L911" s="40"/>
      <c r="M911" s="3"/>
      <c r="N911" s="3"/>
      <c r="O911" s="3"/>
      <c r="P911" s="5"/>
      <c r="Q911" s="150">
        <v>43725</v>
      </c>
      <c r="R911" s="140">
        <v>3.5100000000000002</v>
      </c>
      <c r="S911" s="19">
        <v>24.802500000000002</v>
      </c>
      <c r="T911" s="12">
        <v>0.11075</v>
      </c>
      <c r="U911" s="12">
        <v>4.7324999999999999</v>
      </c>
      <c r="V911" s="12"/>
      <c r="W911" s="12"/>
    </row>
    <row r="912" spans="2:23" x14ac:dyDescent="0.25">
      <c r="B912" s="2"/>
      <c r="C912" s="3"/>
      <c r="D912" s="3"/>
      <c r="G912" s="3"/>
      <c r="H912" s="3"/>
      <c r="I912" s="3"/>
      <c r="J912" s="3"/>
      <c r="K912" s="3"/>
      <c r="L912" s="40"/>
      <c r="M912" s="3"/>
      <c r="N912" s="3"/>
      <c r="O912" s="3"/>
      <c r="P912" s="5"/>
      <c r="Q912" s="150">
        <v>43728</v>
      </c>
      <c r="R912" s="140">
        <v>3.2375000000000003</v>
      </c>
      <c r="S912" s="19">
        <v>24.045000000000002</v>
      </c>
      <c r="T912" s="12">
        <v>7.9750000000000001E-2</v>
      </c>
      <c r="U912" s="12">
        <v>4.3574999999999999</v>
      </c>
      <c r="V912" s="12"/>
      <c r="W912" s="12"/>
    </row>
    <row r="913" spans="1:23" x14ac:dyDescent="0.25">
      <c r="B913" s="2"/>
      <c r="C913" s="3"/>
      <c r="D913" s="3"/>
      <c r="G913" s="3"/>
      <c r="H913" s="3"/>
      <c r="I913" s="3"/>
      <c r="J913" s="3"/>
      <c r="K913" s="3"/>
      <c r="L913" s="40"/>
      <c r="M913" s="3"/>
      <c r="N913" s="3"/>
      <c r="O913" s="3"/>
      <c r="P913" s="5"/>
      <c r="Q913" s="150">
        <v>43732</v>
      </c>
      <c r="R913" s="140">
        <v>3.0700000000000003</v>
      </c>
      <c r="S913" s="19">
        <v>23.894999999999996</v>
      </c>
      <c r="T913" s="12">
        <v>7.6249999999999998E-2</v>
      </c>
      <c r="U913" s="12">
        <v>3.66</v>
      </c>
      <c r="V913" s="12"/>
      <c r="W913" s="12"/>
    </row>
    <row r="914" spans="1:23" x14ac:dyDescent="0.25">
      <c r="B914" s="2"/>
      <c r="C914" s="3"/>
      <c r="D914" s="3"/>
      <c r="G914" s="3"/>
      <c r="H914" s="3"/>
      <c r="I914" s="3"/>
      <c r="J914" s="3"/>
      <c r="K914" s="3"/>
      <c r="L914" s="40"/>
      <c r="M914" s="3"/>
      <c r="N914" s="3"/>
      <c r="O914" s="3"/>
      <c r="P914" s="5"/>
      <c r="Q914" s="150">
        <v>43735</v>
      </c>
      <c r="R914" s="140">
        <v>3.54</v>
      </c>
      <c r="S914" s="19">
        <v>24.56</v>
      </c>
      <c r="T914" s="12">
        <v>3.0249999999999999E-2</v>
      </c>
      <c r="U914" s="12">
        <v>3.54</v>
      </c>
      <c r="V914" s="12"/>
      <c r="W914" s="12"/>
    </row>
    <row r="915" spans="1:23" x14ac:dyDescent="0.25">
      <c r="B915" s="2"/>
      <c r="C915" s="3"/>
      <c r="D915" s="3"/>
      <c r="G915" s="3"/>
      <c r="H915" s="3"/>
      <c r="I915" s="3"/>
      <c r="J915" s="3"/>
      <c r="K915" s="3"/>
      <c r="L915" s="40"/>
      <c r="M915" s="3"/>
      <c r="N915" s="3"/>
      <c r="O915" s="3"/>
      <c r="P915" s="5"/>
      <c r="Q915" s="150">
        <v>43738</v>
      </c>
      <c r="R915" s="140">
        <v>2.8574999999999999</v>
      </c>
      <c r="S915" s="19">
        <v>25.127500000000001</v>
      </c>
      <c r="T915" s="12">
        <v>2.7500000000000004E-2</v>
      </c>
      <c r="U915" s="12">
        <v>3.2374999999999998</v>
      </c>
      <c r="V915" s="12"/>
      <c r="W915" s="12"/>
    </row>
    <row r="916" spans="1:23" x14ac:dyDescent="0.25">
      <c r="B916" s="2"/>
      <c r="C916" s="3"/>
      <c r="D916" s="3"/>
      <c r="G916" s="3"/>
      <c r="H916" s="3"/>
      <c r="I916" s="3"/>
      <c r="J916" s="3"/>
      <c r="K916" s="3"/>
      <c r="L916" s="40"/>
      <c r="M916" s="3"/>
      <c r="N916" s="3"/>
      <c r="O916" s="3"/>
      <c r="P916" s="5"/>
      <c r="Q916" s="150">
        <v>43742</v>
      </c>
      <c r="R916" s="140">
        <v>2.6799999999999997</v>
      </c>
      <c r="S916" s="19">
        <v>22.384999999999998</v>
      </c>
      <c r="T916" s="12">
        <v>3.6500000000000005E-2</v>
      </c>
      <c r="U916" s="12">
        <v>2.8499999999999996</v>
      </c>
      <c r="V916" s="12"/>
      <c r="W916" s="12"/>
    </row>
    <row r="917" spans="1:23" x14ac:dyDescent="0.25">
      <c r="B917" s="2"/>
      <c r="C917" s="3"/>
      <c r="D917" s="3"/>
      <c r="G917" s="3"/>
      <c r="H917" s="3"/>
      <c r="I917" s="3"/>
      <c r="J917" s="3"/>
      <c r="K917" s="3"/>
      <c r="L917" s="40"/>
      <c r="M917" s="3"/>
      <c r="N917" s="3"/>
      <c r="O917" s="3"/>
      <c r="P917" s="5"/>
      <c r="Q917" s="150">
        <v>43746</v>
      </c>
      <c r="R917" s="140">
        <v>3.145</v>
      </c>
      <c r="S917" s="19">
        <v>20.1525</v>
      </c>
      <c r="T917" s="12">
        <v>0.14624999999999999</v>
      </c>
      <c r="U917" s="12">
        <v>2.7649999999999997</v>
      </c>
      <c r="V917" s="12"/>
      <c r="W917" s="12"/>
    </row>
    <row r="918" spans="1:23" x14ac:dyDescent="0.25">
      <c r="B918" s="2"/>
      <c r="C918" s="3"/>
      <c r="D918" s="3"/>
      <c r="G918" s="3"/>
      <c r="H918" s="3"/>
      <c r="I918" s="3"/>
      <c r="J918" s="3"/>
      <c r="K918" s="3"/>
      <c r="L918" s="40"/>
      <c r="M918" s="3"/>
      <c r="N918" s="3"/>
      <c r="O918" s="3"/>
      <c r="P918" s="5"/>
      <c r="Q918" s="150">
        <v>43749</v>
      </c>
      <c r="R918" s="140">
        <v>2.19</v>
      </c>
      <c r="S918" s="19">
        <v>22.42</v>
      </c>
      <c r="T918" s="12">
        <v>9.9499999999999977E-2</v>
      </c>
      <c r="U918" s="12">
        <v>2.4974999999999996</v>
      </c>
      <c r="V918" s="12"/>
      <c r="W918" s="12"/>
    </row>
    <row r="919" spans="1:23" x14ac:dyDescent="0.25">
      <c r="B919" s="2"/>
      <c r="C919" s="3"/>
      <c r="D919" s="3"/>
      <c r="G919" s="3"/>
      <c r="H919" s="3"/>
      <c r="I919" s="3"/>
      <c r="J919" s="3"/>
      <c r="K919" s="3"/>
      <c r="L919" s="40"/>
      <c r="M919" s="3"/>
      <c r="N919" s="3"/>
      <c r="O919" s="3"/>
      <c r="P919" s="5"/>
      <c r="Q919" s="150">
        <v>43753</v>
      </c>
      <c r="R919" s="140">
        <v>1.9825000000000002</v>
      </c>
      <c r="S919" s="19">
        <v>19.195</v>
      </c>
      <c r="T919" s="12">
        <v>7.0499999999999993E-2</v>
      </c>
      <c r="U919" s="12">
        <v>2.0585</v>
      </c>
      <c r="V919" s="12"/>
      <c r="W919" s="12"/>
    </row>
    <row r="920" spans="1:23" x14ac:dyDescent="0.25">
      <c r="B920" s="2"/>
      <c r="C920" s="3"/>
      <c r="D920" s="3"/>
      <c r="G920" s="3"/>
      <c r="H920" s="3"/>
      <c r="I920" s="3"/>
      <c r="J920" s="3"/>
      <c r="K920" s="3"/>
      <c r="L920" s="40"/>
      <c r="M920" s="3"/>
      <c r="N920" s="3"/>
      <c r="O920" s="3"/>
      <c r="P920" s="5"/>
      <c r="Q920" s="150">
        <v>43756</v>
      </c>
      <c r="R920" s="140">
        <v>1.5699999999999998</v>
      </c>
      <c r="S920" s="19">
        <v>22.672499999999999</v>
      </c>
      <c r="T920" s="12">
        <v>5.5750000000000008E-2</v>
      </c>
      <c r="U920" s="12">
        <v>1.9100000000000001</v>
      </c>
      <c r="V920" s="12"/>
      <c r="W920" s="12"/>
    </row>
    <row r="921" spans="1:23" x14ac:dyDescent="0.25">
      <c r="A921" s="6">
        <v>19</v>
      </c>
      <c r="B921" s="6" t="s">
        <v>90</v>
      </c>
      <c r="C921" s="44">
        <v>31.524999999999999</v>
      </c>
      <c r="D921" s="44">
        <v>121.958</v>
      </c>
      <c r="E921" s="33" t="s">
        <v>11</v>
      </c>
      <c r="F921" s="33" t="s">
        <v>49</v>
      </c>
      <c r="G921" s="11">
        <v>1.0324</v>
      </c>
      <c r="H921" s="11">
        <v>15.425000000000001</v>
      </c>
      <c r="I921" s="11">
        <v>1.8009999999999999</v>
      </c>
      <c r="J921" s="11">
        <v>0.17699999999999999</v>
      </c>
      <c r="K921" s="11">
        <f>I921/J921</f>
        <v>10.175141242937853</v>
      </c>
      <c r="L921" s="14">
        <v>1.27</v>
      </c>
      <c r="M921" s="7">
        <f>9.353*EXP(-0.023*H921-0.622*L921-0.182*J921-0.009*K921)*(I921/(I921+0.567))</f>
        <v>2.0006822060810081</v>
      </c>
      <c r="N921" s="7">
        <f>LN(M921)/10</f>
        <v>6.9348822543803312E-2</v>
      </c>
      <c r="O921" s="11">
        <f>4.3573*EXP(-1.002*M921)</f>
        <v>0.58694100250458103</v>
      </c>
      <c r="P921" s="10"/>
      <c r="Q921" s="149">
        <v>39393</v>
      </c>
      <c r="R921" s="13"/>
      <c r="S921" s="25"/>
      <c r="T921" s="13"/>
      <c r="U921" s="13"/>
      <c r="V921" s="13"/>
      <c r="W921" s="13" t="s">
        <v>117</v>
      </c>
    </row>
    <row r="922" spans="1:23" x14ac:dyDescent="0.25">
      <c r="B922" s="8"/>
      <c r="C922" s="9"/>
      <c r="D922" s="9"/>
      <c r="E922" s="8"/>
      <c r="F922" s="8"/>
      <c r="G922" s="9"/>
      <c r="H922" s="9"/>
      <c r="I922" s="9"/>
      <c r="J922" s="9"/>
      <c r="K922" s="9"/>
      <c r="L922" s="32"/>
      <c r="M922" s="8"/>
      <c r="N922" s="8"/>
      <c r="O922" s="18"/>
      <c r="P922" s="109">
        <v>5.671816058918628E-2</v>
      </c>
      <c r="Q922" s="151">
        <f t="shared" ref="Q922:Q928" si="23">Q921+(P922-P921)*365</f>
        <v>39413.702128615056</v>
      </c>
      <c r="R922" s="134">
        <v>1.4063359025861271</v>
      </c>
      <c r="S922" s="30">
        <v>12.345013477088949</v>
      </c>
      <c r="T922" s="134">
        <v>0.40242879525635816</v>
      </c>
      <c r="U922" s="15">
        <v>0.86920472967503759</v>
      </c>
      <c r="V922" s="15"/>
      <c r="W922" s="15"/>
    </row>
    <row r="923" spans="1:23" x14ac:dyDescent="0.25">
      <c r="B923" s="8"/>
      <c r="C923" s="9"/>
      <c r="D923" s="9"/>
      <c r="E923" s="8"/>
      <c r="F923" s="8"/>
      <c r="G923" s="9"/>
      <c r="H923" s="9"/>
      <c r="I923" s="9"/>
      <c r="J923" s="9"/>
      <c r="K923" s="9"/>
      <c r="L923" s="32"/>
      <c r="M923" s="8"/>
      <c r="N923" s="9"/>
      <c r="O923" s="9"/>
      <c r="P923" s="109">
        <v>0.17253457876773845</v>
      </c>
      <c r="Q923" s="151">
        <f t="shared" si="23"/>
        <v>39455.975121250231</v>
      </c>
      <c r="R923" s="134">
        <v>1.1439502806037745</v>
      </c>
      <c r="S923" s="30">
        <v>7.0889487870619945</v>
      </c>
      <c r="T923" s="134">
        <v>0.41408743451906793</v>
      </c>
      <c r="U923" s="15">
        <v>1.4904020671800955</v>
      </c>
      <c r="V923" s="15"/>
      <c r="W923" s="15"/>
    </row>
    <row r="924" spans="1:23" x14ac:dyDescent="0.25">
      <c r="B924" s="8"/>
      <c r="C924" s="9"/>
      <c r="D924" s="9"/>
      <c r="E924" s="8"/>
      <c r="F924" s="8"/>
      <c r="G924" s="9"/>
      <c r="H924" s="9"/>
      <c r="I924" s="9"/>
      <c r="J924" s="9"/>
      <c r="K924" s="9"/>
      <c r="L924" s="32"/>
      <c r="M924" s="9"/>
      <c r="N924" s="9"/>
      <c r="O924" s="9"/>
      <c r="P924" s="109">
        <v>0.29989222202263338</v>
      </c>
      <c r="Q924" s="151">
        <f t="shared" si="23"/>
        <v>39502.460661038269</v>
      </c>
      <c r="R924" s="134">
        <v>0.80033993609527998</v>
      </c>
      <c r="S924" s="30">
        <v>8.0997304582210248</v>
      </c>
      <c r="T924" s="134">
        <v>0.41445671268576012</v>
      </c>
      <c r="U924" s="15">
        <v>2.6966291272781771</v>
      </c>
      <c r="V924" s="15"/>
      <c r="W924" s="15"/>
    </row>
    <row r="925" spans="1:23" x14ac:dyDescent="0.25">
      <c r="B925" s="8"/>
      <c r="C925" s="9"/>
      <c r="D925" s="9"/>
      <c r="E925" s="8"/>
      <c r="F925" s="8"/>
      <c r="G925" s="9"/>
      <c r="H925" s="9"/>
      <c r="I925" s="9"/>
      <c r="J925" s="9"/>
      <c r="K925" s="9"/>
      <c r="L925" s="32"/>
      <c r="M925" s="9"/>
      <c r="N925" s="9"/>
      <c r="O925" s="9"/>
      <c r="P925" s="109">
        <v>0.43763846476258905</v>
      </c>
      <c r="Q925" s="151">
        <f t="shared" si="23"/>
        <v>39552.738039638352</v>
      </c>
      <c r="R925" s="134">
        <v>1.9639466940526753</v>
      </c>
      <c r="S925" s="30">
        <v>17.735849056603776</v>
      </c>
      <c r="T925" s="134">
        <v>0.4148365416572149</v>
      </c>
      <c r="U925" s="15">
        <v>5.7610608082921981</v>
      </c>
      <c r="V925" s="15"/>
      <c r="W925" s="15"/>
    </row>
    <row r="926" spans="1:23" x14ac:dyDescent="0.25">
      <c r="B926" s="8"/>
      <c r="C926" s="9"/>
      <c r="D926" s="9"/>
      <c r="E926" s="8"/>
      <c r="F926" s="8"/>
      <c r="G926" s="9"/>
      <c r="H926" s="9"/>
      <c r="I926" s="9"/>
      <c r="J926" s="9"/>
      <c r="K926" s="9"/>
      <c r="L926" s="32"/>
      <c r="M926" s="9"/>
      <c r="N926" s="9"/>
      <c r="O926" s="9"/>
      <c r="P926" s="109">
        <v>0.57840847853421951</v>
      </c>
      <c r="Q926" s="151">
        <f t="shared" si="23"/>
        <v>39604.119094664995</v>
      </c>
      <c r="R926" s="134">
        <v>4.0847671977544442</v>
      </c>
      <c r="S926" s="30">
        <v>26.226415094339622</v>
      </c>
      <c r="T926" s="134">
        <v>0.39257434360805871</v>
      </c>
      <c r="U926" s="15"/>
      <c r="V926" s="15"/>
      <c r="W926" s="15"/>
    </row>
    <row r="927" spans="1:23" x14ac:dyDescent="0.25">
      <c r="B927" s="8"/>
      <c r="C927" s="9"/>
      <c r="D927" s="9"/>
      <c r="E927" s="8"/>
      <c r="F927" s="8"/>
      <c r="G927" s="9"/>
      <c r="H927" s="9"/>
      <c r="I927" s="9"/>
      <c r="J927" s="9"/>
      <c r="K927" s="9"/>
      <c r="L927" s="32"/>
      <c r="M927" s="9"/>
      <c r="N927" s="9"/>
      <c r="O927" s="9"/>
      <c r="P927" s="109">
        <v>0.79249745524220105</v>
      </c>
      <c r="Q927" s="151">
        <f t="shared" si="23"/>
        <v>39682.261571163406</v>
      </c>
      <c r="R927" s="134">
        <v>4.9444545750904645</v>
      </c>
      <c r="S927" s="30">
        <v>29.595687331536389</v>
      </c>
      <c r="T927" s="134">
        <v>0.41016253514736839</v>
      </c>
      <c r="U927" s="15">
        <v>7.3922047518398566</v>
      </c>
      <c r="V927" s="15"/>
      <c r="W927" s="15"/>
    </row>
    <row r="928" spans="1:23" x14ac:dyDescent="0.25">
      <c r="B928" s="8"/>
      <c r="C928" s="9"/>
      <c r="D928" s="9"/>
      <c r="E928" s="8"/>
      <c r="F928" s="8"/>
      <c r="G928" s="9"/>
      <c r="H928" s="9"/>
      <c r="I928" s="9"/>
      <c r="J928" s="9"/>
      <c r="K928" s="9"/>
      <c r="L928" s="32"/>
      <c r="M928" s="9"/>
      <c r="N928" s="9"/>
      <c r="O928" s="9"/>
      <c r="P928" s="109">
        <v>0.97670798155799055</v>
      </c>
      <c r="Q928" s="151">
        <f t="shared" si="23"/>
        <v>39749.498413268666</v>
      </c>
      <c r="R928" s="134">
        <v>3.033901677695463</v>
      </c>
      <c r="S928" s="30">
        <v>20.566037735849058</v>
      </c>
      <c r="T928" s="134">
        <v>0.43619137049678464</v>
      </c>
      <c r="U928" s="15"/>
      <c r="V928" s="15"/>
      <c r="W928" s="15"/>
    </row>
    <row r="929" spans="1:23" x14ac:dyDescent="0.25">
      <c r="A929" s="6">
        <v>20</v>
      </c>
      <c r="B929" s="33" t="s">
        <v>91</v>
      </c>
      <c r="C929" s="44">
        <v>30.532</v>
      </c>
      <c r="D929" s="44">
        <v>114.40300000000001</v>
      </c>
      <c r="E929" s="70" t="s">
        <v>158</v>
      </c>
      <c r="F929" s="70" t="s">
        <v>38</v>
      </c>
      <c r="G929" s="11">
        <v>1.7151000000000001</v>
      </c>
      <c r="H929" s="11">
        <v>15.649999999999999</v>
      </c>
      <c r="I929" s="11">
        <v>2.7451317556312489</v>
      </c>
      <c r="J929" s="11">
        <v>0.41830579133428547</v>
      </c>
      <c r="K929" s="11">
        <f>I929/J929</f>
        <v>6.5625000000000009</v>
      </c>
      <c r="L929" s="14">
        <v>1.3338832631833084</v>
      </c>
      <c r="M929" s="7">
        <f>9.353*EXP(-0.023*H929-0.622*L929-0.182*J929-0.009*K929)*(I929/(I929+0.567))</f>
        <v>2.0608420448670945</v>
      </c>
      <c r="N929" s="7">
        <f>LN(M929)/10</f>
        <v>7.2311465892624577E-2</v>
      </c>
      <c r="O929" s="11">
        <f>4.3573*EXP(-1.002*M929)</f>
        <v>0.55260538070204879</v>
      </c>
      <c r="P929" s="10"/>
      <c r="Q929" s="149">
        <v>41988</v>
      </c>
      <c r="R929" s="13"/>
      <c r="S929" s="147"/>
      <c r="T929" s="145"/>
      <c r="U929" s="145"/>
      <c r="V929" s="145"/>
      <c r="W929" s="145" t="s">
        <v>118</v>
      </c>
    </row>
    <row r="930" spans="1:23" x14ac:dyDescent="0.25">
      <c r="C930" s="3"/>
      <c r="D930" s="3"/>
      <c r="G930" s="3"/>
      <c r="H930" s="3"/>
      <c r="I930" s="3"/>
      <c r="J930" s="3"/>
      <c r="K930" s="3"/>
      <c r="L930" s="40"/>
      <c r="O930" s="18"/>
      <c r="P930" s="117">
        <v>4.5595854922279792E-2</v>
      </c>
      <c r="Q930" s="150">
        <f t="shared" ref="Q930:Q940" si="24">Q929+(P930-P929)*335</f>
        <v>42003.274611398963</v>
      </c>
      <c r="R930" s="141">
        <v>0.16299425394834791</v>
      </c>
      <c r="S930" s="29">
        <v>6.75</v>
      </c>
      <c r="T930" s="141">
        <v>0.10771758066959551</v>
      </c>
      <c r="U930" s="12">
        <v>1.3219254901898927</v>
      </c>
      <c r="V930" s="12"/>
      <c r="W930" s="12"/>
    </row>
    <row r="931" spans="1:23" x14ac:dyDescent="0.25">
      <c r="C931" s="3"/>
      <c r="D931" s="3"/>
      <c r="G931" s="3"/>
      <c r="H931" s="3"/>
      <c r="I931" s="3"/>
      <c r="J931" s="3"/>
      <c r="K931" s="3"/>
      <c r="L931" s="40"/>
      <c r="N931" s="9"/>
      <c r="O931" s="9"/>
      <c r="P931" s="117">
        <v>0.13575129533678756</v>
      </c>
      <c r="Q931" s="150">
        <f t="shared" si="24"/>
        <v>42033.476683937821</v>
      </c>
      <c r="R931" s="141">
        <v>0.11909131245126756</v>
      </c>
      <c r="S931" s="29">
        <v>5.0625</v>
      </c>
      <c r="T931" s="141">
        <v>0.19708945614300863</v>
      </c>
      <c r="U931" s="12">
        <v>1.9469515610595332</v>
      </c>
      <c r="V931" s="12"/>
      <c r="W931" s="12"/>
    </row>
    <row r="932" spans="1:23" x14ac:dyDescent="0.25">
      <c r="C932" s="3"/>
      <c r="D932" s="3"/>
      <c r="G932" s="3"/>
      <c r="H932" s="3"/>
      <c r="I932" s="3"/>
      <c r="J932" s="3"/>
      <c r="K932" s="3"/>
      <c r="L932" s="40"/>
      <c r="M932" s="3"/>
      <c r="N932" s="3"/>
      <c r="O932" s="3"/>
      <c r="P932" s="117">
        <v>0.22694300518134716</v>
      </c>
      <c r="Q932" s="150">
        <f t="shared" si="24"/>
        <v>42064.025906735747</v>
      </c>
      <c r="R932" s="141">
        <v>0.13957601825989008</v>
      </c>
      <c r="S932" s="29">
        <v>10.03125</v>
      </c>
      <c r="T932" s="141">
        <v>0.16164785638539617</v>
      </c>
      <c r="U932" s="12">
        <v>2.8802889212116218</v>
      </c>
      <c r="V932" s="12"/>
      <c r="W932" s="12"/>
    </row>
    <row r="933" spans="1:23" x14ac:dyDescent="0.25">
      <c r="C933" s="3"/>
      <c r="D933" s="3"/>
      <c r="G933" s="3"/>
      <c r="H933" s="3"/>
      <c r="I933" s="3"/>
      <c r="J933" s="3"/>
      <c r="K933" s="3"/>
      <c r="L933" s="40"/>
      <c r="M933" s="3"/>
      <c r="N933" s="3"/>
      <c r="O933" s="3"/>
      <c r="P933" s="117">
        <v>0.31813471502590673</v>
      </c>
      <c r="Q933" s="150">
        <f t="shared" si="24"/>
        <v>42094.575129533674</v>
      </c>
      <c r="R933" s="141">
        <v>0.44958012186816526</v>
      </c>
      <c r="S933" s="29">
        <v>13.78125</v>
      </c>
      <c r="T933" s="141">
        <v>0.16250852143614605</v>
      </c>
      <c r="U933" s="12">
        <v>4.2610532463065898</v>
      </c>
      <c r="V933" s="12"/>
      <c r="W933" s="12"/>
    </row>
    <row r="934" spans="1:23" x14ac:dyDescent="0.25">
      <c r="C934" s="3"/>
      <c r="D934" s="3"/>
      <c r="G934" s="3"/>
      <c r="H934" s="3"/>
      <c r="I934" s="3"/>
      <c r="J934" s="3"/>
      <c r="K934" s="3"/>
      <c r="L934" s="40"/>
      <c r="M934" s="3"/>
      <c r="N934" s="3"/>
      <c r="O934" s="3"/>
      <c r="P934" s="117">
        <v>0.40932642487046633</v>
      </c>
      <c r="Q934" s="150">
        <f t="shared" si="24"/>
        <v>42125.124352331601</v>
      </c>
      <c r="R934" s="141">
        <v>1.0973568562427014</v>
      </c>
      <c r="S934" s="29">
        <v>21.84375</v>
      </c>
      <c r="T934" s="141">
        <v>0.18200272685956673</v>
      </c>
      <c r="U934" s="12">
        <v>2.7156133669687521</v>
      </c>
      <c r="V934" s="12"/>
      <c r="W934" s="12"/>
    </row>
    <row r="935" spans="1:23" x14ac:dyDescent="0.25">
      <c r="C935" s="3"/>
      <c r="D935" s="3"/>
      <c r="G935" s="3"/>
      <c r="H935" s="3"/>
      <c r="I935" s="3"/>
      <c r="J935" s="3"/>
      <c r="K935" s="3"/>
      <c r="L935" s="40"/>
      <c r="M935" s="3"/>
      <c r="N935" s="3"/>
      <c r="O935" s="3"/>
      <c r="P935" s="117">
        <v>0.50051813471502593</v>
      </c>
      <c r="Q935" s="150">
        <f t="shared" si="24"/>
        <v>42155.673575129527</v>
      </c>
      <c r="R935" s="141">
        <v>2.6458606059939354</v>
      </c>
      <c r="S935" s="29">
        <v>24.09375</v>
      </c>
      <c r="T935" s="141">
        <v>0.16795466595970307</v>
      </c>
      <c r="U935" s="12"/>
      <c r="V935" s="12"/>
      <c r="W935" s="12"/>
    </row>
    <row r="936" spans="1:23" x14ac:dyDescent="0.25">
      <c r="C936" s="3"/>
      <c r="D936" s="3"/>
      <c r="G936" s="3"/>
      <c r="H936" s="3"/>
      <c r="I936" s="3"/>
      <c r="J936" s="3"/>
      <c r="K936" s="3"/>
      <c r="L936" s="40"/>
      <c r="M936" s="3"/>
      <c r="N936" s="3"/>
      <c r="O936" s="3"/>
      <c r="P936" s="117">
        <v>0.58860103626943006</v>
      </c>
      <c r="Q936" s="150">
        <f t="shared" si="24"/>
        <v>42185.181347150254</v>
      </c>
      <c r="R936" s="141">
        <v>2.4570979588965796</v>
      </c>
      <c r="S936" s="29">
        <v>27.5625</v>
      </c>
      <c r="T936" s="141">
        <v>0.10546034691713377</v>
      </c>
      <c r="U936" s="12">
        <v>0.93403659610905465</v>
      </c>
      <c r="V936" s="12"/>
      <c r="W936" s="12"/>
    </row>
    <row r="937" spans="1:23" x14ac:dyDescent="0.25">
      <c r="C937" s="3"/>
      <c r="D937" s="3"/>
      <c r="G937" s="3"/>
      <c r="H937" s="3"/>
      <c r="I937" s="3"/>
      <c r="J937" s="3"/>
      <c r="K937" s="3"/>
      <c r="L937" s="40"/>
      <c r="M937" s="3"/>
      <c r="N937" s="3"/>
      <c r="O937" s="3"/>
      <c r="P937" s="117">
        <v>0.6808290155440414</v>
      </c>
      <c r="Q937" s="150">
        <f t="shared" si="24"/>
        <v>42216.07772020725</v>
      </c>
      <c r="R937" s="141">
        <v>2.6063079559663831</v>
      </c>
      <c r="S937" s="29">
        <v>26.8125</v>
      </c>
      <c r="T937" s="141">
        <v>7.5612596576276322E-2</v>
      </c>
      <c r="U937" s="12">
        <v>1.9926143998615358</v>
      </c>
      <c r="V937" s="12"/>
      <c r="W937" s="12"/>
    </row>
    <row r="938" spans="1:23" x14ac:dyDescent="0.25">
      <c r="C938" s="3"/>
      <c r="D938" s="3"/>
      <c r="G938" s="3"/>
      <c r="H938" s="3"/>
      <c r="I938" s="3"/>
      <c r="J938" s="3"/>
      <c r="K938" s="3"/>
      <c r="L938" s="40"/>
      <c r="M938" s="3"/>
      <c r="N938" s="3"/>
      <c r="O938" s="3"/>
      <c r="P938" s="117">
        <v>0.77305699481865287</v>
      </c>
      <c r="Q938" s="150">
        <f t="shared" si="24"/>
        <v>42246.974093264245</v>
      </c>
      <c r="R938" s="141">
        <v>2.0317194585370553</v>
      </c>
      <c r="S938" s="29">
        <v>26.53125</v>
      </c>
      <c r="T938" s="141">
        <v>3.9240266626268748E-2</v>
      </c>
      <c r="U938" s="12">
        <v>4.2509171086825006</v>
      </c>
      <c r="V938" s="12"/>
      <c r="W938" s="12"/>
    </row>
    <row r="939" spans="1:23" x14ac:dyDescent="0.25">
      <c r="C939" s="3"/>
      <c r="D939" s="3"/>
      <c r="G939" s="3"/>
      <c r="H939" s="3"/>
      <c r="I939" s="3"/>
      <c r="J939" s="3"/>
      <c r="K939" s="3"/>
      <c r="L939" s="40"/>
      <c r="M939" s="3"/>
      <c r="N939" s="3"/>
      <c r="O939" s="3"/>
      <c r="P939" s="117">
        <v>0.8632124352331606</v>
      </c>
      <c r="Q939" s="150">
        <f t="shared" si="24"/>
        <v>42277.176165803103</v>
      </c>
      <c r="R939" s="141">
        <v>1.2157647895742347</v>
      </c>
      <c r="S939" s="29">
        <v>23.625</v>
      </c>
      <c r="T939" s="141">
        <v>0.13330366611119529</v>
      </c>
      <c r="U939" s="12">
        <v>6.9792124993942757</v>
      </c>
      <c r="V939" s="12"/>
      <c r="W939" s="12"/>
    </row>
    <row r="940" spans="1:23" x14ac:dyDescent="0.25">
      <c r="C940" s="3"/>
      <c r="D940" s="3"/>
      <c r="G940" s="3"/>
      <c r="H940" s="3"/>
      <c r="I940" s="3"/>
      <c r="J940" s="3"/>
      <c r="K940" s="3"/>
      <c r="L940" s="40"/>
      <c r="M940" s="3"/>
      <c r="N940" s="3"/>
      <c r="O940" s="3"/>
      <c r="P940" s="117">
        <v>0.95336787564766834</v>
      </c>
      <c r="Q940" s="150">
        <f t="shared" si="24"/>
        <v>42307.37823834196</v>
      </c>
      <c r="R940" s="141">
        <v>0.96276450522184975</v>
      </c>
      <c r="S940" s="29">
        <v>19.875</v>
      </c>
      <c r="T940" s="141">
        <v>0.19569099378881988</v>
      </c>
      <c r="U940" s="12"/>
      <c r="V940" s="12"/>
      <c r="W940" s="12"/>
    </row>
    <row r="941" spans="1:23" x14ac:dyDescent="0.25">
      <c r="A941" s="6">
        <v>21</v>
      </c>
      <c r="B941" s="35" t="s">
        <v>68</v>
      </c>
      <c r="C941" s="44">
        <v>30.417000000000002</v>
      </c>
      <c r="D941" s="44">
        <v>110.56699999999999</v>
      </c>
      <c r="E941" s="33" t="s">
        <v>159</v>
      </c>
      <c r="F941" s="33" t="s">
        <v>50</v>
      </c>
      <c r="G941" s="44">
        <v>1.4496</v>
      </c>
      <c r="H941" s="44">
        <v>19.899999999999999</v>
      </c>
      <c r="I941" s="44">
        <v>4.8588936000000009</v>
      </c>
      <c r="J941" s="44">
        <v>0.27074432000000004</v>
      </c>
      <c r="K941" s="11">
        <f>I941/J941</f>
        <v>17.946428571428573</v>
      </c>
      <c r="L941" s="41">
        <v>1.34</v>
      </c>
      <c r="M941" s="7">
        <f>9.353*EXP(-0.023*H941-0.622*L941-0.182*J941-0.009*K941)*(I941/(I941+0.567))</f>
        <v>1.8651695807682136</v>
      </c>
      <c r="N941" s="7">
        <f>LN(M941)/10</f>
        <v>6.2335197698792831E-2</v>
      </c>
      <c r="O941" s="11">
        <f>4.3573*EXP(-1.002*M941)</f>
        <v>0.67230221123791611</v>
      </c>
      <c r="P941" s="10"/>
      <c r="Q941" s="149">
        <v>39467</v>
      </c>
      <c r="R941" s="125">
        <v>0.73867134350442076</v>
      </c>
      <c r="S941" s="28">
        <v>15.46315830598531</v>
      </c>
      <c r="T941" s="133">
        <v>0.20441423467767211</v>
      </c>
      <c r="U941" s="13">
        <v>1.7154513245940226</v>
      </c>
      <c r="V941" s="13"/>
      <c r="W941" s="13" t="s">
        <v>119</v>
      </c>
    </row>
    <row r="942" spans="1:23" x14ac:dyDescent="0.25">
      <c r="C942" s="3"/>
      <c r="D942" s="3"/>
      <c r="G942" s="3"/>
      <c r="H942" s="3"/>
      <c r="I942" s="3"/>
      <c r="J942" s="3"/>
      <c r="K942" s="3"/>
      <c r="L942" s="40"/>
      <c r="O942" s="18"/>
      <c r="P942" s="5"/>
      <c r="Q942" s="151">
        <v>39498</v>
      </c>
      <c r="R942" s="124">
        <v>1.0812083210462871</v>
      </c>
      <c r="S942" s="37">
        <v>10.471948741990937</v>
      </c>
      <c r="T942" s="134">
        <v>0.24200788279250654</v>
      </c>
      <c r="U942" s="15">
        <v>2.5474772919269699</v>
      </c>
      <c r="V942" s="15"/>
      <c r="W942" s="15"/>
    </row>
    <row r="943" spans="1:23" x14ac:dyDescent="0.25">
      <c r="C943" s="3"/>
      <c r="D943" s="3"/>
      <c r="G943" s="3"/>
      <c r="H943" s="3"/>
      <c r="I943" s="3"/>
      <c r="J943" s="3"/>
      <c r="K943" s="3"/>
      <c r="L943" s="40"/>
      <c r="N943" s="9"/>
      <c r="O943" s="9"/>
      <c r="P943" s="5"/>
      <c r="Q943" s="151">
        <v>39527</v>
      </c>
      <c r="R943" s="124">
        <v>1.2760938057767224</v>
      </c>
      <c r="S943" s="37">
        <v>24.739021722144088</v>
      </c>
      <c r="T943" s="134">
        <v>0.22585144811965602</v>
      </c>
      <c r="U943" s="15">
        <v>3.687760977080818</v>
      </c>
      <c r="V943" s="15"/>
      <c r="W943" s="15"/>
    </row>
    <row r="944" spans="1:23" x14ac:dyDescent="0.25">
      <c r="C944" s="3"/>
      <c r="D944" s="3"/>
      <c r="G944" s="3"/>
      <c r="H944" s="3"/>
      <c r="I944" s="3"/>
      <c r="J944" s="3"/>
      <c r="K944" s="3"/>
      <c r="L944" s="40"/>
      <c r="M944" s="3"/>
      <c r="N944" s="3"/>
      <c r="O944" s="3"/>
      <c r="P944" s="5"/>
      <c r="Q944" s="151">
        <v>39558</v>
      </c>
      <c r="R944" s="124">
        <v>0.78124919164170448</v>
      </c>
      <c r="S944" s="37">
        <v>19.19186591654946</v>
      </c>
      <c r="T944" s="134">
        <v>0.23074941950589689</v>
      </c>
      <c r="U944" s="15">
        <v>4.518624101952387</v>
      </c>
      <c r="V944" s="15"/>
      <c r="W944" s="15"/>
    </row>
    <row r="945" spans="1:23" x14ac:dyDescent="0.25">
      <c r="C945" s="3"/>
      <c r="D945" s="3"/>
      <c r="G945" s="3"/>
      <c r="H945" s="3"/>
      <c r="I945" s="3"/>
      <c r="J945" s="3"/>
      <c r="K945" s="3"/>
      <c r="L945" s="40"/>
      <c r="M945" s="3"/>
      <c r="N945" s="3"/>
      <c r="O945" s="3"/>
      <c r="P945" s="5"/>
      <c r="Q945" s="151">
        <v>39588</v>
      </c>
      <c r="R945" s="124">
        <v>2.0841934265596787</v>
      </c>
      <c r="S945" s="37">
        <v>21.978238787310516</v>
      </c>
      <c r="T945" s="134">
        <v>5.8083658673507226E-2</v>
      </c>
      <c r="U945" s="15">
        <v>1.1312035700580789</v>
      </c>
      <c r="V945" s="15"/>
      <c r="W945" s="15"/>
    </row>
    <row r="946" spans="1:23" x14ac:dyDescent="0.25">
      <c r="C946" s="3"/>
      <c r="D946" s="3"/>
      <c r="G946" s="3"/>
      <c r="H946" s="3"/>
      <c r="I946" s="3"/>
      <c r="J946" s="3"/>
      <c r="K946" s="3"/>
      <c r="L946" s="40"/>
      <c r="M946" s="3"/>
      <c r="N946" s="3"/>
      <c r="O946" s="3"/>
      <c r="P946" s="5"/>
      <c r="Q946" s="151">
        <v>39619</v>
      </c>
      <c r="R946" s="124">
        <v>3.7810991603420709</v>
      </c>
      <c r="S946" s="37">
        <v>31.986833880293798</v>
      </c>
      <c r="T946" s="134">
        <v>0.23351250356446759</v>
      </c>
      <c r="U946" s="15">
        <v>0.86177291963161751</v>
      </c>
      <c r="V946" s="15"/>
      <c r="W946" s="15"/>
    </row>
    <row r="947" spans="1:23" x14ac:dyDescent="0.25">
      <c r="C947" s="3"/>
      <c r="D947" s="3"/>
      <c r="G947" s="3"/>
      <c r="H947" s="3"/>
      <c r="I947" s="3"/>
      <c r="J947" s="3"/>
      <c r="K947" s="3"/>
      <c r="L947" s="40"/>
      <c r="M947" s="3"/>
      <c r="N947" s="3"/>
      <c r="O947" s="3"/>
      <c r="P947" s="5"/>
      <c r="Q947" s="151">
        <v>39649</v>
      </c>
      <c r="R947" s="124">
        <v>2.9416481714288669</v>
      </c>
      <c r="S947" s="37">
        <v>25.513752148773246</v>
      </c>
      <c r="T947" s="134">
        <v>0.19050065864561525</v>
      </c>
      <c r="U947" s="15">
        <v>2.5225200469904636</v>
      </c>
      <c r="V947" s="15"/>
      <c r="W947" s="15"/>
    </row>
    <row r="948" spans="1:23" x14ac:dyDescent="0.25">
      <c r="C948" s="3"/>
      <c r="D948" s="3"/>
      <c r="G948" s="3"/>
      <c r="H948" s="3"/>
      <c r="I948" s="3"/>
      <c r="J948" s="3"/>
      <c r="K948" s="3"/>
      <c r="L948" s="40"/>
      <c r="M948" s="3"/>
      <c r="N948" s="3"/>
      <c r="O948" s="3"/>
      <c r="P948" s="5"/>
      <c r="Q948" s="151">
        <v>39680</v>
      </c>
      <c r="R948" s="124">
        <v>3.8011723135343756</v>
      </c>
      <c r="S948" s="37">
        <v>25.799929676511958</v>
      </c>
      <c r="T948" s="134">
        <v>0.15218065806067702</v>
      </c>
      <c r="U948" s="15">
        <v>7.6528723520416699</v>
      </c>
      <c r="V948" s="15"/>
      <c r="W948" s="15"/>
    </row>
    <row r="949" spans="1:23" x14ac:dyDescent="0.25">
      <c r="C949" s="3"/>
      <c r="D949" s="3"/>
      <c r="G949" s="3"/>
      <c r="H949" s="3"/>
      <c r="I949" s="3"/>
      <c r="J949" s="3"/>
      <c r="K949" s="3"/>
      <c r="L949" s="40"/>
      <c r="M949" s="3"/>
      <c r="N949" s="3"/>
      <c r="O949" s="3"/>
      <c r="P949" s="5"/>
      <c r="Q949" s="151">
        <v>39711</v>
      </c>
      <c r="R949" s="124">
        <v>3.2818570770798736</v>
      </c>
      <c r="S949" s="37">
        <v>24.882794186591653</v>
      </c>
      <c r="T949" s="134">
        <v>0.18743329179551454</v>
      </c>
      <c r="U949" s="15">
        <v>3.2414854196909011</v>
      </c>
      <c r="V949" s="15"/>
      <c r="W949" s="15"/>
    </row>
    <row r="950" spans="1:23" x14ac:dyDescent="0.25">
      <c r="C950" s="3"/>
      <c r="D950" s="3"/>
      <c r="G950" s="3"/>
      <c r="H950" s="3"/>
      <c r="I950" s="3"/>
      <c r="J950" s="3"/>
      <c r="K950" s="3"/>
      <c r="L950" s="40"/>
      <c r="M950" s="3"/>
      <c r="N950" s="3"/>
      <c r="O950" s="3"/>
      <c r="P950" s="5"/>
      <c r="Q950" s="151">
        <v>39741</v>
      </c>
      <c r="R950" s="124">
        <v>3.1071999503344658</v>
      </c>
      <c r="S950" s="37">
        <v>19.149867166744801</v>
      </c>
      <c r="T950" s="134">
        <v>0.24955115135027425</v>
      </c>
      <c r="U950" s="15">
        <v>1.3708729764607677</v>
      </c>
      <c r="V950" s="15"/>
      <c r="W950" s="15"/>
    </row>
    <row r="951" spans="1:23" x14ac:dyDescent="0.25">
      <c r="C951" s="3"/>
      <c r="D951" s="3"/>
      <c r="G951" s="3"/>
      <c r="H951" s="3"/>
      <c r="I951" s="3"/>
      <c r="J951" s="3"/>
      <c r="K951" s="3"/>
      <c r="L951" s="40"/>
      <c r="M951" s="3"/>
      <c r="N951" s="3"/>
      <c r="O951" s="3"/>
      <c r="P951" s="5"/>
      <c r="Q951" s="151">
        <v>39772</v>
      </c>
      <c r="R951" s="124">
        <v>1.2579865799589225</v>
      </c>
      <c r="S951" s="37">
        <v>15.64013908423191</v>
      </c>
      <c r="T951" s="134">
        <v>0.26377882574778144</v>
      </c>
      <c r="U951" s="15">
        <v>0.78882482651086927</v>
      </c>
      <c r="V951" s="15"/>
      <c r="W951" s="15"/>
    </row>
    <row r="952" spans="1:23" x14ac:dyDescent="0.25">
      <c r="C952" s="3"/>
      <c r="D952" s="3"/>
      <c r="G952" s="3"/>
      <c r="H952" s="3"/>
      <c r="I952" s="3"/>
      <c r="J952" s="3"/>
      <c r="K952" s="3"/>
      <c r="L952" s="40"/>
      <c r="M952" s="3"/>
      <c r="N952" s="3"/>
      <c r="O952" s="3"/>
      <c r="P952" s="5"/>
      <c r="Q952" s="151">
        <v>39802</v>
      </c>
      <c r="R952" s="142">
        <v>0.61543873808156524</v>
      </c>
      <c r="S952" s="38">
        <v>5.9263166119706199</v>
      </c>
      <c r="T952" s="135">
        <v>0.24181157131410005</v>
      </c>
      <c r="U952" s="136">
        <v>1.158787265633588</v>
      </c>
      <c r="V952" s="15"/>
      <c r="W952" s="15"/>
    </row>
    <row r="953" spans="1:23" x14ac:dyDescent="0.25">
      <c r="A953" s="6"/>
      <c r="B953" s="35" t="s">
        <v>68</v>
      </c>
      <c r="C953" s="44">
        <v>30.417000000000002</v>
      </c>
      <c r="D953" s="44">
        <v>110.56699999999999</v>
      </c>
      <c r="E953" s="33" t="s">
        <v>160</v>
      </c>
      <c r="F953" s="33" t="s">
        <v>51</v>
      </c>
      <c r="G953" s="44">
        <v>1.4496</v>
      </c>
      <c r="H953" s="44">
        <v>19.899999999999999</v>
      </c>
      <c r="I953" s="44">
        <v>6.7195392000000016</v>
      </c>
      <c r="J953" s="44">
        <v>0.24245760000000002</v>
      </c>
      <c r="K953" s="11">
        <f>I953/J953</f>
        <v>27.714285714285719</v>
      </c>
      <c r="L953" s="41">
        <v>1.28</v>
      </c>
      <c r="M953" s="7">
        <f>9.353*EXP(-0.023*H953-0.622*L953-0.182*J953-0.009*K953)*(I953/(I953+0.567))</f>
        <v>1.8354178610751593</v>
      </c>
      <c r="N953" s="7">
        <f>LN(M953)/10</f>
        <v>6.0727217279007706E-2</v>
      </c>
      <c r="O953" s="11">
        <f>4.3573*EXP(-1.002*M953)</f>
        <v>0.69264609385457143</v>
      </c>
      <c r="P953" s="10"/>
      <c r="Q953" s="149">
        <v>39467</v>
      </c>
      <c r="R953" s="125">
        <v>0.4</v>
      </c>
      <c r="S953" s="28">
        <v>10.000195343022348</v>
      </c>
      <c r="T953" s="133">
        <v>0.19565826156220439</v>
      </c>
      <c r="U953" s="13">
        <v>1.7154513245940226</v>
      </c>
      <c r="V953" s="13"/>
      <c r="W953" s="13"/>
    </row>
    <row r="954" spans="1:23" x14ac:dyDescent="0.25">
      <c r="C954" s="3"/>
      <c r="D954" s="3"/>
      <c r="G954" s="3"/>
      <c r="H954" s="3"/>
      <c r="I954" s="3"/>
      <c r="J954" s="3"/>
      <c r="K954" s="3"/>
      <c r="L954" s="40"/>
      <c r="O954" s="18"/>
      <c r="P954" s="5"/>
      <c r="Q954" s="151">
        <v>39498</v>
      </c>
      <c r="R954" s="141">
        <v>0.44098855105979012</v>
      </c>
      <c r="S954" s="37">
        <v>12.323605250820442</v>
      </c>
      <c r="T954" s="134">
        <v>0.18821643445549674</v>
      </c>
      <c r="U954" s="15">
        <v>2.5474772919269699</v>
      </c>
      <c r="V954" s="15"/>
      <c r="W954" s="15"/>
    </row>
    <row r="955" spans="1:23" x14ac:dyDescent="0.25">
      <c r="C955" s="3"/>
      <c r="D955" s="3"/>
      <c r="G955" s="3"/>
      <c r="H955" s="3"/>
      <c r="I955" s="3"/>
      <c r="J955" s="3"/>
      <c r="K955" s="3"/>
      <c r="L955" s="40"/>
      <c r="N955" s="9"/>
      <c r="O955" s="9"/>
      <c r="P955" s="5"/>
      <c r="Q955" s="151">
        <v>39527</v>
      </c>
      <c r="R955" s="141">
        <v>1.4977262497865933</v>
      </c>
      <c r="S955" s="37">
        <v>26.961243944366309</v>
      </c>
      <c r="T955" s="134">
        <v>0.17693279768720352</v>
      </c>
      <c r="U955" s="15">
        <v>3.687760977080818</v>
      </c>
      <c r="V955" s="15"/>
      <c r="W955" s="15"/>
    </row>
    <row r="956" spans="1:23" x14ac:dyDescent="0.25">
      <c r="C956" s="3"/>
      <c r="D956" s="3"/>
      <c r="G956" s="3"/>
      <c r="H956" s="3"/>
      <c r="I956" s="3"/>
      <c r="J956" s="3"/>
      <c r="K956" s="3"/>
      <c r="L956" s="40"/>
      <c r="M956" s="3"/>
      <c r="N956" s="3"/>
      <c r="O956" s="3"/>
      <c r="P956" s="5"/>
      <c r="Q956" s="151">
        <v>39558</v>
      </c>
      <c r="R956" s="141">
        <v>0.90437832720274403</v>
      </c>
      <c r="S956" s="37">
        <v>19.19186591654946</v>
      </c>
      <c r="T956" s="134">
        <v>0.30250355543720947</v>
      </c>
      <c r="U956" s="15">
        <v>4.518624101952387</v>
      </c>
      <c r="V956" s="15"/>
      <c r="W956" s="15"/>
    </row>
    <row r="957" spans="1:23" x14ac:dyDescent="0.25">
      <c r="C957" s="3"/>
      <c r="D957" s="3"/>
      <c r="G957" s="3"/>
      <c r="H957" s="3"/>
      <c r="I957" s="3"/>
      <c r="J957" s="3"/>
      <c r="K957" s="3"/>
      <c r="L957" s="40"/>
      <c r="M957" s="3"/>
      <c r="N957" s="3"/>
      <c r="O957" s="3"/>
      <c r="P957" s="5"/>
      <c r="Q957" s="151">
        <v>39588</v>
      </c>
      <c r="R957" s="141">
        <v>0.90215372517370007</v>
      </c>
      <c r="S957" s="37">
        <v>19.571026722925456</v>
      </c>
      <c r="T957" s="134">
        <v>7.3821850266466912E-2</v>
      </c>
      <c r="U957" s="15">
        <v>1.1312035700580789</v>
      </c>
      <c r="V957" s="15"/>
      <c r="W957" s="15"/>
    </row>
    <row r="958" spans="1:23" x14ac:dyDescent="0.25">
      <c r="C958" s="3"/>
      <c r="D958" s="3"/>
      <c r="G958" s="3"/>
      <c r="H958" s="3"/>
      <c r="I958" s="3"/>
      <c r="J958" s="3"/>
      <c r="K958" s="3"/>
      <c r="L958" s="40"/>
      <c r="M958" s="3"/>
      <c r="N958" s="3"/>
      <c r="O958" s="3"/>
      <c r="P958" s="5"/>
      <c r="Q958" s="151">
        <v>39619</v>
      </c>
      <c r="R958" s="141">
        <v>3.6333959325997327</v>
      </c>
      <c r="S958" s="37">
        <v>32.079231129864041</v>
      </c>
      <c r="T958" s="134">
        <v>0.21728523203476641</v>
      </c>
      <c r="U958" s="15">
        <v>0.86177291963161751</v>
      </c>
      <c r="V958" s="15"/>
      <c r="W958" s="15"/>
    </row>
    <row r="959" spans="1:23" x14ac:dyDescent="0.25">
      <c r="C959" s="3"/>
      <c r="D959" s="3"/>
      <c r="G959" s="3"/>
      <c r="H959" s="3"/>
      <c r="I959" s="3"/>
      <c r="J959" s="3"/>
      <c r="K959" s="3"/>
      <c r="L959" s="40"/>
      <c r="M959" s="3"/>
      <c r="N959" s="3"/>
      <c r="O959" s="3"/>
      <c r="P959" s="5"/>
      <c r="Q959" s="151">
        <v>39649</v>
      </c>
      <c r="R959" s="141">
        <v>3.2125322696631535</v>
      </c>
      <c r="S959" s="37">
        <v>25.60614939834349</v>
      </c>
      <c r="T959" s="134">
        <v>0.23541964826952336</v>
      </c>
      <c r="U959" s="15">
        <v>2.5225200469904636</v>
      </c>
      <c r="V959" s="15"/>
      <c r="W959" s="15"/>
    </row>
    <row r="960" spans="1:23" x14ac:dyDescent="0.25">
      <c r="C960" s="3"/>
      <c r="D960" s="3"/>
      <c r="G960" s="3"/>
      <c r="H960" s="3"/>
      <c r="I960" s="3"/>
      <c r="J960" s="3"/>
      <c r="K960" s="3"/>
      <c r="L960" s="40"/>
      <c r="M960" s="3"/>
      <c r="N960" s="3"/>
      <c r="O960" s="3"/>
      <c r="P960" s="5"/>
      <c r="Q960" s="151">
        <v>39680</v>
      </c>
      <c r="R960" s="141">
        <v>6.2391809325738654</v>
      </c>
      <c r="S960" s="37">
        <v>25.059384278793562</v>
      </c>
      <c r="T960" s="134">
        <v>0.16660021030366645</v>
      </c>
      <c r="U960" s="15">
        <v>7.6528723520416699</v>
      </c>
      <c r="V960" s="15"/>
      <c r="W960" s="15"/>
    </row>
    <row r="961" spans="1:23" x14ac:dyDescent="0.25">
      <c r="C961" s="3"/>
      <c r="D961" s="3"/>
      <c r="G961" s="3"/>
      <c r="H961" s="3"/>
      <c r="I961" s="3"/>
      <c r="J961" s="3"/>
      <c r="K961" s="3"/>
      <c r="L961" s="40"/>
      <c r="M961" s="3"/>
      <c r="N961" s="3"/>
      <c r="O961" s="3"/>
      <c r="P961" s="5"/>
      <c r="Q961" s="151">
        <v>39711</v>
      </c>
      <c r="R961" s="141">
        <v>1.8781331967531161</v>
      </c>
      <c r="S961" s="37">
        <v>25.253164556962023</v>
      </c>
      <c r="T961" s="134">
        <v>0.20647980653903417</v>
      </c>
      <c r="U961" s="15">
        <v>3.2414854196909011</v>
      </c>
      <c r="V961" s="15"/>
      <c r="W961" s="15"/>
    </row>
    <row r="962" spans="1:23" x14ac:dyDescent="0.25">
      <c r="C962" s="3"/>
      <c r="D962" s="3"/>
      <c r="G962" s="3"/>
      <c r="H962" s="3"/>
      <c r="I962" s="3"/>
      <c r="J962" s="3"/>
      <c r="K962" s="3"/>
      <c r="L962" s="40"/>
      <c r="M962" s="3"/>
      <c r="N962" s="3"/>
      <c r="O962" s="3"/>
      <c r="P962" s="5"/>
      <c r="Q962" s="151">
        <v>39741</v>
      </c>
      <c r="R962" s="141">
        <v>0.69159255637814099</v>
      </c>
      <c r="S962" s="37">
        <v>20.168581028285672</v>
      </c>
      <c r="T962" s="134">
        <v>0.26042096345184162</v>
      </c>
      <c r="U962" s="15">
        <v>1.3708729764607677</v>
      </c>
      <c r="V962" s="15"/>
      <c r="W962" s="15"/>
    </row>
    <row r="963" spans="1:23" x14ac:dyDescent="0.25">
      <c r="C963" s="3"/>
      <c r="D963" s="3"/>
      <c r="G963" s="3"/>
      <c r="H963" s="3"/>
      <c r="I963" s="3"/>
      <c r="J963" s="3"/>
      <c r="K963" s="3"/>
      <c r="L963" s="40"/>
      <c r="M963" s="3"/>
      <c r="N963" s="3"/>
      <c r="O963" s="3"/>
      <c r="P963" s="5"/>
      <c r="Q963" s="151">
        <v>39772</v>
      </c>
      <c r="R963" s="141">
        <v>0.5</v>
      </c>
      <c r="S963" s="37">
        <v>13.603102047194874</v>
      </c>
      <c r="T963" s="134">
        <v>0.29263305984513588</v>
      </c>
      <c r="U963" s="15">
        <v>0.78882482651086927</v>
      </c>
      <c r="V963" s="15"/>
      <c r="W963" s="15"/>
    </row>
    <row r="964" spans="1:23" x14ac:dyDescent="0.25">
      <c r="C964" s="3"/>
      <c r="D964" s="3"/>
      <c r="G964" s="3"/>
      <c r="H964" s="3"/>
      <c r="I964" s="3"/>
      <c r="J964" s="3"/>
      <c r="K964" s="3"/>
      <c r="L964" s="40"/>
      <c r="M964" s="3"/>
      <c r="N964" s="3"/>
      <c r="O964" s="3"/>
      <c r="P964" s="5"/>
      <c r="Q964" s="151">
        <v>39802</v>
      </c>
      <c r="R964" s="141">
        <v>1.6543278856451085</v>
      </c>
      <c r="S964" s="38">
        <v>7.4077980934521026</v>
      </c>
      <c r="T964" s="135">
        <v>0.21485656354940044</v>
      </c>
      <c r="U964" s="136">
        <v>1.158787265633588</v>
      </c>
      <c r="V964" s="15"/>
      <c r="W964" s="15"/>
    </row>
    <row r="965" spans="1:23" x14ac:dyDescent="0.25">
      <c r="A965" s="6"/>
      <c r="B965" s="35" t="s">
        <v>68</v>
      </c>
      <c r="C965" s="44">
        <v>30.417000000000002</v>
      </c>
      <c r="D965" s="44">
        <v>110.56699999999999</v>
      </c>
      <c r="E965" s="33" t="s">
        <v>160</v>
      </c>
      <c r="F965" s="33" t="s">
        <v>34</v>
      </c>
      <c r="G965" s="44">
        <v>1.4496</v>
      </c>
      <c r="H965" s="44">
        <v>19.899999999999999</v>
      </c>
      <c r="I965" s="44">
        <v>5.8411716000000018</v>
      </c>
      <c r="J965" s="44">
        <v>0.25133328000000005</v>
      </c>
      <c r="K965" s="11">
        <f>I965/J965</f>
        <v>23.240740740740744</v>
      </c>
      <c r="L965" s="41">
        <v>1.29</v>
      </c>
      <c r="M965" s="7">
        <f>9.353*EXP(-0.023*H965-0.622*L965-0.182*J965-0.009*K965)*(I965/(I965+0.567))</f>
        <v>1.8739813439234396</v>
      </c>
      <c r="N965" s="7">
        <f>LN(M965)/10</f>
        <v>6.2806522854972902E-2</v>
      </c>
      <c r="O965" s="11">
        <f>4.3573*EXP(-1.002*M965)</f>
        <v>0.66639232378240709</v>
      </c>
      <c r="P965" s="10"/>
      <c r="Q965" s="149">
        <v>39467</v>
      </c>
      <c r="R965" s="125">
        <v>0.64027150491740514</v>
      </c>
      <c r="S965" s="28">
        <v>9.630020315674324</v>
      </c>
      <c r="T965" s="133">
        <v>0.13478643647641067</v>
      </c>
      <c r="U965" s="13">
        <v>1.7154513245940226</v>
      </c>
      <c r="V965" s="13"/>
      <c r="W965" s="13"/>
    </row>
    <row r="966" spans="1:23" x14ac:dyDescent="0.25">
      <c r="C966" s="3"/>
      <c r="D966" s="3"/>
      <c r="G966" s="3"/>
      <c r="H966" s="3"/>
      <c r="I966" s="3"/>
      <c r="J966" s="3"/>
      <c r="K966" s="3"/>
      <c r="L966" s="40"/>
      <c r="O966" s="18"/>
      <c r="P966" s="5"/>
      <c r="Q966" s="151">
        <v>39498</v>
      </c>
      <c r="R966" s="141">
        <v>0.49029194021511385</v>
      </c>
      <c r="S966" s="29">
        <v>9.545827473042662</v>
      </c>
      <c r="T966" s="134">
        <v>0.15138929708922333</v>
      </c>
      <c r="U966" s="15">
        <v>2.5474772919269699</v>
      </c>
      <c r="V966" s="15"/>
      <c r="W966" s="15"/>
    </row>
    <row r="967" spans="1:23" x14ac:dyDescent="0.25">
      <c r="C967" s="3"/>
      <c r="D967" s="3"/>
      <c r="G967" s="3"/>
      <c r="H967" s="3"/>
      <c r="I967" s="3"/>
      <c r="J967" s="3"/>
      <c r="K967" s="3"/>
      <c r="L967" s="40"/>
      <c r="N967" s="9"/>
      <c r="O967" s="9"/>
      <c r="P967" s="5"/>
      <c r="Q967" s="151">
        <v>39527</v>
      </c>
      <c r="R967" s="141">
        <v>1.6947328666842565</v>
      </c>
      <c r="S967" s="29">
        <v>26.220503203625569</v>
      </c>
      <c r="T967" s="134">
        <v>0.16168338822467782</v>
      </c>
      <c r="U967" s="15">
        <v>3.687760977080818</v>
      </c>
      <c r="V967" s="15"/>
      <c r="W967" s="15"/>
    </row>
    <row r="968" spans="1:23" x14ac:dyDescent="0.25">
      <c r="C968" s="3"/>
      <c r="D968" s="3"/>
      <c r="G968" s="3"/>
      <c r="H968" s="3"/>
      <c r="I968" s="3"/>
      <c r="J968" s="3"/>
      <c r="K968" s="3"/>
      <c r="L968" s="40"/>
      <c r="M968" s="3"/>
      <c r="N968" s="3"/>
      <c r="O968" s="3"/>
      <c r="P968" s="5"/>
      <c r="Q968" s="151">
        <v>39558</v>
      </c>
      <c r="R968" s="141">
        <v>0.60886840185624935</v>
      </c>
      <c r="S968" s="29">
        <v>18.358923269260821</v>
      </c>
      <c r="T968" s="134">
        <v>0.18963356574978577</v>
      </c>
      <c r="U968" s="15">
        <v>4.518624101952387</v>
      </c>
      <c r="V968" s="15"/>
      <c r="W968" s="15"/>
    </row>
    <row r="969" spans="1:23" x14ac:dyDescent="0.25">
      <c r="C969" s="3"/>
      <c r="D969" s="3"/>
      <c r="G969" s="3"/>
      <c r="H969" s="3"/>
      <c r="I969" s="3"/>
      <c r="J969" s="3"/>
      <c r="K969" s="3"/>
      <c r="L969" s="40"/>
      <c r="M969" s="3"/>
      <c r="N969" s="3"/>
      <c r="O969" s="3"/>
      <c r="P969" s="5"/>
      <c r="Q969" s="151">
        <v>39588</v>
      </c>
      <c r="R969" s="141">
        <v>1.5424252300911052</v>
      </c>
      <c r="S969" s="29">
        <v>19.755821222065947</v>
      </c>
      <c r="T969" s="134">
        <v>2.6108355563597353E-2</v>
      </c>
      <c r="U969" s="15">
        <v>1.1312035700580789</v>
      </c>
      <c r="V969" s="15"/>
      <c r="W969" s="15"/>
    </row>
    <row r="970" spans="1:23" x14ac:dyDescent="0.25">
      <c r="C970" s="3"/>
      <c r="D970" s="3"/>
      <c r="G970" s="3"/>
      <c r="H970" s="3"/>
      <c r="I970" s="3"/>
      <c r="J970" s="3"/>
      <c r="K970" s="3"/>
      <c r="L970" s="40"/>
      <c r="M970" s="3"/>
      <c r="N970" s="3"/>
      <c r="O970" s="3"/>
      <c r="P970" s="5"/>
      <c r="Q970" s="151">
        <v>39619</v>
      </c>
      <c r="R970" s="141">
        <v>2.869995292121287</v>
      </c>
      <c r="S970" s="29">
        <v>32.079231129864041</v>
      </c>
      <c r="T970" s="134">
        <v>0.10444400743807625</v>
      </c>
      <c r="U970" s="15">
        <v>0.86177291963161751</v>
      </c>
      <c r="V970" s="15"/>
      <c r="W970" s="15"/>
    </row>
    <row r="971" spans="1:23" x14ac:dyDescent="0.25">
      <c r="C971" s="3"/>
      <c r="D971" s="3"/>
      <c r="G971" s="3"/>
      <c r="H971" s="3"/>
      <c r="I971" s="3"/>
      <c r="J971" s="3"/>
      <c r="K971" s="3"/>
      <c r="L971" s="40"/>
      <c r="M971" s="3"/>
      <c r="N971" s="3"/>
      <c r="O971" s="3"/>
      <c r="P971" s="5"/>
      <c r="Q971" s="151">
        <v>39649</v>
      </c>
      <c r="R971" s="141">
        <v>2.5475832027026324</v>
      </c>
      <c r="S971" s="29">
        <v>28.754297546491639</v>
      </c>
      <c r="T971" s="134">
        <v>0.16261488438911997</v>
      </c>
      <c r="U971" s="15">
        <v>2.5225200469904636</v>
      </c>
      <c r="V971" s="15"/>
      <c r="W971" s="15"/>
    </row>
    <row r="972" spans="1:23" x14ac:dyDescent="0.25">
      <c r="C972" s="3"/>
      <c r="D972" s="3"/>
      <c r="G972" s="3"/>
      <c r="H972" s="3"/>
      <c r="I972" s="3"/>
      <c r="J972" s="3"/>
      <c r="K972" s="3"/>
      <c r="L972" s="40"/>
      <c r="M972" s="3"/>
      <c r="N972" s="3"/>
      <c r="O972" s="3"/>
      <c r="P972" s="5"/>
      <c r="Q972" s="151">
        <v>39680</v>
      </c>
      <c r="R972" s="141">
        <v>3.2594558519967101</v>
      </c>
      <c r="S972" s="29">
        <v>25.429559306141588</v>
      </c>
      <c r="T972" s="134">
        <v>0.16284246583838707</v>
      </c>
      <c r="U972" s="15">
        <v>7.6528723520416699</v>
      </c>
      <c r="V972" s="15"/>
      <c r="W972" s="15"/>
    </row>
    <row r="973" spans="1:23" x14ac:dyDescent="0.25">
      <c r="C973" s="3"/>
      <c r="D973" s="3"/>
      <c r="G973" s="3"/>
      <c r="H973" s="3"/>
      <c r="I973" s="3"/>
      <c r="J973" s="3"/>
      <c r="K973" s="3"/>
      <c r="L973" s="40"/>
      <c r="M973" s="3"/>
      <c r="N973" s="3"/>
      <c r="O973" s="3"/>
      <c r="P973" s="5"/>
      <c r="Q973" s="151">
        <v>39711</v>
      </c>
      <c r="R973" s="141">
        <v>1.9027072889344157</v>
      </c>
      <c r="S973" s="29">
        <v>24.697022972339425</v>
      </c>
      <c r="T973" s="134">
        <v>7.3646415501207638E-2</v>
      </c>
      <c r="U973" s="15">
        <v>3.2414854196909011</v>
      </c>
      <c r="V973" s="15"/>
      <c r="W973" s="15"/>
    </row>
    <row r="974" spans="1:23" x14ac:dyDescent="0.25">
      <c r="C974" s="3"/>
      <c r="D974" s="3"/>
      <c r="G974" s="3"/>
      <c r="H974" s="3"/>
      <c r="I974" s="3"/>
      <c r="J974" s="3"/>
      <c r="K974" s="3"/>
      <c r="L974" s="40"/>
      <c r="M974" s="3"/>
      <c r="N974" s="3"/>
      <c r="O974" s="3"/>
      <c r="P974" s="5"/>
      <c r="Q974" s="151">
        <v>39741</v>
      </c>
      <c r="R974" s="141">
        <v>1.6789019778264087</v>
      </c>
      <c r="S974" s="29">
        <v>19.335638380997029</v>
      </c>
      <c r="T974" s="134">
        <v>0.1696063982142795</v>
      </c>
      <c r="U974" s="15">
        <v>1.3708729764607677</v>
      </c>
      <c r="V974" s="15"/>
      <c r="W974" s="15"/>
    </row>
    <row r="975" spans="1:23" x14ac:dyDescent="0.25">
      <c r="C975" s="3"/>
      <c r="D975" s="3"/>
      <c r="G975" s="3"/>
      <c r="H975" s="3"/>
      <c r="I975" s="3"/>
      <c r="J975" s="3"/>
      <c r="K975" s="3"/>
      <c r="L975" s="40"/>
      <c r="M975" s="3"/>
      <c r="N975" s="3"/>
      <c r="O975" s="3"/>
      <c r="P975" s="5"/>
      <c r="Q975" s="151">
        <v>39772</v>
      </c>
      <c r="R975" s="141">
        <v>0.91317326545710398</v>
      </c>
      <c r="S975" s="29">
        <v>12.584583528676356</v>
      </c>
      <c r="T975" s="134">
        <v>0.16228145110298442</v>
      </c>
      <c r="U975" s="15">
        <v>0.78882482651086927</v>
      </c>
      <c r="V975" s="15"/>
      <c r="W975" s="15"/>
    </row>
    <row r="976" spans="1:23" x14ac:dyDescent="0.25">
      <c r="C976" s="3"/>
      <c r="D976" s="3"/>
      <c r="G976" s="3"/>
      <c r="H976" s="3"/>
      <c r="I976" s="3"/>
      <c r="J976" s="3"/>
      <c r="K976" s="3"/>
      <c r="L976" s="40"/>
      <c r="M976" s="3"/>
      <c r="N976" s="3"/>
      <c r="O976" s="3"/>
      <c r="P976" s="5"/>
      <c r="Q976" s="151">
        <v>39802</v>
      </c>
      <c r="R976" s="141">
        <v>0.39385802900260231</v>
      </c>
      <c r="S976" s="29">
        <v>6.6670573527113612</v>
      </c>
      <c r="T976" s="135">
        <v>0.14613904598054941</v>
      </c>
      <c r="U976" s="136">
        <v>1.158787265633588</v>
      </c>
      <c r="V976" s="15"/>
      <c r="W976" s="15"/>
    </row>
    <row r="977" spans="1:23" x14ac:dyDescent="0.25">
      <c r="A977" s="6"/>
      <c r="B977" s="35" t="s">
        <v>71</v>
      </c>
      <c r="C977" s="44">
        <v>30.417000000000002</v>
      </c>
      <c r="D977" s="44">
        <v>110.56699999999999</v>
      </c>
      <c r="E977" s="33" t="s">
        <v>160</v>
      </c>
      <c r="F977" s="33" t="s">
        <v>52</v>
      </c>
      <c r="G977" s="44">
        <v>1.4496</v>
      </c>
      <c r="H977" s="44">
        <v>19.899999999999999</v>
      </c>
      <c r="I977" s="44">
        <v>3.8338608000000005</v>
      </c>
      <c r="J977" s="44">
        <v>0.29448496000000002</v>
      </c>
      <c r="K977" s="11">
        <f>I977/J977</f>
        <v>13.018867924528303</v>
      </c>
      <c r="L977" s="41">
        <v>1.54</v>
      </c>
      <c r="M977" s="7">
        <f>9.353*EXP(-0.023*H977-0.622*L977-0.182*J977-0.009*K977)*(I977/(I977+0.567))</f>
        <v>1.6676630122380427</v>
      </c>
      <c r="N977" s="7">
        <f>LN(M977)/10</f>
        <v>5.1142325249318832E-2</v>
      </c>
      <c r="O977" s="11">
        <f>4.3573*EXP(-1.002*M977)</f>
        <v>0.81943046183357948</v>
      </c>
      <c r="P977" s="10"/>
      <c r="Q977" s="149">
        <v>39467</v>
      </c>
      <c r="R977" s="125">
        <v>1.2804912749039024</v>
      </c>
      <c r="S977" s="28">
        <v>9.3522425378965455</v>
      </c>
      <c r="T977" s="133">
        <v>9.128964112516752E-2</v>
      </c>
      <c r="U977" s="13">
        <v>1.7154513245940226</v>
      </c>
      <c r="V977" s="13"/>
      <c r="W977" s="13"/>
    </row>
    <row r="978" spans="1:23" x14ac:dyDescent="0.25">
      <c r="C978" s="3"/>
      <c r="D978" s="3"/>
      <c r="G978" s="3"/>
      <c r="H978" s="3"/>
      <c r="I978" s="3"/>
      <c r="J978" s="3"/>
      <c r="K978" s="3"/>
      <c r="L978" s="40"/>
      <c r="O978" s="18"/>
      <c r="P978" s="5"/>
      <c r="Q978" s="151">
        <v>39498</v>
      </c>
      <c r="R978" s="141">
        <v>0.63794343302654521</v>
      </c>
      <c r="S978" s="37">
        <v>8.6199015471167364</v>
      </c>
      <c r="T978" s="134">
        <v>0.11124896018047783</v>
      </c>
      <c r="U978" s="15">
        <v>2.5474772919269699</v>
      </c>
      <c r="V978" s="15"/>
      <c r="W978" s="15"/>
    </row>
    <row r="979" spans="1:23" x14ac:dyDescent="0.25">
      <c r="B979" s="8"/>
      <c r="C979" s="9"/>
      <c r="D979" s="9"/>
      <c r="E979" s="8"/>
      <c r="F979" s="8"/>
      <c r="G979" s="9"/>
      <c r="H979" s="9"/>
      <c r="I979" s="9"/>
      <c r="J979" s="9"/>
      <c r="K979" s="9"/>
      <c r="L979" s="32"/>
      <c r="M979" s="8"/>
      <c r="N979" s="9"/>
      <c r="O979" s="9"/>
      <c r="P979" s="22"/>
      <c r="Q979" s="151">
        <v>39527</v>
      </c>
      <c r="R979" s="124">
        <v>1.8178620022452958</v>
      </c>
      <c r="S979" s="37">
        <v>18.44272542584779</v>
      </c>
      <c r="T979" s="134">
        <v>0.17082658676598989</v>
      </c>
      <c r="U979" s="15">
        <v>3.687760977080818</v>
      </c>
      <c r="V979" s="15"/>
      <c r="W979" s="15"/>
    </row>
    <row r="980" spans="1:23" x14ac:dyDescent="0.25">
      <c r="B980" s="8"/>
      <c r="C980" s="9"/>
      <c r="D980" s="9"/>
      <c r="E980" s="8"/>
      <c r="F980" s="8"/>
      <c r="G980" s="9"/>
      <c r="H980" s="9"/>
      <c r="I980" s="9"/>
      <c r="J980" s="9"/>
      <c r="K980" s="9"/>
      <c r="L980" s="32"/>
      <c r="M980" s="9"/>
      <c r="N980" s="9"/>
      <c r="O980" s="9"/>
      <c r="P980" s="22"/>
      <c r="Q980" s="151">
        <v>39558</v>
      </c>
      <c r="R980" s="124">
        <v>1.0028816356515755</v>
      </c>
      <c r="S980" s="37">
        <v>20.210579778090327</v>
      </c>
      <c r="T980" s="134">
        <v>0.13223229796179481</v>
      </c>
      <c r="U980" s="15">
        <v>4.518624101952387</v>
      </c>
      <c r="V980" s="15"/>
      <c r="W980" s="15"/>
    </row>
    <row r="981" spans="1:23" x14ac:dyDescent="0.25">
      <c r="B981" s="8"/>
      <c r="C981" s="9"/>
      <c r="D981" s="9"/>
      <c r="E981" s="8"/>
      <c r="F981" s="8"/>
      <c r="G981" s="9"/>
      <c r="H981" s="9"/>
      <c r="I981" s="9"/>
      <c r="J981" s="9"/>
      <c r="K981" s="9"/>
      <c r="L981" s="32"/>
      <c r="M981" s="9"/>
      <c r="N981" s="9"/>
      <c r="O981" s="9"/>
      <c r="P981" s="22"/>
      <c r="Q981" s="151">
        <v>39588</v>
      </c>
      <c r="R981" s="124">
        <v>2.9214715483747469</v>
      </c>
      <c r="S981" s="37">
        <v>19.941006407251134</v>
      </c>
      <c r="T981" s="134">
        <v>7.7279038626588553E-2</v>
      </c>
      <c r="U981" s="15">
        <v>1.1312035700580789</v>
      </c>
      <c r="V981" s="15"/>
      <c r="W981" s="15"/>
    </row>
    <row r="982" spans="1:23" x14ac:dyDescent="0.25">
      <c r="B982" s="8"/>
      <c r="C982" s="9"/>
      <c r="D982" s="9"/>
      <c r="E982" s="8"/>
      <c r="F982" s="8"/>
      <c r="G982" s="9"/>
      <c r="H982" s="9"/>
      <c r="I982" s="9"/>
      <c r="J982" s="9"/>
      <c r="K982" s="9"/>
      <c r="L982" s="32"/>
      <c r="M982" s="9"/>
      <c r="N982" s="9"/>
      <c r="O982" s="9"/>
      <c r="P982" s="22"/>
      <c r="Q982" s="151">
        <v>39619</v>
      </c>
      <c r="R982" s="124">
        <v>5.5542104473519478</v>
      </c>
      <c r="S982" s="37">
        <v>25.505352398812313</v>
      </c>
      <c r="T982" s="134">
        <v>0.17043941360810039</v>
      </c>
      <c r="U982" s="15">
        <v>0.86177291963161751</v>
      </c>
      <c r="V982" s="15"/>
      <c r="W982" s="15"/>
    </row>
    <row r="983" spans="1:23" x14ac:dyDescent="0.25">
      <c r="B983" s="8"/>
      <c r="C983" s="9"/>
      <c r="D983" s="9"/>
      <c r="E983" s="8"/>
      <c r="F983" s="8"/>
      <c r="G983" s="9"/>
      <c r="H983" s="9"/>
      <c r="I983" s="9"/>
      <c r="J983" s="9"/>
      <c r="K983" s="9"/>
      <c r="L983" s="32"/>
      <c r="M983" s="9"/>
      <c r="N983" s="9"/>
      <c r="O983" s="9"/>
      <c r="P983" s="22"/>
      <c r="Q983" s="151">
        <v>39649</v>
      </c>
      <c r="R983" s="124">
        <v>5.2072760006829002</v>
      </c>
      <c r="S983" s="37">
        <v>25.791334583528673</v>
      </c>
      <c r="T983" s="134">
        <v>0.14131458418892115</v>
      </c>
      <c r="U983" s="15">
        <v>2.5225200469904636</v>
      </c>
      <c r="V983" s="15"/>
      <c r="W983" s="15"/>
    </row>
    <row r="984" spans="1:23" x14ac:dyDescent="0.25">
      <c r="B984" s="8"/>
      <c r="C984" s="9"/>
      <c r="D984" s="9"/>
      <c r="E984" s="8"/>
      <c r="F984" s="8"/>
      <c r="G984" s="9"/>
      <c r="H984" s="9"/>
      <c r="I984" s="9"/>
      <c r="J984" s="9"/>
      <c r="K984" s="9"/>
      <c r="L984" s="32"/>
      <c r="M984" s="9"/>
      <c r="N984" s="9"/>
      <c r="O984" s="9"/>
      <c r="P984" s="22"/>
      <c r="Q984" s="151">
        <v>39680</v>
      </c>
      <c r="R984" s="124">
        <v>3.4810365610756726</v>
      </c>
      <c r="S984" s="37">
        <v>26.355680575089856</v>
      </c>
      <c r="T984" s="134">
        <v>0.14234222135565577</v>
      </c>
      <c r="U984" s="15">
        <v>7.6528723520416699</v>
      </c>
      <c r="V984" s="15"/>
      <c r="W984" s="15"/>
    </row>
    <row r="985" spans="1:23" x14ac:dyDescent="0.25">
      <c r="B985" s="8"/>
      <c r="C985" s="9"/>
      <c r="D985" s="9"/>
      <c r="E985" s="8"/>
      <c r="F985" s="8"/>
      <c r="G985" s="9"/>
      <c r="H985" s="9"/>
      <c r="I985" s="9"/>
      <c r="J985" s="9"/>
      <c r="K985" s="9"/>
      <c r="L985" s="32"/>
      <c r="M985" s="9"/>
      <c r="N985" s="9"/>
      <c r="O985" s="9"/>
      <c r="P985" s="22"/>
      <c r="Q985" s="151">
        <v>39711</v>
      </c>
      <c r="R985" s="124">
        <v>4.2175867724128659</v>
      </c>
      <c r="S985" s="37">
        <v>23.771683075480542</v>
      </c>
      <c r="T985" s="134">
        <v>0.11149139570924972</v>
      </c>
      <c r="U985" s="15">
        <v>3.2414854196909011</v>
      </c>
      <c r="V985" s="15"/>
      <c r="W985" s="15"/>
    </row>
    <row r="986" spans="1:23" x14ac:dyDescent="0.25">
      <c r="B986" s="8"/>
      <c r="C986" s="9"/>
      <c r="D986" s="9"/>
      <c r="E986" s="8"/>
      <c r="F986" s="8"/>
      <c r="G986" s="9"/>
      <c r="H986" s="9"/>
      <c r="I986" s="9"/>
      <c r="J986" s="9"/>
      <c r="K986" s="9"/>
      <c r="L986" s="32"/>
      <c r="M986" s="9"/>
      <c r="N986" s="9"/>
      <c r="O986" s="9"/>
      <c r="P986" s="22"/>
      <c r="Q986" s="151">
        <v>39741</v>
      </c>
      <c r="R986" s="124">
        <v>2.5160766297796608</v>
      </c>
      <c r="S986" s="37">
        <v>19.150257852789501</v>
      </c>
      <c r="T986" s="134">
        <v>0.18743522970722887</v>
      </c>
      <c r="U986" s="15">
        <v>1.3708729764607677</v>
      </c>
      <c r="V986" s="15"/>
      <c r="W986" s="15"/>
    </row>
    <row r="987" spans="1:23" x14ac:dyDescent="0.25">
      <c r="B987" s="8"/>
      <c r="C987" s="9"/>
      <c r="D987" s="9"/>
      <c r="E987" s="8"/>
      <c r="F987" s="8"/>
      <c r="G987" s="9"/>
      <c r="H987" s="9"/>
      <c r="I987" s="9"/>
      <c r="J987" s="9"/>
      <c r="K987" s="9"/>
      <c r="L987" s="32"/>
      <c r="M987" s="9"/>
      <c r="N987" s="9"/>
      <c r="O987" s="9"/>
      <c r="P987" s="22"/>
      <c r="Q987" s="151">
        <v>39772</v>
      </c>
      <c r="R987" s="124">
        <v>1.1594832715100911</v>
      </c>
      <c r="S987" s="37">
        <v>11.380879824972652</v>
      </c>
      <c r="T987" s="134">
        <v>0.20740540408472302</v>
      </c>
      <c r="U987" s="15">
        <v>0.78882482651086927</v>
      </c>
      <c r="V987" s="15"/>
      <c r="W987" s="15"/>
    </row>
    <row r="988" spans="1:23" x14ac:dyDescent="0.25">
      <c r="C988" s="3"/>
      <c r="D988" s="3"/>
      <c r="G988" s="3"/>
      <c r="H988" s="3"/>
      <c r="I988" s="3"/>
      <c r="J988" s="3"/>
      <c r="K988" s="3"/>
      <c r="L988" s="40"/>
      <c r="M988" s="3"/>
      <c r="N988" s="3"/>
      <c r="O988" s="3"/>
      <c r="P988" s="5"/>
      <c r="Q988" s="151">
        <v>39802</v>
      </c>
      <c r="R988" s="141">
        <v>0.44305794829610995</v>
      </c>
      <c r="S988" s="38">
        <v>3.5189092045632133</v>
      </c>
      <c r="T988" s="135">
        <v>0.18516646737081127</v>
      </c>
      <c r="U988" s="136">
        <v>1.158787265633588</v>
      </c>
      <c r="V988" s="15"/>
      <c r="W988" s="15"/>
    </row>
    <row r="989" spans="1:23" x14ac:dyDescent="0.25">
      <c r="A989" s="6"/>
      <c r="B989" s="35" t="s">
        <v>69</v>
      </c>
      <c r="C989" s="44">
        <v>30.417000000000002</v>
      </c>
      <c r="D989" s="44">
        <v>110.56699999999999</v>
      </c>
      <c r="E989" s="33" t="s">
        <v>160</v>
      </c>
      <c r="F989" s="33" t="s">
        <v>53</v>
      </c>
      <c r="G989" s="44">
        <v>1.4496</v>
      </c>
      <c r="H989" s="44">
        <v>19.899999999999999</v>
      </c>
      <c r="I989" s="44">
        <v>4.7845688000000015</v>
      </c>
      <c r="J989" s="44">
        <v>0.29567560000000004</v>
      </c>
      <c r="K989" s="11">
        <f>I989/J989</f>
        <v>16.181818181818183</v>
      </c>
      <c r="L989" s="41">
        <v>1.49</v>
      </c>
      <c r="M989" s="7">
        <f>9.353*EXP(-0.023*H989-0.622*L989-0.182*J989-0.009*K989)*(I989/(I989+0.567))</f>
        <v>1.7156190523397068</v>
      </c>
      <c r="N989" s="7">
        <f>LN(M989)/10</f>
        <v>5.3977397894965119E-2</v>
      </c>
      <c r="O989" s="11">
        <f>4.3573*EXP(-1.002*M989)</f>
        <v>0.78098628433865769</v>
      </c>
      <c r="P989" s="10"/>
      <c r="Q989" s="149">
        <v>39467</v>
      </c>
      <c r="R989" s="125">
        <v>0.93578143026389993</v>
      </c>
      <c r="S989" s="28">
        <v>9.0740740740740744</v>
      </c>
      <c r="T989" s="133">
        <v>0.15162355748433629</v>
      </c>
      <c r="U989" s="13">
        <v>1.7154513245940226</v>
      </c>
      <c r="V989" s="13"/>
      <c r="W989" s="13"/>
    </row>
    <row r="990" spans="1:23" x14ac:dyDescent="0.25">
      <c r="B990" s="8"/>
      <c r="C990" s="9"/>
      <c r="D990" s="9"/>
      <c r="E990" s="8"/>
      <c r="F990" s="8"/>
      <c r="G990" s="9"/>
      <c r="H990" s="9"/>
      <c r="I990" s="9"/>
      <c r="J990" s="9"/>
      <c r="K990" s="9"/>
      <c r="L990" s="32"/>
      <c r="M990" s="8"/>
      <c r="N990" s="8"/>
      <c r="O990" s="18"/>
      <c r="P990" s="22"/>
      <c r="Q990" s="151">
        <v>39498</v>
      </c>
      <c r="R990" s="124">
        <v>0.56411768662082951</v>
      </c>
      <c r="S990" s="37">
        <v>6.8606422878574778</v>
      </c>
      <c r="T990" s="134">
        <v>0.16481807043876645</v>
      </c>
      <c r="U990" s="15">
        <v>2.5474772919269699</v>
      </c>
      <c r="V990" s="15"/>
      <c r="W990" s="15"/>
    </row>
    <row r="991" spans="1:23" x14ac:dyDescent="0.25">
      <c r="B991" s="8"/>
      <c r="C991" s="9"/>
      <c r="D991" s="9"/>
      <c r="E991" s="8"/>
      <c r="F991" s="8"/>
      <c r="G991" s="9"/>
      <c r="H991" s="9"/>
      <c r="I991" s="9"/>
      <c r="J991" s="9"/>
      <c r="K991" s="9"/>
      <c r="L991" s="32"/>
      <c r="M991" s="8"/>
      <c r="N991" s="9"/>
      <c r="O991" s="9"/>
      <c r="P991" s="22"/>
      <c r="Q991" s="151">
        <v>39527</v>
      </c>
      <c r="R991" s="124">
        <v>1.6700553046411406</v>
      </c>
      <c r="S991" s="37">
        <v>15.386974527269885</v>
      </c>
      <c r="T991" s="134">
        <v>0.17334994892796116</v>
      </c>
      <c r="U991" s="15">
        <v>3.687760977080818</v>
      </c>
      <c r="V991" s="15"/>
      <c r="W991" s="15"/>
    </row>
    <row r="992" spans="1:23" x14ac:dyDescent="0.25">
      <c r="B992" s="8"/>
      <c r="C992" s="9"/>
      <c r="D992" s="9"/>
      <c r="E992" s="8"/>
      <c r="F992" s="8"/>
      <c r="G992" s="9"/>
      <c r="H992" s="9"/>
      <c r="I992" s="9"/>
      <c r="J992" s="9"/>
      <c r="K992" s="9"/>
      <c r="L992" s="32"/>
      <c r="M992" s="9"/>
      <c r="N992" s="9"/>
      <c r="O992" s="9"/>
      <c r="P992" s="22"/>
      <c r="Q992" s="151">
        <v>39558</v>
      </c>
      <c r="R992" s="124">
        <v>0.90448179706456</v>
      </c>
      <c r="S992" s="37">
        <v>19.654828879512422</v>
      </c>
      <c r="T992" s="134">
        <v>0.21724437279976372</v>
      </c>
      <c r="U992" s="15">
        <v>4.518624101952387</v>
      </c>
      <c r="V992" s="15"/>
      <c r="W992" s="15"/>
    </row>
    <row r="993" spans="1:23" x14ac:dyDescent="0.25">
      <c r="B993" s="8"/>
      <c r="C993" s="9"/>
      <c r="D993" s="9"/>
      <c r="E993" s="8"/>
      <c r="F993" s="8"/>
      <c r="G993" s="9"/>
      <c r="H993" s="9"/>
      <c r="I993" s="9"/>
      <c r="J993" s="9"/>
      <c r="K993" s="9"/>
      <c r="L993" s="32"/>
      <c r="M993" s="9"/>
      <c r="N993" s="9"/>
      <c r="O993" s="9"/>
      <c r="P993" s="22"/>
      <c r="Q993" s="151">
        <v>39588</v>
      </c>
      <c r="R993" s="124">
        <v>1.4931735758666895</v>
      </c>
      <c r="S993" s="37">
        <v>20.033598999843729</v>
      </c>
      <c r="T993" s="134">
        <v>5.7421144646471682E-2</v>
      </c>
      <c r="U993" s="15">
        <v>1.1312035700580789</v>
      </c>
      <c r="V993" s="15"/>
      <c r="W993" s="15"/>
    </row>
    <row r="994" spans="1:23" x14ac:dyDescent="0.25">
      <c r="B994" s="8"/>
      <c r="C994" s="9"/>
      <c r="D994" s="9"/>
      <c r="E994" s="8"/>
      <c r="F994" s="8"/>
      <c r="G994" s="9"/>
      <c r="H994" s="9"/>
      <c r="I994" s="9"/>
      <c r="J994" s="9"/>
      <c r="K994" s="9"/>
      <c r="L994" s="32"/>
      <c r="M994" s="9"/>
      <c r="N994" s="9"/>
      <c r="O994" s="9"/>
      <c r="P994" s="22"/>
      <c r="Q994" s="151">
        <v>39619</v>
      </c>
      <c r="R994" s="124">
        <v>3.1408793903555741</v>
      </c>
      <c r="S994" s="37">
        <v>27.079231129864041</v>
      </c>
      <c r="T994" s="134">
        <v>0.16084330157779034</v>
      </c>
      <c r="U994" s="15">
        <v>0.86177291963161751</v>
      </c>
      <c r="V994" s="15"/>
      <c r="W994" s="15"/>
    </row>
    <row r="995" spans="1:23" x14ac:dyDescent="0.25">
      <c r="B995" s="8"/>
      <c r="C995" s="9"/>
      <c r="D995" s="9"/>
      <c r="E995" s="8"/>
      <c r="F995" s="8"/>
      <c r="G995" s="9"/>
      <c r="H995" s="9"/>
      <c r="I995" s="9"/>
      <c r="J995" s="9"/>
      <c r="K995" s="9"/>
      <c r="L995" s="32"/>
      <c r="M995" s="9"/>
      <c r="N995" s="9"/>
      <c r="O995" s="9"/>
      <c r="P995" s="22"/>
      <c r="Q995" s="151">
        <v>39649</v>
      </c>
      <c r="R995" s="124">
        <v>5.8967474248938139</v>
      </c>
      <c r="S995" s="37">
        <v>25.143381778402876</v>
      </c>
      <c r="T995" s="134">
        <v>0.18426199874098517</v>
      </c>
      <c r="U995" s="15">
        <v>2.5225200469904636</v>
      </c>
      <c r="V995" s="15"/>
      <c r="W995" s="15"/>
    </row>
    <row r="996" spans="1:23" x14ac:dyDescent="0.25">
      <c r="B996" s="8"/>
      <c r="C996" s="9"/>
      <c r="D996" s="9"/>
      <c r="E996" s="8"/>
      <c r="F996" s="8"/>
      <c r="G996" s="9"/>
      <c r="H996" s="9"/>
      <c r="I996" s="9"/>
      <c r="J996" s="9"/>
      <c r="K996" s="9"/>
      <c r="L996" s="32"/>
      <c r="M996" s="9"/>
      <c r="N996" s="9"/>
      <c r="O996" s="9"/>
      <c r="P996" s="22"/>
      <c r="Q996" s="151">
        <v>39680</v>
      </c>
      <c r="R996" s="124">
        <v>7.5197239424086737</v>
      </c>
      <c r="S996" s="37">
        <v>28.39252226910455</v>
      </c>
      <c r="T996" s="134">
        <v>0.10257795823518211</v>
      </c>
      <c r="U996" s="15">
        <v>7.6528723520416699</v>
      </c>
      <c r="V996" s="15"/>
      <c r="W996" s="15"/>
    </row>
    <row r="997" spans="1:23" x14ac:dyDescent="0.25">
      <c r="B997" s="8"/>
      <c r="C997" s="9"/>
      <c r="D997" s="9"/>
      <c r="E997" s="8"/>
      <c r="F997" s="8"/>
      <c r="G997" s="9"/>
      <c r="H997" s="9"/>
      <c r="I997" s="9"/>
      <c r="J997" s="9"/>
      <c r="K997" s="9"/>
      <c r="L997" s="32"/>
      <c r="M997" s="9"/>
      <c r="N997" s="9"/>
      <c r="O997" s="9"/>
      <c r="P997" s="22"/>
      <c r="Q997" s="151">
        <v>39711</v>
      </c>
      <c r="R997" s="124">
        <v>2.2721981654793502</v>
      </c>
      <c r="S997" s="37">
        <v>23.586107204250666</v>
      </c>
      <c r="T997" s="134">
        <v>0.101819742739578</v>
      </c>
      <c r="U997" s="15">
        <v>3.2414854196909011</v>
      </c>
      <c r="V997" s="15"/>
      <c r="W997" s="15"/>
    </row>
    <row r="998" spans="1:23" x14ac:dyDescent="0.25">
      <c r="B998" s="8"/>
      <c r="C998" s="9"/>
      <c r="D998" s="9"/>
      <c r="E998" s="8"/>
      <c r="F998" s="8"/>
      <c r="G998" s="9"/>
      <c r="H998" s="9"/>
      <c r="I998" s="9"/>
      <c r="J998" s="9"/>
      <c r="K998" s="9"/>
      <c r="L998" s="32"/>
      <c r="M998" s="9"/>
      <c r="N998" s="9"/>
      <c r="O998" s="9"/>
      <c r="P998" s="22"/>
      <c r="Q998" s="151">
        <v>39741</v>
      </c>
      <c r="R998" s="124">
        <v>1.9497860760606955</v>
      </c>
      <c r="S998" s="37">
        <v>19.427840287544928</v>
      </c>
      <c r="T998" s="134">
        <v>0.19966471661817986</v>
      </c>
      <c r="U998" s="15">
        <v>1.3708729764607677</v>
      </c>
      <c r="V998" s="15"/>
      <c r="W998" s="15"/>
    </row>
    <row r="999" spans="1:23" x14ac:dyDescent="0.25">
      <c r="B999" s="8"/>
      <c r="C999" s="9"/>
      <c r="D999" s="9"/>
      <c r="E999" s="8"/>
      <c r="F999" s="8"/>
      <c r="G999" s="9"/>
      <c r="H999" s="9"/>
      <c r="I999" s="9"/>
      <c r="J999" s="9"/>
      <c r="K999" s="9"/>
      <c r="L999" s="32"/>
      <c r="M999" s="9"/>
      <c r="N999" s="9"/>
      <c r="O999" s="9"/>
      <c r="P999" s="22"/>
      <c r="Q999" s="151">
        <v>39772</v>
      </c>
      <c r="R999" s="124">
        <v>0.93785082750021986</v>
      </c>
      <c r="S999" s="37">
        <v>12.58438818565401</v>
      </c>
      <c r="T999" s="134">
        <v>0.21192513934864415</v>
      </c>
      <c r="U999" s="15">
        <v>0.78882482651086927</v>
      </c>
      <c r="V999" s="15"/>
      <c r="W999" s="15"/>
    </row>
    <row r="1000" spans="1:23" x14ac:dyDescent="0.25">
      <c r="B1000" s="36"/>
      <c r="C1000" s="46"/>
      <c r="D1000" s="46"/>
      <c r="E1000" s="36"/>
      <c r="F1000" s="36"/>
      <c r="G1000" s="46"/>
      <c r="H1000" s="46"/>
      <c r="I1000" s="46"/>
      <c r="J1000" s="46"/>
      <c r="K1000" s="46"/>
      <c r="L1000" s="43"/>
      <c r="M1000" s="46"/>
      <c r="N1000" s="46"/>
      <c r="O1000" s="46"/>
      <c r="P1000" s="105"/>
      <c r="Q1000" s="152">
        <v>39802</v>
      </c>
      <c r="R1000" s="142">
        <v>0.64011630012468113</v>
      </c>
      <c r="S1000" s="38">
        <v>7.1300203156743249</v>
      </c>
      <c r="T1000" s="135">
        <v>0.17488982988295093</v>
      </c>
      <c r="U1000" s="136">
        <v>1.158787265633588</v>
      </c>
      <c r="V1000" s="136"/>
      <c r="W1000" s="136"/>
    </row>
    <row r="1001" spans="1:23" x14ac:dyDescent="0.25">
      <c r="A1001" s="6">
        <v>22</v>
      </c>
      <c r="B1001" s="70" t="s">
        <v>70</v>
      </c>
      <c r="C1001" s="44">
        <v>30.233000000000001</v>
      </c>
      <c r="D1001" s="44">
        <v>120.15</v>
      </c>
      <c r="E1001" s="70" t="s">
        <v>28</v>
      </c>
      <c r="F1001" s="70" t="s">
        <v>54</v>
      </c>
      <c r="G1001" s="11">
        <v>1.464</v>
      </c>
      <c r="H1001" s="11">
        <v>17.591666666666669</v>
      </c>
      <c r="I1001" s="11">
        <v>6.0711000000000004</v>
      </c>
      <c r="J1001" s="11">
        <v>0.49391999999999997</v>
      </c>
      <c r="K1001" s="11">
        <f>I1001/J1001</f>
        <v>12.291666666666668</v>
      </c>
      <c r="L1001" s="14">
        <v>1.05</v>
      </c>
      <c r="M1001" s="7">
        <f>9.353*EXP(-0.023*H1001-0.622*L1001-0.182*J1001-0.009*K1001)*(I1001/(I1001+0.567))</f>
        <v>2.4307124505797844</v>
      </c>
      <c r="N1001" s="7">
        <f>LN(M1001)/10</f>
        <v>8.8818440391980918E-2</v>
      </c>
      <c r="O1001" s="11">
        <f>4.3573*EXP(-1.002*M1001)</f>
        <v>0.38147068371294673</v>
      </c>
      <c r="P1001" s="10"/>
      <c r="Q1001" s="149">
        <v>40492</v>
      </c>
      <c r="R1001" s="13"/>
      <c r="S1001" s="25"/>
      <c r="T1001" s="13"/>
      <c r="U1001" s="13"/>
      <c r="V1001" s="13"/>
      <c r="W1001" s="13" t="s">
        <v>120</v>
      </c>
    </row>
    <row r="1002" spans="1:23" x14ac:dyDescent="0.25">
      <c r="B1002" s="8"/>
      <c r="C1002" s="9"/>
      <c r="D1002" s="9"/>
      <c r="E1002" s="8"/>
      <c r="F1002" s="8"/>
      <c r="G1002" s="9"/>
      <c r="H1002" s="9"/>
      <c r="I1002" s="9"/>
      <c r="J1002" s="9"/>
      <c r="K1002" s="9"/>
      <c r="L1002" s="32"/>
      <c r="M1002" s="8"/>
      <c r="N1002" s="8"/>
      <c r="O1002" s="18"/>
      <c r="P1002" s="118">
        <v>2.4212990704998678E-2</v>
      </c>
      <c r="Q1002" s="151">
        <f t="shared" ref="Q1002:Q1013" si="25">Q1001+(P1002-P1001)*365</f>
        <v>40500.837741607327</v>
      </c>
      <c r="R1002" s="127">
        <v>0.4367112552148576</v>
      </c>
      <c r="S1002" s="72">
        <v>13.805174525413349</v>
      </c>
      <c r="T1002" s="127">
        <v>0.2380517452541335</v>
      </c>
      <c r="U1002" s="15">
        <v>0.77715879985196701</v>
      </c>
      <c r="V1002" s="15"/>
      <c r="W1002" s="15"/>
    </row>
    <row r="1003" spans="1:23" x14ac:dyDescent="0.25">
      <c r="B1003" s="8"/>
      <c r="C1003" s="9"/>
      <c r="D1003" s="9"/>
      <c r="E1003" s="8"/>
      <c r="F1003" s="8"/>
      <c r="G1003" s="9"/>
      <c r="H1003" s="9"/>
      <c r="I1003" s="9"/>
      <c r="J1003" s="9"/>
      <c r="K1003" s="9"/>
      <c r="L1003" s="32"/>
      <c r="M1003" s="8"/>
      <c r="N1003" s="9"/>
      <c r="O1003" s="9"/>
      <c r="P1003" s="118">
        <v>6.9837929737036467E-2</v>
      </c>
      <c r="Q1003" s="151">
        <f t="shared" si="25"/>
        <v>40517.490844354019</v>
      </c>
      <c r="R1003" s="127">
        <v>0.39611110853045656</v>
      </c>
      <c r="S1003" s="72">
        <v>11.642375995101041</v>
      </c>
      <c r="T1003" s="127">
        <v>0.2164237599510104</v>
      </c>
      <c r="U1003" s="15">
        <v>0.96211035263042932</v>
      </c>
      <c r="V1003" s="15"/>
      <c r="W1003" s="15"/>
    </row>
    <row r="1004" spans="1:23" x14ac:dyDescent="0.25">
      <c r="B1004" s="8"/>
      <c r="C1004" s="9"/>
      <c r="D1004" s="9"/>
      <c r="E1004" s="8"/>
      <c r="F1004" s="8"/>
      <c r="G1004" s="9"/>
      <c r="H1004" s="9"/>
      <c r="I1004" s="9"/>
      <c r="J1004" s="9"/>
      <c r="K1004" s="9"/>
      <c r="L1004" s="32"/>
      <c r="M1004" s="9"/>
      <c r="N1004" s="9"/>
      <c r="O1004" s="9"/>
      <c r="P1004" s="118">
        <v>0.18704274028344878</v>
      </c>
      <c r="Q1004" s="151">
        <f t="shared" si="25"/>
        <v>40560.270600203461</v>
      </c>
      <c r="R1004" s="127">
        <v>0.11809720086730635</v>
      </c>
      <c r="S1004" s="72">
        <v>0.41215554194733622</v>
      </c>
      <c r="T1004" s="127">
        <v>0.10412155541947338</v>
      </c>
      <c r="U1004" s="15">
        <v>1.6649397837968951</v>
      </c>
      <c r="V1004" s="15"/>
      <c r="W1004" s="15"/>
    </row>
    <row r="1005" spans="1:23" x14ac:dyDescent="0.25">
      <c r="B1005" s="8"/>
      <c r="C1005" s="9"/>
      <c r="D1005" s="9"/>
      <c r="E1005" s="8"/>
      <c r="F1005" s="8"/>
      <c r="G1005" s="9"/>
      <c r="H1005" s="9"/>
      <c r="I1005" s="9"/>
      <c r="J1005" s="9"/>
      <c r="K1005" s="9"/>
      <c r="L1005" s="32"/>
      <c r="M1005" s="9"/>
      <c r="N1005" s="9"/>
      <c r="O1005" s="9"/>
      <c r="P1005" s="118">
        <v>0.31750024387184883</v>
      </c>
      <c r="Q1005" s="151">
        <f t="shared" si="25"/>
        <v>40607.887589013226</v>
      </c>
      <c r="R1005" s="127">
        <v>0.15196829098221257</v>
      </c>
      <c r="S1005" s="72">
        <v>6.0447336191059406</v>
      </c>
      <c r="T1005" s="127">
        <v>0.16044733619105941</v>
      </c>
      <c r="U1005" s="15">
        <v>3.065513048993211</v>
      </c>
      <c r="V1005" s="15"/>
      <c r="W1005" s="15"/>
    </row>
    <row r="1006" spans="1:23" x14ac:dyDescent="0.25">
      <c r="B1006" s="8"/>
      <c r="C1006" s="9"/>
      <c r="D1006" s="9"/>
      <c r="E1006" s="8"/>
      <c r="F1006" s="8"/>
      <c r="G1006" s="9"/>
      <c r="H1006" s="9"/>
      <c r="I1006" s="9"/>
      <c r="J1006" s="9"/>
      <c r="K1006" s="9"/>
      <c r="L1006" s="32"/>
      <c r="M1006" s="9"/>
      <c r="N1006" s="9"/>
      <c r="O1006" s="9"/>
      <c r="P1006" s="118">
        <v>0.39590852715338842</v>
      </c>
      <c r="Q1006" s="151">
        <f t="shared" si="25"/>
        <v>40636.506612410987</v>
      </c>
      <c r="R1006" s="127">
        <v>0.37172392364772416</v>
      </c>
      <c r="S1006" s="72">
        <v>10.392620943049602</v>
      </c>
      <c r="T1006" s="127">
        <v>0.203926209430496</v>
      </c>
      <c r="U1006" s="15">
        <v>4.4242311651932402</v>
      </c>
      <c r="V1006" s="15"/>
      <c r="W1006" s="15"/>
    </row>
    <row r="1007" spans="1:23" x14ac:dyDescent="0.25">
      <c r="B1007" s="8"/>
      <c r="C1007" s="9"/>
      <c r="D1007" s="9"/>
      <c r="E1007" s="8"/>
      <c r="F1007" s="8"/>
      <c r="G1007" s="9"/>
      <c r="H1007" s="9"/>
      <c r="I1007" s="9"/>
      <c r="J1007" s="9"/>
      <c r="K1007" s="9"/>
      <c r="L1007" s="32"/>
      <c r="M1007" s="9"/>
      <c r="N1007" s="9"/>
      <c r="O1007" s="9"/>
      <c r="P1007" s="118">
        <v>0.48743014813472874</v>
      </c>
      <c r="Q1007" s="151">
        <f t="shared" si="25"/>
        <v>40669.912004069178</v>
      </c>
      <c r="R1007" s="127">
        <v>0.69562186805320059</v>
      </c>
      <c r="S1007" s="72">
        <v>17.104562155541949</v>
      </c>
      <c r="T1007" s="127">
        <v>0.2710456215554195</v>
      </c>
      <c r="U1007" s="15">
        <v>2.0761178745863798</v>
      </c>
      <c r="V1007" s="15"/>
      <c r="W1007" s="15"/>
    </row>
    <row r="1008" spans="1:23" x14ac:dyDescent="0.25">
      <c r="B1008" s="8"/>
      <c r="C1008" s="9"/>
      <c r="D1008" s="9"/>
      <c r="E1008" s="8"/>
      <c r="F1008" s="8"/>
      <c r="G1008" s="9"/>
      <c r="H1008" s="9"/>
      <c r="I1008" s="9"/>
      <c r="J1008" s="9"/>
      <c r="K1008" s="9"/>
      <c r="L1008" s="32"/>
      <c r="M1008" s="9"/>
      <c r="N1008" s="9"/>
      <c r="O1008" s="9"/>
      <c r="P1008" s="118">
        <v>0.57477110885045779</v>
      </c>
      <c r="Q1008" s="151">
        <f t="shared" si="25"/>
        <v>40701.791454730417</v>
      </c>
      <c r="R1008" s="127">
        <v>1.2687207127974141</v>
      </c>
      <c r="S1008" s="72">
        <v>22.436650336803432</v>
      </c>
      <c r="T1008" s="127">
        <v>0.3243665033680343</v>
      </c>
      <c r="U1008" s="15">
        <v>0.55663903047596608</v>
      </c>
      <c r="V1008" s="15"/>
      <c r="W1008" s="15"/>
    </row>
    <row r="1009" spans="1:23" x14ac:dyDescent="0.25">
      <c r="B1009" s="8"/>
      <c r="C1009" s="9"/>
      <c r="D1009" s="9"/>
      <c r="E1009" s="8"/>
      <c r="F1009" s="8"/>
      <c r="G1009" s="9"/>
      <c r="H1009" s="9"/>
      <c r="I1009" s="9"/>
      <c r="J1009" s="9"/>
      <c r="K1009" s="9"/>
      <c r="L1009" s="32"/>
      <c r="M1009" s="9"/>
      <c r="N1009" s="9"/>
      <c r="O1009" s="9"/>
      <c r="P1009" s="118">
        <v>0.65574353042823896</v>
      </c>
      <c r="Q1009" s="151">
        <f t="shared" si="25"/>
        <v>40731.346388606311</v>
      </c>
      <c r="R1009" s="127">
        <v>2.0702010278230683</v>
      </c>
      <c r="S1009" s="72">
        <v>25.501132884262095</v>
      </c>
      <c r="T1009" s="127">
        <v>0.35501132884262093</v>
      </c>
      <c r="U1009" s="15">
        <v>1.6035980670086025</v>
      </c>
      <c r="V1009" s="15"/>
      <c r="W1009" s="15"/>
    </row>
    <row r="1010" spans="1:23" x14ac:dyDescent="0.25">
      <c r="B1010" s="8"/>
      <c r="C1010" s="9"/>
      <c r="D1010" s="9"/>
      <c r="E1010" s="8"/>
      <c r="F1010" s="8"/>
      <c r="G1010" s="9"/>
      <c r="H1010" s="9"/>
      <c r="I1010" s="9"/>
      <c r="J1010" s="9"/>
      <c r="K1010" s="9"/>
      <c r="L1010" s="32"/>
      <c r="M1010" s="9"/>
      <c r="N1010" s="9"/>
      <c r="O1010" s="9"/>
      <c r="P1010" s="118">
        <v>0.739147702727184</v>
      </c>
      <c r="Q1010" s="151">
        <f t="shared" si="25"/>
        <v>40761.788911495423</v>
      </c>
      <c r="R1010" s="127">
        <v>3.2560504734726781</v>
      </c>
      <c r="S1010" s="72">
        <v>28.664849969381507</v>
      </c>
      <c r="T1010" s="127">
        <v>0.3866484996938151</v>
      </c>
      <c r="U1010" s="15">
        <v>4.7688941165553871</v>
      </c>
      <c r="V1010" s="15"/>
      <c r="W1010" s="15"/>
    </row>
    <row r="1011" spans="1:23" x14ac:dyDescent="0.25">
      <c r="B1011" s="8"/>
      <c r="C1011" s="9"/>
      <c r="D1011" s="9"/>
      <c r="E1011" s="8"/>
      <c r="F1011" s="8"/>
      <c r="G1011" s="9"/>
      <c r="H1011" s="9"/>
      <c r="I1011" s="9"/>
      <c r="J1011" s="9"/>
      <c r="K1011" s="9"/>
      <c r="L1011" s="32"/>
      <c r="M1011" s="9"/>
      <c r="N1011" s="9"/>
      <c r="O1011" s="9"/>
      <c r="P1011" s="118">
        <v>0.8408283281539598</v>
      </c>
      <c r="Q1011" s="151">
        <f t="shared" si="25"/>
        <v>40798.902339776199</v>
      </c>
      <c r="R1011" s="127">
        <v>2.5206865263513212</v>
      </c>
      <c r="S1011" s="72">
        <v>24.336466625842007</v>
      </c>
      <c r="T1011" s="127">
        <v>0.34336466625842005</v>
      </c>
      <c r="U1011" s="15">
        <v>3.9734554292261364</v>
      </c>
      <c r="V1011" s="15"/>
      <c r="W1011" s="15"/>
    </row>
    <row r="1012" spans="1:23" x14ac:dyDescent="0.25">
      <c r="B1012" s="8"/>
      <c r="C1012" s="9"/>
      <c r="D1012" s="9"/>
      <c r="E1012" s="8"/>
      <c r="F1012" s="8"/>
      <c r="G1012" s="9"/>
      <c r="H1012" s="9"/>
      <c r="I1012" s="9"/>
      <c r="J1012" s="9"/>
      <c r="K1012" s="9"/>
      <c r="L1012" s="32"/>
      <c r="M1012" s="9"/>
      <c r="N1012" s="9"/>
      <c r="O1012" s="9"/>
      <c r="P1012" s="118">
        <v>0.93568054181357041</v>
      </c>
      <c r="Q1012" s="151">
        <f t="shared" si="25"/>
        <v>40833.523397761957</v>
      </c>
      <c r="R1012" s="127">
        <v>1.3281531855857029</v>
      </c>
      <c r="S1012" s="72">
        <v>16.754776484996938</v>
      </c>
      <c r="T1012" s="127">
        <v>0.26754776484996939</v>
      </c>
      <c r="U1012" s="15">
        <v>1.4718084506393287</v>
      </c>
      <c r="V1012" s="15"/>
      <c r="W1012" s="15"/>
    </row>
    <row r="1013" spans="1:23" x14ac:dyDescent="0.25">
      <c r="B1013" s="8"/>
      <c r="C1013" s="9"/>
      <c r="D1013" s="9"/>
      <c r="E1013" s="8"/>
      <c r="F1013" s="8"/>
      <c r="G1013" s="9"/>
      <c r="H1013" s="9"/>
      <c r="I1013" s="9"/>
      <c r="J1013" s="9"/>
      <c r="K1013" s="9"/>
      <c r="L1013" s="32"/>
      <c r="M1013" s="9"/>
      <c r="N1013" s="9"/>
      <c r="O1013" s="9"/>
      <c r="P1013" s="118">
        <v>0.98767401998355608</v>
      </c>
      <c r="Q1013" s="151">
        <f t="shared" si="25"/>
        <v>40852.501017294002</v>
      </c>
      <c r="R1013" s="127">
        <v>1.0591715686198608</v>
      </c>
      <c r="S1013" s="72">
        <v>15.280618493570115</v>
      </c>
      <c r="T1013" s="127">
        <v>0.25280618493570117</v>
      </c>
      <c r="U1013" s="15">
        <v>0.65483775270161571</v>
      </c>
      <c r="V1013" s="15"/>
      <c r="W1013" s="15"/>
    </row>
    <row r="1014" spans="1:23" ht="16.5" x14ac:dyDescent="0.25">
      <c r="A1014" s="6">
        <v>23</v>
      </c>
      <c r="B1014" s="35" t="s">
        <v>67</v>
      </c>
      <c r="C1014" s="44">
        <v>29.683</v>
      </c>
      <c r="D1014" s="44">
        <v>91.35</v>
      </c>
      <c r="E1014" s="33" t="s">
        <v>144</v>
      </c>
      <c r="F1014" s="33" t="s">
        <v>55</v>
      </c>
      <c r="G1014" s="11">
        <v>0.55770000000000008</v>
      </c>
      <c r="H1014" s="11">
        <v>8.3889999999999993</v>
      </c>
      <c r="I1014" s="11">
        <v>2.8670975285823754</v>
      </c>
      <c r="J1014" s="44">
        <v>0.37071571044570112</v>
      </c>
      <c r="K1014" s="44">
        <v>7.7339520494972938</v>
      </c>
      <c r="L1014" s="41">
        <v>1.3118036463046749</v>
      </c>
      <c r="M1014" s="7">
        <f>9.353*EXP(-0.023*H1014-0.622*L1014-0.182*J1014-0.009*K1014)*(I1014/(I1014+0.567))</f>
        <v>2.4825307230943965</v>
      </c>
      <c r="N1014" s="7">
        <f>LN(M1014)/10</f>
        <v>9.092784927294506E-2</v>
      </c>
      <c r="O1014" s="11">
        <f>4.3573*EXP(-1.002*M1014)</f>
        <v>0.36216941294875921</v>
      </c>
      <c r="P1014" s="10"/>
      <c r="Q1014" s="149">
        <v>36432</v>
      </c>
      <c r="R1014" s="13">
        <v>2.6567760942760943</v>
      </c>
      <c r="S1014" s="25">
        <v>13.2</v>
      </c>
      <c r="T1014" s="13">
        <v>0.15939999999999999</v>
      </c>
      <c r="U1014" s="139">
        <v>0.2</v>
      </c>
      <c r="V1014" s="139"/>
      <c r="W1014" s="139" t="s">
        <v>121</v>
      </c>
    </row>
    <row r="1015" spans="1:23" x14ac:dyDescent="0.25">
      <c r="C1015" s="3"/>
      <c r="D1015" s="3"/>
      <c r="G1015" s="3"/>
      <c r="H1015" s="3"/>
      <c r="I1015" s="3"/>
      <c r="J1015" s="3"/>
      <c r="K1015" s="3"/>
      <c r="L1015" s="40"/>
      <c r="O1015" s="4"/>
      <c r="P1015" s="5"/>
      <c r="Q1015" s="150">
        <v>36481</v>
      </c>
      <c r="R1015" s="12">
        <v>0.44718013468013468</v>
      </c>
      <c r="S1015" s="19">
        <v>5.8</v>
      </c>
      <c r="T1015" s="12">
        <v>9.3200000000000005E-2</v>
      </c>
      <c r="U1015" s="12">
        <v>0.3</v>
      </c>
      <c r="V1015" s="12"/>
      <c r="W1015" s="12"/>
    </row>
    <row r="1016" spans="1:23" x14ac:dyDescent="0.25">
      <c r="C1016" s="3"/>
      <c r="D1016" s="3"/>
      <c r="G1016" s="3"/>
      <c r="H1016" s="3"/>
      <c r="I1016" s="3"/>
      <c r="J1016" s="3"/>
      <c r="K1016" s="3"/>
      <c r="L1016" s="40"/>
      <c r="N1016" s="3"/>
      <c r="O1016" s="3"/>
      <c r="P1016" s="5"/>
      <c r="Q1016" s="150">
        <v>36550</v>
      </c>
      <c r="R1016" s="12">
        <v>0.21043771043771045</v>
      </c>
      <c r="S1016" s="19">
        <v>1</v>
      </c>
      <c r="T1016" s="12">
        <v>8.3599999999999994E-2</v>
      </c>
      <c r="U1016" s="12">
        <v>0.4</v>
      </c>
      <c r="V1016" s="12"/>
      <c r="W1016" s="12"/>
    </row>
    <row r="1017" spans="1:23" x14ac:dyDescent="0.25">
      <c r="C1017" s="3"/>
      <c r="D1017" s="3"/>
      <c r="G1017" s="3"/>
      <c r="H1017" s="3"/>
      <c r="I1017" s="3"/>
      <c r="J1017" s="3"/>
      <c r="K1017" s="3"/>
      <c r="L1017" s="40"/>
      <c r="M1017" s="3"/>
      <c r="N1017" s="3"/>
      <c r="O1017" s="3"/>
      <c r="P1017" s="5"/>
      <c r="Q1017" s="150">
        <v>36601</v>
      </c>
      <c r="R1017" s="12">
        <v>0.55239898989898994</v>
      </c>
      <c r="S1017" s="19">
        <v>9.1999999999999993</v>
      </c>
      <c r="T1017" s="12">
        <v>0.17700000000000002</v>
      </c>
      <c r="U1017" s="12">
        <v>0.6</v>
      </c>
      <c r="V1017" s="12"/>
      <c r="W1017" s="12"/>
    </row>
    <row r="1018" spans="1:23" x14ac:dyDescent="0.25">
      <c r="C1018" s="3"/>
      <c r="D1018" s="3"/>
      <c r="G1018" s="3"/>
      <c r="H1018" s="3"/>
      <c r="I1018" s="3"/>
      <c r="J1018" s="3"/>
      <c r="K1018" s="3"/>
      <c r="L1018" s="40"/>
      <c r="M1018" s="3"/>
      <c r="N1018" s="3"/>
      <c r="O1018" s="3"/>
      <c r="P1018" s="5"/>
      <c r="Q1018" s="150">
        <v>36628</v>
      </c>
      <c r="R1018" s="12">
        <v>1.4204545454545456</v>
      </c>
      <c r="S1018" s="19">
        <v>13.3</v>
      </c>
      <c r="T1018" s="12">
        <v>0.1288</v>
      </c>
      <c r="U1018" s="12">
        <v>0.9</v>
      </c>
      <c r="V1018" s="12"/>
      <c r="W1018" s="12"/>
    </row>
    <row r="1019" spans="1:23" x14ac:dyDescent="0.25">
      <c r="C1019" s="3"/>
      <c r="D1019" s="3"/>
      <c r="G1019" s="3"/>
      <c r="H1019" s="3"/>
      <c r="I1019" s="3"/>
      <c r="J1019" s="3"/>
      <c r="K1019" s="3"/>
      <c r="L1019" s="40"/>
      <c r="M1019" s="3"/>
      <c r="N1019" s="3"/>
      <c r="O1019" s="3"/>
      <c r="P1019" s="5"/>
      <c r="Q1019" s="150">
        <v>36656</v>
      </c>
      <c r="R1019" s="12">
        <v>2.3148148148148149</v>
      </c>
      <c r="S1019" s="19">
        <v>12.7</v>
      </c>
      <c r="T1019" s="12">
        <v>0.14319999999999999</v>
      </c>
      <c r="U1019" s="12">
        <v>1.7</v>
      </c>
      <c r="V1019" s="12"/>
      <c r="W1019" s="12"/>
    </row>
    <row r="1020" spans="1:23" x14ac:dyDescent="0.25">
      <c r="C1020" s="3"/>
      <c r="D1020" s="3"/>
      <c r="G1020" s="3"/>
      <c r="H1020" s="3"/>
      <c r="I1020" s="3"/>
      <c r="J1020" s="3"/>
      <c r="K1020" s="3"/>
      <c r="L1020" s="40"/>
      <c r="M1020" s="3"/>
      <c r="N1020" s="3"/>
      <c r="O1020" s="3"/>
      <c r="P1020" s="5"/>
      <c r="Q1020" s="150">
        <v>36676</v>
      </c>
      <c r="R1020" s="12">
        <v>3.3670033670033672</v>
      </c>
      <c r="S1020" s="19">
        <v>18</v>
      </c>
      <c r="T1020" s="12">
        <v>0.12539999999999998</v>
      </c>
      <c r="U1020" s="12">
        <v>3.3</v>
      </c>
      <c r="V1020" s="12"/>
      <c r="W1020" s="12"/>
    </row>
    <row r="1021" spans="1:23" x14ac:dyDescent="0.25">
      <c r="C1021" s="3"/>
      <c r="D1021" s="3"/>
      <c r="G1021" s="3"/>
      <c r="H1021" s="3"/>
      <c r="I1021" s="3"/>
      <c r="J1021" s="3"/>
      <c r="K1021" s="3"/>
      <c r="L1021" s="40"/>
      <c r="M1021" s="3"/>
      <c r="N1021" s="3"/>
      <c r="O1021" s="3"/>
      <c r="P1021" s="5"/>
      <c r="Q1021" s="150">
        <v>36694</v>
      </c>
      <c r="R1021" s="12">
        <v>3.7352693602693607</v>
      </c>
      <c r="S1021" s="19">
        <v>20.7</v>
      </c>
      <c r="T1021" s="12">
        <v>0.1416</v>
      </c>
      <c r="U1021" s="12">
        <v>4.0999999999999996</v>
      </c>
      <c r="V1021" s="12"/>
      <c r="W1021" s="12"/>
    </row>
    <row r="1022" spans="1:23" x14ac:dyDescent="0.25">
      <c r="C1022" s="3"/>
      <c r="D1022" s="3"/>
      <c r="G1022" s="3"/>
      <c r="H1022" s="3"/>
      <c r="I1022" s="3"/>
      <c r="J1022" s="3"/>
      <c r="K1022" s="3"/>
      <c r="L1022" s="40"/>
      <c r="M1022" s="3"/>
      <c r="N1022" s="3"/>
      <c r="O1022" s="3"/>
      <c r="P1022" s="5"/>
      <c r="Q1022" s="150">
        <v>36720</v>
      </c>
      <c r="R1022" s="12">
        <v>2.8935185185185182</v>
      </c>
      <c r="S1022" s="19">
        <v>22.6</v>
      </c>
      <c r="T1022" s="12">
        <v>0.1416</v>
      </c>
      <c r="U1022" s="12">
        <v>3.2</v>
      </c>
      <c r="V1022" s="12"/>
      <c r="W1022" s="12"/>
    </row>
    <row r="1023" spans="1:23" x14ac:dyDescent="0.25">
      <c r="C1023" s="3"/>
      <c r="D1023" s="3"/>
      <c r="G1023" s="3"/>
      <c r="H1023" s="3"/>
      <c r="I1023" s="3"/>
      <c r="J1023" s="3"/>
      <c r="K1023" s="3"/>
      <c r="L1023" s="40"/>
      <c r="M1023" s="3"/>
      <c r="N1023" s="3"/>
      <c r="O1023" s="3"/>
      <c r="P1023" s="5"/>
      <c r="Q1023" s="150">
        <v>36745</v>
      </c>
      <c r="R1023" s="12">
        <v>2.5252525252525251</v>
      </c>
      <c r="S1023" s="19">
        <v>19.2</v>
      </c>
      <c r="T1023" s="12">
        <v>0.15939999999999999</v>
      </c>
      <c r="U1023" s="12">
        <v>1.6</v>
      </c>
      <c r="V1023" s="12"/>
      <c r="W1023" s="12"/>
    </row>
    <row r="1024" spans="1:23" x14ac:dyDescent="0.25">
      <c r="C1024" s="3"/>
      <c r="D1024" s="3"/>
      <c r="G1024" s="3"/>
      <c r="H1024" s="3"/>
      <c r="I1024" s="3"/>
      <c r="J1024" s="3"/>
      <c r="K1024" s="3"/>
      <c r="L1024" s="40"/>
      <c r="M1024" s="3"/>
      <c r="N1024" s="3"/>
      <c r="O1024" s="3"/>
      <c r="P1024" s="5"/>
      <c r="Q1024" s="150">
        <v>36761</v>
      </c>
      <c r="R1024" s="12">
        <v>1.2626262626262625</v>
      </c>
      <c r="S1024" s="19">
        <v>18</v>
      </c>
      <c r="T1024" s="12">
        <v>0.14960000000000001</v>
      </c>
      <c r="U1024" s="12">
        <v>0.5</v>
      </c>
      <c r="V1024" s="12"/>
      <c r="W1024" s="12"/>
    </row>
    <row r="1025" spans="1:23" x14ac:dyDescent="0.25">
      <c r="A1025" s="6"/>
      <c r="B1025" s="35" t="s">
        <v>67</v>
      </c>
      <c r="C1025" s="44">
        <v>29.683</v>
      </c>
      <c r="D1025" s="44">
        <v>91.35</v>
      </c>
      <c r="E1025" s="33" t="s">
        <v>145</v>
      </c>
      <c r="F1025" s="33" t="s">
        <v>56</v>
      </c>
      <c r="G1025" s="11">
        <v>0.51500000000000001</v>
      </c>
      <c r="H1025" s="11">
        <v>6.9340000000000002</v>
      </c>
      <c r="I1025" s="11">
        <v>2.8670975285823754</v>
      </c>
      <c r="J1025" s="44">
        <v>0.37071571044570112</v>
      </c>
      <c r="K1025" s="44">
        <v>7.7339520494972938</v>
      </c>
      <c r="L1025" s="41">
        <v>1.3118036463046749</v>
      </c>
      <c r="M1025" s="7">
        <f>9.353*EXP(-0.023*H1025-0.622*L1025-0.182*J1025-0.009*K1025)*(I1025/(I1025+0.567))</f>
        <v>2.5670143517275474</v>
      </c>
      <c r="N1025" s="7">
        <f>LN(M1025)/10</f>
        <v>9.4274349272945063E-2</v>
      </c>
      <c r="O1025" s="11">
        <f>4.3573*EXP(-1.002*M1025)</f>
        <v>0.33277264133227935</v>
      </c>
      <c r="P1025" s="10"/>
      <c r="Q1025" s="149">
        <v>36814</v>
      </c>
      <c r="R1025" s="13">
        <v>1.3941498316498315</v>
      </c>
      <c r="S1025" s="25">
        <v>14.2</v>
      </c>
      <c r="T1025" s="13">
        <v>0.14960000000000001</v>
      </c>
      <c r="U1025" s="139">
        <v>0.2</v>
      </c>
      <c r="V1025" s="139"/>
      <c r="W1025" s="139"/>
    </row>
    <row r="1026" spans="1:23" x14ac:dyDescent="0.25">
      <c r="C1026" s="3"/>
      <c r="D1026" s="3"/>
      <c r="G1026" s="3"/>
      <c r="H1026" s="3"/>
      <c r="I1026" s="3"/>
      <c r="J1026" s="3"/>
      <c r="K1026" s="3"/>
      <c r="L1026" s="40"/>
      <c r="O1026" s="4"/>
      <c r="P1026" s="5"/>
      <c r="Q1026" s="150">
        <v>36858</v>
      </c>
      <c r="R1026" s="12">
        <v>0.28935185185185186</v>
      </c>
      <c r="S1026" s="19">
        <v>5.0999999999999996</v>
      </c>
      <c r="T1026" s="12">
        <v>9.3200000000000005E-2</v>
      </c>
      <c r="U1026" s="12">
        <v>0.4</v>
      </c>
      <c r="V1026" s="12"/>
      <c r="W1026" s="12"/>
    </row>
    <row r="1027" spans="1:23" x14ac:dyDescent="0.25">
      <c r="C1027" s="3"/>
      <c r="D1027" s="3"/>
      <c r="G1027" s="3"/>
      <c r="H1027" s="3"/>
      <c r="I1027" s="3"/>
      <c r="J1027" s="3"/>
      <c r="K1027" s="3"/>
      <c r="L1027" s="40"/>
      <c r="N1027" s="3"/>
      <c r="O1027" s="3"/>
      <c r="P1027" s="5"/>
      <c r="Q1027" s="150">
        <v>36920</v>
      </c>
      <c r="R1027" s="12">
        <v>0.31565656565656564</v>
      </c>
      <c r="S1027" s="19">
        <v>3.3</v>
      </c>
      <c r="T1027" s="12">
        <v>8.3599999999999994E-2</v>
      </c>
      <c r="U1027" s="12">
        <v>1</v>
      </c>
      <c r="V1027" s="12"/>
      <c r="W1027" s="12"/>
    </row>
    <row r="1028" spans="1:23" x14ac:dyDescent="0.25">
      <c r="C1028" s="3"/>
      <c r="D1028" s="3"/>
      <c r="G1028" s="3"/>
      <c r="H1028" s="3"/>
      <c r="I1028" s="3"/>
      <c r="J1028" s="3"/>
      <c r="K1028" s="3"/>
      <c r="L1028" s="40"/>
      <c r="M1028" s="3"/>
      <c r="N1028" s="3"/>
      <c r="O1028" s="3"/>
      <c r="P1028" s="5"/>
      <c r="Q1028" s="150">
        <v>36966</v>
      </c>
      <c r="R1028" s="12">
        <v>0.52609427609427606</v>
      </c>
      <c r="S1028" s="19">
        <v>9.3000000000000007</v>
      </c>
      <c r="T1028" s="12">
        <v>0.1094</v>
      </c>
      <c r="U1028" s="12">
        <v>1.5</v>
      </c>
      <c r="V1028" s="12"/>
      <c r="W1028" s="12"/>
    </row>
    <row r="1029" spans="1:23" x14ac:dyDescent="0.25">
      <c r="C1029" s="3"/>
      <c r="D1029" s="3"/>
      <c r="G1029" s="3"/>
      <c r="H1029" s="3"/>
      <c r="I1029" s="3"/>
      <c r="J1029" s="3"/>
      <c r="K1029" s="3"/>
      <c r="L1029" s="40"/>
      <c r="M1029" s="3"/>
      <c r="N1029" s="3"/>
      <c r="O1029" s="3"/>
      <c r="P1029" s="5"/>
      <c r="Q1029" s="150">
        <v>36996</v>
      </c>
      <c r="R1029" s="12">
        <v>0.89436026936026936</v>
      </c>
      <c r="S1029" s="19">
        <v>14.3</v>
      </c>
      <c r="T1029" s="12">
        <v>0.10289999999999999</v>
      </c>
      <c r="U1029" s="12">
        <v>2.7</v>
      </c>
      <c r="V1029" s="12"/>
      <c r="W1029" s="12"/>
    </row>
    <row r="1030" spans="1:23" x14ac:dyDescent="0.25">
      <c r="C1030" s="3"/>
      <c r="D1030" s="3"/>
      <c r="G1030" s="3"/>
      <c r="H1030" s="3"/>
      <c r="I1030" s="3"/>
      <c r="J1030" s="3"/>
      <c r="K1030" s="3"/>
      <c r="L1030" s="40"/>
      <c r="M1030" s="3"/>
      <c r="N1030" s="3"/>
      <c r="O1030" s="3"/>
      <c r="P1030" s="5"/>
      <c r="Q1030" s="150">
        <v>37020</v>
      </c>
      <c r="R1030" s="12">
        <v>2.4726430976430973</v>
      </c>
      <c r="S1030" s="19">
        <v>17.2</v>
      </c>
      <c r="T1030" s="12">
        <v>9.64E-2</v>
      </c>
      <c r="U1030" s="12">
        <v>3.3</v>
      </c>
      <c r="V1030" s="12"/>
      <c r="W1030" s="12"/>
    </row>
    <row r="1031" spans="1:23" x14ac:dyDescent="0.25">
      <c r="C1031" s="3"/>
      <c r="D1031" s="3"/>
      <c r="G1031" s="3"/>
      <c r="H1031" s="3"/>
      <c r="I1031" s="3"/>
      <c r="J1031" s="3"/>
      <c r="K1031" s="3"/>
      <c r="L1031" s="40"/>
      <c r="M1031" s="3"/>
      <c r="N1031" s="3"/>
      <c r="O1031" s="3"/>
      <c r="P1031" s="5"/>
      <c r="Q1031" s="150">
        <v>37041</v>
      </c>
      <c r="R1031" s="12">
        <v>2.7356902356902357</v>
      </c>
      <c r="S1031" s="19">
        <v>19</v>
      </c>
      <c r="T1031" s="12">
        <v>0.1142</v>
      </c>
      <c r="U1031" s="12">
        <v>3.9</v>
      </c>
      <c r="V1031" s="12"/>
      <c r="W1031" s="12"/>
    </row>
    <row r="1032" spans="1:23" x14ac:dyDescent="0.25">
      <c r="C1032" s="3"/>
      <c r="D1032" s="3"/>
      <c r="G1032" s="3"/>
      <c r="H1032" s="3"/>
      <c r="I1032" s="3"/>
      <c r="J1032" s="3"/>
      <c r="K1032" s="3"/>
      <c r="L1032" s="40"/>
      <c r="M1032" s="3"/>
      <c r="N1032" s="3"/>
      <c r="O1032" s="3"/>
      <c r="P1032" s="5"/>
      <c r="Q1032" s="150">
        <v>37058</v>
      </c>
      <c r="R1032" s="12">
        <v>2.9987373737373741</v>
      </c>
      <c r="S1032" s="19">
        <v>19.2</v>
      </c>
      <c r="T1032" s="12">
        <v>0.15620000000000001</v>
      </c>
      <c r="U1032" s="12">
        <v>4</v>
      </c>
      <c r="V1032" s="12"/>
      <c r="W1032" s="12"/>
    </row>
    <row r="1033" spans="1:23" x14ac:dyDescent="0.25">
      <c r="C1033" s="3"/>
      <c r="D1033" s="3"/>
      <c r="G1033" s="3"/>
      <c r="H1033" s="3"/>
      <c r="I1033" s="3"/>
      <c r="J1033" s="3"/>
      <c r="K1033" s="3"/>
      <c r="L1033" s="40"/>
      <c r="M1033" s="3"/>
      <c r="N1033" s="3"/>
      <c r="O1033" s="3"/>
      <c r="P1033" s="5"/>
      <c r="Q1033" s="150">
        <v>37085</v>
      </c>
      <c r="R1033" s="12">
        <v>2.8146043771043767</v>
      </c>
      <c r="S1033" s="19">
        <v>21</v>
      </c>
      <c r="T1033" s="12">
        <v>0.21899999999999997</v>
      </c>
      <c r="U1033" s="12">
        <v>2.5</v>
      </c>
      <c r="V1033" s="12"/>
      <c r="W1033" s="12"/>
    </row>
    <row r="1034" spans="1:23" x14ac:dyDescent="0.25">
      <c r="C1034" s="3"/>
      <c r="D1034" s="3"/>
      <c r="G1034" s="3"/>
      <c r="H1034" s="3"/>
      <c r="I1034" s="3"/>
      <c r="J1034" s="3"/>
      <c r="K1034" s="3"/>
      <c r="L1034" s="40"/>
      <c r="M1034" s="3"/>
      <c r="N1034" s="3"/>
      <c r="O1034" s="3"/>
      <c r="P1034" s="5"/>
      <c r="Q1034" s="150">
        <v>37114</v>
      </c>
      <c r="R1034" s="12">
        <v>2.5252525252525251</v>
      </c>
      <c r="S1034" s="19">
        <v>21.3</v>
      </c>
      <c r="T1034" s="12">
        <v>0.14480000000000001</v>
      </c>
      <c r="U1034" s="12">
        <v>1</v>
      </c>
      <c r="V1034" s="12"/>
      <c r="W1034" s="12"/>
    </row>
    <row r="1035" spans="1:23" x14ac:dyDescent="0.25">
      <c r="B1035" s="8"/>
      <c r="C1035" s="9"/>
      <c r="D1035" s="9"/>
      <c r="E1035" s="8"/>
      <c r="F1035" s="8"/>
      <c r="G1035" s="9"/>
      <c r="H1035" s="9"/>
      <c r="I1035" s="9"/>
      <c r="J1035" s="9"/>
      <c r="K1035" s="9"/>
      <c r="L1035" s="32"/>
      <c r="M1035" s="9"/>
      <c r="N1035" s="9"/>
      <c r="O1035" s="9"/>
      <c r="P1035" s="22"/>
      <c r="Q1035" s="151">
        <v>37131</v>
      </c>
      <c r="R1035" s="15">
        <v>1.6571969696969697</v>
      </c>
      <c r="S1035" s="26">
        <v>19.2</v>
      </c>
      <c r="T1035" s="15">
        <v>0.1288</v>
      </c>
      <c r="U1035" s="15">
        <v>0.5</v>
      </c>
      <c r="V1035" s="15"/>
      <c r="W1035" s="15"/>
    </row>
    <row r="1036" spans="1:23" ht="16.5" x14ac:dyDescent="0.3">
      <c r="A1036" s="6">
        <v>24</v>
      </c>
      <c r="B1036" s="6" t="s">
        <v>6</v>
      </c>
      <c r="C1036" s="44">
        <v>29.667000000000002</v>
      </c>
      <c r="D1036" s="44">
        <v>114.242</v>
      </c>
      <c r="E1036" s="33" t="s">
        <v>161</v>
      </c>
      <c r="F1036" s="33" t="s">
        <v>57</v>
      </c>
      <c r="G1036" s="11">
        <v>1.1961999999999999</v>
      </c>
      <c r="H1036" s="11">
        <v>17.600000000000001</v>
      </c>
      <c r="I1036" s="11">
        <v>1.2415620000000001</v>
      </c>
      <c r="J1036" s="11">
        <v>0.45805200000000001</v>
      </c>
      <c r="K1036" s="11">
        <f>I1036/J1036</f>
        <v>2.7105263157894739</v>
      </c>
      <c r="L1036" s="14">
        <v>1.23</v>
      </c>
      <c r="M1036" s="7">
        <f>9.353*EXP(-0.023*H1036-0.622*L1036-0.182*J1036-0.009*K1036)*(I1036/(I1036+0.567))</f>
        <v>1.7894622514642278</v>
      </c>
      <c r="N1036" s="7">
        <f>LN(M1036)/10</f>
        <v>5.8191515654167449E-2</v>
      </c>
      <c r="O1036" s="11">
        <f>4.3573*EXP(-1.002*M1036)</f>
        <v>0.72528646612044911</v>
      </c>
      <c r="P1036" s="66">
        <v>-3.0848954642731887E-3</v>
      </c>
      <c r="Q1036" s="149">
        <v>38182</v>
      </c>
      <c r="R1036" s="66">
        <v>3.9</v>
      </c>
      <c r="S1036" s="65">
        <v>26.881106267849088</v>
      </c>
      <c r="T1036" s="66">
        <v>0.31228651347626496</v>
      </c>
      <c r="U1036" s="13">
        <v>2.0349149836032936</v>
      </c>
      <c r="V1036" s="13"/>
      <c r="W1036" s="13" t="s">
        <v>122</v>
      </c>
    </row>
    <row r="1037" spans="1:23" x14ac:dyDescent="0.25">
      <c r="B1037" s="8"/>
      <c r="C1037" s="9"/>
      <c r="D1037" s="9"/>
      <c r="E1037" s="8"/>
      <c r="F1037" s="8"/>
      <c r="G1037" s="9"/>
      <c r="H1037" s="9"/>
      <c r="I1037" s="9"/>
      <c r="J1037" s="9"/>
      <c r="K1037" s="9"/>
      <c r="L1037" s="32"/>
      <c r="M1037" s="8"/>
      <c r="N1037" s="8"/>
      <c r="O1037" s="18"/>
      <c r="P1037" s="119">
        <v>2.7775988395257897E-2</v>
      </c>
      <c r="Q1037" s="151">
        <f t="shared" ref="Q1037:Q1069" si="26">Q1036+(P1037-P1036)*365*3.01</f>
        <v>38215.905310052272</v>
      </c>
      <c r="R1037" s="68">
        <v>4.2</v>
      </c>
      <c r="S1037" s="67">
        <v>28.661076635674561</v>
      </c>
      <c r="T1037" s="68">
        <v>0.33296500545202534</v>
      </c>
      <c r="U1037" s="15">
        <v>6.8502756284572435</v>
      </c>
      <c r="V1037" s="15"/>
      <c r="W1037" s="15"/>
    </row>
    <row r="1038" spans="1:23" x14ac:dyDescent="0.25">
      <c r="B1038" s="8"/>
      <c r="C1038" s="9"/>
      <c r="D1038" s="9"/>
      <c r="E1038" s="8"/>
      <c r="F1038" s="8"/>
      <c r="G1038" s="9"/>
      <c r="H1038" s="9"/>
      <c r="I1038" s="9"/>
      <c r="J1038" s="9"/>
      <c r="K1038" s="9"/>
      <c r="L1038" s="32"/>
      <c r="M1038" s="8"/>
      <c r="N1038" s="9"/>
      <c r="O1038" s="9"/>
      <c r="P1038" s="119">
        <v>4.9437060259245741E-2</v>
      </c>
      <c r="Q1038" s="151">
        <f t="shared" si="26"/>
        <v>38239.703246655641</v>
      </c>
      <c r="R1038" s="68">
        <v>2.1884312473392935</v>
      </c>
      <c r="S1038" s="67">
        <v>23.808378604711088</v>
      </c>
      <c r="T1038" s="68">
        <v>0.276589641508941</v>
      </c>
      <c r="U1038" s="15">
        <v>4.3553531900128695</v>
      </c>
      <c r="V1038" s="15"/>
      <c r="W1038" s="15"/>
    </row>
    <row r="1039" spans="1:23" x14ac:dyDescent="0.25">
      <c r="B1039" s="8"/>
      <c r="C1039" s="9"/>
      <c r="D1039" s="9"/>
      <c r="E1039" s="8"/>
      <c r="F1039" s="8"/>
      <c r="G1039" s="9"/>
      <c r="H1039" s="9"/>
      <c r="I1039" s="9"/>
      <c r="J1039" s="9"/>
      <c r="K1039" s="9"/>
      <c r="L1039" s="32"/>
      <c r="M1039" s="9"/>
      <c r="N1039" s="9"/>
      <c r="O1039" s="9"/>
      <c r="P1039" s="119">
        <v>8.107572905408468E-2</v>
      </c>
      <c r="Q1039" s="151">
        <f t="shared" si="26"/>
        <v>38274.463070127094</v>
      </c>
      <c r="R1039" s="68">
        <v>0.79156023839931888</v>
      </c>
      <c r="S1039" s="67">
        <v>19.193704236542054</v>
      </c>
      <c r="T1039" s="68">
        <v>0.22297947550965663</v>
      </c>
      <c r="U1039" s="15">
        <v>1.6068581998561251</v>
      </c>
      <c r="V1039" s="15"/>
      <c r="W1039" s="15"/>
    </row>
    <row r="1040" spans="1:23" x14ac:dyDescent="0.25">
      <c r="B1040" s="8"/>
      <c r="C1040" s="9"/>
      <c r="D1040" s="9"/>
      <c r="E1040" s="8"/>
      <c r="F1040" s="8"/>
      <c r="G1040" s="9"/>
      <c r="H1040" s="9"/>
      <c r="I1040" s="9"/>
      <c r="J1040" s="9"/>
      <c r="K1040" s="9"/>
      <c r="L1040" s="32"/>
      <c r="M1040" s="9"/>
      <c r="N1040" s="9"/>
      <c r="O1040" s="9"/>
      <c r="P1040" s="119">
        <v>0.11004463912926261</v>
      </c>
      <c r="Q1040" s="151">
        <f t="shared" si="26"/>
        <v>38306.289763181187</v>
      </c>
      <c r="R1040" s="68">
        <v>1.3503086419753085</v>
      </c>
      <c r="S1040" s="67">
        <v>17.065555817998327</v>
      </c>
      <c r="T1040" s="68">
        <v>0.19825608640636189</v>
      </c>
      <c r="U1040" s="15">
        <v>1.0279096535506218</v>
      </c>
      <c r="V1040" s="15"/>
      <c r="W1040" s="15"/>
    </row>
    <row r="1041" spans="2:23" x14ac:dyDescent="0.25">
      <c r="B1041" s="8"/>
      <c r="C1041" s="9"/>
      <c r="D1041" s="9"/>
      <c r="E1041" s="8"/>
      <c r="F1041" s="8"/>
      <c r="G1041" s="9"/>
      <c r="H1041" s="9"/>
      <c r="I1041" s="9"/>
      <c r="J1041" s="9"/>
      <c r="K1041" s="9"/>
      <c r="L1041" s="32"/>
      <c r="M1041" s="9"/>
      <c r="N1041" s="9"/>
      <c r="O1041" s="9"/>
      <c r="P1041" s="119">
        <v>0.14354903743149647</v>
      </c>
      <c r="Q1041" s="151">
        <f t="shared" si="26"/>
        <v>38343.099370375938</v>
      </c>
      <c r="R1041" s="68">
        <v>1.3968710089399747</v>
      </c>
      <c r="S1041" s="67">
        <v>15.056365549376221</v>
      </c>
      <c r="T1041" s="68">
        <v>0.17491467263988739</v>
      </c>
      <c r="U1041" s="15">
        <v>0.96819886550295831</v>
      </c>
      <c r="V1041" s="15"/>
      <c r="W1041" s="15"/>
    </row>
    <row r="1042" spans="2:23" x14ac:dyDescent="0.25">
      <c r="B1042" s="8"/>
      <c r="C1042" s="9"/>
      <c r="D1042" s="9"/>
      <c r="E1042" s="8"/>
      <c r="F1042" s="8"/>
      <c r="G1042" s="9"/>
      <c r="H1042" s="9"/>
      <c r="I1042" s="9"/>
      <c r="J1042" s="9"/>
      <c r="K1042" s="9"/>
      <c r="L1042" s="32"/>
      <c r="M1042" s="9"/>
      <c r="N1042" s="9"/>
      <c r="O1042" s="9"/>
      <c r="P1042" s="119">
        <v>0.17509943002202133</v>
      </c>
      <c r="Q1042" s="151">
        <f t="shared" si="26"/>
        <v>38377.76220919552</v>
      </c>
      <c r="R1042" s="68">
        <v>0.23281183482332909</v>
      </c>
      <c r="S1042" s="67">
        <v>6.0601017800777308</v>
      </c>
      <c r="T1042" s="68">
        <v>7.0402164157777794E-2</v>
      </c>
      <c r="U1042" s="15">
        <v>0.74061275084898692</v>
      </c>
      <c r="V1042" s="15"/>
      <c r="W1042" s="15"/>
    </row>
    <row r="1043" spans="2:23" x14ac:dyDescent="0.25">
      <c r="B1043" s="8"/>
      <c r="C1043" s="9"/>
      <c r="D1043" s="9"/>
      <c r="E1043" s="8"/>
      <c r="F1043" s="8"/>
      <c r="G1043" s="9"/>
      <c r="H1043" s="9"/>
      <c r="I1043" s="9"/>
      <c r="J1043" s="9"/>
      <c r="K1043" s="9"/>
      <c r="L1043" s="32"/>
      <c r="M1043" s="9"/>
      <c r="N1043" s="9"/>
      <c r="O1043" s="9"/>
      <c r="P1043" s="119">
        <v>0.19143291366348633</v>
      </c>
      <c r="Q1043" s="151">
        <f t="shared" si="26"/>
        <v>38395.706990998216</v>
      </c>
      <c r="R1043" s="68">
        <v>0.69843550446998737</v>
      </c>
      <c r="S1043" s="67">
        <v>6.7725623241931672</v>
      </c>
      <c r="T1043" s="68">
        <v>7.8679048936784138E-2</v>
      </c>
      <c r="U1043" s="15">
        <v>0.75649731965348166</v>
      </c>
      <c r="V1043" s="15"/>
      <c r="W1043" s="15"/>
    </row>
    <row r="1044" spans="2:23" x14ac:dyDescent="0.25">
      <c r="B1044" s="8"/>
      <c r="C1044" s="9"/>
      <c r="D1044" s="9"/>
      <c r="E1044" s="8"/>
      <c r="F1044" s="8"/>
      <c r="G1044" s="9"/>
      <c r="H1044" s="9"/>
      <c r="I1044" s="9"/>
      <c r="J1044" s="9"/>
      <c r="K1044" s="9"/>
      <c r="L1044" s="32"/>
      <c r="M1044" s="9"/>
      <c r="N1044" s="9"/>
      <c r="O1044" s="9"/>
      <c r="P1044" s="119">
        <v>0.22048771409961851</v>
      </c>
      <c r="Q1044" s="151">
        <f t="shared" si="26"/>
        <v>38427.628047497376</v>
      </c>
      <c r="R1044" s="68">
        <v>1.024372073222648</v>
      </c>
      <c r="S1044" s="67">
        <v>8.9075819716132365</v>
      </c>
      <c r="T1044" s="68">
        <v>0.10348226333029235</v>
      </c>
      <c r="U1044" s="15">
        <v>0.80616783393406999</v>
      </c>
      <c r="V1044" s="15"/>
      <c r="W1044" s="15"/>
    </row>
    <row r="1045" spans="2:23" x14ac:dyDescent="0.25">
      <c r="B1045" s="8"/>
      <c r="C1045" s="9"/>
      <c r="D1045" s="9"/>
      <c r="E1045" s="8"/>
      <c r="F1045" s="8"/>
      <c r="G1045" s="9"/>
      <c r="H1045" s="9"/>
      <c r="I1045" s="9"/>
      <c r="J1045" s="9"/>
      <c r="K1045" s="9"/>
      <c r="L1045" s="32"/>
      <c r="M1045" s="9"/>
      <c r="N1045" s="9"/>
      <c r="O1045" s="9"/>
      <c r="P1045" s="119">
        <v>0.25676446238598649</v>
      </c>
      <c r="Q1045" s="151">
        <f t="shared" si="26"/>
        <v>38467.483497002191</v>
      </c>
      <c r="R1045" s="68">
        <v>1.1640591741166453</v>
      </c>
      <c r="S1045" s="67">
        <v>9.5039831654892541</v>
      </c>
      <c r="T1045" s="68">
        <v>0.11041084906678726</v>
      </c>
      <c r="U1045" s="15">
        <v>3.5279795044466749</v>
      </c>
      <c r="V1045" s="15"/>
      <c r="W1045" s="15"/>
    </row>
    <row r="1046" spans="2:23" x14ac:dyDescent="0.25">
      <c r="B1046" s="8"/>
      <c r="C1046" s="9"/>
      <c r="D1046" s="9"/>
      <c r="E1046" s="8"/>
      <c r="F1046" s="8"/>
      <c r="G1046" s="9"/>
      <c r="H1046" s="9"/>
      <c r="I1046" s="9"/>
      <c r="J1046" s="9"/>
      <c r="K1046" s="9"/>
      <c r="L1046" s="32"/>
      <c r="M1046" s="9"/>
      <c r="N1046" s="9"/>
      <c r="O1046" s="9"/>
      <c r="P1046" s="119">
        <v>0.27780521497641592</v>
      </c>
      <c r="Q1046" s="151">
        <f t="shared" si="26"/>
        <v>38490.599919835666</v>
      </c>
      <c r="R1046" s="68">
        <v>1.7228075776926348</v>
      </c>
      <c r="S1046" s="67">
        <v>18.861737991453907</v>
      </c>
      <c r="T1046" s="68">
        <v>0.21912291617621965</v>
      </c>
      <c r="U1046" s="15">
        <v>1.2071218519023414</v>
      </c>
      <c r="V1046" s="15"/>
      <c r="W1046" s="15"/>
    </row>
    <row r="1047" spans="2:23" x14ac:dyDescent="0.25">
      <c r="B1047" s="8"/>
      <c r="C1047" s="9"/>
      <c r="D1047" s="9"/>
      <c r="E1047" s="8"/>
      <c r="F1047" s="8"/>
      <c r="G1047" s="9"/>
      <c r="H1047" s="9"/>
      <c r="I1047" s="9"/>
      <c r="J1047" s="9"/>
      <c r="K1047" s="9"/>
      <c r="L1047" s="32"/>
      <c r="M1047" s="9"/>
      <c r="N1047" s="9"/>
      <c r="O1047" s="9"/>
      <c r="P1047" s="119">
        <v>0.31416546778037835</v>
      </c>
      <c r="Q1047" s="151">
        <f t="shared" si="26"/>
        <v>38530.547111578737</v>
      </c>
      <c r="R1047" s="68">
        <v>2.5609301830566196</v>
      </c>
      <c r="S1047" s="67">
        <v>23.602885916128063</v>
      </c>
      <c r="T1047" s="68">
        <v>0.27420236642349521</v>
      </c>
      <c r="U1047" s="15">
        <v>1.1291087740777741</v>
      </c>
      <c r="V1047" s="15"/>
      <c r="W1047" s="15"/>
    </row>
    <row r="1048" spans="2:23" x14ac:dyDescent="0.25">
      <c r="B1048" s="8"/>
      <c r="C1048" s="9"/>
      <c r="D1048" s="9"/>
      <c r="E1048" s="8"/>
      <c r="F1048" s="8"/>
      <c r="G1048" s="9"/>
      <c r="H1048" s="9"/>
      <c r="I1048" s="9"/>
      <c r="J1048" s="9"/>
      <c r="K1048" s="9"/>
      <c r="L1048" s="32"/>
      <c r="M1048" s="9"/>
      <c r="N1048" s="9"/>
      <c r="O1048" s="9"/>
      <c r="P1048" s="119">
        <v>0.35412834405769922</v>
      </c>
      <c r="Q1048" s="151">
        <f t="shared" si="26"/>
        <v>38574.452325600818</v>
      </c>
      <c r="R1048" s="68">
        <v>2.6074925500212855</v>
      </c>
      <c r="S1048" s="67">
        <v>27.160249940950376</v>
      </c>
      <c r="T1048" s="68">
        <v>0.31552941589118599</v>
      </c>
      <c r="U1048" s="15">
        <v>5.4372169268289197</v>
      </c>
      <c r="V1048" s="15"/>
      <c r="W1048" s="15"/>
    </row>
    <row r="1049" spans="2:23" x14ac:dyDescent="0.25">
      <c r="B1049" s="8"/>
      <c r="C1049" s="9"/>
      <c r="D1049" s="9"/>
      <c r="E1049" s="8"/>
      <c r="F1049" s="8"/>
      <c r="G1049" s="9"/>
      <c r="H1049" s="9"/>
      <c r="I1049" s="9"/>
      <c r="J1049" s="9"/>
      <c r="K1049" s="9"/>
      <c r="L1049" s="32"/>
      <c r="M1049" s="9"/>
      <c r="N1049" s="9"/>
      <c r="O1049" s="9"/>
      <c r="P1049" s="119">
        <v>0.38141284872083009</v>
      </c>
      <c r="Q1049" s="151">
        <f t="shared" si="26"/>
        <v>38604.42844664897</v>
      </c>
      <c r="R1049" s="68">
        <v>2.9799914857386121</v>
      </c>
      <c r="S1049" s="67">
        <v>31.426638895449958</v>
      </c>
      <c r="T1049" s="68">
        <v>0.36509343749277656</v>
      </c>
      <c r="U1049" s="15">
        <v>4.3898218965436326</v>
      </c>
      <c r="V1049" s="15"/>
      <c r="W1049" s="15"/>
    </row>
    <row r="1050" spans="2:23" x14ac:dyDescent="0.25">
      <c r="B1050" s="8"/>
      <c r="C1050" s="9"/>
      <c r="D1050" s="9"/>
      <c r="E1050" s="8"/>
      <c r="F1050" s="8"/>
      <c r="G1050" s="9"/>
      <c r="H1050" s="9"/>
      <c r="I1050" s="9"/>
      <c r="J1050" s="9"/>
      <c r="K1050" s="9"/>
      <c r="L1050" s="32"/>
      <c r="M1050" s="9"/>
      <c r="N1050" s="9"/>
      <c r="O1050" s="9"/>
      <c r="P1050" s="119">
        <v>0.42130176385399593</v>
      </c>
      <c r="Q1050" s="151">
        <f t="shared" si="26"/>
        <v>38648.252403260019</v>
      </c>
      <c r="R1050" s="68">
        <v>2.1884312473392935</v>
      </c>
      <c r="S1050" s="67">
        <v>31.312941530136779</v>
      </c>
      <c r="T1050" s="68">
        <v>0.36377257839377591</v>
      </c>
      <c r="U1050" s="15"/>
      <c r="V1050" s="15"/>
      <c r="W1050" s="15"/>
    </row>
    <row r="1051" spans="2:23" x14ac:dyDescent="0.25">
      <c r="B1051" s="8"/>
      <c r="C1051" s="9"/>
      <c r="D1051" s="9"/>
      <c r="E1051" s="8"/>
      <c r="F1051" s="8"/>
      <c r="G1051" s="9"/>
      <c r="H1051" s="9"/>
      <c r="I1051" s="9"/>
      <c r="J1051" s="9"/>
      <c r="K1051" s="9"/>
      <c r="L1051" s="32"/>
      <c r="M1051" s="9"/>
      <c r="N1051" s="9"/>
      <c r="O1051" s="9"/>
      <c r="P1051" s="119">
        <v>0.45742343232197435</v>
      </c>
      <c r="Q1051" s="151">
        <f t="shared" si="26"/>
        <v>38687.937474322367</v>
      </c>
      <c r="R1051" s="68">
        <v>1.2106215410813113</v>
      </c>
      <c r="S1051" s="67">
        <v>24.211955938244831</v>
      </c>
      <c r="T1051" s="68">
        <v>0.28127813003882113</v>
      </c>
      <c r="U1051" s="15">
        <v>1.2717418487040335</v>
      </c>
      <c r="V1051" s="15"/>
      <c r="W1051" s="15"/>
    </row>
    <row r="1052" spans="2:23" x14ac:dyDescent="0.25">
      <c r="B1052" s="8"/>
      <c r="C1052" s="9"/>
      <c r="D1052" s="9"/>
      <c r="E1052" s="8"/>
      <c r="F1052" s="8"/>
      <c r="G1052" s="9"/>
      <c r="H1052" s="9"/>
      <c r="I1052" s="9"/>
      <c r="J1052" s="9"/>
      <c r="K1052" s="9"/>
      <c r="L1052" s="32"/>
      <c r="M1052" s="9"/>
      <c r="N1052" s="9"/>
      <c r="O1052" s="9"/>
      <c r="P1052" s="119">
        <v>0.49080853845621619</v>
      </c>
      <c r="Q1052" s="151">
        <f t="shared" si="26"/>
        <v>38724.616021176749</v>
      </c>
      <c r="R1052" s="68">
        <v>0.83812260536398464</v>
      </c>
      <c r="S1052" s="67">
        <v>16.281698911339674</v>
      </c>
      <c r="T1052" s="68">
        <v>0.18914976697123151</v>
      </c>
      <c r="U1052" s="15">
        <v>1.0041883317673541</v>
      </c>
      <c r="V1052" s="15"/>
      <c r="W1052" s="15"/>
    </row>
    <row r="1053" spans="2:23" x14ac:dyDescent="0.25">
      <c r="B1053" s="8"/>
      <c r="C1053" s="9"/>
      <c r="D1053" s="9"/>
      <c r="E1053" s="8"/>
      <c r="F1053" s="8"/>
      <c r="G1053" s="9"/>
      <c r="H1053" s="9"/>
      <c r="I1053" s="9"/>
      <c r="J1053" s="9"/>
      <c r="K1053" s="9"/>
      <c r="L1053" s="32"/>
      <c r="M1053" s="9"/>
      <c r="N1053" s="9"/>
      <c r="O1053" s="9"/>
      <c r="P1053" s="119">
        <v>0.52429385001157136</v>
      </c>
      <c r="Q1053" s="151">
        <f t="shared" si="26"/>
        <v>38761.404658717038</v>
      </c>
      <c r="R1053" s="68">
        <v>0.55874840357598987</v>
      </c>
      <c r="S1053" s="67">
        <v>13.325137961392283</v>
      </c>
      <c r="T1053" s="68">
        <v>0.15480244131657858</v>
      </c>
      <c r="U1053" s="15">
        <v>0.91953835481079804</v>
      </c>
      <c r="V1053" s="15"/>
      <c r="W1053" s="15"/>
    </row>
    <row r="1054" spans="2:23" x14ac:dyDescent="0.25">
      <c r="B1054" s="8"/>
      <c r="C1054" s="9"/>
      <c r="D1054" s="9"/>
      <c r="E1054" s="8"/>
      <c r="F1054" s="8"/>
      <c r="G1054" s="9"/>
      <c r="H1054" s="9"/>
      <c r="I1054" s="9"/>
      <c r="J1054" s="9"/>
      <c r="K1054" s="9"/>
      <c r="L1054" s="32"/>
      <c r="M1054" s="9"/>
      <c r="N1054" s="9"/>
      <c r="O1054" s="9"/>
      <c r="P1054" s="119">
        <v>0.54954800197547826</v>
      </c>
      <c r="Q1054" s="151">
        <f t="shared" si="26"/>
        <v>38789.150132772185</v>
      </c>
      <c r="R1054" s="68">
        <v>0.41906130268199232</v>
      </c>
      <c r="S1054" s="67">
        <v>6.8149706899143245</v>
      </c>
      <c r="T1054" s="68">
        <v>7.9171720649820254E-2</v>
      </c>
      <c r="U1054" s="15">
        <v>0.75745350134667122</v>
      </c>
      <c r="V1054" s="15"/>
      <c r="W1054" s="15"/>
    </row>
    <row r="1055" spans="2:23" x14ac:dyDescent="0.25">
      <c r="B1055" s="8"/>
      <c r="C1055" s="9"/>
      <c r="D1055" s="9"/>
      <c r="E1055" s="8"/>
      <c r="F1055" s="8"/>
      <c r="G1055" s="9"/>
      <c r="H1055" s="9"/>
      <c r="I1055" s="9"/>
      <c r="J1055" s="9"/>
      <c r="K1055" s="9"/>
      <c r="L1055" s="32"/>
      <c r="M1055" s="9"/>
      <c r="N1055" s="9"/>
      <c r="O1055" s="9"/>
      <c r="P1055" s="119">
        <v>0.58494198821870547</v>
      </c>
      <c r="Q1055" s="151">
        <f t="shared" si="26"/>
        <v>38828.035735758305</v>
      </c>
      <c r="R1055" s="68">
        <v>0.69843550446998737</v>
      </c>
      <c r="S1055" s="67">
        <v>8.5954778724957599</v>
      </c>
      <c r="T1055" s="68">
        <v>9.9856448976378631E-2</v>
      </c>
      <c r="U1055" s="15">
        <v>4.3365504793141723</v>
      </c>
      <c r="V1055" s="15"/>
      <c r="W1055" s="15"/>
    </row>
    <row r="1056" spans="2:23" x14ac:dyDescent="0.25">
      <c r="B1056" s="8"/>
      <c r="C1056" s="9"/>
      <c r="D1056" s="9"/>
      <c r="E1056" s="8"/>
      <c r="F1056" s="8"/>
      <c r="G1056" s="9"/>
      <c r="H1056" s="9"/>
      <c r="I1056" s="9"/>
      <c r="J1056" s="9"/>
      <c r="K1056" s="9"/>
      <c r="L1056" s="32"/>
      <c r="M1056" s="9"/>
      <c r="N1056" s="9"/>
      <c r="O1056" s="9"/>
      <c r="P1056" s="119">
        <v>0.5977420378442474</v>
      </c>
      <c r="Q1056" s="151">
        <f t="shared" si="26"/>
        <v>38842.098510279407</v>
      </c>
      <c r="R1056" s="68">
        <v>1.3503086419753085</v>
      </c>
      <c r="S1056" s="67">
        <v>13.925941036267204</v>
      </c>
      <c r="T1056" s="68">
        <v>0.16178216512961646</v>
      </c>
      <c r="U1056" s="15">
        <v>2.2583552610352386</v>
      </c>
      <c r="V1056" s="15"/>
      <c r="W1056" s="15"/>
    </row>
    <row r="1057" spans="1:23" x14ac:dyDescent="0.25">
      <c r="B1057" s="8"/>
      <c r="C1057" s="9"/>
      <c r="D1057" s="9"/>
      <c r="E1057" s="8"/>
      <c r="F1057" s="8"/>
      <c r="G1057" s="9"/>
      <c r="H1057" s="9"/>
      <c r="I1057" s="9"/>
      <c r="J1057" s="9"/>
      <c r="K1057" s="9"/>
      <c r="L1057" s="32"/>
      <c r="M1057" s="9"/>
      <c r="N1057" s="9"/>
      <c r="O1057" s="9"/>
      <c r="P1057" s="119">
        <v>0.61776642116338498</v>
      </c>
      <c r="Q1057" s="151">
        <f t="shared" si="26"/>
        <v>38864.098299012978</v>
      </c>
      <c r="R1057" s="68">
        <v>1.6296828437633035</v>
      </c>
      <c r="S1057" s="67">
        <v>17.836207081660259</v>
      </c>
      <c r="T1057" s="68">
        <v>0.20720899161186335</v>
      </c>
      <c r="U1057" s="15"/>
      <c r="V1057" s="15"/>
      <c r="W1057" s="15"/>
    </row>
    <row r="1058" spans="1:23" x14ac:dyDescent="0.25">
      <c r="B1058" s="8"/>
      <c r="C1058" s="9"/>
      <c r="D1058" s="9"/>
      <c r="E1058" s="8"/>
      <c r="F1058" s="8"/>
      <c r="G1058" s="9"/>
      <c r="H1058" s="9"/>
      <c r="I1058" s="9"/>
      <c r="J1058" s="9"/>
      <c r="K1058" s="9"/>
      <c r="L1058" s="32"/>
      <c r="M1058" s="9"/>
      <c r="N1058" s="9"/>
      <c r="O1058" s="9"/>
      <c r="P1058" s="119">
        <v>0.66310221668706559</v>
      </c>
      <c r="Q1058" s="151">
        <f t="shared" si="26"/>
        <v>38913.906470765069</v>
      </c>
      <c r="R1058" s="68">
        <v>1.769369944657301</v>
      </c>
      <c r="S1058" s="67">
        <v>18.078417899551223</v>
      </c>
      <c r="T1058" s="68">
        <v>0.21002283309188718</v>
      </c>
      <c r="U1058" s="15">
        <v>2.1786536317585026</v>
      </c>
      <c r="V1058" s="15"/>
      <c r="W1058" s="15"/>
    </row>
    <row r="1059" spans="1:23" x14ac:dyDescent="0.25">
      <c r="B1059" s="8"/>
      <c r="C1059" s="9"/>
      <c r="D1059" s="9"/>
      <c r="E1059" s="8"/>
      <c r="F1059" s="8"/>
      <c r="G1059" s="9"/>
      <c r="H1059" s="9"/>
      <c r="I1059" s="9"/>
      <c r="J1059" s="9"/>
      <c r="K1059" s="9"/>
      <c r="L1059" s="32"/>
      <c r="M1059" s="9"/>
      <c r="N1059" s="9"/>
      <c r="O1059" s="9"/>
      <c r="P1059" s="119">
        <v>0.67864121448970394</v>
      </c>
      <c r="Q1059" s="151">
        <f t="shared" si="26"/>
        <v>38930.978390700941</v>
      </c>
      <c r="R1059" s="68">
        <v>2.1418688803746275</v>
      </c>
      <c r="S1059" s="67">
        <v>24.356573833501535</v>
      </c>
      <c r="T1059" s="68">
        <v>0.28295820294378221</v>
      </c>
      <c r="U1059" s="15">
        <v>4.0144256289199882</v>
      </c>
      <c r="V1059" s="15"/>
      <c r="W1059" s="15"/>
    </row>
    <row r="1060" spans="1:23" x14ac:dyDescent="0.25">
      <c r="B1060" s="8"/>
      <c r="C1060" s="9"/>
      <c r="D1060" s="9"/>
      <c r="E1060" s="8"/>
      <c r="F1060" s="8"/>
      <c r="G1060" s="9"/>
      <c r="H1060" s="9"/>
      <c r="I1060" s="9"/>
      <c r="J1060" s="9"/>
      <c r="K1060" s="9"/>
      <c r="L1060" s="32"/>
      <c r="M1060" s="9"/>
      <c r="N1060" s="9"/>
      <c r="O1060" s="9"/>
      <c r="P1060" s="119">
        <v>0.71769747029028552</v>
      </c>
      <c r="Q1060" s="151">
        <f t="shared" si="26"/>
        <v>38973.887546136248</v>
      </c>
      <c r="R1060" s="68">
        <v>2.3746807151979561</v>
      </c>
      <c r="S1060" s="67">
        <v>27.913830495372657</v>
      </c>
      <c r="T1060" s="68">
        <v>0.3242840051413135</v>
      </c>
      <c r="U1060" s="15">
        <v>3.8627305982015523</v>
      </c>
      <c r="V1060" s="15"/>
      <c r="W1060" s="15"/>
    </row>
    <row r="1061" spans="1:23" x14ac:dyDescent="0.25">
      <c r="B1061" s="8"/>
      <c r="C1061" s="9"/>
      <c r="D1061" s="9"/>
      <c r="E1061" s="8"/>
      <c r="F1061" s="8"/>
      <c r="G1061" s="9"/>
      <c r="H1061" s="9"/>
      <c r="I1061" s="9"/>
      <c r="J1061" s="9"/>
      <c r="K1061" s="9"/>
      <c r="L1061" s="32"/>
      <c r="M1061" s="9"/>
      <c r="N1061" s="9"/>
      <c r="O1061" s="9"/>
      <c r="P1061" s="119">
        <v>0.7432784827944906</v>
      </c>
      <c r="Q1061" s="151">
        <f t="shared" si="26"/>
        <v>39001.99212552399</v>
      </c>
      <c r="R1061" s="68">
        <v>2.8868667518092805</v>
      </c>
      <c r="S1061" s="67">
        <v>37.627386141590264</v>
      </c>
      <c r="T1061" s="68">
        <v>0.43712952555961077</v>
      </c>
      <c r="U1061" s="15">
        <v>1.7248889737221271</v>
      </c>
      <c r="V1061" s="15"/>
      <c r="W1061" s="15"/>
    </row>
    <row r="1062" spans="1:23" x14ac:dyDescent="0.25">
      <c r="B1062" s="8"/>
      <c r="C1062" s="9"/>
      <c r="D1062" s="9"/>
      <c r="E1062" s="8"/>
      <c r="F1062" s="8"/>
      <c r="G1062" s="9"/>
      <c r="H1062" s="9"/>
      <c r="I1062" s="9"/>
      <c r="J1062" s="9"/>
      <c r="K1062" s="9"/>
      <c r="L1062" s="32"/>
      <c r="M1062" s="9"/>
      <c r="N1062" s="9"/>
      <c r="O1062" s="9"/>
      <c r="P1062" s="119">
        <v>0.77660871453145619</v>
      </c>
      <c r="Q1062" s="151">
        <f t="shared" si="26"/>
        <v>39038.61038462181</v>
      </c>
      <c r="R1062" s="68">
        <v>2.1884312473392935</v>
      </c>
      <c r="S1062" s="67">
        <v>26.973438405874901</v>
      </c>
      <c r="T1062" s="68">
        <v>0.31335916581350809</v>
      </c>
      <c r="U1062" s="15">
        <v>1.3807682716028749</v>
      </c>
      <c r="V1062" s="15"/>
      <c r="W1062" s="15"/>
    </row>
    <row r="1063" spans="1:23" x14ac:dyDescent="0.25">
      <c r="B1063" s="8"/>
      <c r="C1063" s="9"/>
      <c r="D1063" s="9"/>
      <c r="E1063" s="8"/>
      <c r="F1063" s="8"/>
      <c r="G1063" s="9"/>
      <c r="H1063" s="9"/>
      <c r="I1063" s="9"/>
      <c r="J1063" s="9"/>
      <c r="K1063" s="9"/>
      <c r="L1063" s="32"/>
      <c r="M1063" s="9"/>
      <c r="N1063" s="9"/>
      <c r="O1063" s="9"/>
      <c r="P1063" s="119">
        <v>0.83358742565115629</v>
      </c>
      <c r="Q1063" s="151">
        <f t="shared" si="26"/>
        <v>39101.210045593471</v>
      </c>
      <c r="R1063" s="68">
        <v>1.9090570455512985</v>
      </c>
      <c r="S1063" s="67">
        <v>20.111764832191707</v>
      </c>
      <c r="T1063" s="68">
        <v>0.23364488264426836</v>
      </c>
      <c r="U1063" s="15">
        <v>1.1255374019199074</v>
      </c>
      <c r="V1063" s="15"/>
      <c r="W1063" s="15"/>
    </row>
    <row r="1064" spans="1:23" x14ac:dyDescent="0.25">
      <c r="B1064" s="8"/>
      <c r="C1064" s="9"/>
      <c r="D1064" s="9"/>
      <c r="E1064" s="8"/>
      <c r="F1064" s="8"/>
      <c r="G1064" s="9"/>
      <c r="H1064" s="9"/>
      <c r="I1064" s="9"/>
      <c r="J1064" s="9"/>
      <c r="K1064" s="9"/>
      <c r="L1064" s="32"/>
      <c r="M1064" s="9"/>
      <c r="N1064" s="9"/>
      <c r="O1064" s="9"/>
      <c r="P1064" s="119">
        <v>0.85265747162635785</v>
      </c>
      <c r="Q1064" s="151">
        <f t="shared" si="26"/>
        <v>39122.161351604125</v>
      </c>
      <c r="R1064" s="68">
        <v>0.69843550446998737</v>
      </c>
      <c r="S1064" s="67">
        <v>21.653496811320348</v>
      </c>
      <c r="T1064" s="68">
        <v>0.25155568213590956</v>
      </c>
      <c r="U1064" s="15">
        <v>1.1784289004309827</v>
      </c>
      <c r="V1064" s="15"/>
      <c r="W1064" s="15"/>
    </row>
    <row r="1065" spans="1:23" x14ac:dyDescent="0.25">
      <c r="B1065" s="8"/>
      <c r="C1065" s="9"/>
      <c r="D1065" s="9"/>
      <c r="E1065" s="8"/>
      <c r="F1065" s="8"/>
      <c r="G1065" s="9"/>
      <c r="H1065" s="9"/>
      <c r="I1065" s="9"/>
      <c r="J1065" s="9"/>
      <c r="K1065" s="9"/>
      <c r="L1065" s="32"/>
      <c r="M1065" s="9"/>
      <c r="N1065" s="9"/>
      <c r="O1065" s="9"/>
      <c r="P1065" s="119">
        <v>0.87145314561517773</v>
      </c>
      <c r="Q1065" s="151">
        <f t="shared" si="26"/>
        <v>39142.811218831943</v>
      </c>
      <c r="R1065" s="68">
        <v>0.83812260536398464</v>
      </c>
      <c r="S1065" s="67">
        <v>9.5767752463979736</v>
      </c>
      <c r="T1065" s="68">
        <v>0.11125649823498591</v>
      </c>
      <c r="U1065" s="15">
        <v>0.82239787630960215</v>
      </c>
      <c r="V1065" s="15"/>
      <c r="W1065" s="15"/>
    </row>
    <row r="1066" spans="1:23" x14ac:dyDescent="0.25">
      <c r="B1066" s="8"/>
      <c r="C1066" s="9"/>
      <c r="D1066" s="9"/>
      <c r="E1066" s="8"/>
      <c r="F1066" s="8"/>
      <c r="G1066" s="9"/>
      <c r="H1066" s="9"/>
      <c r="I1066" s="9"/>
      <c r="J1066" s="9"/>
      <c r="K1066" s="9"/>
      <c r="L1066" s="32"/>
      <c r="M1066" s="9"/>
      <c r="N1066" s="9"/>
      <c r="O1066" s="9"/>
      <c r="P1066" s="119">
        <v>0.9022329108004743</v>
      </c>
      <c r="Q1066" s="151">
        <f t="shared" si="26"/>
        <v>39176.627407852771</v>
      </c>
      <c r="R1066" s="68">
        <v>0.74499787143465301</v>
      </c>
      <c r="S1066" s="67">
        <v>7.3304202185909695</v>
      </c>
      <c r="T1066" s="68">
        <v>8.515986468598806E-2</v>
      </c>
      <c r="U1066" s="15">
        <v>0.76917241691972749</v>
      </c>
      <c r="V1066" s="15"/>
      <c r="W1066" s="15"/>
    </row>
    <row r="1067" spans="1:23" x14ac:dyDescent="0.25">
      <c r="B1067" s="8"/>
      <c r="C1067" s="9"/>
      <c r="D1067" s="9"/>
      <c r="E1067" s="8"/>
      <c r="F1067" s="8"/>
      <c r="G1067" s="9"/>
      <c r="H1067" s="9"/>
      <c r="I1067" s="9"/>
      <c r="J1067" s="9"/>
      <c r="K1067" s="9"/>
      <c r="L1067" s="32"/>
      <c r="M1067" s="9"/>
      <c r="N1067" s="9"/>
      <c r="O1067" s="9"/>
      <c r="P1067" s="119">
        <v>0.91404044958832276</v>
      </c>
      <c r="Q1067" s="151">
        <f t="shared" si="26"/>
        <v>39189.59976034204</v>
      </c>
      <c r="R1067" s="68">
        <v>1.0709344401873138</v>
      </c>
      <c r="S1067" s="67">
        <v>8.3976079534474248</v>
      </c>
      <c r="T1067" s="68">
        <v>9.7557730072263371E-2</v>
      </c>
      <c r="U1067" s="15">
        <v>5.0859980880623397</v>
      </c>
      <c r="V1067" s="15"/>
      <c r="W1067" s="15"/>
    </row>
    <row r="1068" spans="1:23" x14ac:dyDescent="0.25">
      <c r="B1068" s="8"/>
      <c r="C1068" s="9"/>
      <c r="D1068" s="9"/>
      <c r="E1068" s="8"/>
      <c r="F1068" s="8"/>
      <c r="G1068" s="9"/>
      <c r="H1068" s="9"/>
      <c r="I1068" s="9"/>
      <c r="J1068" s="9"/>
      <c r="K1068" s="9"/>
      <c r="L1068" s="32"/>
      <c r="M1068" s="9"/>
      <c r="N1068" s="9"/>
      <c r="O1068" s="9"/>
      <c r="P1068" s="119">
        <v>0.97131023359792334</v>
      </c>
      <c r="Q1068" s="151">
        <f t="shared" si="26"/>
        <v>39252.519208544189</v>
      </c>
      <c r="R1068" s="68">
        <v>1.257183908045977</v>
      </c>
      <c r="S1068" s="67">
        <v>15.983337269974877</v>
      </c>
      <c r="T1068" s="68">
        <v>0.18568360319774466</v>
      </c>
      <c r="U1068" s="15">
        <v>0.84706642599111326</v>
      </c>
      <c r="V1068" s="15"/>
      <c r="W1068" s="15"/>
    </row>
    <row r="1069" spans="1:23" x14ac:dyDescent="0.25">
      <c r="B1069" s="8"/>
      <c r="C1069" s="9"/>
      <c r="D1069" s="9"/>
      <c r="E1069" s="8"/>
      <c r="F1069" s="8"/>
      <c r="G1069" s="9"/>
      <c r="H1069" s="9"/>
      <c r="I1069" s="9"/>
      <c r="J1069" s="9"/>
      <c r="K1069" s="9"/>
      <c r="L1069" s="32"/>
      <c r="M1069" s="9"/>
      <c r="N1069" s="9"/>
      <c r="O1069" s="9"/>
      <c r="P1069" s="119">
        <v>1.00507230298302</v>
      </c>
      <c r="Q1069" s="151">
        <f t="shared" si="26"/>
        <v>39289.611906074126</v>
      </c>
      <c r="R1069" s="68">
        <v>1.3503086419753085</v>
      </c>
      <c r="S1069" s="67">
        <v>26.763651199244162</v>
      </c>
      <c r="T1069" s="68">
        <v>0.31092199992167896</v>
      </c>
      <c r="U1069" s="15">
        <v>3.1962219898627322</v>
      </c>
      <c r="V1069" s="15"/>
      <c r="W1069" s="15"/>
    </row>
    <row r="1070" spans="1:23" ht="16.5" x14ac:dyDescent="0.3">
      <c r="A1070" s="6">
        <v>25</v>
      </c>
      <c r="B1070" s="33" t="s">
        <v>66</v>
      </c>
      <c r="C1070" s="44">
        <v>28.257999999999999</v>
      </c>
      <c r="D1070" s="44">
        <v>116.925</v>
      </c>
      <c r="E1070" s="33" t="s">
        <v>29</v>
      </c>
      <c r="F1070" s="33" t="s">
        <v>58</v>
      </c>
      <c r="G1070" s="11">
        <v>1.5782</v>
      </c>
      <c r="H1070" s="11">
        <v>18.099999999999998</v>
      </c>
      <c r="I1070" s="11">
        <v>1.6719192</v>
      </c>
      <c r="J1070" s="11">
        <v>0.12594960000000002</v>
      </c>
      <c r="K1070" s="11">
        <f>I1070/J1070</f>
        <v>13.274509803921566</v>
      </c>
      <c r="L1070" s="14">
        <v>1.26</v>
      </c>
      <c r="M1070" s="7">
        <f>9.353*EXP(-0.023*H1070-0.622*L1070-0.182*J1070-0.009*K1070)*(I1070/(I1070+0.567))</f>
        <v>1.8244209896079326</v>
      </c>
      <c r="N1070" s="7">
        <f>LN(M1070)/10</f>
        <v>6.0126267072670381E-2</v>
      </c>
      <c r="O1070" s="11">
        <f>4.3573*EXP(-1.002*M1070)</f>
        <v>0.70032047161937327</v>
      </c>
      <c r="P1070" s="10"/>
      <c r="Q1070" s="149">
        <v>36373</v>
      </c>
      <c r="R1070" s="13">
        <v>2.2937710437710441</v>
      </c>
      <c r="S1070" s="25">
        <f>35*0.878993</f>
        <v>30.764755000000001</v>
      </c>
      <c r="T1070" s="16">
        <v>0.25634682718489299</v>
      </c>
      <c r="U1070" s="13">
        <v>4.1877525682282828</v>
      </c>
      <c r="V1070" s="13"/>
      <c r="W1070" s="13" t="s">
        <v>168</v>
      </c>
    </row>
    <row r="1071" spans="1:23" x14ac:dyDescent="0.25">
      <c r="B1071" s="8"/>
      <c r="C1071" s="9"/>
      <c r="D1071" s="9"/>
      <c r="E1071" s="8"/>
      <c r="F1071" s="8"/>
      <c r="G1071" s="9"/>
      <c r="H1071" s="9"/>
      <c r="I1071" s="9"/>
      <c r="J1071" s="9"/>
      <c r="K1071" s="9"/>
      <c r="L1071" s="32"/>
      <c r="M1071" s="8"/>
      <c r="N1071" s="8"/>
      <c r="O1071" s="18"/>
      <c r="P1071" s="22">
        <v>3.6299999999999999E-2</v>
      </c>
      <c r="Q1071" s="151">
        <f t="shared" ref="Q1071:Q1096" si="27">Q1070+(P1071-P1070)*365</f>
        <v>36386.249499999998</v>
      </c>
      <c r="R1071" s="15">
        <v>2.4158249158249157</v>
      </c>
      <c r="S1071" s="26">
        <f>35*0.857923</f>
        <v>30.027304999999998</v>
      </c>
      <c r="T1071" s="20">
        <v>0.22190060984062396</v>
      </c>
      <c r="U1071" s="15">
        <v>6.8515401925852935</v>
      </c>
      <c r="V1071" s="15"/>
      <c r="W1071" s="15"/>
    </row>
    <row r="1072" spans="1:23" x14ac:dyDescent="0.25">
      <c r="B1072" s="8"/>
      <c r="C1072" s="9"/>
      <c r="D1072" s="9"/>
      <c r="E1072" s="8"/>
      <c r="F1072" s="8"/>
      <c r="G1072" s="9"/>
      <c r="H1072" s="9"/>
      <c r="I1072" s="9"/>
      <c r="J1072" s="9"/>
      <c r="K1072" s="9"/>
      <c r="L1072" s="32"/>
      <c r="M1072" s="8"/>
      <c r="N1072" s="9"/>
      <c r="O1072" s="9"/>
      <c r="P1072" s="22">
        <v>7.3999999999999996E-2</v>
      </c>
      <c r="Q1072" s="151">
        <f t="shared" si="27"/>
        <v>36400.009999999995</v>
      </c>
      <c r="R1072" s="15">
        <v>2.3274410774410779</v>
      </c>
      <c r="S1072" s="26">
        <f>35*0.822604</f>
        <v>28.791139999999999</v>
      </c>
      <c r="T1072" s="20">
        <v>0.1907408902807767</v>
      </c>
      <c r="U1072" s="15">
        <v>5.7215567521070207</v>
      </c>
      <c r="V1072" s="15"/>
      <c r="W1072" s="15"/>
    </row>
    <row r="1073" spans="2:23" x14ac:dyDescent="0.25">
      <c r="B1073" s="8"/>
      <c r="C1073" s="9"/>
      <c r="D1073" s="9"/>
      <c r="E1073" s="8"/>
      <c r="F1073" s="8"/>
      <c r="G1073" s="9"/>
      <c r="H1073" s="9"/>
      <c r="I1073" s="9"/>
      <c r="J1073" s="9"/>
      <c r="K1073" s="9"/>
      <c r="L1073" s="32"/>
      <c r="M1073" s="9"/>
      <c r="N1073" s="9"/>
      <c r="O1073" s="9"/>
      <c r="P1073" s="22">
        <v>0.11</v>
      </c>
      <c r="Q1073" s="151">
        <f t="shared" si="27"/>
        <v>36413.149999999994</v>
      </c>
      <c r="R1073" s="15">
        <v>1.9907407407407403</v>
      </c>
      <c r="S1073" s="26">
        <f>35*0.794389</f>
        <v>27.803615000000001</v>
      </c>
      <c r="T1073" s="20">
        <v>0.1891658517199406</v>
      </c>
      <c r="U1073" s="15">
        <v>3.8691207755843129</v>
      </c>
      <c r="V1073" s="15"/>
      <c r="W1073" s="15"/>
    </row>
    <row r="1074" spans="2:23" x14ac:dyDescent="0.25">
      <c r="B1074" s="8"/>
      <c r="C1074" s="9"/>
      <c r="D1074" s="9"/>
      <c r="E1074" s="8"/>
      <c r="F1074" s="8"/>
      <c r="G1074" s="9"/>
      <c r="H1074" s="9"/>
      <c r="I1074" s="9"/>
      <c r="J1074" s="9"/>
      <c r="K1074" s="9"/>
      <c r="L1074" s="32"/>
      <c r="M1074" s="9"/>
      <c r="N1074" s="9"/>
      <c r="O1074" s="9"/>
      <c r="P1074" s="22">
        <v>0.14799999999999999</v>
      </c>
      <c r="Q1074" s="151">
        <f t="shared" si="27"/>
        <v>36427.019999999997</v>
      </c>
      <c r="R1074" s="15">
        <v>1.2794612794612794</v>
      </c>
      <c r="S1074" s="26">
        <f>35*0.73416</f>
        <v>25.695600000000002</v>
      </c>
      <c r="T1074" s="20">
        <v>0.18429191349625107</v>
      </c>
      <c r="U1074" s="15">
        <v>2.5601851092698431</v>
      </c>
      <c r="V1074" s="15"/>
      <c r="W1074" s="15"/>
    </row>
    <row r="1075" spans="2:23" x14ac:dyDescent="0.25">
      <c r="B1075" s="8"/>
      <c r="C1075" s="9"/>
      <c r="D1075" s="9"/>
      <c r="E1075" s="8"/>
      <c r="F1075" s="8"/>
      <c r="G1075" s="9"/>
      <c r="H1075" s="9"/>
      <c r="I1075" s="9"/>
      <c r="J1075" s="9"/>
      <c r="K1075" s="9"/>
      <c r="L1075" s="32"/>
      <c r="M1075" s="9"/>
      <c r="N1075" s="9"/>
      <c r="O1075" s="9"/>
      <c r="P1075" s="22">
        <v>0.186</v>
      </c>
      <c r="Q1075" s="151">
        <f t="shared" si="27"/>
        <v>36440.89</v>
      </c>
      <c r="R1075" s="15">
        <v>0.93013468013468015</v>
      </c>
      <c r="S1075" s="26">
        <f>35*0.5992</f>
        <v>20.971999999999998</v>
      </c>
      <c r="T1075" s="20">
        <v>0.20407290959494018</v>
      </c>
      <c r="U1075" s="15">
        <v>1.6940664750216226</v>
      </c>
      <c r="V1075" s="15"/>
      <c r="W1075" s="15"/>
    </row>
    <row r="1076" spans="2:23" x14ac:dyDescent="0.25">
      <c r="B1076" s="8"/>
      <c r="C1076" s="9"/>
      <c r="D1076" s="9"/>
      <c r="E1076" s="8"/>
      <c r="F1076" s="8"/>
      <c r="G1076" s="9"/>
      <c r="H1076" s="9"/>
      <c r="I1076" s="9"/>
      <c r="J1076" s="9"/>
      <c r="K1076" s="9"/>
      <c r="L1076" s="32"/>
      <c r="M1076" s="9"/>
      <c r="N1076" s="9"/>
      <c r="O1076" s="9"/>
      <c r="P1076" s="22">
        <v>0.23</v>
      </c>
      <c r="Q1076" s="151">
        <f t="shared" si="27"/>
        <v>36456.949999999997</v>
      </c>
      <c r="R1076" s="15">
        <v>0.59764309764309753</v>
      </c>
      <c r="S1076" s="26">
        <f>35*0.453604</f>
        <v>15.876139999999999</v>
      </c>
      <c r="T1076" s="20">
        <v>0.22057360884842353</v>
      </c>
      <c r="U1076" s="15"/>
      <c r="V1076" s="15"/>
      <c r="W1076" s="15"/>
    </row>
    <row r="1077" spans="2:23" x14ac:dyDescent="0.25">
      <c r="B1077" s="8"/>
      <c r="C1077" s="9"/>
      <c r="D1077" s="9"/>
      <c r="E1077" s="8"/>
      <c r="F1077" s="8"/>
      <c r="G1077" s="9"/>
      <c r="H1077" s="9"/>
      <c r="I1077" s="9"/>
      <c r="J1077" s="9"/>
      <c r="K1077" s="9"/>
      <c r="L1077" s="32"/>
      <c r="M1077" s="9"/>
      <c r="N1077" s="9"/>
      <c r="O1077" s="9"/>
      <c r="P1077" s="22">
        <v>0.26400000000000001</v>
      </c>
      <c r="Q1077" s="151">
        <f t="shared" si="27"/>
        <v>36469.360000000001</v>
      </c>
      <c r="R1077" s="15">
        <v>0.5345117845117846</v>
      </c>
      <c r="S1077" s="26">
        <f>35*0.375555</f>
        <v>13.144425000000002</v>
      </c>
      <c r="T1077" s="20">
        <v>0.22063561824058245</v>
      </c>
      <c r="U1077" s="15"/>
      <c r="V1077" s="15"/>
      <c r="W1077" s="15"/>
    </row>
    <row r="1078" spans="2:23" x14ac:dyDescent="0.25">
      <c r="B1078" s="8"/>
      <c r="C1078" s="9"/>
      <c r="D1078" s="9"/>
      <c r="E1078" s="8"/>
      <c r="F1078" s="8"/>
      <c r="G1078" s="9"/>
      <c r="H1078" s="9"/>
      <c r="I1078" s="9"/>
      <c r="J1078" s="9"/>
      <c r="K1078" s="9"/>
      <c r="L1078" s="32"/>
      <c r="M1078" s="9"/>
      <c r="N1078" s="9"/>
      <c r="O1078" s="9"/>
      <c r="P1078" s="22">
        <v>0.30299999999999999</v>
      </c>
      <c r="Q1078" s="151">
        <f t="shared" si="27"/>
        <v>36483.595000000001</v>
      </c>
      <c r="R1078" s="15">
        <v>0.35395622895622891</v>
      </c>
      <c r="S1078" s="26">
        <f>35*0.297546</f>
        <v>10.414109999999999</v>
      </c>
      <c r="T1078" s="20">
        <v>0.22070072810234928</v>
      </c>
      <c r="U1078" s="15">
        <v>0.75134898494960389</v>
      </c>
      <c r="V1078" s="15"/>
      <c r="W1078" s="15"/>
    </row>
    <row r="1079" spans="2:23" x14ac:dyDescent="0.25">
      <c r="B1079" s="8"/>
      <c r="C1079" s="9"/>
      <c r="D1079" s="9"/>
      <c r="E1079" s="8"/>
      <c r="F1079" s="8"/>
      <c r="G1079" s="9"/>
      <c r="H1079" s="9"/>
      <c r="I1079" s="9"/>
      <c r="J1079" s="9"/>
      <c r="K1079" s="9"/>
      <c r="L1079" s="32"/>
      <c r="M1079" s="9"/>
      <c r="N1079" s="9"/>
      <c r="O1079" s="9"/>
      <c r="P1079" s="22">
        <v>0.34300000000000003</v>
      </c>
      <c r="Q1079" s="151">
        <f t="shared" si="27"/>
        <v>36498.195</v>
      </c>
      <c r="R1079" s="15">
        <v>0.3244949494949495</v>
      </c>
      <c r="S1079" s="26">
        <f>35*0.198186</f>
        <v>6.9365100000000002</v>
      </c>
      <c r="T1079" s="20">
        <v>0.27663630029928515</v>
      </c>
      <c r="U1079" s="15">
        <v>0.91308910043271396</v>
      </c>
      <c r="V1079" s="15"/>
      <c r="W1079" s="15"/>
    </row>
    <row r="1080" spans="2:23" x14ac:dyDescent="0.25">
      <c r="B1080" s="8"/>
      <c r="C1080" s="9"/>
      <c r="D1080" s="9"/>
      <c r="E1080" s="8"/>
      <c r="F1080" s="8"/>
      <c r="G1080" s="9"/>
      <c r="H1080" s="9"/>
      <c r="I1080" s="9"/>
      <c r="J1080" s="9"/>
      <c r="K1080" s="9"/>
      <c r="L1080" s="32"/>
      <c r="M1080" s="9"/>
      <c r="N1080" s="9"/>
      <c r="O1080" s="9"/>
      <c r="P1080" s="22">
        <v>0.38300000000000001</v>
      </c>
      <c r="Q1080" s="151">
        <f t="shared" si="27"/>
        <v>36512.794999999998</v>
      </c>
      <c r="R1080" s="15">
        <v>0.30976430976430974</v>
      </c>
      <c r="S1080" s="26">
        <f>35*0.109501</f>
        <v>3.832535</v>
      </c>
      <c r="T1080" s="20">
        <v>0.33256567155700506</v>
      </c>
      <c r="U1080" s="15">
        <v>1.1096464120264229</v>
      </c>
      <c r="V1080" s="15"/>
      <c r="W1080" s="15"/>
    </row>
    <row r="1081" spans="2:23" x14ac:dyDescent="0.25">
      <c r="B1081" s="8"/>
      <c r="C1081" s="9"/>
      <c r="D1081" s="9"/>
      <c r="E1081" s="8"/>
      <c r="F1081" s="8"/>
      <c r="G1081" s="9"/>
      <c r="H1081" s="9"/>
      <c r="I1081" s="9"/>
      <c r="J1081" s="9"/>
      <c r="K1081" s="9"/>
      <c r="L1081" s="32"/>
      <c r="M1081" s="9"/>
      <c r="N1081" s="9"/>
      <c r="O1081" s="9"/>
      <c r="P1081" s="22">
        <v>0.42199999999999999</v>
      </c>
      <c r="Q1081" s="151">
        <f t="shared" si="27"/>
        <v>36527.03</v>
      </c>
      <c r="R1081" s="15">
        <v>0.23442760942760943</v>
      </c>
      <c r="S1081" s="26">
        <f>35*0.138251</f>
        <v>4.8387850000000006</v>
      </c>
      <c r="T1081" s="20">
        <v>0.32112183823408003</v>
      </c>
      <c r="U1081" s="15">
        <v>1.3419591055098059</v>
      </c>
      <c r="V1081" s="15"/>
      <c r="W1081" s="15"/>
    </row>
    <row r="1082" spans="2:23" x14ac:dyDescent="0.25">
      <c r="B1082" s="8"/>
      <c r="C1082" s="9"/>
      <c r="D1082" s="9"/>
      <c r="E1082" s="8"/>
      <c r="F1082" s="8"/>
      <c r="G1082" s="9"/>
      <c r="H1082" s="9"/>
      <c r="I1082" s="9"/>
      <c r="J1082" s="9"/>
      <c r="K1082" s="9"/>
      <c r="L1082" s="32"/>
      <c r="M1082" s="9"/>
      <c r="N1082" s="9"/>
      <c r="O1082" s="9"/>
      <c r="P1082" s="22">
        <v>0.45400000000000001</v>
      </c>
      <c r="Q1082" s="151">
        <f t="shared" si="27"/>
        <v>36538.71</v>
      </c>
      <c r="R1082" s="15">
        <v>0.2045454545454545</v>
      </c>
      <c r="S1082" s="26">
        <f>35*0.170506</f>
        <v>5.9677099999999994</v>
      </c>
      <c r="T1082" s="20">
        <v>0.31297380410440062</v>
      </c>
      <c r="U1082" s="15">
        <v>1.5684708261328038</v>
      </c>
      <c r="V1082" s="15"/>
      <c r="W1082" s="15"/>
    </row>
    <row r="1083" spans="2:23" x14ac:dyDescent="0.25">
      <c r="B1083" s="8"/>
      <c r="C1083" s="9"/>
      <c r="D1083" s="9"/>
      <c r="E1083" s="8"/>
      <c r="F1083" s="8"/>
      <c r="G1083" s="9"/>
      <c r="H1083" s="9"/>
      <c r="I1083" s="9"/>
      <c r="J1083" s="9"/>
      <c r="K1083" s="9"/>
      <c r="L1083" s="32"/>
      <c r="M1083" s="9"/>
      <c r="N1083" s="9"/>
      <c r="O1083" s="9"/>
      <c r="P1083" s="22">
        <v>0.495</v>
      </c>
      <c r="Q1083" s="151">
        <f t="shared" si="27"/>
        <v>36553.674999999996</v>
      </c>
      <c r="R1083" s="15">
        <v>0.29629629629629628</v>
      </c>
      <c r="S1083" s="26">
        <f>35*0.24909</f>
        <v>8.7181499999999996</v>
      </c>
      <c r="T1083" s="20">
        <v>0.31138946413474067</v>
      </c>
      <c r="U1083" s="15">
        <v>1.9154229474232889</v>
      </c>
      <c r="V1083" s="15"/>
      <c r="W1083" s="15"/>
    </row>
    <row r="1084" spans="2:23" x14ac:dyDescent="0.25">
      <c r="B1084" s="8"/>
      <c r="C1084" s="9"/>
      <c r="D1084" s="9"/>
      <c r="E1084" s="8"/>
      <c r="F1084" s="8"/>
      <c r="G1084" s="9"/>
      <c r="H1084" s="9"/>
      <c r="I1084" s="9"/>
      <c r="J1084" s="9"/>
      <c r="K1084" s="9"/>
      <c r="L1084" s="32"/>
      <c r="M1084" s="9"/>
      <c r="N1084" s="9"/>
      <c r="O1084" s="9"/>
      <c r="P1084" s="22">
        <v>0.53300000000000003</v>
      </c>
      <c r="Q1084" s="151">
        <f t="shared" si="27"/>
        <v>36567.544999999998</v>
      </c>
      <c r="R1084" s="15">
        <v>0.60185185185185186</v>
      </c>
      <c r="S1084" s="26">
        <f>35*0.334765</f>
        <v>11.716774999999998</v>
      </c>
      <c r="T1084" s="20">
        <v>0.31474417225053714</v>
      </c>
      <c r="U1084" s="15">
        <v>2.3051679248585115</v>
      </c>
      <c r="V1084" s="15"/>
      <c r="W1084" s="15"/>
    </row>
    <row r="1085" spans="2:23" x14ac:dyDescent="0.25">
      <c r="B1085" s="8"/>
      <c r="C1085" s="9"/>
      <c r="D1085" s="9"/>
      <c r="E1085" s="8"/>
      <c r="F1085" s="8"/>
      <c r="G1085" s="9"/>
      <c r="H1085" s="9"/>
      <c r="I1085" s="9"/>
      <c r="J1085" s="9"/>
      <c r="K1085" s="9"/>
      <c r="L1085" s="32"/>
      <c r="M1085" s="9"/>
      <c r="N1085" s="9"/>
      <c r="O1085" s="9"/>
      <c r="P1085" s="22">
        <v>0.57199999999999995</v>
      </c>
      <c r="Q1085" s="151">
        <f t="shared" si="27"/>
        <v>36581.78</v>
      </c>
      <c r="R1085" s="15">
        <v>0.79966329966329963</v>
      </c>
      <c r="S1085" s="26">
        <f>35*0.395542</f>
        <v>13.843970000000001</v>
      </c>
      <c r="T1085" s="20">
        <v>0.2967335442979846</v>
      </c>
      <c r="U1085" s="15">
        <v>2.7877719000990768</v>
      </c>
      <c r="V1085" s="15"/>
      <c r="W1085" s="15"/>
    </row>
    <row r="1086" spans="2:23" x14ac:dyDescent="0.25">
      <c r="B1086" s="8"/>
      <c r="C1086" s="9"/>
      <c r="D1086" s="9"/>
      <c r="E1086" s="8"/>
      <c r="F1086" s="8"/>
      <c r="G1086" s="9"/>
      <c r="H1086" s="9"/>
      <c r="I1086" s="9"/>
      <c r="J1086" s="9"/>
      <c r="K1086" s="9"/>
      <c r="L1086" s="32"/>
      <c r="M1086" s="9"/>
      <c r="N1086" s="9"/>
      <c r="O1086" s="9"/>
      <c r="P1086" s="22">
        <v>0.60499999999999998</v>
      </c>
      <c r="Q1086" s="151">
        <f t="shared" si="27"/>
        <v>36593.824999999997</v>
      </c>
      <c r="R1086" s="15">
        <v>0.99747474747474751</v>
      </c>
      <c r="S1086" s="26">
        <f>35*0.463397</f>
        <v>16.218895</v>
      </c>
      <c r="T1086" s="20">
        <v>0.28693606033687841</v>
      </c>
      <c r="U1086" s="15">
        <v>3.2742451000911772</v>
      </c>
      <c r="V1086" s="15"/>
      <c r="W1086" s="15"/>
    </row>
    <row r="1087" spans="2:23" x14ac:dyDescent="0.25">
      <c r="B1087" s="8"/>
      <c r="C1087" s="9"/>
      <c r="D1087" s="9"/>
      <c r="E1087" s="8"/>
      <c r="F1087" s="8"/>
      <c r="G1087" s="9"/>
      <c r="H1087" s="9"/>
      <c r="I1087" s="9"/>
      <c r="J1087" s="9"/>
      <c r="K1087" s="9"/>
      <c r="L1087" s="32"/>
      <c r="M1087" s="9"/>
      <c r="N1087" s="9"/>
      <c r="O1087" s="9"/>
      <c r="P1087" s="22">
        <v>0.64400000000000002</v>
      </c>
      <c r="Q1087" s="151">
        <f t="shared" si="27"/>
        <v>36608.06</v>
      </c>
      <c r="R1087" s="15">
        <v>1.32996632996633</v>
      </c>
      <c r="S1087" s="26">
        <f>35*0.627375</f>
        <v>21.958124999999999</v>
      </c>
      <c r="T1087" s="20">
        <v>0.22455461182502492</v>
      </c>
      <c r="U1087" s="15">
        <v>3.9597325581525826</v>
      </c>
      <c r="V1087" s="15"/>
      <c r="W1087" s="15"/>
    </row>
    <row r="1088" spans="2:23" x14ac:dyDescent="0.25">
      <c r="B1088" s="8"/>
      <c r="C1088" s="9"/>
      <c r="D1088" s="9"/>
      <c r="E1088" s="8"/>
      <c r="F1088" s="8"/>
      <c r="G1088" s="9"/>
      <c r="H1088" s="9"/>
      <c r="I1088" s="9"/>
      <c r="J1088" s="9"/>
      <c r="K1088" s="9"/>
      <c r="L1088" s="32"/>
      <c r="M1088" s="9"/>
      <c r="N1088" s="9"/>
      <c r="O1088" s="9"/>
      <c r="P1088" s="22">
        <v>0.68300000000000005</v>
      </c>
      <c r="Q1088" s="151">
        <f t="shared" si="27"/>
        <v>36622.294999999998</v>
      </c>
      <c r="R1088" s="15">
        <v>2.3358585858585861</v>
      </c>
      <c r="S1088" s="26">
        <f>35*0.787794</f>
        <v>27.572790000000001</v>
      </c>
      <c r="T1088" s="20">
        <v>0.16381021126616635</v>
      </c>
      <c r="U1088" s="15">
        <v>4.7887318917135957</v>
      </c>
      <c r="V1088" s="15"/>
      <c r="W1088" s="15"/>
    </row>
    <row r="1089" spans="1:23" x14ac:dyDescent="0.25">
      <c r="B1089" s="8"/>
      <c r="C1089" s="9"/>
      <c r="D1089" s="9"/>
      <c r="E1089" s="8"/>
      <c r="F1089" s="8"/>
      <c r="G1089" s="9"/>
      <c r="H1089" s="9"/>
      <c r="I1089" s="9"/>
      <c r="J1089" s="9"/>
      <c r="K1089" s="9"/>
      <c r="L1089" s="32"/>
      <c r="M1089" s="9"/>
      <c r="N1089" s="9"/>
      <c r="O1089" s="9"/>
      <c r="P1089" s="22">
        <v>0.72399999999999998</v>
      </c>
      <c r="Q1089" s="151">
        <f t="shared" si="27"/>
        <v>36637.259999999995</v>
      </c>
      <c r="R1089" s="15">
        <v>2.7020202020202024</v>
      </c>
      <c r="S1089" s="26">
        <f>35*0.80944</f>
        <v>28.330400000000001</v>
      </c>
      <c r="T1089" s="20">
        <v>0.26740310180682486</v>
      </c>
      <c r="U1089" s="15">
        <v>3.5629607111000015</v>
      </c>
      <c r="V1089" s="15"/>
      <c r="W1089" s="15"/>
    </row>
    <row r="1090" spans="1:23" x14ac:dyDescent="0.25">
      <c r="B1090" s="8"/>
      <c r="C1090" s="9"/>
      <c r="D1090" s="9"/>
      <c r="E1090" s="8"/>
      <c r="F1090" s="8"/>
      <c r="G1090" s="9"/>
      <c r="H1090" s="9"/>
      <c r="I1090" s="9"/>
      <c r="J1090" s="9"/>
      <c r="K1090" s="9"/>
      <c r="L1090" s="32"/>
      <c r="M1090" s="9"/>
      <c r="N1090" s="9"/>
      <c r="O1090" s="9"/>
      <c r="P1090" s="22">
        <v>0.76400000000000001</v>
      </c>
      <c r="Q1090" s="151">
        <f t="shared" si="27"/>
        <v>36651.859999999993</v>
      </c>
      <c r="R1090" s="15">
        <v>3.3375420875420878</v>
      </c>
      <c r="S1090" s="26">
        <f>35*0.820397</f>
        <v>28.713895000000001</v>
      </c>
      <c r="T1090" s="20">
        <v>0.36606314520124283</v>
      </c>
      <c r="U1090" s="15">
        <v>1.759449955020878</v>
      </c>
      <c r="V1090" s="15"/>
      <c r="W1090" s="15"/>
    </row>
    <row r="1091" spans="1:23" x14ac:dyDescent="0.25">
      <c r="B1091" s="8"/>
      <c r="C1091" s="9"/>
      <c r="D1091" s="9"/>
      <c r="E1091" s="8"/>
      <c r="F1091" s="8"/>
      <c r="G1091" s="9"/>
      <c r="H1091" s="9"/>
      <c r="I1091" s="9"/>
      <c r="J1091" s="9"/>
      <c r="K1091" s="9"/>
      <c r="L1091" s="32"/>
      <c r="M1091" s="9"/>
      <c r="N1091" s="9"/>
      <c r="O1091" s="9"/>
      <c r="P1091" s="22">
        <v>0.79900000000000004</v>
      </c>
      <c r="Q1091" s="151">
        <f t="shared" si="27"/>
        <v>36664.634999999995</v>
      </c>
      <c r="R1091" s="15">
        <v>2.8998316498316492</v>
      </c>
      <c r="S1091" s="26">
        <f>35*0.845561</f>
        <v>29.594635</v>
      </c>
      <c r="T1091" s="20">
        <v>0.31846783624967906</v>
      </c>
      <c r="U1091" s="15"/>
      <c r="V1091" s="15"/>
      <c r="W1091" s="15"/>
    </row>
    <row r="1092" spans="1:23" x14ac:dyDescent="0.25">
      <c r="B1092" s="8"/>
      <c r="C1092" s="9"/>
      <c r="D1092" s="9"/>
      <c r="E1092" s="8"/>
      <c r="F1092" s="8"/>
      <c r="G1092" s="9"/>
      <c r="H1092" s="9"/>
      <c r="I1092" s="9"/>
      <c r="J1092" s="9"/>
      <c r="K1092" s="9"/>
      <c r="L1092" s="32"/>
      <c r="M1092" s="9"/>
      <c r="N1092" s="9"/>
      <c r="O1092" s="9"/>
      <c r="P1092" s="22">
        <v>0.83899999999999997</v>
      </c>
      <c r="Q1092" s="151">
        <f t="shared" si="27"/>
        <v>36679.234999999993</v>
      </c>
      <c r="R1092" s="15">
        <v>2.7609427609427613</v>
      </c>
      <c r="S1092" s="26">
        <f>35*0.867194</f>
        <v>30.351790000000001</v>
      </c>
      <c r="T1092" s="20">
        <v>0.26923547934512038</v>
      </c>
      <c r="U1092" s="15"/>
      <c r="V1092" s="15"/>
      <c r="W1092" s="15"/>
    </row>
    <row r="1093" spans="1:23" x14ac:dyDescent="0.25">
      <c r="B1093" s="8"/>
      <c r="C1093" s="9"/>
      <c r="D1093" s="9"/>
      <c r="E1093" s="8"/>
      <c r="F1093" s="8"/>
      <c r="G1093" s="9"/>
      <c r="H1093" s="9"/>
      <c r="I1093" s="9"/>
      <c r="J1093" s="9"/>
      <c r="K1093" s="9"/>
      <c r="L1093" s="32"/>
      <c r="M1093" s="9"/>
      <c r="N1093" s="9"/>
      <c r="O1093" s="9"/>
      <c r="P1093" s="22">
        <v>0.876</v>
      </c>
      <c r="Q1093" s="151">
        <f t="shared" si="27"/>
        <v>36692.739999999991</v>
      </c>
      <c r="R1093" s="15">
        <v>2.672558922558923</v>
      </c>
      <c r="S1093" s="26">
        <f>35*0.881696</f>
        <v>30.859360000000002</v>
      </c>
      <c r="T1093" s="20">
        <v>0.27094383809909806</v>
      </c>
      <c r="U1093" s="15">
        <v>0.75072925943677971</v>
      </c>
      <c r="V1093" s="15"/>
      <c r="W1093" s="15"/>
    </row>
    <row r="1094" spans="1:23" x14ac:dyDescent="0.25">
      <c r="B1094" s="8"/>
      <c r="C1094" s="9"/>
      <c r="D1094" s="9"/>
      <c r="E1094" s="8"/>
      <c r="F1094" s="8"/>
      <c r="G1094" s="9"/>
      <c r="H1094" s="9"/>
      <c r="I1094" s="9"/>
      <c r="J1094" s="9"/>
      <c r="K1094" s="9"/>
      <c r="L1094" s="32"/>
      <c r="M1094" s="9"/>
      <c r="N1094" s="9"/>
      <c r="O1094" s="9"/>
      <c r="P1094" s="22">
        <v>0.91400000000000003</v>
      </c>
      <c r="Q1094" s="151">
        <f t="shared" si="27"/>
        <v>36706.609999999993</v>
      </c>
      <c r="R1094" s="15">
        <v>2.567340067340067</v>
      </c>
      <c r="S1094" s="26">
        <f>35*0.903315</f>
        <v>31.616025</v>
      </c>
      <c r="T1094" s="20">
        <v>0.27100584749125695</v>
      </c>
      <c r="U1094" s="15">
        <v>1.2569081664516153</v>
      </c>
      <c r="V1094" s="15"/>
      <c r="W1094" s="15"/>
    </row>
    <row r="1095" spans="1:23" x14ac:dyDescent="0.25">
      <c r="B1095" s="8"/>
      <c r="C1095" s="9"/>
      <c r="D1095" s="9"/>
      <c r="E1095" s="8"/>
      <c r="F1095" s="8"/>
      <c r="G1095" s="9"/>
      <c r="H1095" s="9"/>
      <c r="I1095" s="9"/>
      <c r="J1095" s="9"/>
      <c r="K1095" s="9"/>
      <c r="L1095" s="32"/>
      <c r="M1095" s="9"/>
      <c r="N1095" s="9"/>
      <c r="O1095" s="9"/>
      <c r="P1095" s="22">
        <v>0.95</v>
      </c>
      <c r="Q1095" s="151">
        <f t="shared" si="27"/>
        <v>36719.749999999993</v>
      </c>
      <c r="R1095" s="15">
        <v>2.5505050505050506</v>
      </c>
      <c r="S1095" s="26">
        <f>35*0.907128</f>
        <v>31.749480000000002</v>
      </c>
      <c r="T1095" s="20">
        <v>0.27106475641380795</v>
      </c>
      <c r="U1095" s="15">
        <v>2.0480650310854722</v>
      </c>
      <c r="V1095" s="15"/>
      <c r="W1095" s="15"/>
    </row>
    <row r="1096" spans="1:23" x14ac:dyDescent="0.25">
      <c r="B1096" s="8"/>
      <c r="C1096" s="9"/>
      <c r="D1096" s="9"/>
      <c r="E1096" s="8"/>
      <c r="F1096" s="8"/>
      <c r="G1096" s="9"/>
      <c r="H1096" s="9"/>
      <c r="I1096" s="9"/>
      <c r="J1096" s="9"/>
      <c r="K1096" s="9"/>
      <c r="L1096" s="32"/>
      <c r="M1096" s="9"/>
      <c r="N1096" s="9"/>
      <c r="O1096" s="9"/>
      <c r="P1096" s="22">
        <v>0.98699999999999999</v>
      </c>
      <c r="Q1096" s="151">
        <f t="shared" si="27"/>
        <v>36733.25499999999</v>
      </c>
      <c r="R1096" s="15">
        <v>2.4747474747474745</v>
      </c>
      <c r="S1096" s="26">
        <f>35*0.918071</f>
        <v>32.132484999999996</v>
      </c>
      <c r="T1096" s="20">
        <v>0.26784336849115309</v>
      </c>
      <c r="U1096" s="15">
        <v>3.3827814648515271</v>
      </c>
      <c r="V1096" s="15"/>
      <c r="W1096" s="15"/>
    </row>
    <row r="1097" spans="1:23" x14ac:dyDescent="0.25">
      <c r="A1097" s="6">
        <v>26</v>
      </c>
      <c r="B1097" s="35" t="s">
        <v>65</v>
      </c>
      <c r="C1097" s="44">
        <v>27.033000000000001</v>
      </c>
      <c r="D1097" s="44">
        <v>118.133</v>
      </c>
      <c r="E1097" s="33" t="s">
        <v>30</v>
      </c>
      <c r="F1097" s="33" t="s">
        <v>59</v>
      </c>
      <c r="G1097" s="11">
        <v>1.8</v>
      </c>
      <c r="H1097" s="11">
        <v>16.733333333333334</v>
      </c>
      <c r="I1097" s="11">
        <v>1.7230000000000001</v>
      </c>
      <c r="J1097" s="11">
        <v>0.32600000000000001</v>
      </c>
      <c r="K1097" s="11">
        <f>I1097/J1097</f>
        <v>5.2852760736196318</v>
      </c>
      <c r="L1097" s="14">
        <v>1.28</v>
      </c>
      <c r="M1097" s="7">
        <f>9.353*EXP(-0.023*H1097-0.622*L1097-0.182*J1097-0.009*K1097)*(I1097/(I1097+0.567))</f>
        <v>1.94116078340775</v>
      </c>
      <c r="N1097" s="7">
        <f>LN(M1097)/10</f>
        <v>6.63286136102815E-2</v>
      </c>
      <c r="O1097" s="11">
        <f>4.3573*EXP(-1.002*M1097)</f>
        <v>0.62301137278289631</v>
      </c>
      <c r="P1097" s="10"/>
      <c r="Q1097" s="149">
        <v>38367</v>
      </c>
      <c r="R1097" s="126">
        <v>0.85145126504366098</v>
      </c>
      <c r="S1097" s="71">
        <v>12.492354740061163</v>
      </c>
      <c r="T1097" s="126">
        <v>0.11617312072892938</v>
      </c>
      <c r="U1097" s="13"/>
      <c r="V1097" s="13"/>
      <c r="W1097" s="13" t="s">
        <v>123</v>
      </c>
    </row>
    <row r="1098" spans="1:23" x14ac:dyDescent="0.25">
      <c r="B1098" s="8"/>
      <c r="C1098" s="9"/>
      <c r="D1098" s="9"/>
      <c r="E1098" s="8"/>
      <c r="F1098" s="8"/>
      <c r="G1098" s="9"/>
      <c r="H1098" s="9"/>
      <c r="I1098" s="9"/>
      <c r="J1098" s="9"/>
      <c r="K1098" s="9"/>
      <c r="L1098" s="32"/>
      <c r="M1098" s="8"/>
      <c r="N1098" s="18"/>
      <c r="O1098" s="9"/>
      <c r="P1098" s="22"/>
      <c r="Q1098" s="151">
        <v>38398</v>
      </c>
      <c r="R1098" s="127">
        <v>0.74102839181475799</v>
      </c>
      <c r="S1098" s="72">
        <v>14.204892966360855</v>
      </c>
      <c r="T1098" s="127">
        <v>0.21867881548974943</v>
      </c>
      <c r="U1098" s="15"/>
      <c r="V1098" s="15"/>
      <c r="W1098" s="15"/>
    </row>
    <row r="1099" spans="1:23" x14ac:dyDescent="0.25">
      <c r="B1099" s="8"/>
      <c r="C1099" s="9"/>
      <c r="D1099" s="9"/>
      <c r="E1099" s="8"/>
      <c r="F1099" s="8"/>
      <c r="G1099" s="9"/>
      <c r="H1099" s="9"/>
      <c r="I1099" s="9"/>
      <c r="J1099" s="9"/>
      <c r="K1099" s="9"/>
      <c r="L1099" s="32"/>
      <c r="M1099" s="8"/>
      <c r="N1099" s="9"/>
      <c r="O1099" s="9"/>
      <c r="P1099" s="22"/>
      <c r="Q1099" s="151">
        <v>38426</v>
      </c>
      <c r="R1099" s="127">
        <v>0.81545402126395194</v>
      </c>
      <c r="S1099" s="72">
        <v>18.700305810397552</v>
      </c>
      <c r="T1099" s="127">
        <v>0.16970387243735766</v>
      </c>
      <c r="U1099" s="15"/>
      <c r="V1099" s="15"/>
      <c r="W1099" s="15"/>
    </row>
    <row r="1100" spans="1:23" x14ac:dyDescent="0.25">
      <c r="B1100" s="8"/>
      <c r="C1100" s="9"/>
      <c r="D1100" s="9"/>
      <c r="E1100" s="8"/>
      <c r="F1100" s="8"/>
      <c r="G1100" s="9"/>
      <c r="H1100" s="9"/>
      <c r="I1100" s="9"/>
      <c r="J1100" s="9"/>
      <c r="K1100" s="9"/>
      <c r="L1100" s="32"/>
      <c r="M1100" s="8"/>
      <c r="N1100" s="9"/>
      <c r="O1100" s="9"/>
      <c r="P1100" s="22"/>
      <c r="Q1100" s="151">
        <v>38457</v>
      </c>
      <c r="R1100" s="127">
        <v>1.6109685930789843</v>
      </c>
      <c r="S1100" s="72">
        <v>21.911314984709481</v>
      </c>
      <c r="T1100" s="127">
        <v>0.13895216400911162</v>
      </c>
      <c r="U1100" s="15"/>
      <c r="V1100" s="15"/>
      <c r="W1100" s="15"/>
    </row>
    <row r="1101" spans="1:23" x14ac:dyDescent="0.25">
      <c r="B1101" s="8"/>
      <c r="C1101" s="9"/>
      <c r="D1101" s="9"/>
      <c r="E1101" s="8"/>
      <c r="F1101" s="8"/>
      <c r="G1101" s="9"/>
      <c r="H1101" s="9"/>
      <c r="I1101" s="9"/>
      <c r="J1101" s="9"/>
      <c r="K1101" s="9"/>
      <c r="L1101" s="32"/>
      <c r="M1101" s="9"/>
      <c r="N1101" s="9"/>
      <c r="O1101" s="9"/>
      <c r="P1101" s="22"/>
      <c r="Q1101" s="151">
        <v>38487</v>
      </c>
      <c r="R1101" s="127">
        <v>5.0688899806554657</v>
      </c>
      <c r="S1101" s="72">
        <v>28.547400611620795</v>
      </c>
      <c r="T1101" s="127">
        <v>0.30865603644646927</v>
      </c>
      <c r="U1101" s="15"/>
      <c r="V1101" s="15"/>
      <c r="W1101" s="15"/>
    </row>
    <row r="1102" spans="1:23" x14ac:dyDescent="0.25">
      <c r="B1102" s="8"/>
      <c r="C1102" s="9"/>
      <c r="D1102" s="9"/>
      <c r="E1102" s="8"/>
      <c r="F1102" s="8"/>
      <c r="G1102" s="9"/>
      <c r="H1102" s="9"/>
      <c r="I1102" s="9"/>
      <c r="J1102" s="9"/>
      <c r="K1102" s="9"/>
      <c r="L1102" s="32"/>
      <c r="M1102" s="9"/>
      <c r="N1102" s="9"/>
      <c r="O1102" s="9"/>
      <c r="P1102" s="22"/>
      <c r="Q1102" s="151">
        <v>38518</v>
      </c>
      <c r="R1102" s="127">
        <v>4.1634224201784615</v>
      </c>
      <c r="S1102" s="72">
        <v>30.795107033639141</v>
      </c>
      <c r="T1102" s="127">
        <v>0.29954441913439633</v>
      </c>
      <c r="U1102" s="15"/>
      <c r="V1102" s="15"/>
      <c r="W1102" s="15"/>
    </row>
    <row r="1103" spans="1:23" x14ac:dyDescent="0.25">
      <c r="B1103" s="8"/>
      <c r="C1103" s="9"/>
      <c r="D1103" s="9"/>
      <c r="E1103" s="8"/>
      <c r="F1103" s="8"/>
      <c r="G1103" s="9"/>
      <c r="H1103" s="9"/>
      <c r="I1103" s="9"/>
      <c r="J1103" s="9"/>
      <c r="K1103" s="9"/>
      <c r="L1103" s="32"/>
      <c r="M1103" s="9"/>
      <c r="N1103" s="9"/>
      <c r="O1103" s="9"/>
      <c r="P1103" s="22"/>
      <c r="Q1103" s="151">
        <v>38548</v>
      </c>
      <c r="R1103" s="127">
        <v>3.4798220943482452</v>
      </c>
      <c r="S1103" s="72">
        <v>33.042813455657495</v>
      </c>
      <c r="T1103" s="127">
        <v>0.20273348519362189</v>
      </c>
      <c r="U1103" s="15"/>
      <c r="V1103" s="15"/>
      <c r="W1103" s="15"/>
    </row>
    <row r="1104" spans="1:23" x14ac:dyDescent="0.25">
      <c r="B1104" s="8"/>
      <c r="C1104" s="9"/>
      <c r="D1104" s="9"/>
      <c r="E1104" s="8"/>
      <c r="F1104" s="8"/>
      <c r="G1104" s="9"/>
      <c r="H1104" s="9"/>
      <c r="I1104" s="9"/>
      <c r="J1104" s="9"/>
      <c r="K1104" s="9"/>
      <c r="L1104" s="32"/>
      <c r="M1104" s="9"/>
      <c r="N1104" s="9"/>
      <c r="O1104" s="9"/>
      <c r="P1104" s="22"/>
      <c r="Q1104" s="151">
        <v>38579</v>
      </c>
      <c r="R1104" s="127">
        <v>2.6298009127691584</v>
      </c>
      <c r="S1104" s="72">
        <v>28.975535168195716</v>
      </c>
      <c r="T1104" s="127">
        <v>0.15831435079726652</v>
      </c>
      <c r="U1104" s="15"/>
      <c r="V1104" s="15"/>
      <c r="W1104" s="15"/>
    </row>
    <row r="1105" spans="1:23" x14ac:dyDescent="0.25">
      <c r="B1105" s="8"/>
      <c r="C1105" s="9"/>
      <c r="D1105" s="9"/>
      <c r="E1105" s="8"/>
      <c r="F1105" s="8"/>
      <c r="G1105" s="9"/>
      <c r="H1105" s="9"/>
      <c r="I1105" s="9"/>
      <c r="J1105" s="9"/>
      <c r="K1105" s="9"/>
      <c r="L1105" s="32"/>
      <c r="M1105" s="9"/>
      <c r="N1105" s="9"/>
      <c r="O1105" s="9"/>
      <c r="P1105" s="22"/>
      <c r="Q1105" s="151">
        <v>38610</v>
      </c>
      <c r="R1105" s="127">
        <v>2.3529776135551645</v>
      </c>
      <c r="S1105" s="72">
        <v>28.333333333333332</v>
      </c>
      <c r="T1105" s="127">
        <v>0.14692482915717539</v>
      </c>
      <c r="U1105" s="15"/>
      <c r="V1105" s="15"/>
      <c r="W1105" s="15"/>
    </row>
    <row r="1106" spans="1:23" x14ac:dyDescent="0.25">
      <c r="B1106" s="8"/>
      <c r="C1106" s="9"/>
      <c r="D1106" s="9"/>
      <c r="E1106" s="8"/>
      <c r="F1106" s="8"/>
      <c r="G1106" s="9"/>
      <c r="H1106" s="9"/>
      <c r="I1106" s="9"/>
      <c r="J1106" s="9"/>
      <c r="K1106" s="9"/>
      <c r="L1106" s="32"/>
      <c r="M1106" s="9"/>
      <c r="N1106" s="9"/>
      <c r="O1106" s="9"/>
      <c r="P1106" s="22"/>
      <c r="Q1106" s="151">
        <v>38640</v>
      </c>
      <c r="R1106" s="127">
        <v>1.6323994152838168</v>
      </c>
      <c r="S1106" s="72">
        <v>17.844036697247709</v>
      </c>
      <c r="T1106" s="127">
        <v>0.12186788154897493</v>
      </c>
      <c r="U1106" s="15"/>
      <c r="V1106" s="15"/>
      <c r="W1106" s="15"/>
    </row>
    <row r="1107" spans="1:23" x14ac:dyDescent="0.25">
      <c r="B1107" s="8"/>
      <c r="C1107" s="9"/>
      <c r="D1107" s="9"/>
      <c r="E1107" s="8"/>
      <c r="F1107" s="8"/>
      <c r="G1107" s="9"/>
      <c r="H1107" s="9"/>
      <c r="I1107" s="9"/>
      <c r="J1107" s="9"/>
      <c r="K1107" s="9"/>
      <c r="L1107" s="32"/>
      <c r="M1107" s="9"/>
      <c r="N1107" s="9"/>
      <c r="O1107" s="9"/>
      <c r="P1107" s="22"/>
      <c r="Q1107" s="151">
        <v>38671</v>
      </c>
      <c r="R1107" s="127">
        <v>1.2076237667777392</v>
      </c>
      <c r="S1107" s="72">
        <v>16.88073394495413</v>
      </c>
      <c r="T1107" s="127">
        <v>0.12756264236902051</v>
      </c>
      <c r="U1107" s="15"/>
      <c r="V1107" s="15"/>
      <c r="W1107" s="15"/>
    </row>
    <row r="1108" spans="1:23" x14ac:dyDescent="0.25">
      <c r="B1108" s="36"/>
      <c r="C1108" s="46"/>
      <c r="D1108" s="46"/>
      <c r="E1108" s="36"/>
      <c r="F1108" s="36"/>
      <c r="G1108" s="46"/>
      <c r="H1108" s="46"/>
      <c r="I1108" s="46"/>
      <c r="J1108" s="46"/>
      <c r="K1108" s="46"/>
      <c r="L1108" s="43"/>
      <c r="M1108" s="46"/>
      <c r="N1108" s="46"/>
      <c r="O1108" s="46"/>
      <c r="P1108" s="105"/>
      <c r="Q1108" s="152">
        <v>38701</v>
      </c>
      <c r="R1108" s="143">
        <v>0.69040343716883346</v>
      </c>
      <c r="S1108" s="91">
        <v>13.990825688073395</v>
      </c>
      <c r="T1108" s="143">
        <v>0.1070615034168565</v>
      </c>
      <c r="U1108" s="136"/>
      <c r="V1108" s="136"/>
      <c r="W1108" s="136"/>
    </row>
    <row r="1109" spans="1:23" x14ac:dyDescent="0.25">
      <c r="A1109" s="6"/>
      <c r="B1109" s="35" t="s">
        <v>65</v>
      </c>
      <c r="C1109" s="44">
        <v>27.033000000000001</v>
      </c>
      <c r="D1109" s="44">
        <v>118.133</v>
      </c>
      <c r="E1109" s="33" t="s">
        <v>21</v>
      </c>
      <c r="F1109" s="33" t="s">
        <v>59</v>
      </c>
      <c r="G1109" s="11">
        <v>1.9670000000000001</v>
      </c>
      <c r="H1109" s="11">
        <v>20.166666666666668</v>
      </c>
      <c r="I1109" s="11">
        <v>1.7230000000000001</v>
      </c>
      <c r="J1109" s="11">
        <v>0.32600000000000001</v>
      </c>
      <c r="K1109" s="11">
        <f>I1109/J1109</f>
        <v>5.2852760736196318</v>
      </c>
      <c r="L1109" s="14">
        <v>1.28</v>
      </c>
      <c r="M1109" s="7">
        <f>9.353*EXP(-0.023*H1109-0.622*L1109-0.182*J1109-0.009*K1109)*(I1109/(I1109+0.567))</f>
        <v>1.793769854967834</v>
      </c>
      <c r="N1109" s="18">
        <f>LN(M1109)/10</f>
        <v>5.8431946943614831E-2</v>
      </c>
      <c r="O1109" s="9">
        <f>4.3573*EXP(-1.002*M1109)</f>
        <v>0.72216271734583137</v>
      </c>
      <c r="P1109" s="10"/>
      <c r="Q1109" s="149">
        <v>38732</v>
      </c>
      <c r="R1109" s="126">
        <v>1.0976503483519882</v>
      </c>
      <c r="S1109" s="71">
        <v>9.9235474006116213</v>
      </c>
      <c r="T1109" s="126">
        <v>0.22095671981776766</v>
      </c>
      <c r="U1109" s="13"/>
      <c r="V1109" s="13"/>
      <c r="W1109" s="13"/>
    </row>
    <row r="1110" spans="1:23" x14ac:dyDescent="0.25">
      <c r="B1110" s="8"/>
      <c r="C1110" s="9"/>
      <c r="D1110" s="9"/>
      <c r="E1110" s="8"/>
      <c r="F1110" s="8"/>
      <c r="G1110" s="9"/>
      <c r="H1110" s="9"/>
      <c r="I1110" s="9"/>
      <c r="J1110" s="9"/>
      <c r="K1110" s="9"/>
      <c r="L1110" s="32"/>
      <c r="M1110" s="8"/>
      <c r="N1110" s="8"/>
      <c r="O1110" s="18"/>
      <c r="P1110" s="22"/>
      <c r="Q1110" s="151">
        <v>38763</v>
      </c>
      <c r="R1110" s="127">
        <v>0.78384917669686349</v>
      </c>
      <c r="S1110" s="72">
        <v>15.596330275229358</v>
      </c>
      <c r="T1110" s="127">
        <v>0.17653758542141229</v>
      </c>
      <c r="U1110" s="15"/>
      <c r="V1110" s="15"/>
      <c r="W1110" s="15"/>
    </row>
    <row r="1111" spans="1:23" x14ac:dyDescent="0.25">
      <c r="B1111" s="8"/>
      <c r="C1111" s="9"/>
      <c r="D1111" s="9"/>
      <c r="E1111" s="8"/>
      <c r="F1111" s="8"/>
      <c r="G1111" s="9"/>
      <c r="H1111" s="9"/>
      <c r="I1111" s="9"/>
      <c r="J1111" s="9"/>
      <c r="K1111" s="9"/>
      <c r="L1111" s="32"/>
      <c r="M1111" s="8"/>
      <c r="N1111" s="9"/>
      <c r="O1111" s="9"/>
      <c r="P1111" s="22"/>
      <c r="Q1111" s="151">
        <v>38791</v>
      </c>
      <c r="R1111" s="127">
        <v>0.96922885323323071</v>
      </c>
      <c r="S1111" s="72">
        <v>22.01834862385321</v>
      </c>
      <c r="T1111" s="127">
        <v>0.35649202733485191</v>
      </c>
      <c r="U1111" s="15"/>
      <c r="V1111" s="15"/>
      <c r="W1111" s="15"/>
    </row>
    <row r="1112" spans="1:23" x14ac:dyDescent="0.25">
      <c r="B1112" s="8"/>
      <c r="C1112" s="9"/>
      <c r="D1112" s="9"/>
      <c r="E1112" s="8"/>
      <c r="F1112" s="8"/>
      <c r="G1112" s="9"/>
      <c r="H1112" s="9"/>
      <c r="I1112" s="9"/>
      <c r="J1112" s="9"/>
      <c r="K1112" s="9"/>
      <c r="L1112" s="32"/>
      <c r="M1112" s="9"/>
      <c r="N1112" s="9"/>
      <c r="O1112" s="9"/>
      <c r="P1112" s="22"/>
      <c r="Q1112" s="151">
        <v>38822</v>
      </c>
      <c r="R1112" s="127">
        <v>3.2253693864729471</v>
      </c>
      <c r="S1112" s="72">
        <v>22.01834862385321</v>
      </c>
      <c r="T1112" s="127">
        <v>0.22437357630979499</v>
      </c>
      <c r="U1112" s="15"/>
      <c r="V1112" s="15"/>
      <c r="W1112" s="15"/>
    </row>
    <row r="1113" spans="1:23" x14ac:dyDescent="0.25">
      <c r="B1113" s="8"/>
      <c r="C1113" s="9"/>
      <c r="D1113" s="9"/>
      <c r="E1113" s="8"/>
      <c r="F1113" s="8"/>
      <c r="G1113" s="9"/>
      <c r="H1113" s="9"/>
      <c r="I1113" s="9"/>
      <c r="J1113" s="9"/>
      <c r="K1113" s="9"/>
      <c r="L1113" s="32"/>
      <c r="M1113" s="9"/>
      <c r="N1113" s="9"/>
      <c r="O1113" s="9"/>
      <c r="P1113" s="22"/>
      <c r="Q1113" s="151">
        <v>38852</v>
      </c>
      <c r="R1113" s="127">
        <v>3.817485230097978</v>
      </c>
      <c r="S1113" s="72">
        <v>24.694189602446482</v>
      </c>
      <c r="T1113" s="127">
        <v>0.24715261958997722</v>
      </c>
      <c r="U1113" s="15"/>
      <c r="V1113" s="15"/>
      <c r="W1113" s="15"/>
    </row>
    <row r="1114" spans="1:23" x14ac:dyDescent="0.25">
      <c r="B1114" s="8"/>
      <c r="C1114" s="9"/>
      <c r="D1114" s="9"/>
      <c r="E1114" s="8"/>
      <c r="F1114" s="8"/>
      <c r="G1114" s="9"/>
      <c r="H1114" s="9"/>
      <c r="I1114" s="9"/>
      <c r="J1114" s="9"/>
      <c r="K1114" s="9"/>
      <c r="L1114" s="32"/>
      <c r="M1114" s="9"/>
      <c r="N1114" s="9"/>
      <c r="O1114" s="9"/>
      <c r="P1114" s="22"/>
      <c r="Q1114" s="151">
        <v>38883</v>
      </c>
      <c r="R1114" s="127">
        <v>4.9458006538831913</v>
      </c>
      <c r="S1114" s="72">
        <v>28.975535168195716</v>
      </c>
      <c r="T1114" s="127">
        <v>0.30410022779043278</v>
      </c>
      <c r="U1114" s="15"/>
      <c r="V1114" s="15"/>
      <c r="W1114" s="15"/>
    </row>
    <row r="1115" spans="1:23" x14ac:dyDescent="0.25">
      <c r="B1115" s="8"/>
      <c r="C1115" s="9"/>
      <c r="D1115" s="9"/>
      <c r="E1115" s="8"/>
      <c r="F1115" s="8"/>
      <c r="G1115" s="9"/>
      <c r="H1115" s="9"/>
      <c r="I1115" s="9"/>
      <c r="J1115" s="9"/>
      <c r="K1115" s="9"/>
      <c r="L1115" s="32"/>
      <c r="M1115" s="9"/>
      <c r="N1115" s="9"/>
      <c r="O1115" s="9"/>
      <c r="P1115" s="22"/>
      <c r="Q1115" s="151">
        <v>38913</v>
      </c>
      <c r="R1115" s="127">
        <v>4.9092926660089917</v>
      </c>
      <c r="S1115" s="72">
        <v>32.935779816513758</v>
      </c>
      <c r="T1115" s="127">
        <v>0.22209567198177677</v>
      </c>
      <c r="U1115" s="15"/>
      <c r="V1115" s="15"/>
      <c r="W1115" s="15"/>
    </row>
    <row r="1116" spans="1:23" x14ac:dyDescent="0.25">
      <c r="B1116" s="8"/>
      <c r="C1116" s="9"/>
      <c r="D1116" s="9"/>
      <c r="E1116" s="8"/>
      <c r="F1116" s="8"/>
      <c r="G1116" s="9"/>
      <c r="H1116" s="9"/>
      <c r="I1116" s="9"/>
      <c r="J1116" s="9"/>
      <c r="K1116" s="9"/>
      <c r="L1116" s="32"/>
      <c r="M1116" s="9"/>
      <c r="N1116" s="9"/>
      <c r="O1116" s="9"/>
      <c r="P1116" s="22"/>
      <c r="Q1116" s="151">
        <v>38944</v>
      </c>
      <c r="R1116" s="127">
        <v>4.1332476590759475</v>
      </c>
      <c r="S1116" s="72">
        <v>27.477064220183486</v>
      </c>
      <c r="T1116" s="127">
        <v>0.17539863325740318</v>
      </c>
      <c r="U1116" s="15"/>
      <c r="V1116" s="15"/>
      <c r="W1116" s="15"/>
    </row>
    <row r="1117" spans="1:23" x14ac:dyDescent="0.25">
      <c r="B1117" s="8"/>
      <c r="C1117" s="9"/>
      <c r="D1117" s="9"/>
      <c r="E1117" s="8"/>
      <c r="F1117" s="8"/>
      <c r="G1117" s="9"/>
      <c r="H1117" s="9"/>
      <c r="I1117" s="9"/>
      <c r="J1117" s="9"/>
      <c r="K1117" s="9"/>
      <c r="L1117" s="32"/>
      <c r="M1117" s="9"/>
      <c r="N1117" s="9"/>
      <c r="O1117" s="9"/>
      <c r="P1117" s="22"/>
      <c r="Q1117" s="151">
        <v>38975</v>
      </c>
      <c r="R1117" s="127">
        <v>3.0983779748187636</v>
      </c>
      <c r="S1117" s="72">
        <v>28.333333333333332</v>
      </c>
      <c r="T1117" s="127">
        <v>0.1480637813211845</v>
      </c>
      <c r="U1117" s="15"/>
      <c r="V1117" s="15"/>
      <c r="W1117" s="15"/>
    </row>
    <row r="1118" spans="1:23" x14ac:dyDescent="0.25">
      <c r="B1118" s="8"/>
      <c r="C1118" s="9"/>
      <c r="D1118" s="9"/>
      <c r="E1118" s="8"/>
      <c r="F1118" s="8"/>
      <c r="G1118" s="9"/>
      <c r="H1118" s="9"/>
      <c r="I1118" s="9"/>
      <c r="J1118" s="9"/>
      <c r="K1118" s="9"/>
      <c r="L1118" s="32"/>
      <c r="M1118" s="9"/>
      <c r="N1118" s="9"/>
      <c r="O1118" s="9"/>
      <c r="P1118" s="22"/>
      <c r="Q1118" s="151">
        <v>39005</v>
      </c>
      <c r="R1118" s="127">
        <v>1.5273087104013972</v>
      </c>
      <c r="S1118" s="72">
        <v>25.122324159021407</v>
      </c>
      <c r="T1118" s="127">
        <v>0.13211845102505695</v>
      </c>
      <c r="U1118" s="15"/>
      <c r="V1118" s="15"/>
      <c r="W1118" s="15"/>
    </row>
    <row r="1119" spans="1:23" x14ac:dyDescent="0.25">
      <c r="B1119" s="8"/>
      <c r="C1119" s="9"/>
      <c r="D1119" s="9"/>
      <c r="E1119" s="8"/>
      <c r="F1119" s="8"/>
      <c r="G1119" s="9"/>
      <c r="H1119" s="9"/>
      <c r="I1119" s="9"/>
      <c r="J1119" s="9"/>
      <c r="K1119" s="9"/>
      <c r="L1119" s="32"/>
      <c r="M1119" s="9"/>
      <c r="N1119" s="9"/>
      <c r="O1119" s="9"/>
      <c r="P1119" s="22"/>
      <c r="Q1119" s="151">
        <v>39036</v>
      </c>
      <c r="R1119" s="127">
        <v>1.7496253998513367</v>
      </c>
      <c r="S1119" s="72">
        <v>14.63302752293578</v>
      </c>
      <c r="T1119" s="127">
        <v>0.20045558086560361</v>
      </c>
      <c r="U1119" s="15"/>
      <c r="V1119" s="15"/>
      <c r="W1119" s="15"/>
    </row>
    <row r="1120" spans="1:23" x14ac:dyDescent="0.25">
      <c r="B1120" s="36"/>
      <c r="C1120" s="46"/>
      <c r="D1120" s="46"/>
      <c r="E1120" s="36"/>
      <c r="F1120" s="36"/>
      <c r="G1120" s="46"/>
      <c r="H1120" s="46"/>
      <c r="I1120" s="46"/>
      <c r="J1120" s="46"/>
      <c r="K1120" s="46"/>
      <c r="L1120" s="43"/>
      <c r="M1120" s="46"/>
      <c r="N1120" s="46"/>
      <c r="O1120" s="46"/>
      <c r="P1120" s="105"/>
      <c r="Q1120" s="152">
        <v>39066</v>
      </c>
      <c r="R1120" s="143">
        <v>0.67779827291680139</v>
      </c>
      <c r="S1120" s="91">
        <v>13.669724770642203</v>
      </c>
      <c r="T1120" s="143">
        <v>0.18109339407744876</v>
      </c>
      <c r="U1120" s="136"/>
      <c r="V1120" s="136"/>
      <c r="W1120" s="136"/>
    </row>
    <row r="1121" spans="1:23" x14ac:dyDescent="0.25">
      <c r="A1121" s="6"/>
      <c r="B1121" s="35" t="s">
        <v>65</v>
      </c>
      <c r="C1121" s="44">
        <v>27.033000000000001</v>
      </c>
      <c r="D1121" s="44">
        <v>118.133</v>
      </c>
      <c r="E1121" s="33" t="s">
        <v>22</v>
      </c>
      <c r="F1121" s="33" t="s">
        <v>60</v>
      </c>
      <c r="G1121" s="11">
        <v>1.3</v>
      </c>
      <c r="H1121" s="11">
        <v>17.341666666666665</v>
      </c>
      <c r="I1121" s="11">
        <v>1.7230000000000001</v>
      </c>
      <c r="J1121" s="11">
        <v>0.32600000000000001</v>
      </c>
      <c r="K1121" s="11">
        <f>I1121/J1121</f>
        <v>5.2852760736196318</v>
      </c>
      <c r="L1121" s="14">
        <v>1.28</v>
      </c>
      <c r="M1121" s="7">
        <f>9.353*EXP(-0.023*H1121-0.622*L1121-0.182*J1121-0.009*K1121)*(I1121/(I1121+0.567))</f>
        <v>1.914189833053233</v>
      </c>
      <c r="N1121" s="18">
        <f>LN(M1121)/10</f>
        <v>6.4929446943614841E-2</v>
      </c>
      <c r="O1121" s="9">
        <f>4.3573*EXP(-1.002*M1121)</f>
        <v>0.64007775793324229</v>
      </c>
      <c r="P1121" s="10"/>
      <c r="Q1121" s="149">
        <v>39097</v>
      </c>
      <c r="R1121" s="126">
        <v>0.75222390236599534</v>
      </c>
      <c r="S1121" s="71">
        <v>13.56269113149847</v>
      </c>
      <c r="T1121" s="126">
        <v>0.18109339407744876</v>
      </c>
      <c r="U1121" s="13"/>
      <c r="V1121" s="13"/>
      <c r="W1121" s="13"/>
    </row>
    <row r="1122" spans="1:23" x14ac:dyDescent="0.25">
      <c r="B1122" s="8"/>
      <c r="C1122" s="8"/>
      <c r="D1122" s="8"/>
      <c r="E1122" s="8"/>
      <c r="F1122" s="8"/>
      <c r="G1122" s="8"/>
      <c r="H1122" s="8"/>
      <c r="I1122" s="8"/>
      <c r="J1122" s="8"/>
      <c r="K1122" s="8"/>
      <c r="L1122" s="8"/>
      <c r="M1122" s="8"/>
      <c r="N1122" s="8"/>
      <c r="O1122" s="18"/>
      <c r="P1122" s="22"/>
      <c r="Q1122" s="151">
        <v>39128</v>
      </c>
      <c r="R1122" s="127">
        <v>0.93758314913858321</v>
      </c>
      <c r="S1122" s="72">
        <v>23.837920489296636</v>
      </c>
      <c r="T1122" s="127">
        <v>0.22437357630979499</v>
      </c>
      <c r="U1122" s="15"/>
      <c r="V1122" s="15"/>
      <c r="W1122" s="15"/>
    </row>
    <row r="1123" spans="1:23" x14ac:dyDescent="0.25">
      <c r="B1123" s="8"/>
      <c r="C1123" s="8"/>
      <c r="D1123" s="8"/>
      <c r="E1123" s="8"/>
      <c r="F1123" s="8"/>
      <c r="G1123" s="8"/>
      <c r="H1123" s="8"/>
      <c r="I1123" s="8"/>
      <c r="J1123" s="8"/>
      <c r="K1123" s="8"/>
      <c r="L1123" s="8"/>
      <c r="M1123" s="8"/>
      <c r="N1123" s="9"/>
      <c r="O1123" s="9"/>
      <c r="P1123" s="22"/>
      <c r="Q1123" s="151">
        <v>39156</v>
      </c>
      <c r="R1123" s="127">
        <v>1.0120700678791161</v>
      </c>
      <c r="S1123" s="72">
        <v>18.486238532110093</v>
      </c>
      <c r="T1123" s="127">
        <v>0.25056947608200458</v>
      </c>
      <c r="U1123" s="15"/>
      <c r="V1123" s="15"/>
      <c r="W1123" s="15"/>
    </row>
    <row r="1124" spans="1:23" x14ac:dyDescent="0.25">
      <c r="B1124" s="8"/>
      <c r="C1124" s="8"/>
      <c r="D1124" s="8"/>
      <c r="E1124" s="8"/>
      <c r="F1124" s="8"/>
      <c r="G1124" s="8"/>
      <c r="H1124" s="8"/>
      <c r="I1124" s="8"/>
      <c r="J1124" s="8"/>
      <c r="K1124" s="8"/>
      <c r="L1124" s="8"/>
      <c r="M1124" s="8"/>
      <c r="N1124" s="8"/>
      <c r="O1124" s="8"/>
      <c r="P1124" s="22"/>
      <c r="Q1124" s="151">
        <v>39187</v>
      </c>
      <c r="R1124" s="127">
        <v>6.4667557077491233</v>
      </c>
      <c r="S1124" s="72">
        <v>31.116207951070336</v>
      </c>
      <c r="T1124" s="127">
        <v>0.26082004555808658</v>
      </c>
      <c r="U1124" s="15"/>
      <c r="V1124" s="15"/>
      <c r="W1124" s="15"/>
    </row>
    <row r="1125" spans="1:23" x14ac:dyDescent="0.25">
      <c r="B1125" s="8"/>
      <c r="C1125" s="8"/>
      <c r="D1125" s="8"/>
      <c r="E1125" s="8"/>
      <c r="F1125" s="8"/>
      <c r="G1125" s="8"/>
      <c r="H1125" s="8"/>
      <c r="I1125" s="8"/>
      <c r="J1125" s="8"/>
      <c r="K1125" s="8"/>
      <c r="L1125" s="8"/>
      <c r="M1125" s="8"/>
      <c r="N1125" s="8"/>
      <c r="O1125" s="8"/>
      <c r="P1125" s="22"/>
      <c r="Q1125" s="151">
        <v>39217</v>
      </c>
      <c r="R1125" s="127">
        <v>5.6722217645955126</v>
      </c>
      <c r="S1125" s="72">
        <v>30.36697247706422</v>
      </c>
      <c r="T1125" s="127">
        <v>0.19931662870159453</v>
      </c>
      <c r="U1125" s="15"/>
      <c r="V1125" s="15"/>
      <c r="W1125" s="15"/>
    </row>
    <row r="1126" spans="1:23" x14ac:dyDescent="0.25">
      <c r="B1126" s="8"/>
      <c r="C1126" s="8"/>
      <c r="D1126" s="8"/>
      <c r="E1126" s="8"/>
      <c r="F1126" s="8"/>
      <c r="G1126" s="8"/>
      <c r="H1126" s="8"/>
      <c r="I1126" s="8"/>
      <c r="J1126" s="8"/>
      <c r="K1126" s="8"/>
      <c r="L1126" s="8"/>
      <c r="M1126" s="8"/>
      <c r="N1126" s="8"/>
      <c r="O1126" s="8"/>
      <c r="P1126" s="22"/>
      <c r="Q1126" s="151">
        <v>39248</v>
      </c>
      <c r="R1126" s="127">
        <v>6.2089116590864073</v>
      </c>
      <c r="S1126" s="72">
        <v>32.079510703363908</v>
      </c>
      <c r="T1126" s="127">
        <v>0.24373576309794986</v>
      </c>
      <c r="U1126" s="15"/>
      <c r="V1126" s="15"/>
      <c r="W1126" s="15"/>
    </row>
    <row r="1127" spans="1:23" x14ac:dyDescent="0.25">
      <c r="B1127" s="8"/>
      <c r="C1127" s="8"/>
      <c r="D1127" s="8"/>
      <c r="E1127" s="8"/>
      <c r="F1127" s="8"/>
      <c r="G1127" s="8"/>
      <c r="H1127" s="8"/>
      <c r="I1127" s="8"/>
      <c r="J1127" s="8"/>
      <c r="K1127" s="8"/>
      <c r="L1127" s="8"/>
      <c r="M1127" s="8"/>
      <c r="N1127" s="8"/>
      <c r="O1127" s="8"/>
      <c r="P1127" s="22"/>
      <c r="Q1127" s="151">
        <v>39278</v>
      </c>
      <c r="R1127" s="127">
        <v>3.1956849397011435</v>
      </c>
      <c r="S1127" s="72">
        <v>35.932721712538225</v>
      </c>
      <c r="T1127" s="127">
        <v>4.4419134396355343E-2</v>
      </c>
      <c r="U1127" s="15"/>
      <c r="V1127" s="15"/>
      <c r="W1127" s="15"/>
    </row>
    <row r="1128" spans="1:23" x14ac:dyDescent="0.25">
      <c r="B1128" s="8"/>
      <c r="C1128" s="8"/>
      <c r="D1128" s="8"/>
      <c r="E1128" s="8"/>
      <c r="F1128" s="8"/>
      <c r="G1128" s="8"/>
      <c r="H1128" s="8"/>
      <c r="I1128" s="8"/>
      <c r="J1128" s="8"/>
      <c r="K1128" s="8"/>
      <c r="L1128" s="8"/>
      <c r="M1128" s="8"/>
      <c r="N1128" s="8"/>
      <c r="O1128" s="8"/>
      <c r="P1128" s="22"/>
      <c r="Q1128" s="151">
        <v>39309</v>
      </c>
      <c r="R1128" s="127">
        <v>2.8633335425341144</v>
      </c>
      <c r="S1128" s="72">
        <v>32.186544342507645</v>
      </c>
      <c r="T1128" s="127">
        <v>0.19020501138952162</v>
      </c>
      <c r="U1128" s="15"/>
      <c r="V1128" s="15"/>
      <c r="W1128" s="15"/>
    </row>
    <row r="1129" spans="1:23" x14ac:dyDescent="0.25">
      <c r="B1129" s="8"/>
      <c r="C1129" s="8"/>
      <c r="D1129" s="8"/>
      <c r="E1129" s="8"/>
      <c r="F1129" s="8"/>
      <c r="G1129" s="8"/>
      <c r="H1129" s="8"/>
      <c r="I1129" s="8"/>
      <c r="J1129" s="8"/>
      <c r="K1129" s="8"/>
      <c r="L1129" s="8"/>
      <c r="M1129" s="8"/>
      <c r="N1129" s="8"/>
      <c r="O1129" s="8"/>
      <c r="P1129" s="22"/>
      <c r="Q1129" s="151">
        <v>39340</v>
      </c>
      <c r="R1129" s="127">
        <v>2.882353652612951</v>
      </c>
      <c r="S1129" s="72">
        <v>28.975535168195716</v>
      </c>
      <c r="T1129" s="127">
        <v>0.19020501138952162</v>
      </c>
      <c r="U1129" s="15"/>
      <c r="V1129" s="15"/>
      <c r="W1129" s="15"/>
    </row>
    <row r="1130" spans="1:23" x14ac:dyDescent="0.25">
      <c r="B1130" s="8"/>
      <c r="C1130" s="8"/>
      <c r="D1130" s="8"/>
      <c r="E1130" s="8"/>
      <c r="F1130" s="8"/>
      <c r="G1130" s="8"/>
      <c r="H1130" s="8"/>
      <c r="I1130" s="8"/>
      <c r="J1130" s="8"/>
      <c r="K1130" s="8"/>
      <c r="L1130" s="8"/>
      <c r="M1130" s="8"/>
      <c r="N1130" s="8"/>
      <c r="O1130" s="8"/>
      <c r="P1130" s="22"/>
      <c r="Q1130" s="151">
        <v>39370</v>
      </c>
      <c r="R1130" s="127">
        <v>1.2558175795338877</v>
      </c>
      <c r="S1130" s="72">
        <v>24.480122324159019</v>
      </c>
      <c r="T1130" s="127">
        <v>8.0865603644646941E-2</v>
      </c>
      <c r="U1130" s="15"/>
      <c r="V1130" s="15"/>
      <c r="W1130" s="15"/>
    </row>
    <row r="1131" spans="1:23" x14ac:dyDescent="0.25">
      <c r="B1131" s="8"/>
      <c r="C1131" s="8"/>
      <c r="D1131" s="8"/>
      <c r="E1131" s="8"/>
      <c r="F1131" s="8"/>
      <c r="G1131" s="8"/>
      <c r="H1131" s="8"/>
      <c r="I1131" s="8"/>
      <c r="J1131" s="8"/>
      <c r="K1131" s="8"/>
      <c r="L1131" s="8"/>
      <c r="M1131" s="8"/>
      <c r="N1131" s="8"/>
      <c r="O1131" s="8"/>
      <c r="P1131" s="22"/>
      <c r="Q1131" s="151">
        <v>39401</v>
      </c>
      <c r="R1131" s="127">
        <v>0.31335171685197283</v>
      </c>
      <c r="S1131" s="72">
        <v>17.629969418960243</v>
      </c>
      <c r="T1131" s="127">
        <v>5.4669703872437359E-2</v>
      </c>
      <c r="U1131" s="15"/>
      <c r="V1131" s="15"/>
      <c r="W1131" s="15"/>
    </row>
    <row r="1132" spans="1:23" x14ac:dyDescent="0.25">
      <c r="B1132" s="8"/>
      <c r="C1132" s="8"/>
      <c r="D1132" s="8"/>
      <c r="E1132" s="8"/>
      <c r="F1132" s="8"/>
      <c r="G1132" s="8"/>
      <c r="H1132" s="8"/>
      <c r="I1132" s="8"/>
      <c r="J1132" s="8"/>
      <c r="K1132" s="8"/>
      <c r="L1132" s="8"/>
      <c r="M1132" s="8"/>
      <c r="N1132" s="8"/>
      <c r="O1132" s="8"/>
      <c r="P1132" s="22"/>
      <c r="Q1132" s="151">
        <v>39431</v>
      </c>
      <c r="R1132" s="127">
        <v>0.554198202050037</v>
      </c>
      <c r="S1132" s="72">
        <v>12.278287461773701</v>
      </c>
      <c r="T1132" s="127">
        <v>0.12870159453302962</v>
      </c>
      <c r="U1132" s="15"/>
      <c r="V1132" s="15"/>
      <c r="W1132" s="15"/>
    </row>
    <row r="1133" spans="1:23" x14ac:dyDescent="0.25">
      <c r="B1133" s="8"/>
      <c r="C1133" s="8"/>
      <c r="D1133" s="8"/>
      <c r="E1133" s="8"/>
      <c r="F1133" s="8"/>
      <c r="G1133" s="8"/>
      <c r="H1133" s="8"/>
      <c r="I1133" s="8"/>
      <c r="J1133" s="8"/>
      <c r="K1133" s="8"/>
      <c r="L1133" s="8"/>
      <c r="M1133" s="8"/>
      <c r="N1133" s="8"/>
      <c r="O1133" s="8"/>
      <c r="P1133" s="21"/>
      <c r="Q1133" s="8"/>
      <c r="R1133" s="8"/>
      <c r="S1133" s="8"/>
      <c r="T1133" s="8"/>
      <c r="U1133" s="8"/>
      <c r="V1133" s="8"/>
      <c r="W1133" s="8"/>
    </row>
  </sheetData>
  <phoneticPr fontId="1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2023-03-08T12:44:19Z</dcterms:modified>
</cp:coreProperties>
</file>