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weida\OneDrive\Desktop\"/>
    </mc:Choice>
  </mc:AlternateContent>
  <xr:revisionPtr revIDLastSave="0" documentId="13_ncr:1_{6B71648C-196E-4F5E-8EA4-588E396233FE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Data1_Clean" sheetId="1" r:id="rId1"/>
    <sheet name="Data2_Clean" sheetId="5" r:id="rId2"/>
    <sheet name="Data1_Raw_Brightspace" sheetId="7" r:id="rId3"/>
    <sheet name="Data2_Raw" sheetId="9" r:id="rId4"/>
  </sheets>
  <definedNames>
    <definedName name="_xlnm._FilterDatabase" localSheetId="0" hidden="1">Data1_Clean!$A$1:$AC$992</definedName>
    <definedName name="_xlnm._FilterDatabase" localSheetId="2" hidden="1">Data1_Raw_Brightspace!$A$1:$R$1000</definedName>
    <definedName name="_xlnm._FilterDatabase" localSheetId="1" hidden="1">Data2_Clean!$A$1:$Z$731</definedName>
    <definedName name="_xlnm._FilterDatabase" localSheetId="3" hidden="1">Data2_Raw!$A$1:$H$730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30" i="7" l="1"/>
  <c r="S729" i="7"/>
  <c r="S728" i="7"/>
  <c r="S727" i="7"/>
  <c r="S726" i="7"/>
  <c r="S725" i="7"/>
  <c r="S724" i="7"/>
  <c r="S723" i="7"/>
  <c r="S722" i="7"/>
  <c r="S721" i="7"/>
  <c r="S720" i="7"/>
  <c r="S719" i="7"/>
  <c r="S718" i="7"/>
  <c r="S717" i="7"/>
  <c r="S716" i="7"/>
  <c r="S715" i="7"/>
  <c r="S714" i="7"/>
  <c r="S713" i="7"/>
  <c r="S712" i="7"/>
  <c r="S711" i="7"/>
  <c r="S710" i="7"/>
  <c r="S709" i="7"/>
  <c r="S708" i="7"/>
  <c r="S707" i="7"/>
  <c r="S706" i="7"/>
  <c r="S705" i="7"/>
  <c r="S704" i="7"/>
  <c r="S703" i="7"/>
  <c r="S702" i="7"/>
  <c r="S701" i="7"/>
  <c r="S700" i="7"/>
  <c r="S699" i="7"/>
  <c r="S698" i="7"/>
  <c r="S697" i="7"/>
  <c r="S696" i="7"/>
  <c r="S695" i="7"/>
  <c r="S694" i="7"/>
  <c r="S693" i="7"/>
  <c r="S692" i="7"/>
  <c r="S691" i="7"/>
  <c r="S690" i="7"/>
  <c r="S689" i="7"/>
  <c r="S688" i="7"/>
  <c r="S687" i="7"/>
  <c r="S686" i="7"/>
  <c r="S685" i="7"/>
  <c r="S684" i="7"/>
  <c r="S683" i="7"/>
  <c r="S682" i="7"/>
  <c r="S681" i="7"/>
  <c r="S680" i="7"/>
  <c r="S679" i="7"/>
  <c r="S678" i="7"/>
  <c r="S677" i="7"/>
  <c r="S676" i="7"/>
  <c r="S675" i="7"/>
  <c r="S674" i="7"/>
  <c r="S673" i="7"/>
  <c r="S672" i="7"/>
  <c r="S671" i="7"/>
  <c r="S670" i="7"/>
  <c r="S669" i="7"/>
  <c r="S668" i="7"/>
  <c r="S667" i="7"/>
  <c r="S666" i="7"/>
  <c r="S665" i="7"/>
  <c r="S664" i="7"/>
  <c r="S663" i="7"/>
  <c r="S662" i="7"/>
  <c r="S661" i="7"/>
  <c r="S660" i="7"/>
  <c r="S659" i="7"/>
  <c r="S658" i="7"/>
  <c r="S657" i="7"/>
  <c r="S656" i="7"/>
  <c r="S655" i="7"/>
  <c r="S654" i="7"/>
  <c r="S653" i="7"/>
  <c r="S652" i="7"/>
  <c r="S651" i="7"/>
  <c r="S650" i="7"/>
  <c r="S649" i="7"/>
  <c r="S648" i="7"/>
  <c r="S647" i="7"/>
  <c r="S646" i="7"/>
  <c r="S645" i="7"/>
  <c r="S644" i="7"/>
  <c r="S643" i="7"/>
  <c r="S642" i="7"/>
  <c r="S641" i="7"/>
  <c r="S640" i="7"/>
  <c r="S639" i="7"/>
  <c r="S638" i="7"/>
  <c r="S637" i="7"/>
  <c r="S636" i="7"/>
  <c r="S635" i="7"/>
  <c r="S634" i="7"/>
  <c r="S633" i="7"/>
  <c r="S632" i="7"/>
  <c r="S631" i="7"/>
  <c r="S630" i="7"/>
  <c r="S629" i="7"/>
  <c r="S628" i="7"/>
  <c r="S627" i="7"/>
  <c r="S626" i="7"/>
  <c r="S625" i="7"/>
  <c r="S624" i="7"/>
  <c r="S623" i="7"/>
  <c r="S622" i="7"/>
  <c r="S621" i="7"/>
  <c r="S620" i="7"/>
  <c r="S619" i="7"/>
  <c r="S618" i="7"/>
  <c r="S617" i="7"/>
  <c r="S616" i="7"/>
  <c r="S615" i="7"/>
  <c r="S614" i="7"/>
  <c r="S613" i="7"/>
  <c r="S612" i="7"/>
  <c r="S611" i="7"/>
  <c r="S610" i="7"/>
  <c r="S609" i="7"/>
  <c r="S608" i="7"/>
  <c r="S607" i="7"/>
  <c r="S606" i="7"/>
  <c r="S605" i="7"/>
  <c r="S604" i="7"/>
  <c r="S603" i="7"/>
  <c r="S602" i="7"/>
  <c r="S601" i="7"/>
  <c r="S600" i="7"/>
  <c r="S599" i="7"/>
  <c r="S598" i="7"/>
  <c r="S597" i="7"/>
  <c r="S596" i="7"/>
  <c r="S595" i="7"/>
  <c r="S594" i="7"/>
  <c r="S593" i="7"/>
  <c r="S592" i="7"/>
  <c r="S591" i="7"/>
  <c r="S590" i="7"/>
  <c r="S589" i="7"/>
  <c r="S588" i="7"/>
  <c r="S587" i="7"/>
  <c r="S586" i="7"/>
  <c r="S585" i="7"/>
  <c r="S584" i="7"/>
  <c r="S583" i="7"/>
  <c r="S582" i="7"/>
  <c r="S581" i="7"/>
  <c r="S580" i="7"/>
  <c r="S579" i="7"/>
  <c r="S578" i="7"/>
  <c r="S577" i="7"/>
  <c r="S576" i="7"/>
  <c r="S575" i="7"/>
  <c r="S574" i="7"/>
  <c r="S573" i="7"/>
  <c r="S572" i="7"/>
  <c r="S571" i="7"/>
  <c r="S570" i="7"/>
  <c r="S569" i="7"/>
  <c r="S568" i="7"/>
  <c r="S567" i="7"/>
  <c r="S566" i="7"/>
  <c r="S565" i="7"/>
  <c r="S564" i="7"/>
  <c r="S563" i="7"/>
  <c r="S562" i="7"/>
  <c r="S561" i="7"/>
  <c r="S560" i="7"/>
  <c r="S559" i="7"/>
  <c r="S558" i="7"/>
  <c r="S557" i="7"/>
  <c r="S556" i="7"/>
  <c r="S555" i="7"/>
  <c r="S554" i="7"/>
  <c r="S553" i="7"/>
  <c r="S552" i="7"/>
  <c r="S551" i="7"/>
  <c r="S550" i="7"/>
  <c r="S549" i="7"/>
  <c r="S548" i="7"/>
  <c r="S547" i="7"/>
  <c r="S546" i="7"/>
  <c r="S545" i="7"/>
  <c r="S544" i="7"/>
  <c r="S543" i="7"/>
  <c r="S542" i="7"/>
  <c r="S541" i="7"/>
  <c r="S540" i="7"/>
  <c r="S539" i="7"/>
  <c r="S538" i="7"/>
  <c r="S537" i="7"/>
  <c r="S536" i="7"/>
  <c r="S535" i="7"/>
  <c r="S534" i="7"/>
  <c r="S533" i="7"/>
  <c r="S532" i="7"/>
  <c r="S531" i="7"/>
  <c r="S530" i="7"/>
  <c r="S529" i="7"/>
  <c r="S528" i="7"/>
  <c r="S527" i="7"/>
  <c r="S526" i="7"/>
  <c r="S525" i="7"/>
  <c r="S524" i="7"/>
  <c r="S523" i="7"/>
  <c r="S522" i="7"/>
  <c r="S521" i="7"/>
  <c r="S520" i="7"/>
  <c r="S519" i="7"/>
  <c r="S518" i="7"/>
  <c r="S517" i="7"/>
  <c r="S516" i="7"/>
  <c r="S515" i="7"/>
  <c r="S514" i="7"/>
  <c r="S513" i="7"/>
  <c r="S512" i="7"/>
  <c r="S511" i="7"/>
  <c r="S510" i="7"/>
  <c r="S509" i="7"/>
  <c r="S508" i="7"/>
  <c r="S507" i="7"/>
  <c r="S506" i="7"/>
  <c r="S505" i="7"/>
  <c r="S504" i="7"/>
  <c r="S503" i="7"/>
  <c r="S502" i="7"/>
  <c r="S501" i="7"/>
  <c r="S500" i="7"/>
  <c r="S499" i="7"/>
  <c r="S498" i="7"/>
  <c r="S497" i="7"/>
  <c r="S496" i="7"/>
  <c r="S495" i="7"/>
  <c r="S494" i="7"/>
  <c r="S493" i="7"/>
  <c r="S492" i="7"/>
  <c r="S491" i="7"/>
  <c r="S490" i="7"/>
  <c r="S489" i="7"/>
  <c r="S488" i="7"/>
  <c r="S487" i="7"/>
  <c r="S486" i="7"/>
  <c r="S485" i="7"/>
  <c r="S484" i="7"/>
  <c r="S483" i="7"/>
  <c r="S482" i="7"/>
  <c r="S481" i="7"/>
  <c r="S480" i="7"/>
  <c r="S479" i="7"/>
  <c r="S478" i="7"/>
  <c r="S477" i="7"/>
  <c r="S476" i="7"/>
  <c r="S475" i="7"/>
  <c r="S474" i="7"/>
  <c r="S473" i="7"/>
  <c r="S472" i="7"/>
  <c r="S471" i="7"/>
  <c r="S470" i="7"/>
  <c r="S469" i="7"/>
  <c r="S468" i="7"/>
  <c r="S467" i="7"/>
  <c r="S466" i="7"/>
  <c r="S465" i="7"/>
  <c r="S464" i="7"/>
  <c r="S463" i="7"/>
  <c r="S462" i="7"/>
  <c r="S461" i="7"/>
  <c r="S460" i="7"/>
  <c r="S459" i="7"/>
  <c r="S458" i="7"/>
  <c r="S457" i="7"/>
  <c r="S456" i="7"/>
  <c r="S455" i="7"/>
  <c r="S454" i="7"/>
  <c r="S453" i="7"/>
  <c r="S452" i="7"/>
  <c r="S451" i="7"/>
  <c r="S450" i="7"/>
  <c r="S449" i="7"/>
  <c r="S448" i="7"/>
  <c r="S447" i="7"/>
  <c r="S446" i="7"/>
  <c r="S445" i="7"/>
  <c r="S444" i="7"/>
  <c r="S443" i="7"/>
  <c r="S442" i="7"/>
  <c r="S441" i="7"/>
  <c r="S440" i="7"/>
  <c r="S439" i="7"/>
  <c r="S438" i="7"/>
  <c r="S437" i="7"/>
  <c r="S436" i="7"/>
  <c r="S435" i="7"/>
  <c r="S434" i="7"/>
  <c r="S433" i="7"/>
  <c r="S432" i="7"/>
  <c r="S431" i="7"/>
  <c r="S430" i="7"/>
  <c r="S429" i="7"/>
  <c r="S428" i="7"/>
  <c r="S427" i="7"/>
  <c r="S426" i="7"/>
  <c r="S425" i="7"/>
  <c r="S424" i="7"/>
  <c r="S423" i="7"/>
  <c r="S422" i="7"/>
  <c r="S421" i="7"/>
  <c r="S420" i="7"/>
  <c r="S419" i="7"/>
  <c r="S418" i="7"/>
  <c r="S417" i="7"/>
  <c r="S416" i="7"/>
  <c r="S415" i="7"/>
  <c r="S414" i="7"/>
  <c r="S413" i="7"/>
  <c r="S412" i="7"/>
  <c r="S411" i="7"/>
  <c r="S410" i="7"/>
  <c r="S409" i="7"/>
  <c r="S408" i="7"/>
  <c r="S407" i="7"/>
  <c r="S406" i="7"/>
  <c r="S405" i="7"/>
  <c r="S404" i="7"/>
  <c r="S403" i="7"/>
  <c r="S402" i="7"/>
  <c r="S401" i="7"/>
  <c r="S400" i="7"/>
  <c r="S399" i="7"/>
  <c r="S398" i="7"/>
  <c r="S397" i="7"/>
  <c r="S396" i="7"/>
  <c r="S395" i="7"/>
  <c r="S394" i="7"/>
  <c r="S393" i="7"/>
  <c r="S392" i="7"/>
  <c r="S391" i="7"/>
  <c r="S390" i="7"/>
  <c r="S389" i="7"/>
  <c r="S388" i="7"/>
  <c r="S387" i="7"/>
  <c r="S386" i="7"/>
  <c r="S385" i="7"/>
  <c r="S384" i="7"/>
  <c r="S383" i="7"/>
  <c r="S382" i="7"/>
  <c r="S381" i="7"/>
  <c r="S380" i="7"/>
  <c r="S379" i="7"/>
  <c r="S378" i="7"/>
  <c r="S377" i="7"/>
  <c r="S376" i="7"/>
  <c r="S375" i="7"/>
  <c r="S374" i="7"/>
  <c r="S373" i="7"/>
  <c r="S372" i="7"/>
  <c r="S371" i="7"/>
  <c r="S370" i="7"/>
  <c r="S369" i="7"/>
  <c r="S368" i="7"/>
  <c r="S367" i="7"/>
  <c r="S366" i="7"/>
  <c r="S365" i="7"/>
  <c r="S364" i="7"/>
  <c r="S363" i="7"/>
  <c r="S362" i="7"/>
  <c r="S361" i="7"/>
  <c r="S360" i="7"/>
  <c r="S359" i="7"/>
  <c r="S358" i="7"/>
  <c r="S357" i="7"/>
  <c r="S356" i="7"/>
  <c r="S355" i="7"/>
  <c r="S354" i="7"/>
  <c r="S353" i="7"/>
  <c r="S352" i="7"/>
  <c r="S351" i="7"/>
  <c r="S350" i="7"/>
  <c r="S349" i="7"/>
  <c r="S348" i="7"/>
  <c r="S347" i="7"/>
  <c r="S346" i="7"/>
  <c r="S345" i="7"/>
  <c r="S344" i="7"/>
  <c r="S343" i="7"/>
  <c r="S342" i="7"/>
  <c r="S341" i="7"/>
  <c r="S340" i="7"/>
  <c r="S339" i="7"/>
  <c r="S338" i="7"/>
  <c r="S337" i="7"/>
  <c r="S336" i="7"/>
  <c r="S335" i="7"/>
  <c r="S334" i="7"/>
  <c r="S333" i="7"/>
  <c r="S332" i="7"/>
  <c r="S331" i="7"/>
  <c r="S330" i="7"/>
  <c r="S329" i="7"/>
  <c r="S328" i="7"/>
  <c r="S327" i="7"/>
  <c r="S326" i="7"/>
  <c r="S325" i="7"/>
  <c r="S324" i="7"/>
  <c r="S323" i="7"/>
  <c r="S322" i="7"/>
  <c r="S321" i="7"/>
  <c r="S320" i="7"/>
  <c r="S319" i="7"/>
  <c r="S318" i="7"/>
  <c r="S317" i="7"/>
  <c r="S316" i="7"/>
  <c r="S315" i="7"/>
  <c r="S314" i="7"/>
  <c r="S313" i="7"/>
  <c r="S312" i="7"/>
  <c r="S311" i="7"/>
  <c r="S310" i="7"/>
  <c r="S309" i="7"/>
  <c r="S308" i="7"/>
  <c r="S307" i="7"/>
  <c r="S306" i="7"/>
  <c r="S305" i="7"/>
  <c r="S304" i="7"/>
  <c r="S303" i="7"/>
  <c r="S302" i="7"/>
  <c r="S301" i="7"/>
  <c r="S300" i="7"/>
  <c r="S299" i="7"/>
  <c r="S298" i="7"/>
  <c r="S297" i="7"/>
  <c r="S296" i="7"/>
  <c r="S295" i="7"/>
  <c r="S294" i="7"/>
  <c r="S293" i="7"/>
  <c r="S292" i="7"/>
  <c r="S291" i="7"/>
  <c r="S290" i="7"/>
  <c r="S289" i="7"/>
  <c r="S288" i="7"/>
  <c r="S287" i="7"/>
  <c r="S286" i="7"/>
  <c r="S285" i="7"/>
  <c r="S284" i="7"/>
  <c r="S283" i="7"/>
  <c r="S282" i="7"/>
  <c r="S281" i="7"/>
  <c r="S280" i="7"/>
  <c r="S279" i="7"/>
  <c r="S278" i="7"/>
  <c r="S277" i="7"/>
  <c r="S276" i="7"/>
  <c r="S275" i="7"/>
  <c r="S274" i="7"/>
  <c r="S273" i="7"/>
  <c r="S272" i="7"/>
  <c r="S271" i="7"/>
  <c r="S270" i="7"/>
  <c r="S269" i="7"/>
  <c r="S268" i="7"/>
  <c r="S267" i="7"/>
  <c r="S266" i="7"/>
  <c r="S265" i="7"/>
  <c r="S264" i="7"/>
  <c r="S263" i="7"/>
  <c r="S262" i="7"/>
  <c r="S261" i="7"/>
  <c r="S260" i="7"/>
  <c r="S259" i="7"/>
  <c r="S258" i="7"/>
  <c r="S257" i="7"/>
  <c r="S256" i="7"/>
  <c r="S255" i="7"/>
  <c r="S254" i="7"/>
  <c r="S253" i="7"/>
  <c r="S252" i="7"/>
  <c r="S251" i="7"/>
  <c r="S250" i="7"/>
  <c r="S249" i="7"/>
  <c r="S248" i="7"/>
  <c r="S247" i="7"/>
  <c r="S246" i="7"/>
  <c r="S245" i="7"/>
  <c r="S244" i="7"/>
  <c r="S243" i="7"/>
  <c r="S242" i="7"/>
  <c r="S241" i="7"/>
  <c r="S240" i="7"/>
  <c r="S239" i="7"/>
  <c r="S238" i="7"/>
  <c r="S237" i="7"/>
  <c r="S236" i="7"/>
  <c r="S235" i="7"/>
  <c r="S234" i="7"/>
  <c r="S233" i="7"/>
  <c r="S232" i="7"/>
  <c r="S231" i="7"/>
  <c r="S230" i="7"/>
  <c r="S229" i="7"/>
  <c r="S228" i="7"/>
  <c r="S227" i="7"/>
  <c r="S226" i="7"/>
  <c r="S225" i="7"/>
  <c r="S224" i="7"/>
  <c r="S223" i="7"/>
  <c r="S222" i="7"/>
  <c r="S221" i="7"/>
  <c r="S220" i="7"/>
  <c r="S219" i="7"/>
  <c r="S218" i="7"/>
  <c r="S217" i="7"/>
  <c r="S216" i="7"/>
  <c r="S215" i="7"/>
  <c r="S214" i="7"/>
  <c r="S213" i="7"/>
  <c r="S212" i="7"/>
  <c r="S211" i="7"/>
  <c r="S210" i="7"/>
  <c r="S209" i="7"/>
  <c r="S208" i="7"/>
  <c r="S207" i="7"/>
  <c r="S206" i="7"/>
  <c r="S205" i="7"/>
  <c r="S204" i="7"/>
  <c r="S203" i="7"/>
  <c r="S202" i="7"/>
  <c r="S201" i="7"/>
  <c r="S200" i="7"/>
  <c r="S199" i="7"/>
  <c r="S198" i="7"/>
  <c r="S197" i="7"/>
  <c r="S196" i="7"/>
  <c r="S195" i="7"/>
  <c r="S194" i="7"/>
  <c r="S193" i="7"/>
  <c r="S192" i="7"/>
  <c r="S191" i="7"/>
  <c r="S190" i="7"/>
  <c r="S189" i="7"/>
  <c r="S188" i="7"/>
  <c r="S187" i="7"/>
  <c r="S186" i="7"/>
  <c r="S185" i="7"/>
  <c r="S184" i="7"/>
  <c r="S183" i="7"/>
  <c r="S182" i="7"/>
  <c r="S181" i="7"/>
  <c r="S180" i="7"/>
  <c r="S179" i="7"/>
  <c r="S178" i="7"/>
  <c r="S177" i="7"/>
  <c r="S176" i="7"/>
  <c r="S175" i="7"/>
  <c r="S174" i="7"/>
  <c r="S173" i="7"/>
  <c r="S172" i="7"/>
  <c r="S171" i="7"/>
  <c r="S170" i="7"/>
  <c r="S169" i="7"/>
  <c r="S168" i="7"/>
  <c r="S167" i="7"/>
  <c r="S166" i="7"/>
  <c r="S165" i="7"/>
  <c r="S164" i="7"/>
  <c r="S163" i="7"/>
  <c r="S162" i="7"/>
  <c r="S161" i="7"/>
  <c r="S160" i="7"/>
  <c r="S159" i="7"/>
  <c r="S158" i="7"/>
  <c r="S157" i="7"/>
  <c r="S156" i="7"/>
  <c r="S155" i="7"/>
  <c r="S154" i="7"/>
  <c r="S153" i="7"/>
  <c r="S152" i="7"/>
  <c r="S151" i="7"/>
  <c r="S150" i="7"/>
  <c r="S149" i="7"/>
  <c r="S148" i="7"/>
  <c r="S147" i="7"/>
  <c r="S146" i="7"/>
  <c r="S145" i="7"/>
  <c r="S144" i="7"/>
  <c r="S143" i="7"/>
  <c r="S142" i="7"/>
  <c r="S141" i="7"/>
  <c r="S140" i="7"/>
  <c r="S139" i="7"/>
  <c r="S138" i="7"/>
  <c r="S137" i="7"/>
  <c r="S136" i="7"/>
  <c r="S135" i="7"/>
  <c r="S134" i="7"/>
  <c r="S133" i="7"/>
  <c r="S132" i="7"/>
  <c r="S131" i="7"/>
  <c r="S130" i="7"/>
  <c r="S129" i="7"/>
  <c r="S128" i="7"/>
  <c r="S127" i="7"/>
  <c r="S126" i="7"/>
  <c r="S125" i="7"/>
  <c r="S124" i="7"/>
  <c r="S123" i="7"/>
  <c r="S122" i="7"/>
  <c r="S121" i="7"/>
  <c r="S120" i="7"/>
  <c r="S119" i="7"/>
  <c r="S118" i="7"/>
  <c r="S117" i="7"/>
  <c r="S116" i="7"/>
  <c r="S115" i="7"/>
  <c r="S114" i="7"/>
  <c r="S113" i="7"/>
  <c r="S112" i="7"/>
  <c r="S111" i="7"/>
  <c r="S110" i="7"/>
  <c r="S109" i="7"/>
  <c r="S108" i="7"/>
  <c r="S107" i="7"/>
  <c r="S106" i="7"/>
  <c r="S105" i="7"/>
  <c r="S104" i="7"/>
  <c r="S103" i="7"/>
  <c r="S102" i="7"/>
  <c r="S101" i="7"/>
  <c r="S100" i="7"/>
  <c r="S99" i="7"/>
  <c r="S98" i="7"/>
  <c r="S97" i="7"/>
  <c r="S96" i="7"/>
  <c r="S95" i="7"/>
  <c r="S94" i="7"/>
  <c r="S93" i="7"/>
  <c r="S92" i="7"/>
  <c r="S91" i="7"/>
  <c r="S90" i="7"/>
  <c r="S89" i="7"/>
  <c r="S88" i="7"/>
  <c r="S87" i="7"/>
  <c r="S86" i="7"/>
  <c r="S85" i="7"/>
  <c r="S84" i="7"/>
  <c r="S83" i="7"/>
  <c r="S82" i="7"/>
  <c r="S81" i="7"/>
  <c r="S80" i="7"/>
  <c r="S79" i="7"/>
  <c r="S78" i="7"/>
  <c r="S77" i="7"/>
  <c r="S76" i="7"/>
  <c r="S75" i="7"/>
  <c r="S74" i="7"/>
  <c r="S73" i="7"/>
  <c r="S72" i="7"/>
  <c r="S71" i="7"/>
  <c r="S70" i="7"/>
  <c r="S69" i="7"/>
  <c r="S68" i="7"/>
  <c r="S67" i="7"/>
  <c r="S66" i="7"/>
  <c r="S65" i="7"/>
  <c r="S64" i="7"/>
  <c r="S63" i="7"/>
  <c r="S62" i="7"/>
  <c r="S61" i="7"/>
  <c r="S60" i="7"/>
  <c r="S59" i="7"/>
  <c r="S58" i="7"/>
  <c r="S57" i="7"/>
  <c r="S56" i="7"/>
  <c r="S55" i="7"/>
  <c r="S54" i="7"/>
  <c r="S53" i="7"/>
  <c r="S52" i="7"/>
  <c r="S51" i="7"/>
  <c r="S50" i="7"/>
  <c r="S49" i="7"/>
  <c r="S48" i="7"/>
  <c r="S47" i="7"/>
  <c r="S46" i="7"/>
  <c r="S45" i="7"/>
  <c r="S44" i="7"/>
  <c r="S43" i="7"/>
  <c r="S42" i="7"/>
  <c r="S41" i="7"/>
  <c r="S40" i="7"/>
  <c r="S39" i="7"/>
  <c r="S38" i="7"/>
  <c r="S37" i="7"/>
  <c r="S36" i="7"/>
  <c r="S35" i="7"/>
  <c r="S34" i="7"/>
  <c r="S33" i="7"/>
  <c r="S32" i="7"/>
  <c r="S31" i="7"/>
  <c r="S30" i="7"/>
  <c r="S29" i="7"/>
  <c r="S28" i="7"/>
  <c r="S27" i="7"/>
  <c r="S26" i="7"/>
  <c r="S25" i="7"/>
  <c r="S24" i="7"/>
  <c r="S23" i="7"/>
  <c r="S22" i="7"/>
  <c r="S21" i="7"/>
  <c r="S20" i="7"/>
  <c r="S19" i="7"/>
  <c r="S18" i="7"/>
  <c r="S17" i="7"/>
  <c r="S16" i="7"/>
  <c r="S15" i="7"/>
  <c r="S14" i="7"/>
  <c r="S13" i="7"/>
  <c r="S12" i="7"/>
  <c r="S11" i="7"/>
  <c r="S10" i="7"/>
  <c r="S9" i="7"/>
  <c r="S8" i="7"/>
  <c r="S7" i="7"/>
  <c r="S6" i="7"/>
  <c r="S5" i="7"/>
  <c r="S4" i="7"/>
  <c r="S3" i="7"/>
  <c r="S2" i="7"/>
  <c r="I730" i="5"/>
  <c r="I729" i="5"/>
  <c r="I728" i="5"/>
  <c r="I727" i="5"/>
  <c r="I726" i="5"/>
  <c r="I725" i="5"/>
  <c r="I724" i="5"/>
  <c r="I723" i="5"/>
  <c r="I722" i="5"/>
  <c r="I721" i="5"/>
  <c r="I720" i="5"/>
  <c r="I719" i="5"/>
  <c r="I718" i="5"/>
  <c r="I717" i="5"/>
  <c r="I716" i="5"/>
  <c r="I715" i="5"/>
  <c r="I714" i="5"/>
  <c r="I713" i="5"/>
  <c r="I712" i="5"/>
  <c r="I711" i="5"/>
  <c r="I710" i="5"/>
  <c r="I709" i="5"/>
  <c r="I708" i="5"/>
  <c r="I707" i="5"/>
  <c r="I706" i="5"/>
  <c r="I705" i="5"/>
  <c r="I704" i="5"/>
  <c r="I703" i="5"/>
  <c r="I702" i="5"/>
  <c r="I701" i="5"/>
  <c r="I700" i="5"/>
  <c r="I699" i="5"/>
  <c r="I698" i="5"/>
  <c r="I697" i="5"/>
  <c r="I696" i="5"/>
  <c r="I695" i="5"/>
  <c r="I694" i="5"/>
  <c r="I693" i="5"/>
  <c r="I692" i="5"/>
  <c r="I691" i="5"/>
  <c r="I690" i="5"/>
  <c r="I689" i="5"/>
  <c r="I688" i="5"/>
  <c r="I687" i="5"/>
  <c r="I686" i="5"/>
  <c r="I685" i="5"/>
  <c r="I684" i="5"/>
  <c r="I683" i="5"/>
  <c r="I682" i="5"/>
  <c r="I681" i="5"/>
  <c r="I680" i="5"/>
  <c r="I679" i="5"/>
  <c r="I678" i="5"/>
  <c r="I677" i="5"/>
  <c r="I676" i="5"/>
  <c r="I675" i="5"/>
  <c r="I674" i="5"/>
  <c r="I673" i="5"/>
  <c r="I672" i="5"/>
  <c r="I671" i="5"/>
  <c r="I670" i="5"/>
  <c r="I669" i="5"/>
  <c r="I668" i="5"/>
  <c r="I667" i="5"/>
  <c r="I666" i="5"/>
  <c r="I665" i="5"/>
  <c r="I664" i="5"/>
  <c r="I663" i="5"/>
  <c r="I662" i="5"/>
  <c r="I661" i="5"/>
  <c r="I660" i="5"/>
  <c r="I659" i="5"/>
  <c r="I658" i="5"/>
  <c r="I657" i="5"/>
  <c r="I656" i="5"/>
  <c r="I655" i="5"/>
  <c r="I654" i="5"/>
  <c r="I653" i="5"/>
  <c r="I652" i="5"/>
  <c r="I651" i="5"/>
  <c r="I650" i="5"/>
  <c r="I649" i="5"/>
  <c r="I648" i="5"/>
  <c r="I647" i="5"/>
  <c r="I646" i="5"/>
  <c r="I645" i="5"/>
  <c r="I644" i="5"/>
  <c r="I643" i="5"/>
  <c r="I642" i="5"/>
  <c r="I641" i="5"/>
  <c r="I640" i="5"/>
  <c r="I639" i="5"/>
  <c r="I638" i="5"/>
  <c r="I637" i="5"/>
  <c r="I636" i="5"/>
  <c r="I635" i="5"/>
  <c r="I634" i="5"/>
  <c r="I633" i="5"/>
  <c r="I632" i="5"/>
  <c r="I631" i="5"/>
  <c r="I630" i="5"/>
  <c r="I629" i="5"/>
  <c r="I628" i="5"/>
  <c r="I627" i="5"/>
  <c r="I626" i="5"/>
  <c r="I625" i="5"/>
  <c r="I624" i="5"/>
  <c r="I623" i="5"/>
  <c r="I622" i="5"/>
  <c r="I621" i="5"/>
  <c r="I620" i="5"/>
  <c r="I619" i="5"/>
  <c r="I618" i="5"/>
  <c r="I617" i="5"/>
  <c r="I616" i="5"/>
  <c r="I615" i="5"/>
  <c r="I614" i="5"/>
  <c r="I613" i="5"/>
  <c r="I612" i="5"/>
  <c r="I611" i="5"/>
  <c r="I610" i="5"/>
  <c r="I609" i="5"/>
  <c r="I608" i="5"/>
  <c r="I607" i="5"/>
  <c r="I606" i="5"/>
  <c r="I605" i="5"/>
  <c r="I604" i="5"/>
  <c r="I603" i="5"/>
  <c r="I602" i="5"/>
  <c r="I601" i="5"/>
  <c r="I600" i="5"/>
  <c r="I599" i="5"/>
  <c r="I598" i="5"/>
  <c r="I597" i="5"/>
  <c r="I596" i="5"/>
  <c r="I595" i="5"/>
  <c r="I594" i="5"/>
  <c r="I593" i="5"/>
  <c r="I592" i="5"/>
  <c r="I591" i="5"/>
  <c r="I590" i="5"/>
  <c r="I589" i="5"/>
  <c r="I588" i="5"/>
  <c r="I587" i="5"/>
  <c r="I586" i="5"/>
  <c r="I585" i="5"/>
  <c r="I584" i="5"/>
  <c r="I583" i="5"/>
  <c r="I582" i="5"/>
  <c r="I581" i="5"/>
  <c r="I580" i="5"/>
  <c r="I579" i="5"/>
  <c r="I578" i="5"/>
  <c r="I577" i="5"/>
  <c r="I576" i="5"/>
  <c r="I575" i="5"/>
  <c r="I574" i="5"/>
  <c r="I573" i="5"/>
  <c r="I572" i="5"/>
  <c r="I571" i="5"/>
  <c r="I570" i="5"/>
  <c r="I569" i="5"/>
  <c r="I568" i="5"/>
  <c r="I567" i="5"/>
  <c r="I566" i="5"/>
  <c r="I565" i="5"/>
  <c r="I564" i="5"/>
  <c r="I563" i="5"/>
  <c r="I562" i="5"/>
  <c r="I561" i="5"/>
  <c r="I560" i="5"/>
  <c r="I559" i="5"/>
  <c r="I558" i="5"/>
  <c r="I557" i="5"/>
  <c r="I556" i="5"/>
  <c r="I555" i="5"/>
  <c r="I554" i="5"/>
  <c r="I553" i="5"/>
  <c r="I552" i="5"/>
  <c r="I551" i="5"/>
  <c r="I550" i="5"/>
  <c r="I549" i="5"/>
  <c r="I548" i="5"/>
  <c r="I547" i="5"/>
  <c r="I546" i="5"/>
  <c r="I545" i="5"/>
  <c r="I544" i="5"/>
  <c r="I543" i="5"/>
  <c r="I542" i="5"/>
  <c r="I541" i="5"/>
  <c r="I540" i="5"/>
  <c r="I539" i="5"/>
  <c r="I538" i="5"/>
  <c r="I537" i="5"/>
  <c r="I536" i="5"/>
  <c r="I535" i="5"/>
  <c r="I534" i="5"/>
  <c r="I533" i="5"/>
  <c r="I532" i="5"/>
  <c r="I531" i="5"/>
  <c r="I530" i="5"/>
  <c r="I529" i="5"/>
  <c r="I528" i="5"/>
  <c r="I527" i="5"/>
  <c r="I526" i="5"/>
  <c r="I525" i="5"/>
  <c r="I524" i="5"/>
  <c r="I523" i="5"/>
  <c r="I522" i="5"/>
  <c r="I521" i="5"/>
  <c r="I520" i="5"/>
  <c r="I519" i="5"/>
  <c r="I518" i="5"/>
  <c r="I517" i="5"/>
  <c r="I516" i="5"/>
  <c r="I515" i="5"/>
  <c r="I514" i="5"/>
  <c r="I513" i="5"/>
  <c r="I512" i="5"/>
  <c r="I511" i="5"/>
  <c r="I510" i="5"/>
  <c r="I509" i="5"/>
  <c r="I508" i="5"/>
  <c r="I507" i="5"/>
  <c r="I506" i="5"/>
  <c r="I505" i="5"/>
  <c r="I504" i="5"/>
  <c r="I503" i="5"/>
  <c r="I502" i="5"/>
  <c r="I501" i="5"/>
  <c r="I500" i="5"/>
  <c r="I499" i="5"/>
  <c r="I498" i="5"/>
  <c r="I497" i="5"/>
  <c r="I496" i="5"/>
  <c r="I495" i="5"/>
  <c r="I494" i="5"/>
  <c r="I493" i="5"/>
  <c r="I492" i="5"/>
  <c r="I491" i="5"/>
  <c r="I490" i="5"/>
  <c r="I489" i="5"/>
  <c r="I488" i="5"/>
  <c r="I487" i="5"/>
  <c r="I486" i="5"/>
  <c r="I485" i="5"/>
  <c r="I484" i="5"/>
  <c r="I483" i="5"/>
  <c r="I482" i="5"/>
  <c r="I481" i="5"/>
  <c r="I480" i="5"/>
  <c r="I479" i="5"/>
  <c r="I478" i="5"/>
  <c r="I477" i="5"/>
  <c r="I476" i="5"/>
  <c r="I475" i="5"/>
  <c r="I474" i="5"/>
  <c r="I473" i="5"/>
  <c r="I472" i="5"/>
  <c r="I471" i="5"/>
  <c r="I470" i="5"/>
  <c r="I469" i="5"/>
  <c r="I468" i="5"/>
  <c r="I467" i="5"/>
  <c r="I466" i="5"/>
  <c r="I465" i="5"/>
  <c r="I464" i="5"/>
  <c r="I463" i="5"/>
  <c r="I462" i="5"/>
  <c r="I461" i="5"/>
  <c r="I460" i="5"/>
  <c r="I459" i="5"/>
  <c r="I458" i="5"/>
  <c r="I457" i="5"/>
  <c r="I456" i="5"/>
  <c r="I455" i="5"/>
  <c r="I454" i="5"/>
  <c r="I453" i="5"/>
  <c r="I452" i="5"/>
  <c r="I451" i="5"/>
  <c r="I450" i="5"/>
  <c r="I449" i="5"/>
  <c r="I448" i="5"/>
  <c r="I447" i="5"/>
  <c r="I446" i="5"/>
  <c r="I445" i="5"/>
  <c r="I444" i="5"/>
  <c r="I443" i="5"/>
  <c r="I442" i="5"/>
  <c r="I441" i="5"/>
  <c r="I440" i="5"/>
  <c r="I439" i="5"/>
  <c r="I438" i="5"/>
  <c r="I437" i="5"/>
  <c r="I436" i="5"/>
  <c r="I435" i="5"/>
  <c r="I434" i="5"/>
  <c r="I433" i="5"/>
  <c r="I432" i="5"/>
  <c r="I431" i="5"/>
  <c r="I430" i="5"/>
  <c r="I429" i="5"/>
  <c r="I428" i="5"/>
  <c r="I427" i="5"/>
  <c r="I426" i="5"/>
  <c r="I425" i="5"/>
  <c r="I424" i="5"/>
  <c r="I423" i="5"/>
  <c r="I422" i="5"/>
  <c r="I421" i="5"/>
  <c r="I420" i="5"/>
  <c r="I419" i="5"/>
  <c r="I418" i="5"/>
  <c r="I417" i="5"/>
  <c r="I416" i="5"/>
  <c r="I415" i="5"/>
  <c r="I414" i="5"/>
  <c r="I413" i="5"/>
  <c r="I412" i="5"/>
  <c r="I411" i="5"/>
  <c r="I410" i="5"/>
  <c r="I409" i="5"/>
  <c r="I408" i="5"/>
  <c r="I407" i="5"/>
  <c r="I406" i="5"/>
  <c r="I405" i="5"/>
  <c r="I404" i="5"/>
  <c r="I403" i="5"/>
  <c r="I402" i="5"/>
  <c r="I401" i="5"/>
  <c r="I400" i="5"/>
  <c r="I399" i="5"/>
  <c r="I398" i="5"/>
  <c r="I397" i="5"/>
  <c r="I396" i="5"/>
  <c r="I395" i="5"/>
  <c r="I394" i="5"/>
  <c r="I393" i="5"/>
  <c r="I392" i="5"/>
  <c r="I391" i="5"/>
  <c r="I390" i="5"/>
  <c r="I389" i="5"/>
  <c r="I388" i="5"/>
  <c r="I387" i="5"/>
  <c r="I386" i="5"/>
  <c r="I385" i="5"/>
  <c r="I384" i="5"/>
  <c r="I383" i="5"/>
  <c r="I382" i="5"/>
  <c r="I381" i="5"/>
  <c r="I380" i="5"/>
  <c r="I379" i="5"/>
  <c r="I378" i="5"/>
  <c r="I377" i="5"/>
  <c r="I376" i="5"/>
  <c r="I375" i="5"/>
  <c r="I374" i="5"/>
  <c r="I373" i="5"/>
  <c r="I372" i="5"/>
  <c r="I371" i="5"/>
  <c r="I370" i="5"/>
  <c r="I369" i="5"/>
  <c r="I368" i="5"/>
  <c r="I367" i="5"/>
  <c r="I366" i="5"/>
  <c r="I365" i="5"/>
  <c r="I364" i="5"/>
  <c r="I363" i="5"/>
  <c r="I362" i="5"/>
  <c r="I361" i="5"/>
  <c r="I360" i="5"/>
  <c r="I359" i="5"/>
  <c r="I358" i="5"/>
  <c r="I357" i="5"/>
  <c r="I356" i="5"/>
  <c r="I355" i="5"/>
  <c r="I354" i="5"/>
  <c r="I353" i="5"/>
  <c r="I352" i="5"/>
  <c r="I351" i="5"/>
  <c r="I350" i="5"/>
  <c r="I349" i="5"/>
  <c r="I348" i="5"/>
  <c r="I347" i="5"/>
  <c r="I346" i="5"/>
  <c r="I345" i="5"/>
  <c r="I344" i="5"/>
  <c r="I343" i="5"/>
  <c r="I342" i="5"/>
  <c r="I341" i="5"/>
  <c r="I340" i="5"/>
  <c r="I339" i="5"/>
  <c r="I338" i="5"/>
  <c r="I337" i="5"/>
  <c r="I336" i="5"/>
  <c r="I335" i="5"/>
  <c r="I334" i="5"/>
  <c r="I333" i="5"/>
  <c r="I332" i="5"/>
  <c r="I331" i="5"/>
  <c r="I330" i="5"/>
  <c r="I329" i="5"/>
  <c r="I328" i="5"/>
  <c r="I327" i="5"/>
  <c r="I326" i="5"/>
  <c r="I325" i="5"/>
  <c r="I324" i="5"/>
  <c r="I323" i="5"/>
  <c r="I322" i="5"/>
  <c r="I321" i="5"/>
  <c r="I320" i="5"/>
  <c r="I319" i="5"/>
  <c r="I318" i="5"/>
  <c r="I317" i="5"/>
  <c r="I316" i="5"/>
  <c r="I315" i="5"/>
  <c r="I314" i="5"/>
  <c r="I313" i="5"/>
  <c r="I312" i="5"/>
  <c r="I311" i="5"/>
  <c r="I310" i="5"/>
  <c r="I309" i="5"/>
  <c r="I308" i="5"/>
  <c r="I307" i="5"/>
  <c r="I306" i="5"/>
  <c r="I305" i="5"/>
  <c r="I304" i="5"/>
  <c r="I303" i="5"/>
  <c r="I302" i="5"/>
  <c r="I301" i="5"/>
  <c r="I300" i="5"/>
  <c r="I299" i="5"/>
  <c r="I298" i="5"/>
  <c r="I297" i="5"/>
  <c r="I296" i="5"/>
  <c r="I295" i="5"/>
  <c r="I294" i="5"/>
  <c r="I293" i="5"/>
  <c r="I292" i="5"/>
  <c r="I291" i="5"/>
  <c r="I290" i="5"/>
  <c r="I289" i="5"/>
  <c r="I288" i="5"/>
  <c r="I287" i="5"/>
  <c r="I286" i="5"/>
  <c r="I285" i="5"/>
  <c r="I284" i="5"/>
  <c r="I283" i="5"/>
  <c r="I282" i="5"/>
  <c r="I281" i="5"/>
  <c r="I280" i="5"/>
  <c r="I279" i="5"/>
  <c r="I278" i="5"/>
  <c r="I277" i="5"/>
  <c r="I276" i="5"/>
  <c r="I275" i="5"/>
  <c r="I274" i="5"/>
  <c r="I273" i="5"/>
  <c r="I272" i="5"/>
  <c r="I271" i="5"/>
  <c r="I270" i="5"/>
  <c r="I269" i="5"/>
  <c r="I268" i="5"/>
  <c r="I267" i="5"/>
  <c r="I266" i="5"/>
  <c r="I265" i="5"/>
  <c r="I264" i="5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I731" i="5" s="1"/>
  <c r="AC722" i="1"/>
  <c r="AB722" i="1"/>
  <c r="AA722" i="1"/>
  <c r="Z722" i="1"/>
  <c r="Y722" i="1"/>
  <c r="X722" i="1"/>
  <c r="W722" i="1"/>
  <c r="N722" i="1"/>
  <c r="F722" i="1"/>
  <c r="AC721" i="1"/>
  <c r="AB721" i="1"/>
  <c r="AA721" i="1"/>
  <c r="Z721" i="1"/>
  <c r="Y721" i="1"/>
  <c r="X721" i="1"/>
  <c r="W721" i="1"/>
  <c r="N721" i="1"/>
  <c r="F721" i="1"/>
  <c r="AC720" i="1"/>
  <c r="AB720" i="1"/>
  <c r="AA720" i="1"/>
  <c r="Z720" i="1"/>
  <c r="Y720" i="1"/>
  <c r="X720" i="1"/>
  <c r="W720" i="1"/>
  <c r="N720" i="1"/>
  <c r="F720" i="1"/>
  <c r="AC719" i="1"/>
  <c r="AB719" i="1"/>
  <c r="AA719" i="1"/>
  <c r="Z719" i="1"/>
  <c r="Y719" i="1"/>
  <c r="X719" i="1"/>
  <c r="W719" i="1"/>
  <c r="N719" i="1"/>
  <c r="F719" i="1"/>
  <c r="AC718" i="1"/>
  <c r="AB718" i="1"/>
  <c r="AA718" i="1"/>
  <c r="Z718" i="1"/>
  <c r="Y718" i="1"/>
  <c r="X718" i="1"/>
  <c r="W718" i="1"/>
  <c r="N718" i="1"/>
  <c r="F718" i="1"/>
  <c r="AC717" i="1"/>
  <c r="AB717" i="1"/>
  <c r="AA717" i="1"/>
  <c r="Z717" i="1"/>
  <c r="Y717" i="1"/>
  <c r="X717" i="1"/>
  <c r="W717" i="1"/>
  <c r="N717" i="1"/>
  <c r="F717" i="1"/>
  <c r="AC716" i="1"/>
  <c r="AB716" i="1"/>
  <c r="AA716" i="1"/>
  <c r="Z716" i="1"/>
  <c r="Y716" i="1"/>
  <c r="X716" i="1"/>
  <c r="W716" i="1"/>
  <c r="N716" i="1"/>
  <c r="F716" i="1"/>
  <c r="AC715" i="1"/>
  <c r="AB715" i="1"/>
  <c r="AA715" i="1"/>
  <c r="Z715" i="1"/>
  <c r="Y715" i="1"/>
  <c r="X715" i="1"/>
  <c r="W715" i="1"/>
  <c r="N715" i="1"/>
  <c r="F715" i="1"/>
  <c r="AC714" i="1"/>
  <c r="AB714" i="1"/>
  <c r="AA714" i="1"/>
  <c r="Z714" i="1"/>
  <c r="Y714" i="1"/>
  <c r="X714" i="1"/>
  <c r="W714" i="1"/>
  <c r="N714" i="1"/>
  <c r="F714" i="1"/>
  <c r="AC713" i="1"/>
  <c r="AB713" i="1"/>
  <c r="AA713" i="1"/>
  <c r="Z713" i="1"/>
  <c r="Y713" i="1"/>
  <c r="X713" i="1"/>
  <c r="W713" i="1"/>
  <c r="N713" i="1"/>
  <c r="F713" i="1"/>
  <c r="AC712" i="1"/>
  <c r="AB712" i="1"/>
  <c r="AA712" i="1"/>
  <c r="Z712" i="1"/>
  <c r="Y712" i="1"/>
  <c r="X712" i="1"/>
  <c r="W712" i="1"/>
  <c r="N712" i="1"/>
  <c r="F712" i="1"/>
  <c r="AC711" i="1"/>
  <c r="AB711" i="1"/>
  <c r="AA711" i="1"/>
  <c r="Z711" i="1"/>
  <c r="Y711" i="1"/>
  <c r="X711" i="1"/>
  <c r="W711" i="1"/>
  <c r="N711" i="1"/>
  <c r="F711" i="1"/>
  <c r="AC710" i="1"/>
  <c r="AB710" i="1"/>
  <c r="AA710" i="1"/>
  <c r="Z710" i="1"/>
  <c r="Y710" i="1"/>
  <c r="X710" i="1"/>
  <c r="W710" i="1"/>
  <c r="N710" i="1"/>
  <c r="F710" i="1"/>
  <c r="AC709" i="1"/>
  <c r="AB709" i="1"/>
  <c r="AA709" i="1"/>
  <c r="Z709" i="1"/>
  <c r="Y709" i="1"/>
  <c r="X709" i="1"/>
  <c r="W709" i="1"/>
  <c r="N709" i="1"/>
  <c r="F709" i="1"/>
  <c r="AC708" i="1"/>
  <c r="AB708" i="1"/>
  <c r="AA708" i="1"/>
  <c r="Z708" i="1"/>
  <c r="Y708" i="1"/>
  <c r="X708" i="1"/>
  <c r="W708" i="1"/>
  <c r="N708" i="1"/>
  <c r="F708" i="1"/>
  <c r="AC707" i="1"/>
  <c r="AB707" i="1"/>
  <c r="AA707" i="1"/>
  <c r="Z707" i="1"/>
  <c r="Y707" i="1"/>
  <c r="X707" i="1"/>
  <c r="W707" i="1"/>
  <c r="N707" i="1"/>
  <c r="F707" i="1"/>
  <c r="AC706" i="1"/>
  <c r="AB706" i="1"/>
  <c r="AA706" i="1"/>
  <c r="Z706" i="1"/>
  <c r="Y706" i="1"/>
  <c r="X706" i="1"/>
  <c r="W706" i="1"/>
  <c r="N706" i="1"/>
  <c r="F706" i="1"/>
  <c r="AC705" i="1"/>
  <c r="AB705" i="1"/>
  <c r="AA705" i="1"/>
  <c r="Z705" i="1"/>
  <c r="Y705" i="1"/>
  <c r="X705" i="1"/>
  <c r="W705" i="1"/>
  <c r="N705" i="1"/>
  <c r="F705" i="1"/>
  <c r="AC704" i="1"/>
  <c r="AB704" i="1"/>
  <c r="AA704" i="1"/>
  <c r="Z704" i="1"/>
  <c r="Y704" i="1"/>
  <c r="X704" i="1"/>
  <c r="W704" i="1"/>
  <c r="N704" i="1"/>
  <c r="F704" i="1"/>
  <c r="AC703" i="1"/>
  <c r="AB703" i="1"/>
  <c r="AA703" i="1"/>
  <c r="Z703" i="1"/>
  <c r="Y703" i="1"/>
  <c r="X703" i="1"/>
  <c r="W703" i="1"/>
  <c r="N703" i="1"/>
  <c r="F703" i="1"/>
  <c r="AC702" i="1"/>
  <c r="AB702" i="1"/>
  <c r="AA702" i="1"/>
  <c r="Z702" i="1"/>
  <c r="Y702" i="1"/>
  <c r="X702" i="1"/>
  <c r="W702" i="1"/>
  <c r="N702" i="1"/>
  <c r="F702" i="1"/>
  <c r="AC701" i="1"/>
  <c r="AB701" i="1"/>
  <c r="AA701" i="1"/>
  <c r="Z701" i="1"/>
  <c r="Y701" i="1"/>
  <c r="X701" i="1"/>
  <c r="W701" i="1"/>
  <c r="N701" i="1"/>
  <c r="F701" i="1"/>
  <c r="AC700" i="1"/>
  <c r="AB700" i="1"/>
  <c r="AA700" i="1"/>
  <c r="Z700" i="1"/>
  <c r="Y700" i="1"/>
  <c r="X700" i="1"/>
  <c r="W700" i="1"/>
  <c r="N700" i="1"/>
  <c r="F700" i="1"/>
  <c r="AC699" i="1"/>
  <c r="AB699" i="1"/>
  <c r="AA699" i="1"/>
  <c r="Z699" i="1"/>
  <c r="Y699" i="1"/>
  <c r="X699" i="1"/>
  <c r="W699" i="1"/>
  <c r="N699" i="1"/>
  <c r="F699" i="1"/>
  <c r="AC698" i="1"/>
  <c r="AB698" i="1"/>
  <c r="AA698" i="1"/>
  <c r="Z698" i="1"/>
  <c r="Y698" i="1"/>
  <c r="X698" i="1"/>
  <c r="W698" i="1"/>
  <c r="N698" i="1"/>
  <c r="F698" i="1"/>
  <c r="AC697" i="1"/>
  <c r="AB697" i="1"/>
  <c r="AA697" i="1"/>
  <c r="Z697" i="1"/>
  <c r="Y697" i="1"/>
  <c r="X697" i="1"/>
  <c r="W697" i="1"/>
  <c r="N697" i="1"/>
  <c r="F697" i="1"/>
  <c r="AC696" i="1"/>
  <c r="AB696" i="1"/>
  <c r="AA696" i="1"/>
  <c r="Z696" i="1"/>
  <c r="Y696" i="1"/>
  <c r="X696" i="1"/>
  <c r="W696" i="1"/>
  <c r="N696" i="1"/>
  <c r="F696" i="1"/>
  <c r="AC695" i="1"/>
  <c r="AB695" i="1"/>
  <c r="AA695" i="1"/>
  <c r="Z695" i="1"/>
  <c r="Y695" i="1"/>
  <c r="X695" i="1"/>
  <c r="W695" i="1"/>
  <c r="N695" i="1"/>
  <c r="F695" i="1"/>
  <c r="AC694" i="1"/>
  <c r="AB694" i="1"/>
  <c r="AA694" i="1"/>
  <c r="Z694" i="1"/>
  <c r="Y694" i="1"/>
  <c r="X694" i="1"/>
  <c r="W694" i="1"/>
  <c r="N694" i="1"/>
  <c r="F694" i="1"/>
  <c r="AC693" i="1"/>
  <c r="AB693" i="1"/>
  <c r="AA693" i="1"/>
  <c r="Z693" i="1"/>
  <c r="Y693" i="1"/>
  <c r="X693" i="1"/>
  <c r="W693" i="1"/>
  <c r="N693" i="1"/>
  <c r="F693" i="1"/>
  <c r="AC692" i="1"/>
  <c r="AB692" i="1"/>
  <c r="AA692" i="1"/>
  <c r="Z692" i="1"/>
  <c r="Y692" i="1"/>
  <c r="X692" i="1"/>
  <c r="W692" i="1"/>
  <c r="N692" i="1"/>
  <c r="F692" i="1"/>
  <c r="AC691" i="1"/>
  <c r="AB691" i="1"/>
  <c r="AA691" i="1"/>
  <c r="Z691" i="1"/>
  <c r="Y691" i="1"/>
  <c r="X691" i="1"/>
  <c r="W691" i="1"/>
  <c r="N691" i="1"/>
  <c r="F691" i="1"/>
  <c r="AC690" i="1"/>
  <c r="AB690" i="1"/>
  <c r="AA690" i="1"/>
  <c r="Z690" i="1"/>
  <c r="Y690" i="1"/>
  <c r="X690" i="1"/>
  <c r="W690" i="1"/>
  <c r="N690" i="1"/>
  <c r="F690" i="1"/>
  <c r="AC689" i="1"/>
  <c r="AB689" i="1"/>
  <c r="AA689" i="1"/>
  <c r="Z689" i="1"/>
  <c r="Y689" i="1"/>
  <c r="X689" i="1"/>
  <c r="W689" i="1"/>
  <c r="N689" i="1"/>
  <c r="F689" i="1"/>
  <c r="AC688" i="1"/>
  <c r="AB688" i="1"/>
  <c r="AA688" i="1"/>
  <c r="Z688" i="1"/>
  <c r="Y688" i="1"/>
  <c r="X688" i="1"/>
  <c r="W688" i="1"/>
  <c r="N688" i="1"/>
  <c r="F688" i="1"/>
  <c r="AC687" i="1"/>
  <c r="AB687" i="1"/>
  <c r="AA687" i="1"/>
  <c r="Z687" i="1"/>
  <c r="Y687" i="1"/>
  <c r="X687" i="1"/>
  <c r="W687" i="1"/>
  <c r="N687" i="1"/>
  <c r="F687" i="1"/>
  <c r="AC686" i="1"/>
  <c r="AB686" i="1"/>
  <c r="AA686" i="1"/>
  <c r="Z686" i="1"/>
  <c r="Y686" i="1"/>
  <c r="X686" i="1"/>
  <c r="W686" i="1"/>
  <c r="N686" i="1"/>
  <c r="F686" i="1"/>
  <c r="AC685" i="1"/>
  <c r="AB685" i="1"/>
  <c r="AA685" i="1"/>
  <c r="Z685" i="1"/>
  <c r="Y685" i="1"/>
  <c r="X685" i="1"/>
  <c r="W685" i="1"/>
  <c r="N685" i="1"/>
  <c r="F685" i="1"/>
  <c r="AC684" i="1"/>
  <c r="AB684" i="1"/>
  <c r="AA684" i="1"/>
  <c r="Z684" i="1"/>
  <c r="Y684" i="1"/>
  <c r="X684" i="1"/>
  <c r="W684" i="1"/>
  <c r="N684" i="1"/>
  <c r="F684" i="1"/>
  <c r="AC683" i="1"/>
  <c r="AB683" i="1"/>
  <c r="AA683" i="1"/>
  <c r="Z683" i="1"/>
  <c r="Y683" i="1"/>
  <c r="X683" i="1"/>
  <c r="W683" i="1"/>
  <c r="N683" i="1"/>
  <c r="F683" i="1"/>
  <c r="AC682" i="1"/>
  <c r="AB682" i="1"/>
  <c r="AA682" i="1"/>
  <c r="Z682" i="1"/>
  <c r="Y682" i="1"/>
  <c r="X682" i="1"/>
  <c r="W682" i="1"/>
  <c r="N682" i="1"/>
  <c r="F682" i="1"/>
  <c r="AC681" i="1"/>
  <c r="AB681" i="1"/>
  <c r="AA681" i="1"/>
  <c r="Z681" i="1"/>
  <c r="Y681" i="1"/>
  <c r="X681" i="1"/>
  <c r="W681" i="1"/>
  <c r="N681" i="1"/>
  <c r="F681" i="1"/>
  <c r="AC680" i="1"/>
  <c r="AB680" i="1"/>
  <c r="AA680" i="1"/>
  <c r="Z680" i="1"/>
  <c r="Y680" i="1"/>
  <c r="X680" i="1"/>
  <c r="W680" i="1"/>
  <c r="N680" i="1"/>
  <c r="F680" i="1"/>
  <c r="AC679" i="1"/>
  <c r="AB679" i="1"/>
  <c r="AA679" i="1"/>
  <c r="Z679" i="1"/>
  <c r="Y679" i="1"/>
  <c r="X679" i="1"/>
  <c r="W679" i="1"/>
  <c r="N679" i="1"/>
  <c r="F679" i="1"/>
  <c r="AC678" i="1"/>
  <c r="AB678" i="1"/>
  <c r="AA678" i="1"/>
  <c r="Z678" i="1"/>
  <c r="Y678" i="1"/>
  <c r="X678" i="1"/>
  <c r="W678" i="1"/>
  <c r="N678" i="1"/>
  <c r="F678" i="1"/>
  <c r="AC677" i="1"/>
  <c r="AB677" i="1"/>
  <c r="AA677" i="1"/>
  <c r="Z677" i="1"/>
  <c r="Y677" i="1"/>
  <c r="X677" i="1"/>
  <c r="W677" i="1"/>
  <c r="N677" i="1"/>
  <c r="F677" i="1"/>
  <c r="AC676" i="1"/>
  <c r="AB676" i="1"/>
  <c r="AA676" i="1"/>
  <c r="Z676" i="1"/>
  <c r="Y676" i="1"/>
  <c r="X676" i="1"/>
  <c r="W676" i="1"/>
  <c r="N676" i="1"/>
  <c r="F676" i="1"/>
  <c r="AC675" i="1"/>
  <c r="AB675" i="1"/>
  <c r="AA675" i="1"/>
  <c r="Z675" i="1"/>
  <c r="Y675" i="1"/>
  <c r="X675" i="1"/>
  <c r="W675" i="1"/>
  <c r="N675" i="1"/>
  <c r="F675" i="1"/>
  <c r="AC674" i="1"/>
  <c r="AB674" i="1"/>
  <c r="AA674" i="1"/>
  <c r="Z674" i="1"/>
  <c r="Y674" i="1"/>
  <c r="X674" i="1"/>
  <c r="W674" i="1"/>
  <c r="N674" i="1"/>
  <c r="F674" i="1"/>
  <c r="AC673" i="1"/>
  <c r="AB673" i="1"/>
  <c r="AA673" i="1"/>
  <c r="Z673" i="1"/>
  <c r="Y673" i="1"/>
  <c r="X673" i="1"/>
  <c r="W673" i="1"/>
  <c r="N673" i="1"/>
  <c r="F673" i="1"/>
  <c r="AC672" i="1"/>
  <c r="AB672" i="1"/>
  <c r="AA672" i="1"/>
  <c r="Z672" i="1"/>
  <c r="Y672" i="1"/>
  <c r="X672" i="1"/>
  <c r="W672" i="1"/>
  <c r="N672" i="1"/>
  <c r="F672" i="1"/>
  <c r="AC671" i="1"/>
  <c r="AB671" i="1"/>
  <c r="AA671" i="1"/>
  <c r="Z671" i="1"/>
  <c r="Y671" i="1"/>
  <c r="X671" i="1"/>
  <c r="W671" i="1"/>
  <c r="N671" i="1"/>
  <c r="F671" i="1"/>
  <c r="AC670" i="1"/>
  <c r="AB670" i="1"/>
  <c r="AA670" i="1"/>
  <c r="Z670" i="1"/>
  <c r="Y670" i="1"/>
  <c r="X670" i="1"/>
  <c r="W670" i="1"/>
  <c r="N670" i="1"/>
  <c r="F670" i="1"/>
  <c r="AC669" i="1"/>
  <c r="AB669" i="1"/>
  <c r="AA669" i="1"/>
  <c r="Z669" i="1"/>
  <c r="Y669" i="1"/>
  <c r="X669" i="1"/>
  <c r="W669" i="1"/>
  <c r="N669" i="1"/>
  <c r="F669" i="1"/>
  <c r="AC668" i="1"/>
  <c r="AB668" i="1"/>
  <c r="AA668" i="1"/>
  <c r="Z668" i="1"/>
  <c r="Y668" i="1"/>
  <c r="X668" i="1"/>
  <c r="W668" i="1"/>
  <c r="N668" i="1"/>
  <c r="F668" i="1"/>
  <c r="AC667" i="1"/>
  <c r="AB667" i="1"/>
  <c r="AA667" i="1"/>
  <c r="Z667" i="1"/>
  <c r="Y667" i="1"/>
  <c r="X667" i="1"/>
  <c r="W667" i="1"/>
  <c r="N667" i="1"/>
  <c r="F667" i="1"/>
  <c r="AC666" i="1"/>
  <c r="AB666" i="1"/>
  <c r="AA666" i="1"/>
  <c r="Z666" i="1"/>
  <c r="Y666" i="1"/>
  <c r="X666" i="1"/>
  <c r="W666" i="1"/>
  <c r="N666" i="1"/>
  <c r="F666" i="1"/>
  <c r="AC665" i="1"/>
  <c r="AB665" i="1"/>
  <c r="AA665" i="1"/>
  <c r="Z665" i="1"/>
  <c r="Y665" i="1"/>
  <c r="X665" i="1"/>
  <c r="W665" i="1"/>
  <c r="N665" i="1"/>
  <c r="F665" i="1"/>
  <c r="AC664" i="1"/>
  <c r="AB664" i="1"/>
  <c r="AA664" i="1"/>
  <c r="Z664" i="1"/>
  <c r="Y664" i="1"/>
  <c r="X664" i="1"/>
  <c r="W664" i="1"/>
  <c r="N664" i="1"/>
  <c r="F664" i="1"/>
  <c r="AC663" i="1"/>
  <c r="AB663" i="1"/>
  <c r="AA663" i="1"/>
  <c r="Z663" i="1"/>
  <c r="Y663" i="1"/>
  <c r="X663" i="1"/>
  <c r="W663" i="1"/>
  <c r="N663" i="1"/>
  <c r="F663" i="1"/>
  <c r="AC662" i="1"/>
  <c r="AB662" i="1"/>
  <c r="AA662" i="1"/>
  <c r="Z662" i="1"/>
  <c r="Y662" i="1"/>
  <c r="X662" i="1"/>
  <c r="W662" i="1"/>
  <c r="N662" i="1"/>
  <c r="F662" i="1"/>
  <c r="AC661" i="1"/>
  <c r="AB661" i="1"/>
  <c r="AA661" i="1"/>
  <c r="Z661" i="1"/>
  <c r="Y661" i="1"/>
  <c r="X661" i="1"/>
  <c r="W661" i="1"/>
  <c r="N661" i="1"/>
  <c r="F661" i="1"/>
  <c r="AC660" i="1"/>
  <c r="AB660" i="1"/>
  <c r="AA660" i="1"/>
  <c r="Z660" i="1"/>
  <c r="Y660" i="1"/>
  <c r="X660" i="1"/>
  <c r="W660" i="1"/>
  <c r="N660" i="1"/>
  <c r="F660" i="1"/>
  <c r="AC659" i="1"/>
  <c r="AB659" i="1"/>
  <c r="AA659" i="1"/>
  <c r="Z659" i="1"/>
  <c r="Y659" i="1"/>
  <c r="X659" i="1"/>
  <c r="W659" i="1"/>
  <c r="N659" i="1"/>
  <c r="F659" i="1"/>
  <c r="AC658" i="1"/>
  <c r="AB658" i="1"/>
  <c r="AA658" i="1"/>
  <c r="Z658" i="1"/>
  <c r="Y658" i="1"/>
  <c r="X658" i="1"/>
  <c r="W658" i="1"/>
  <c r="N658" i="1"/>
  <c r="F658" i="1"/>
  <c r="AC657" i="1"/>
  <c r="AB657" i="1"/>
  <c r="AA657" i="1"/>
  <c r="Z657" i="1"/>
  <c r="Y657" i="1"/>
  <c r="X657" i="1"/>
  <c r="W657" i="1"/>
  <c r="N657" i="1"/>
  <c r="F657" i="1"/>
  <c r="AC656" i="1"/>
  <c r="AB656" i="1"/>
  <c r="AA656" i="1"/>
  <c r="Z656" i="1"/>
  <c r="Y656" i="1"/>
  <c r="X656" i="1"/>
  <c r="W656" i="1"/>
  <c r="N656" i="1"/>
  <c r="F656" i="1"/>
  <c r="AC655" i="1"/>
  <c r="AB655" i="1"/>
  <c r="AA655" i="1"/>
  <c r="Z655" i="1"/>
  <c r="Y655" i="1"/>
  <c r="X655" i="1"/>
  <c r="W655" i="1"/>
  <c r="N655" i="1"/>
  <c r="F655" i="1"/>
  <c r="AC654" i="1"/>
  <c r="AB654" i="1"/>
  <c r="AA654" i="1"/>
  <c r="Z654" i="1"/>
  <c r="Y654" i="1"/>
  <c r="X654" i="1"/>
  <c r="W654" i="1"/>
  <c r="N654" i="1"/>
  <c r="F654" i="1"/>
  <c r="AC653" i="1"/>
  <c r="AB653" i="1"/>
  <c r="AA653" i="1"/>
  <c r="Z653" i="1"/>
  <c r="Y653" i="1"/>
  <c r="X653" i="1"/>
  <c r="W653" i="1"/>
  <c r="N653" i="1"/>
  <c r="F653" i="1"/>
  <c r="AC652" i="1"/>
  <c r="AB652" i="1"/>
  <c r="AA652" i="1"/>
  <c r="Z652" i="1"/>
  <c r="Y652" i="1"/>
  <c r="X652" i="1"/>
  <c r="W652" i="1"/>
  <c r="N652" i="1"/>
  <c r="F652" i="1"/>
  <c r="AC651" i="1"/>
  <c r="AB651" i="1"/>
  <c r="AA651" i="1"/>
  <c r="Z651" i="1"/>
  <c r="Y651" i="1"/>
  <c r="X651" i="1"/>
  <c r="W651" i="1"/>
  <c r="N651" i="1"/>
  <c r="F651" i="1"/>
  <c r="AC650" i="1"/>
  <c r="AB650" i="1"/>
  <c r="AA650" i="1"/>
  <c r="Z650" i="1"/>
  <c r="Y650" i="1"/>
  <c r="X650" i="1"/>
  <c r="W650" i="1"/>
  <c r="N650" i="1"/>
  <c r="F650" i="1"/>
  <c r="AC649" i="1"/>
  <c r="AB649" i="1"/>
  <c r="AA649" i="1"/>
  <c r="Z649" i="1"/>
  <c r="Y649" i="1"/>
  <c r="X649" i="1"/>
  <c r="W649" i="1"/>
  <c r="N649" i="1"/>
  <c r="F649" i="1"/>
  <c r="AC648" i="1"/>
  <c r="AB648" i="1"/>
  <c r="AA648" i="1"/>
  <c r="Z648" i="1"/>
  <c r="Y648" i="1"/>
  <c r="X648" i="1"/>
  <c r="W648" i="1"/>
  <c r="N648" i="1"/>
  <c r="F648" i="1"/>
  <c r="AC647" i="1"/>
  <c r="AB647" i="1"/>
  <c r="AA647" i="1"/>
  <c r="Z647" i="1"/>
  <c r="Y647" i="1"/>
  <c r="X647" i="1"/>
  <c r="W647" i="1"/>
  <c r="N647" i="1"/>
  <c r="F647" i="1"/>
  <c r="AC646" i="1"/>
  <c r="AB646" i="1"/>
  <c r="AA646" i="1"/>
  <c r="Z646" i="1"/>
  <c r="Y646" i="1"/>
  <c r="X646" i="1"/>
  <c r="W646" i="1"/>
  <c r="N646" i="1"/>
  <c r="F646" i="1"/>
  <c r="AC645" i="1"/>
  <c r="AB645" i="1"/>
  <c r="AA645" i="1"/>
  <c r="Z645" i="1"/>
  <c r="Y645" i="1"/>
  <c r="X645" i="1"/>
  <c r="W645" i="1"/>
  <c r="N645" i="1"/>
  <c r="F645" i="1"/>
  <c r="AC644" i="1"/>
  <c r="AB644" i="1"/>
  <c r="AA644" i="1"/>
  <c r="Z644" i="1"/>
  <c r="Y644" i="1"/>
  <c r="X644" i="1"/>
  <c r="W644" i="1"/>
  <c r="N644" i="1"/>
  <c r="F644" i="1"/>
  <c r="AC643" i="1"/>
  <c r="AB643" i="1"/>
  <c r="AA643" i="1"/>
  <c r="Z643" i="1"/>
  <c r="Y643" i="1"/>
  <c r="X643" i="1"/>
  <c r="W643" i="1"/>
  <c r="N643" i="1"/>
  <c r="F643" i="1"/>
  <c r="AC642" i="1"/>
  <c r="AB642" i="1"/>
  <c r="AA642" i="1"/>
  <c r="Z642" i="1"/>
  <c r="Y642" i="1"/>
  <c r="X642" i="1"/>
  <c r="W642" i="1"/>
  <c r="N642" i="1"/>
  <c r="F642" i="1"/>
  <c r="AC641" i="1"/>
  <c r="AB641" i="1"/>
  <c r="AA641" i="1"/>
  <c r="Z641" i="1"/>
  <c r="Y641" i="1"/>
  <c r="X641" i="1"/>
  <c r="W641" i="1"/>
  <c r="N641" i="1"/>
  <c r="F641" i="1"/>
  <c r="AC640" i="1"/>
  <c r="AB640" i="1"/>
  <c r="AA640" i="1"/>
  <c r="Z640" i="1"/>
  <c r="Y640" i="1"/>
  <c r="X640" i="1"/>
  <c r="W640" i="1"/>
  <c r="N640" i="1"/>
  <c r="F640" i="1"/>
  <c r="AC639" i="1"/>
  <c r="AB639" i="1"/>
  <c r="AA639" i="1"/>
  <c r="Z639" i="1"/>
  <c r="Y639" i="1"/>
  <c r="X639" i="1"/>
  <c r="W639" i="1"/>
  <c r="N639" i="1"/>
  <c r="F639" i="1"/>
  <c r="AC638" i="1"/>
  <c r="AB638" i="1"/>
  <c r="AA638" i="1"/>
  <c r="Z638" i="1"/>
  <c r="Y638" i="1"/>
  <c r="X638" i="1"/>
  <c r="W638" i="1"/>
  <c r="N638" i="1"/>
  <c r="F638" i="1"/>
  <c r="AC637" i="1"/>
  <c r="AB637" i="1"/>
  <c r="AA637" i="1"/>
  <c r="Z637" i="1"/>
  <c r="Y637" i="1"/>
  <c r="X637" i="1"/>
  <c r="W637" i="1"/>
  <c r="N637" i="1"/>
  <c r="F637" i="1"/>
  <c r="AC636" i="1"/>
  <c r="AB636" i="1"/>
  <c r="AA636" i="1"/>
  <c r="Z636" i="1"/>
  <c r="Y636" i="1"/>
  <c r="X636" i="1"/>
  <c r="W636" i="1"/>
  <c r="N636" i="1"/>
  <c r="F636" i="1"/>
  <c r="AC635" i="1"/>
  <c r="AB635" i="1"/>
  <c r="AA635" i="1"/>
  <c r="Z635" i="1"/>
  <c r="Y635" i="1"/>
  <c r="X635" i="1"/>
  <c r="W635" i="1"/>
  <c r="N635" i="1"/>
  <c r="F635" i="1"/>
  <c r="AC634" i="1"/>
  <c r="AB634" i="1"/>
  <c r="AA634" i="1"/>
  <c r="Z634" i="1"/>
  <c r="Y634" i="1"/>
  <c r="X634" i="1"/>
  <c r="W634" i="1"/>
  <c r="N634" i="1"/>
  <c r="F634" i="1"/>
  <c r="AC633" i="1"/>
  <c r="AB633" i="1"/>
  <c r="AA633" i="1"/>
  <c r="Z633" i="1"/>
  <c r="Y633" i="1"/>
  <c r="X633" i="1"/>
  <c r="W633" i="1"/>
  <c r="N633" i="1"/>
  <c r="F633" i="1"/>
  <c r="AC632" i="1"/>
  <c r="AB632" i="1"/>
  <c r="AA632" i="1"/>
  <c r="Z632" i="1"/>
  <c r="Y632" i="1"/>
  <c r="X632" i="1"/>
  <c r="W632" i="1"/>
  <c r="N632" i="1"/>
  <c r="F632" i="1"/>
  <c r="AC631" i="1"/>
  <c r="AB631" i="1"/>
  <c r="AA631" i="1"/>
  <c r="Z631" i="1"/>
  <c r="Y631" i="1"/>
  <c r="X631" i="1"/>
  <c r="W631" i="1"/>
  <c r="N631" i="1"/>
  <c r="F631" i="1"/>
  <c r="AC630" i="1"/>
  <c r="AB630" i="1"/>
  <c r="AA630" i="1"/>
  <c r="Z630" i="1"/>
  <c r="Y630" i="1"/>
  <c r="X630" i="1"/>
  <c r="W630" i="1"/>
  <c r="N630" i="1"/>
  <c r="F630" i="1"/>
  <c r="AC629" i="1"/>
  <c r="AB629" i="1"/>
  <c r="AA629" i="1"/>
  <c r="Z629" i="1"/>
  <c r="Y629" i="1"/>
  <c r="X629" i="1"/>
  <c r="W629" i="1"/>
  <c r="N629" i="1"/>
  <c r="F629" i="1"/>
  <c r="AC628" i="1"/>
  <c r="AB628" i="1"/>
  <c r="AA628" i="1"/>
  <c r="Z628" i="1"/>
  <c r="Y628" i="1"/>
  <c r="X628" i="1"/>
  <c r="W628" i="1"/>
  <c r="N628" i="1"/>
  <c r="F628" i="1"/>
  <c r="AC627" i="1"/>
  <c r="AB627" i="1"/>
  <c r="AA627" i="1"/>
  <c r="Z627" i="1"/>
  <c r="Y627" i="1"/>
  <c r="X627" i="1"/>
  <c r="W627" i="1"/>
  <c r="N627" i="1"/>
  <c r="F627" i="1"/>
  <c r="AC626" i="1"/>
  <c r="AB626" i="1"/>
  <c r="AA626" i="1"/>
  <c r="Z626" i="1"/>
  <c r="Y626" i="1"/>
  <c r="X626" i="1"/>
  <c r="W626" i="1"/>
  <c r="N626" i="1"/>
  <c r="F626" i="1"/>
  <c r="AC625" i="1"/>
  <c r="AB625" i="1"/>
  <c r="AA625" i="1"/>
  <c r="Z625" i="1"/>
  <c r="Y625" i="1"/>
  <c r="X625" i="1"/>
  <c r="W625" i="1"/>
  <c r="N625" i="1"/>
  <c r="F625" i="1"/>
  <c r="AC624" i="1"/>
  <c r="AB624" i="1"/>
  <c r="AA624" i="1"/>
  <c r="Z624" i="1"/>
  <c r="Y624" i="1"/>
  <c r="X624" i="1"/>
  <c r="W624" i="1"/>
  <c r="N624" i="1"/>
  <c r="F624" i="1"/>
  <c r="AC623" i="1"/>
  <c r="AB623" i="1"/>
  <c r="AA623" i="1"/>
  <c r="Z623" i="1"/>
  <c r="Y623" i="1"/>
  <c r="X623" i="1"/>
  <c r="W623" i="1"/>
  <c r="N623" i="1"/>
  <c r="F623" i="1"/>
  <c r="AC622" i="1"/>
  <c r="AB622" i="1"/>
  <c r="AA622" i="1"/>
  <c r="Z622" i="1"/>
  <c r="Y622" i="1"/>
  <c r="X622" i="1"/>
  <c r="W622" i="1"/>
  <c r="N622" i="1"/>
  <c r="F622" i="1"/>
  <c r="AC621" i="1"/>
  <c r="AB621" i="1"/>
  <c r="AA621" i="1"/>
  <c r="Z621" i="1"/>
  <c r="Y621" i="1"/>
  <c r="X621" i="1"/>
  <c r="W621" i="1"/>
  <c r="N621" i="1"/>
  <c r="F621" i="1"/>
  <c r="AC620" i="1"/>
  <c r="AB620" i="1"/>
  <c r="AA620" i="1"/>
  <c r="Z620" i="1"/>
  <c r="Y620" i="1"/>
  <c r="X620" i="1"/>
  <c r="W620" i="1"/>
  <c r="N620" i="1"/>
  <c r="F620" i="1"/>
  <c r="AC619" i="1"/>
  <c r="AB619" i="1"/>
  <c r="AA619" i="1"/>
  <c r="Z619" i="1"/>
  <c r="Y619" i="1"/>
  <c r="X619" i="1"/>
  <c r="W619" i="1"/>
  <c r="N619" i="1"/>
  <c r="F619" i="1"/>
  <c r="AC618" i="1"/>
  <c r="AB618" i="1"/>
  <c r="AA618" i="1"/>
  <c r="Z618" i="1"/>
  <c r="Y618" i="1"/>
  <c r="X618" i="1"/>
  <c r="W618" i="1"/>
  <c r="N618" i="1"/>
  <c r="F618" i="1"/>
  <c r="AC617" i="1"/>
  <c r="AB617" i="1"/>
  <c r="AA617" i="1"/>
  <c r="Z617" i="1"/>
  <c r="Y617" i="1"/>
  <c r="X617" i="1"/>
  <c r="W617" i="1"/>
  <c r="N617" i="1"/>
  <c r="F617" i="1"/>
  <c r="AC616" i="1"/>
  <c r="AB616" i="1"/>
  <c r="AA616" i="1"/>
  <c r="Z616" i="1"/>
  <c r="Y616" i="1"/>
  <c r="X616" i="1"/>
  <c r="W616" i="1"/>
  <c r="N616" i="1"/>
  <c r="F616" i="1"/>
  <c r="AC615" i="1"/>
  <c r="AB615" i="1"/>
  <c r="AA615" i="1"/>
  <c r="Z615" i="1"/>
  <c r="Y615" i="1"/>
  <c r="X615" i="1"/>
  <c r="W615" i="1"/>
  <c r="N615" i="1"/>
  <c r="F615" i="1"/>
  <c r="AC614" i="1"/>
  <c r="AB614" i="1"/>
  <c r="AA614" i="1"/>
  <c r="Z614" i="1"/>
  <c r="Y614" i="1"/>
  <c r="X614" i="1"/>
  <c r="W614" i="1"/>
  <c r="N614" i="1"/>
  <c r="F614" i="1"/>
  <c r="AC613" i="1"/>
  <c r="AB613" i="1"/>
  <c r="AA613" i="1"/>
  <c r="Z613" i="1"/>
  <c r="Y613" i="1"/>
  <c r="X613" i="1"/>
  <c r="W613" i="1"/>
  <c r="N613" i="1"/>
  <c r="F613" i="1"/>
  <c r="AC612" i="1"/>
  <c r="AB612" i="1"/>
  <c r="AA612" i="1"/>
  <c r="Z612" i="1"/>
  <c r="Y612" i="1"/>
  <c r="X612" i="1"/>
  <c r="W612" i="1"/>
  <c r="N612" i="1"/>
  <c r="F612" i="1"/>
  <c r="AC611" i="1"/>
  <c r="AB611" i="1"/>
  <c r="AA611" i="1"/>
  <c r="Z611" i="1"/>
  <c r="Y611" i="1"/>
  <c r="X611" i="1"/>
  <c r="W611" i="1"/>
  <c r="N611" i="1"/>
  <c r="F611" i="1"/>
  <c r="AC610" i="1"/>
  <c r="AB610" i="1"/>
  <c r="AA610" i="1"/>
  <c r="Z610" i="1"/>
  <c r="Y610" i="1"/>
  <c r="X610" i="1"/>
  <c r="W610" i="1"/>
  <c r="N610" i="1"/>
  <c r="F610" i="1"/>
  <c r="AC609" i="1"/>
  <c r="AB609" i="1"/>
  <c r="AA609" i="1"/>
  <c r="Z609" i="1"/>
  <c r="Y609" i="1"/>
  <c r="X609" i="1"/>
  <c r="W609" i="1"/>
  <c r="N609" i="1"/>
  <c r="F609" i="1"/>
  <c r="AC608" i="1"/>
  <c r="AB608" i="1"/>
  <c r="AA608" i="1"/>
  <c r="Z608" i="1"/>
  <c r="Y608" i="1"/>
  <c r="X608" i="1"/>
  <c r="W608" i="1"/>
  <c r="N608" i="1"/>
  <c r="F608" i="1"/>
  <c r="AC607" i="1"/>
  <c r="AB607" i="1"/>
  <c r="AA607" i="1"/>
  <c r="Z607" i="1"/>
  <c r="Y607" i="1"/>
  <c r="X607" i="1"/>
  <c r="W607" i="1"/>
  <c r="N607" i="1"/>
  <c r="F607" i="1"/>
  <c r="AC606" i="1"/>
  <c r="AB606" i="1"/>
  <c r="AA606" i="1"/>
  <c r="Z606" i="1"/>
  <c r="Y606" i="1"/>
  <c r="X606" i="1"/>
  <c r="W606" i="1"/>
  <c r="N606" i="1"/>
  <c r="F606" i="1"/>
  <c r="AC605" i="1"/>
  <c r="AB605" i="1"/>
  <c r="AA605" i="1"/>
  <c r="Z605" i="1"/>
  <c r="Y605" i="1"/>
  <c r="X605" i="1"/>
  <c r="W605" i="1"/>
  <c r="N605" i="1"/>
  <c r="F605" i="1"/>
  <c r="AC604" i="1"/>
  <c r="AB604" i="1"/>
  <c r="AA604" i="1"/>
  <c r="Z604" i="1"/>
  <c r="Y604" i="1"/>
  <c r="X604" i="1"/>
  <c r="W604" i="1"/>
  <c r="N604" i="1"/>
  <c r="F604" i="1"/>
  <c r="AC603" i="1"/>
  <c r="AB603" i="1"/>
  <c r="AA603" i="1"/>
  <c r="Z603" i="1"/>
  <c r="Y603" i="1"/>
  <c r="X603" i="1"/>
  <c r="W603" i="1"/>
  <c r="N603" i="1"/>
  <c r="F603" i="1"/>
  <c r="AC602" i="1"/>
  <c r="AB602" i="1"/>
  <c r="AA602" i="1"/>
  <c r="Z602" i="1"/>
  <c r="Y602" i="1"/>
  <c r="X602" i="1"/>
  <c r="W602" i="1"/>
  <c r="N602" i="1"/>
  <c r="F602" i="1"/>
  <c r="AC601" i="1"/>
  <c r="AB601" i="1"/>
  <c r="AA601" i="1"/>
  <c r="Z601" i="1"/>
  <c r="Y601" i="1"/>
  <c r="X601" i="1"/>
  <c r="W601" i="1"/>
  <c r="N601" i="1"/>
  <c r="F601" i="1"/>
  <c r="AC600" i="1"/>
  <c r="AB600" i="1"/>
  <c r="AA600" i="1"/>
  <c r="Z600" i="1"/>
  <c r="Y600" i="1"/>
  <c r="X600" i="1"/>
  <c r="W600" i="1"/>
  <c r="N600" i="1"/>
  <c r="F600" i="1"/>
  <c r="AC599" i="1"/>
  <c r="AB599" i="1"/>
  <c r="AA599" i="1"/>
  <c r="Z599" i="1"/>
  <c r="Y599" i="1"/>
  <c r="X599" i="1"/>
  <c r="W599" i="1"/>
  <c r="N599" i="1"/>
  <c r="F599" i="1"/>
  <c r="AC598" i="1"/>
  <c r="AB598" i="1"/>
  <c r="AA598" i="1"/>
  <c r="Z598" i="1"/>
  <c r="Y598" i="1"/>
  <c r="X598" i="1"/>
  <c r="W598" i="1"/>
  <c r="N598" i="1"/>
  <c r="F598" i="1"/>
  <c r="AC597" i="1"/>
  <c r="AB597" i="1"/>
  <c r="AA597" i="1"/>
  <c r="Z597" i="1"/>
  <c r="Y597" i="1"/>
  <c r="X597" i="1"/>
  <c r="W597" i="1"/>
  <c r="N597" i="1"/>
  <c r="F597" i="1"/>
  <c r="AC596" i="1"/>
  <c r="AB596" i="1"/>
  <c r="AA596" i="1"/>
  <c r="Z596" i="1"/>
  <c r="Y596" i="1"/>
  <c r="X596" i="1"/>
  <c r="W596" i="1"/>
  <c r="N596" i="1"/>
  <c r="F596" i="1"/>
  <c r="AC595" i="1"/>
  <c r="AB595" i="1"/>
  <c r="AA595" i="1"/>
  <c r="Z595" i="1"/>
  <c r="Y595" i="1"/>
  <c r="X595" i="1"/>
  <c r="W595" i="1"/>
  <c r="N595" i="1"/>
  <c r="F595" i="1"/>
  <c r="AC594" i="1"/>
  <c r="AB594" i="1"/>
  <c r="AA594" i="1"/>
  <c r="Z594" i="1"/>
  <c r="Y594" i="1"/>
  <c r="X594" i="1"/>
  <c r="W594" i="1"/>
  <c r="N594" i="1"/>
  <c r="F594" i="1"/>
  <c r="AC593" i="1"/>
  <c r="AB593" i="1"/>
  <c r="AA593" i="1"/>
  <c r="Z593" i="1"/>
  <c r="Y593" i="1"/>
  <c r="X593" i="1"/>
  <c r="W593" i="1"/>
  <c r="N593" i="1"/>
  <c r="F593" i="1"/>
  <c r="AC592" i="1"/>
  <c r="AB592" i="1"/>
  <c r="AA592" i="1"/>
  <c r="Z592" i="1"/>
  <c r="Y592" i="1"/>
  <c r="X592" i="1"/>
  <c r="W592" i="1"/>
  <c r="N592" i="1"/>
  <c r="F592" i="1"/>
  <c r="AC591" i="1"/>
  <c r="AB591" i="1"/>
  <c r="AA591" i="1"/>
  <c r="Z591" i="1"/>
  <c r="Y591" i="1"/>
  <c r="X591" i="1"/>
  <c r="W591" i="1"/>
  <c r="N591" i="1"/>
  <c r="F591" i="1"/>
  <c r="AC590" i="1"/>
  <c r="AB590" i="1"/>
  <c r="AA590" i="1"/>
  <c r="Z590" i="1"/>
  <c r="Y590" i="1"/>
  <c r="X590" i="1"/>
  <c r="W590" i="1"/>
  <c r="N590" i="1"/>
  <c r="F590" i="1"/>
  <c r="AC589" i="1"/>
  <c r="AB589" i="1"/>
  <c r="AA589" i="1"/>
  <c r="Z589" i="1"/>
  <c r="Y589" i="1"/>
  <c r="X589" i="1"/>
  <c r="W589" i="1"/>
  <c r="N589" i="1"/>
  <c r="F589" i="1"/>
  <c r="AC588" i="1"/>
  <c r="AB588" i="1"/>
  <c r="AA588" i="1"/>
  <c r="Z588" i="1"/>
  <c r="Y588" i="1"/>
  <c r="X588" i="1"/>
  <c r="W588" i="1"/>
  <c r="N588" i="1"/>
  <c r="F588" i="1"/>
  <c r="AC587" i="1"/>
  <c r="AB587" i="1"/>
  <c r="AA587" i="1"/>
  <c r="Z587" i="1"/>
  <c r="Y587" i="1"/>
  <c r="X587" i="1"/>
  <c r="W587" i="1"/>
  <c r="N587" i="1"/>
  <c r="F587" i="1"/>
  <c r="AC586" i="1"/>
  <c r="AB586" i="1"/>
  <c r="AA586" i="1"/>
  <c r="Z586" i="1"/>
  <c r="Y586" i="1"/>
  <c r="X586" i="1"/>
  <c r="W586" i="1"/>
  <c r="N586" i="1"/>
  <c r="F586" i="1"/>
  <c r="AC585" i="1"/>
  <c r="AB585" i="1"/>
  <c r="AA585" i="1"/>
  <c r="Z585" i="1"/>
  <c r="Y585" i="1"/>
  <c r="X585" i="1"/>
  <c r="W585" i="1"/>
  <c r="N585" i="1"/>
  <c r="F585" i="1"/>
  <c r="AC584" i="1"/>
  <c r="AB584" i="1"/>
  <c r="AA584" i="1"/>
  <c r="Z584" i="1"/>
  <c r="Y584" i="1"/>
  <c r="X584" i="1"/>
  <c r="W584" i="1"/>
  <c r="N584" i="1"/>
  <c r="F584" i="1"/>
  <c r="AC583" i="1"/>
  <c r="AB583" i="1"/>
  <c r="AA583" i="1"/>
  <c r="Z583" i="1"/>
  <c r="Y583" i="1"/>
  <c r="X583" i="1"/>
  <c r="W583" i="1"/>
  <c r="N583" i="1"/>
  <c r="F583" i="1"/>
  <c r="AC582" i="1"/>
  <c r="AB582" i="1"/>
  <c r="AA582" i="1"/>
  <c r="Z582" i="1"/>
  <c r="Y582" i="1"/>
  <c r="X582" i="1"/>
  <c r="W582" i="1"/>
  <c r="N582" i="1"/>
  <c r="F582" i="1"/>
  <c r="AC581" i="1"/>
  <c r="AB581" i="1"/>
  <c r="AA581" i="1"/>
  <c r="Z581" i="1"/>
  <c r="Y581" i="1"/>
  <c r="X581" i="1"/>
  <c r="W581" i="1"/>
  <c r="N581" i="1"/>
  <c r="F581" i="1"/>
  <c r="AC580" i="1"/>
  <c r="AB580" i="1"/>
  <c r="AA580" i="1"/>
  <c r="Z580" i="1"/>
  <c r="Y580" i="1"/>
  <c r="X580" i="1"/>
  <c r="W580" i="1"/>
  <c r="N580" i="1"/>
  <c r="F580" i="1"/>
  <c r="AC579" i="1"/>
  <c r="AB579" i="1"/>
  <c r="AA579" i="1"/>
  <c r="Z579" i="1"/>
  <c r="Y579" i="1"/>
  <c r="X579" i="1"/>
  <c r="W579" i="1"/>
  <c r="N579" i="1"/>
  <c r="F579" i="1"/>
  <c r="AC578" i="1"/>
  <c r="AB578" i="1"/>
  <c r="AA578" i="1"/>
  <c r="Z578" i="1"/>
  <c r="Y578" i="1"/>
  <c r="X578" i="1"/>
  <c r="W578" i="1"/>
  <c r="N578" i="1"/>
  <c r="F578" i="1"/>
  <c r="AC577" i="1"/>
  <c r="AB577" i="1"/>
  <c r="AA577" i="1"/>
  <c r="Z577" i="1"/>
  <c r="Y577" i="1"/>
  <c r="X577" i="1"/>
  <c r="W577" i="1"/>
  <c r="N577" i="1"/>
  <c r="F577" i="1"/>
  <c r="AC576" i="1"/>
  <c r="AB576" i="1"/>
  <c r="AA576" i="1"/>
  <c r="Z576" i="1"/>
  <c r="Y576" i="1"/>
  <c r="X576" i="1"/>
  <c r="W576" i="1"/>
  <c r="N576" i="1"/>
  <c r="F576" i="1"/>
  <c r="AC575" i="1"/>
  <c r="AB575" i="1"/>
  <c r="AA575" i="1"/>
  <c r="Z575" i="1"/>
  <c r="Y575" i="1"/>
  <c r="X575" i="1"/>
  <c r="W575" i="1"/>
  <c r="N575" i="1"/>
  <c r="F575" i="1"/>
  <c r="AC574" i="1"/>
  <c r="AB574" i="1"/>
  <c r="AA574" i="1"/>
  <c r="Z574" i="1"/>
  <c r="Y574" i="1"/>
  <c r="X574" i="1"/>
  <c r="W574" i="1"/>
  <c r="N574" i="1"/>
  <c r="F574" i="1"/>
  <c r="AC573" i="1"/>
  <c r="AB573" i="1"/>
  <c r="AA573" i="1"/>
  <c r="Z573" i="1"/>
  <c r="Y573" i="1"/>
  <c r="X573" i="1"/>
  <c r="W573" i="1"/>
  <c r="N573" i="1"/>
  <c r="F573" i="1"/>
  <c r="AC572" i="1"/>
  <c r="AB572" i="1"/>
  <c r="AA572" i="1"/>
  <c r="Z572" i="1"/>
  <c r="Y572" i="1"/>
  <c r="X572" i="1"/>
  <c r="W572" i="1"/>
  <c r="N572" i="1"/>
  <c r="F572" i="1"/>
  <c r="AC571" i="1"/>
  <c r="AB571" i="1"/>
  <c r="AA571" i="1"/>
  <c r="Z571" i="1"/>
  <c r="Y571" i="1"/>
  <c r="X571" i="1"/>
  <c r="W571" i="1"/>
  <c r="N571" i="1"/>
  <c r="F571" i="1"/>
  <c r="AC570" i="1"/>
  <c r="AB570" i="1"/>
  <c r="AA570" i="1"/>
  <c r="Z570" i="1"/>
  <c r="Y570" i="1"/>
  <c r="X570" i="1"/>
  <c r="W570" i="1"/>
  <c r="N570" i="1"/>
  <c r="F570" i="1"/>
  <c r="AC569" i="1"/>
  <c r="AB569" i="1"/>
  <c r="AA569" i="1"/>
  <c r="Z569" i="1"/>
  <c r="Y569" i="1"/>
  <c r="X569" i="1"/>
  <c r="W569" i="1"/>
  <c r="N569" i="1"/>
  <c r="F569" i="1"/>
  <c r="AC568" i="1"/>
  <c r="AB568" i="1"/>
  <c r="AA568" i="1"/>
  <c r="Z568" i="1"/>
  <c r="Y568" i="1"/>
  <c r="X568" i="1"/>
  <c r="W568" i="1"/>
  <c r="N568" i="1"/>
  <c r="F568" i="1"/>
  <c r="AC567" i="1"/>
  <c r="AB567" i="1"/>
  <c r="AA567" i="1"/>
  <c r="Z567" i="1"/>
  <c r="Y567" i="1"/>
  <c r="X567" i="1"/>
  <c r="W567" i="1"/>
  <c r="N567" i="1"/>
  <c r="F567" i="1"/>
  <c r="AC566" i="1"/>
  <c r="AB566" i="1"/>
  <c r="AA566" i="1"/>
  <c r="Z566" i="1"/>
  <c r="Y566" i="1"/>
  <c r="X566" i="1"/>
  <c r="W566" i="1"/>
  <c r="N566" i="1"/>
  <c r="F566" i="1"/>
  <c r="AC565" i="1"/>
  <c r="AB565" i="1"/>
  <c r="AA565" i="1"/>
  <c r="Z565" i="1"/>
  <c r="Y565" i="1"/>
  <c r="X565" i="1"/>
  <c r="W565" i="1"/>
  <c r="N565" i="1"/>
  <c r="F565" i="1"/>
  <c r="AC564" i="1"/>
  <c r="AB564" i="1"/>
  <c r="AA564" i="1"/>
  <c r="Z564" i="1"/>
  <c r="Y564" i="1"/>
  <c r="X564" i="1"/>
  <c r="W564" i="1"/>
  <c r="N564" i="1"/>
  <c r="F564" i="1"/>
  <c r="AC563" i="1"/>
  <c r="AB563" i="1"/>
  <c r="AA563" i="1"/>
  <c r="Z563" i="1"/>
  <c r="Y563" i="1"/>
  <c r="X563" i="1"/>
  <c r="W563" i="1"/>
  <c r="N563" i="1"/>
  <c r="F563" i="1"/>
  <c r="AC562" i="1"/>
  <c r="AB562" i="1"/>
  <c r="AA562" i="1"/>
  <c r="Z562" i="1"/>
  <c r="Y562" i="1"/>
  <c r="X562" i="1"/>
  <c r="W562" i="1"/>
  <c r="N562" i="1"/>
  <c r="F562" i="1"/>
  <c r="AC561" i="1"/>
  <c r="AB561" i="1"/>
  <c r="AA561" i="1"/>
  <c r="Z561" i="1"/>
  <c r="Y561" i="1"/>
  <c r="X561" i="1"/>
  <c r="W561" i="1"/>
  <c r="N561" i="1"/>
  <c r="F561" i="1"/>
  <c r="AC560" i="1"/>
  <c r="AB560" i="1"/>
  <c r="AA560" i="1"/>
  <c r="Z560" i="1"/>
  <c r="Y560" i="1"/>
  <c r="X560" i="1"/>
  <c r="W560" i="1"/>
  <c r="N560" i="1"/>
  <c r="F560" i="1"/>
  <c r="AC559" i="1"/>
  <c r="AB559" i="1"/>
  <c r="AA559" i="1"/>
  <c r="Z559" i="1"/>
  <c r="Y559" i="1"/>
  <c r="X559" i="1"/>
  <c r="W559" i="1"/>
  <c r="N559" i="1"/>
  <c r="F559" i="1"/>
  <c r="AC558" i="1"/>
  <c r="AB558" i="1"/>
  <c r="AA558" i="1"/>
  <c r="Z558" i="1"/>
  <c r="Y558" i="1"/>
  <c r="X558" i="1"/>
  <c r="W558" i="1"/>
  <c r="N558" i="1"/>
  <c r="F558" i="1"/>
  <c r="AC557" i="1"/>
  <c r="AB557" i="1"/>
  <c r="AA557" i="1"/>
  <c r="Z557" i="1"/>
  <c r="Y557" i="1"/>
  <c r="X557" i="1"/>
  <c r="W557" i="1"/>
  <c r="N557" i="1"/>
  <c r="F557" i="1"/>
  <c r="AC556" i="1"/>
  <c r="AB556" i="1"/>
  <c r="AA556" i="1"/>
  <c r="Z556" i="1"/>
  <c r="Y556" i="1"/>
  <c r="X556" i="1"/>
  <c r="W556" i="1"/>
  <c r="N556" i="1"/>
  <c r="F556" i="1"/>
  <c r="AC555" i="1"/>
  <c r="AB555" i="1"/>
  <c r="AA555" i="1"/>
  <c r="Z555" i="1"/>
  <c r="Y555" i="1"/>
  <c r="X555" i="1"/>
  <c r="W555" i="1"/>
  <c r="N555" i="1"/>
  <c r="F555" i="1"/>
  <c r="AC554" i="1"/>
  <c r="AB554" i="1"/>
  <c r="AA554" i="1"/>
  <c r="Z554" i="1"/>
  <c r="Y554" i="1"/>
  <c r="X554" i="1"/>
  <c r="W554" i="1"/>
  <c r="N554" i="1"/>
  <c r="F554" i="1"/>
  <c r="AC553" i="1"/>
  <c r="AB553" i="1"/>
  <c r="AA553" i="1"/>
  <c r="Z553" i="1"/>
  <c r="Y553" i="1"/>
  <c r="X553" i="1"/>
  <c r="W553" i="1"/>
  <c r="N553" i="1"/>
  <c r="F553" i="1"/>
  <c r="AC552" i="1"/>
  <c r="AB552" i="1"/>
  <c r="AA552" i="1"/>
  <c r="Z552" i="1"/>
  <c r="Y552" i="1"/>
  <c r="X552" i="1"/>
  <c r="W552" i="1"/>
  <c r="N552" i="1"/>
  <c r="F552" i="1"/>
  <c r="AC551" i="1"/>
  <c r="AB551" i="1"/>
  <c r="AA551" i="1"/>
  <c r="Z551" i="1"/>
  <c r="Y551" i="1"/>
  <c r="X551" i="1"/>
  <c r="W551" i="1"/>
  <c r="N551" i="1"/>
  <c r="F551" i="1"/>
  <c r="AC550" i="1"/>
  <c r="AB550" i="1"/>
  <c r="AA550" i="1"/>
  <c r="Z550" i="1"/>
  <c r="Y550" i="1"/>
  <c r="X550" i="1"/>
  <c r="W550" i="1"/>
  <c r="N550" i="1"/>
  <c r="F550" i="1"/>
  <c r="AC549" i="1"/>
  <c r="AB549" i="1"/>
  <c r="AA549" i="1"/>
  <c r="Z549" i="1"/>
  <c r="Y549" i="1"/>
  <c r="X549" i="1"/>
  <c r="W549" i="1"/>
  <c r="N549" i="1"/>
  <c r="F549" i="1"/>
  <c r="AC548" i="1"/>
  <c r="AB548" i="1"/>
  <c r="AA548" i="1"/>
  <c r="Z548" i="1"/>
  <c r="Y548" i="1"/>
  <c r="X548" i="1"/>
  <c r="W548" i="1"/>
  <c r="N548" i="1"/>
  <c r="F548" i="1"/>
  <c r="AC547" i="1"/>
  <c r="AB547" i="1"/>
  <c r="AA547" i="1"/>
  <c r="Z547" i="1"/>
  <c r="Y547" i="1"/>
  <c r="X547" i="1"/>
  <c r="W547" i="1"/>
  <c r="N547" i="1"/>
  <c r="F547" i="1"/>
  <c r="AC546" i="1"/>
  <c r="AB546" i="1"/>
  <c r="AA546" i="1"/>
  <c r="Z546" i="1"/>
  <c r="Y546" i="1"/>
  <c r="X546" i="1"/>
  <c r="W546" i="1"/>
  <c r="N546" i="1"/>
  <c r="F546" i="1"/>
  <c r="AC545" i="1"/>
  <c r="AB545" i="1"/>
  <c r="AA545" i="1"/>
  <c r="Z545" i="1"/>
  <c r="Y545" i="1"/>
  <c r="X545" i="1"/>
  <c r="W545" i="1"/>
  <c r="N545" i="1"/>
  <c r="F545" i="1"/>
  <c r="AC544" i="1"/>
  <c r="AB544" i="1"/>
  <c r="AA544" i="1"/>
  <c r="Z544" i="1"/>
  <c r="Y544" i="1"/>
  <c r="X544" i="1"/>
  <c r="W544" i="1"/>
  <c r="N544" i="1"/>
  <c r="F544" i="1"/>
  <c r="AC543" i="1"/>
  <c r="AB543" i="1"/>
  <c r="AA543" i="1"/>
  <c r="Z543" i="1"/>
  <c r="Y543" i="1"/>
  <c r="X543" i="1"/>
  <c r="W543" i="1"/>
  <c r="N543" i="1"/>
  <c r="F543" i="1"/>
  <c r="AC542" i="1"/>
  <c r="AB542" i="1"/>
  <c r="AA542" i="1"/>
  <c r="Z542" i="1"/>
  <c r="Y542" i="1"/>
  <c r="X542" i="1"/>
  <c r="W542" i="1"/>
  <c r="N542" i="1"/>
  <c r="F542" i="1"/>
  <c r="AC541" i="1"/>
  <c r="AB541" i="1"/>
  <c r="AA541" i="1"/>
  <c r="Z541" i="1"/>
  <c r="Y541" i="1"/>
  <c r="X541" i="1"/>
  <c r="W541" i="1"/>
  <c r="N541" i="1"/>
  <c r="F541" i="1"/>
  <c r="AC540" i="1"/>
  <c r="AB540" i="1"/>
  <c r="AA540" i="1"/>
  <c r="Z540" i="1"/>
  <c r="Y540" i="1"/>
  <c r="X540" i="1"/>
  <c r="W540" i="1"/>
  <c r="N540" i="1"/>
  <c r="F540" i="1"/>
  <c r="AC539" i="1"/>
  <c r="AB539" i="1"/>
  <c r="AA539" i="1"/>
  <c r="Z539" i="1"/>
  <c r="Y539" i="1"/>
  <c r="X539" i="1"/>
  <c r="W539" i="1"/>
  <c r="N539" i="1"/>
  <c r="F539" i="1"/>
  <c r="AC538" i="1"/>
  <c r="AB538" i="1"/>
  <c r="AA538" i="1"/>
  <c r="Z538" i="1"/>
  <c r="Y538" i="1"/>
  <c r="X538" i="1"/>
  <c r="W538" i="1"/>
  <c r="N538" i="1"/>
  <c r="F538" i="1"/>
  <c r="AC537" i="1"/>
  <c r="AB537" i="1"/>
  <c r="AA537" i="1"/>
  <c r="Z537" i="1"/>
  <c r="Y537" i="1"/>
  <c r="X537" i="1"/>
  <c r="W537" i="1"/>
  <c r="N537" i="1"/>
  <c r="F537" i="1"/>
  <c r="AC536" i="1"/>
  <c r="AB536" i="1"/>
  <c r="AA536" i="1"/>
  <c r="Z536" i="1"/>
  <c r="Y536" i="1"/>
  <c r="X536" i="1"/>
  <c r="W536" i="1"/>
  <c r="N536" i="1"/>
  <c r="F536" i="1"/>
  <c r="AC535" i="1"/>
  <c r="AB535" i="1"/>
  <c r="AA535" i="1"/>
  <c r="Z535" i="1"/>
  <c r="Y535" i="1"/>
  <c r="X535" i="1"/>
  <c r="W535" i="1"/>
  <c r="N535" i="1"/>
  <c r="F535" i="1"/>
  <c r="AC534" i="1"/>
  <c r="AB534" i="1"/>
  <c r="AA534" i="1"/>
  <c r="Z534" i="1"/>
  <c r="Y534" i="1"/>
  <c r="X534" i="1"/>
  <c r="W534" i="1"/>
  <c r="N534" i="1"/>
  <c r="F534" i="1"/>
  <c r="AC533" i="1"/>
  <c r="AB533" i="1"/>
  <c r="AA533" i="1"/>
  <c r="Z533" i="1"/>
  <c r="Y533" i="1"/>
  <c r="X533" i="1"/>
  <c r="W533" i="1"/>
  <c r="N533" i="1"/>
  <c r="F533" i="1"/>
  <c r="AC532" i="1"/>
  <c r="AB532" i="1"/>
  <c r="AA532" i="1"/>
  <c r="Z532" i="1"/>
  <c r="Y532" i="1"/>
  <c r="X532" i="1"/>
  <c r="W532" i="1"/>
  <c r="N532" i="1"/>
  <c r="F532" i="1"/>
  <c r="AC531" i="1"/>
  <c r="AB531" i="1"/>
  <c r="AA531" i="1"/>
  <c r="Z531" i="1"/>
  <c r="Y531" i="1"/>
  <c r="X531" i="1"/>
  <c r="W531" i="1"/>
  <c r="N531" i="1"/>
  <c r="F531" i="1"/>
  <c r="AC530" i="1"/>
  <c r="AB530" i="1"/>
  <c r="AA530" i="1"/>
  <c r="Z530" i="1"/>
  <c r="Y530" i="1"/>
  <c r="X530" i="1"/>
  <c r="W530" i="1"/>
  <c r="N530" i="1"/>
  <c r="F530" i="1"/>
  <c r="AC529" i="1"/>
  <c r="AB529" i="1"/>
  <c r="AA529" i="1"/>
  <c r="Z529" i="1"/>
  <c r="Y529" i="1"/>
  <c r="X529" i="1"/>
  <c r="W529" i="1"/>
  <c r="N529" i="1"/>
  <c r="F529" i="1"/>
  <c r="AC528" i="1"/>
  <c r="AB528" i="1"/>
  <c r="AA528" i="1"/>
  <c r="Z528" i="1"/>
  <c r="Y528" i="1"/>
  <c r="X528" i="1"/>
  <c r="W528" i="1"/>
  <c r="N528" i="1"/>
  <c r="F528" i="1"/>
  <c r="AC527" i="1"/>
  <c r="AB527" i="1"/>
  <c r="AA527" i="1"/>
  <c r="Z527" i="1"/>
  <c r="Y527" i="1"/>
  <c r="X527" i="1"/>
  <c r="W527" i="1"/>
  <c r="N527" i="1"/>
  <c r="F527" i="1"/>
  <c r="AC526" i="1"/>
  <c r="AB526" i="1"/>
  <c r="AA526" i="1"/>
  <c r="Z526" i="1"/>
  <c r="Y526" i="1"/>
  <c r="X526" i="1"/>
  <c r="W526" i="1"/>
  <c r="N526" i="1"/>
  <c r="F526" i="1"/>
  <c r="AC525" i="1"/>
  <c r="AB525" i="1"/>
  <c r="AA525" i="1"/>
  <c r="Z525" i="1"/>
  <c r="Y525" i="1"/>
  <c r="X525" i="1"/>
  <c r="W525" i="1"/>
  <c r="N525" i="1"/>
  <c r="F525" i="1"/>
  <c r="AC524" i="1"/>
  <c r="AB524" i="1"/>
  <c r="AA524" i="1"/>
  <c r="Z524" i="1"/>
  <c r="Y524" i="1"/>
  <c r="X524" i="1"/>
  <c r="W524" i="1"/>
  <c r="N524" i="1"/>
  <c r="F524" i="1"/>
  <c r="AC523" i="1"/>
  <c r="AB523" i="1"/>
  <c r="AA523" i="1"/>
  <c r="Z523" i="1"/>
  <c r="Y523" i="1"/>
  <c r="X523" i="1"/>
  <c r="W523" i="1"/>
  <c r="N523" i="1"/>
  <c r="F523" i="1"/>
  <c r="AC522" i="1"/>
  <c r="AB522" i="1"/>
  <c r="AA522" i="1"/>
  <c r="Z522" i="1"/>
  <c r="Y522" i="1"/>
  <c r="X522" i="1"/>
  <c r="W522" i="1"/>
  <c r="N522" i="1"/>
  <c r="F522" i="1"/>
  <c r="AC521" i="1"/>
  <c r="AB521" i="1"/>
  <c r="AA521" i="1"/>
  <c r="Z521" i="1"/>
  <c r="Y521" i="1"/>
  <c r="X521" i="1"/>
  <c r="W521" i="1"/>
  <c r="N521" i="1"/>
  <c r="F521" i="1"/>
  <c r="AC520" i="1"/>
  <c r="AB520" i="1"/>
  <c r="AA520" i="1"/>
  <c r="Z520" i="1"/>
  <c r="Y520" i="1"/>
  <c r="X520" i="1"/>
  <c r="W520" i="1"/>
  <c r="N520" i="1"/>
  <c r="F520" i="1"/>
  <c r="AC519" i="1"/>
  <c r="AB519" i="1"/>
  <c r="AA519" i="1"/>
  <c r="Z519" i="1"/>
  <c r="Y519" i="1"/>
  <c r="X519" i="1"/>
  <c r="W519" i="1"/>
  <c r="N519" i="1"/>
  <c r="F519" i="1"/>
  <c r="AC518" i="1"/>
  <c r="AB518" i="1"/>
  <c r="AA518" i="1"/>
  <c r="Z518" i="1"/>
  <c r="Y518" i="1"/>
  <c r="X518" i="1"/>
  <c r="W518" i="1"/>
  <c r="N518" i="1"/>
  <c r="F518" i="1"/>
  <c r="AC517" i="1"/>
  <c r="AB517" i="1"/>
  <c r="AA517" i="1"/>
  <c r="Z517" i="1"/>
  <c r="Y517" i="1"/>
  <c r="X517" i="1"/>
  <c r="W517" i="1"/>
  <c r="N517" i="1"/>
  <c r="F517" i="1"/>
  <c r="AC516" i="1"/>
  <c r="AB516" i="1"/>
  <c r="AA516" i="1"/>
  <c r="Z516" i="1"/>
  <c r="Y516" i="1"/>
  <c r="X516" i="1"/>
  <c r="W516" i="1"/>
  <c r="N516" i="1"/>
  <c r="F516" i="1"/>
  <c r="AC515" i="1"/>
  <c r="AB515" i="1"/>
  <c r="AA515" i="1"/>
  <c r="Z515" i="1"/>
  <c r="Y515" i="1"/>
  <c r="X515" i="1"/>
  <c r="W515" i="1"/>
  <c r="N515" i="1"/>
  <c r="F515" i="1"/>
  <c r="AC514" i="1"/>
  <c r="AB514" i="1"/>
  <c r="AA514" i="1"/>
  <c r="Z514" i="1"/>
  <c r="Y514" i="1"/>
  <c r="X514" i="1"/>
  <c r="W514" i="1"/>
  <c r="N514" i="1"/>
  <c r="F514" i="1"/>
  <c r="AC513" i="1"/>
  <c r="AB513" i="1"/>
  <c r="AA513" i="1"/>
  <c r="Z513" i="1"/>
  <c r="Y513" i="1"/>
  <c r="X513" i="1"/>
  <c r="W513" i="1"/>
  <c r="N513" i="1"/>
  <c r="F513" i="1"/>
  <c r="AC512" i="1"/>
  <c r="AB512" i="1"/>
  <c r="AA512" i="1"/>
  <c r="Z512" i="1"/>
  <c r="Y512" i="1"/>
  <c r="X512" i="1"/>
  <c r="W512" i="1"/>
  <c r="N512" i="1"/>
  <c r="F512" i="1"/>
  <c r="AC511" i="1"/>
  <c r="AB511" i="1"/>
  <c r="AA511" i="1"/>
  <c r="Z511" i="1"/>
  <c r="Y511" i="1"/>
  <c r="X511" i="1"/>
  <c r="W511" i="1"/>
  <c r="N511" i="1"/>
  <c r="F511" i="1"/>
  <c r="AC510" i="1"/>
  <c r="AB510" i="1"/>
  <c r="AA510" i="1"/>
  <c r="Z510" i="1"/>
  <c r="Y510" i="1"/>
  <c r="X510" i="1"/>
  <c r="W510" i="1"/>
  <c r="N510" i="1"/>
  <c r="F510" i="1"/>
  <c r="AC509" i="1"/>
  <c r="AB509" i="1"/>
  <c r="AA509" i="1"/>
  <c r="Z509" i="1"/>
  <c r="Y509" i="1"/>
  <c r="X509" i="1"/>
  <c r="W509" i="1"/>
  <c r="N509" i="1"/>
  <c r="F509" i="1"/>
  <c r="AC508" i="1"/>
  <c r="AB508" i="1"/>
  <c r="AA508" i="1"/>
  <c r="Z508" i="1"/>
  <c r="Y508" i="1"/>
  <c r="X508" i="1"/>
  <c r="W508" i="1"/>
  <c r="N508" i="1"/>
  <c r="F508" i="1"/>
  <c r="AC507" i="1"/>
  <c r="AB507" i="1"/>
  <c r="AA507" i="1"/>
  <c r="Z507" i="1"/>
  <c r="Y507" i="1"/>
  <c r="X507" i="1"/>
  <c r="W507" i="1"/>
  <c r="N507" i="1"/>
  <c r="F507" i="1"/>
  <c r="AC506" i="1"/>
  <c r="AB506" i="1"/>
  <c r="AA506" i="1"/>
  <c r="Z506" i="1"/>
  <c r="Y506" i="1"/>
  <c r="X506" i="1"/>
  <c r="W506" i="1"/>
  <c r="N506" i="1"/>
  <c r="F506" i="1"/>
  <c r="AC505" i="1"/>
  <c r="AB505" i="1"/>
  <c r="AA505" i="1"/>
  <c r="Z505" i="1"/>
  <c r="Y505" i="1"/>
  <c r="X505" i="1"/>
  <c r="W505" i="1"/>
  <c r="N505" i="1"/>
  <c r="F505" i="1"/>
  <c r="AC504" i="1"/>
  <c r="AB504" i="1"/>
  <c r="AA504" i="1"/>
  <c r="Z504" i="1"/>
  <c r="Y504" i="1"/>
  <c r="X504" i="1"/>
  <c r="W504" i="1"/>
  <c r="N504" i="1"/>
  <c r="F504" i="1"/>
  <c r="AC503" i="1"/>
  <c r="AB503" i="1"/>
  <c r="AA503" i="1"/>
  <c r="Z503" i="1"/>
  <c r="Y503" i="1"/>
  <c r="X503" i="1"/>
  <c r="W503" i="1"/>
  <c r="N503" i="1"/>
  <c r="F503" i="1"/>
  <c r="AC502" i="1"/>
  <c r="AB502" i="1"/>
  <c r="AA502" i="1"/>
  <c r="Z502" i="1"/>
  <c r="Y502" i="1"/>
  <c r="X502" i="1"/>
  <c r="W502" i="1"/>
  <c r="N502" i="1"/>
  <c r="F502" i="1"/>
  <c r="AC501" i="1"/>
  <c r="AB501" i="1"/>
  <c r="AA501" i="1"/>
  <c r="Z501" i="1"/>
  <c r="Y501" i="1"/>
  <c r="X501" i="1"/>
  <c r="W501" i="1"/>
  <c r="N501" i="1"/>
  <c r="F501" i="1"/>
  <c r="AC500" i="1"/>
  <c r="AB500" i="1"/>
  <c r="AA500" i="1"/>
  <c r="Z500" i="1"/>
  <c r="Y500" i="1"/>
  <c r="X500" i="1"/>
  <c r="W500" i="1"/>
  <c r="N500" i="1"/>
  <c r="F500" i="1"/>
  <c r="AC499" i="1"/>
  <c r="AB499" i="1"/>
  <c r="AA499" i="1"/>
  <c r="Z499" i="1"/>
  <c r="Y499" i="1"/>
  <c r="X499" i="1"/>
  <c r="W499" i="1"/>
  <c r="N499" i="1"/>
  <c r="F499" i="1"/>
  <c r="AC498" i="1"/>
  <c r="AB498" i="1"/>
  <c r="AA498" i="1"/>
  <c r="Z498" i="1"/>
  <c r="Y498" i="1"/>
  <c r="X498" i="1"/>
  <c r="W498" i="1"/>
  <c r="N498" i="1"/>
  <c r="F498" i="1"/>
  <c r="AC497" i="1"/>
  <c r="AB497" i="1"/>
  <c r="AA497" i="1"/>
  <c r="Z497" i="1"/>
  <c r="Y497" i="1"/>
  <c r="X497" i="1"/>
  <c r="W497" i="1"/>
  <c r="N497" i="1"/>
  <c r="F497" i="1"/>
  <c r="AC496" i="1"/>
  <c r="AB496" i="1"/>
  <c r="AA496" i="1"/>
  <c r="Z496" i="1"/>
  <c r="Y496" i="1"/>
  <c r="X496" i="1"/>
  <c r="W496" i="1"/>
  <c r="N496" i="1"/>
  <c r="F496" i="1"/>
  <c r="AC495" i="1"/>
  <c r="AB495" i="1"/>
  <c r="AA495" i="1"/>
  <c r="Z495" i="1"/>
  <c r="Y495" i="1"/>
  <c r="X495" i="1"/>
  <c r="W495" i="1"/>
  <c r="N495" i="1"/>
  <c r="F495" i="1"/>
  <c r="AC494" i="1"/>
  <c r="AB494" i="1"/>
  <c r="AA494" i="1"/>
  <c r="Z494" i="1"/>
  <c r="Y494" i="1"/>
  <c r="X494" i="1"/>
  <c r="W494" i="1"/>
  <c r="N494" i="1"/>
  <c r="F494" i="1"/>
  <c r="AC493" i="1"/>
  <c r="AB493" i="1"/>
  <c r="AA493" i="1"/>
  <c r="Z493" i="1"/>
  <c r="Y493" i="1"/>
  <c r="X493" i="1"/>
  <c r="W493" i="1"/>
  <c r="N493" i="1"/>
  <c r="F493" i="1"/>
  <c r="AC492" i="1"/>
  <c r="AB492" i="1"/>
  <c r="AA492" i="1"/>
  <c r="Z492" i="1"/>
  <c r="Y492" i="1"/>
  <c r="X492" i="1"/>
  <c r="W492" i="1"/>
  <c r="N492" i="1"/>
  <c r="F492" i="1"/>
  <c r="AC491" i="1"/>
  <c r="AB491" i="1"/>
  <c r="AA491" i="1"/>
  <c r="Z491" i="1"/>
  <c r="Y491" i="1"/>
  <c r="X491" i="1"/>
  <c r="W491" i="1"/>
  <c r="N491" i="1"/>
  <c r="F491" i="1"/>
  <c r="AC490" i="1"/>
  <c r="AB490" i="1"/>
  <c r="AA490" i="1"/>
  <c r="Z490" i="1"/>
  <c r="Y490" i="1"/>
  <c r="X490" i="1"/>
  <c r="W490" i="1"/>
  <c r="N490" i="1"/>
  <c r="F490" i="1"/>
  <c r="AC489" i="1"/>
  <c r="AB489" i="1"/>
  <c r="AA489" i="1"/>
  <c r="Z489" i="1"/>
  <c r="Y489" i="1"/>
  <c r="X489" i="1"/>
  <c r="W489" i="1"/>
  <c r="N489" i="1"/>
  <c r="F489" i="1"/>
  <c r="AC488" i="1"/>
  <c r="AB488" i="1"/>
  <c r="AA488" i="1"/>
  <c r="Z488" i="1"/>
  <c r="Y488" i="1"/>
  <c r="X488" i="1"/>
  <c r="W488" i="1"/>
  <c r="N488" i="1"/>
  <c r="F488" i="1"/>
  <c r="AC487" i="1"/>
  <c r="AB487" i="1"/>
  <c r="AA487" i="1"/>
  <c r="Z487" i="1"/>
  <c r="Y487" i="1"/>
  <c r="X487" i="1"/>
  <c r="W487" i="1"/>
  <c r="N487" i="1"/>
  <c r="F487" i="1"/>
  <c r="AC486" i="1"/>
  <c r="AB486" i="1"/>
  <c r="AA486" i="1"/>
  <c r="Z486" i="1"/>
  <c r="Y486" i="1"/>
  <c r="X486" i="1"/>
  <c r="W486" i="1"/>
  <c r="N486" i="1"/>
  <c r="F486" i="1"/>
  <c r="AC485" i="1"/>
  <c r="AB485" i="1"/>
  <c r="AA485" i="1"/>
  <c r="Z485" i="1"/>
  <c r="Y485" i="1"/>
  <c r="X485" i="1"/>
  <c r="W485" i="1"/>
  <c r="N485" i="1"/>
  <c r="F485" i="1"/>
  <c r="AC484" i="1"/>
  <c r="AB484" i="1"/>
  <c r="AA484" i="1"/>
  <c r="Z484" i="1"/>
  <c r="Y484" i="1"/>
  <c r="X484" i="1"/>
  <c r="W484" i="1"/>
  <c r="N484" i="1"/>
  <c r="F484" i="1"/>
  <c r="AC483" i="1"/>
  <c r="AB483" i="1"/>
  <c r="AA483" i="1"/>
  <c r="Z483" i="1"/>
  <c r="Y483" i="1"/>
  <c r="X483" i="1"/>
  <c r="W483" i="1"/>
  <c r="N483" i="1"/>
  <c r="F483" i="1"/>
  <c r="AC482" i="1"/>
  <c r="AB482" i="1"/>
  <c r="AA482" i="1"/>
  <c r="Z482" i="1"/>
  <c r="Y482" i="1"/>
  <c r="X482" i="1"/>
  <c r="W482" i="1"/>
  <c r="N482" i="1"/>
  <c r="F482" i="1"/>
  <c r="AC481" i="1"/>
  <c r="AB481" i="1"/>
  <c r="AA481" i="1"/>
  <c r="Z481" i="1"/>
  <c r="Y481" i="1"/>
  <c r="X481" i="1"/>
  <c r="W481" i="1"/>
  <c r="N481" i="1"/>
  <c r="F481" i="1"/>
  <c r="AC480" i="1"/>
  <c r="AB480" i="1"/>
  <c r="AA480" i="1"/>
  <c r="Z480" i="1"/>
  <c r="Y480" i="1"/>
  <c r="X480" i="1"/>
  <c r="W480" i="1"/>
  <c r="N480" i="1"/>
  <c r="F480" i="1"/>
  <c r="AC479" i="1"/>
  <c r="AB479" i="1"/>
  <c r="AA479" i="1"/>
  <c r="Z479" i="1"/>
  <c r="Y479" i="1"/>
  <c r="X479" i="1"/>
  <c r="W479" i="1"/>
  <c r="N479" i="1"/>
  <c r="F479" i="1"/>
  <c r="AC478" i="1"/>
  <c r="AB478" i="1"/>
  <c r="AA478" i="1"/>
  <c r="Z478" i="1"/>
  <c r="Y478" i="1"/>
  <c r="X478" i="1"/>
  <c r="W478" i="1"/>
  <c r="N478" i="1"/>
  <c r="F478" i="1"/>
  <c r="AC477" i="1"/>
  <c r="AB477" i="1"/>
  <c r="AA477" i="1"/>
  <c r="Z477" i="1"/>
  <c r="Y477" i="1"/>
  <c r="X477" i="1"/>
  <c r="W477" i="1"/>
  <c r="N477" i="1"/>
  <c r="F477" i="1"/>
  <c r="AC476" i="1"/>
  <c r="AB476" i="1"/>
  <c r="AA476" i="1"/>
  <c r="Z476" i="1"/>
  <c r="Y476" i="1"/>
  <c r="X476" i="1"/>
  <c r="W476" i="1"/>
  <c r="N476" i="1"/>
  <c r="F476" i="1"/>
  <c r="AC475" i="1"/>
  <c r="AB475" i="1"/>
  <c r="AA475" i="1"/>
  <c r="Z475" i="1"/>
  <c r="Y475" i="1"/>
  <c r="X475" i="1"/>
  <c r="W475" i="1"/>
  <c r="N475" i="1"/>
  <c r="F475" i="1"/>
  <c r="AC474" i="1"/>
  <c r="AB474" i="1"/>
  <c r="AA474" i="1"/>
  <c r="Z474" i="1"/>
  <c r="Y474" i="1"/>
  <c r="X474" i="1"/>
  <c r="W474" i="1"/>
  <c r="N474" i="1"/>
  <c r="F474" i="1"/>
  <c r="AC473" i="1"/>
  <c r="AB473" i="1"/>
  <c r="AA473" i="1"/>
  <c r="Z473" i="1"/>
  <c r="Y473" i="1"/>
  <c r="X473" i="1"/>
  <c r="W473" i="1"/>
  <c r="N473" i="1"/>
  <c r="F473" i="1"/>
  <c r="AC472" i="1"/>
  <c r="AB472" i="1"/>
  <c r="AA472" i="1"/>
  <c r="Z472" i="1"/>
  <c r="Y472" i="1"/>
  <c r="X472" i="1"/>
  <c r="W472" i="1"/>
  <c r="N472" i="1"/>
  <c r="F472" i="1"/>
  <c r="AC471" i="1"/>
  <c r="AB471" i="1"/>
  <c r="AA471" i="1"/>
  <c r="Z471" i="1"/>
  <c r="Y471" i="1"/>
  <c r="X471" i="1"/>
  <c r="W471" i="1"/>
  <c r="N471" i="1"/>
  <c r="F471" i="1"/>
  <c r="AC470" i="1"/>
  <c r="AB470" i="1"/>
  <c r="AA470" i="1"/>
  <c r="Z470" i="1"/>
  <c r="Y470" i="1"/>
  <c r="X470" i="1"/>
  <c r="W470" i="1"/>
  <c r="N470" i="1"/>
  <c r="F470" i="1"/>
  <c r="AC469" i="1"/>
  <c r="AB469" i="1"/>
  <c r="AA469" i="1"/>
  <c r="Z469" i="1"/>
  <c r="Y469" i="1"/>
  <c r="X469" i="1"/>
  <c r="W469" i="1"/>
  <c r="N469" i="1"/>
  <c r="F469" i="1"/>
  <c r="AC468" i="1"/>
  <c r="AB468" i="1"/>
  <c r="AA468" i="1"/>
  <c r="Z468" i="1"/>
  <c r="Y468" i="1"/>
  <c r="X468" i="1"/>
  <c r="W468" i="1"/>
  <c r="N468" i="1"/>
  <c r="F468" i="1"/>
  <c r="AC467" i="1"/>
  <c r="AB467" i="1"/>
  <c r="AA467" i="1"/>
  <c r="Z467" i="1"/>
  <c r="Y467" i="1"/>
  <c r="X467" i="1"/>
  <c r="W467" i="1"/>
  <c r="N467" i="1"/>
  <c r="F467" i="1"/>
  <c r="AC466" i="1"/>
  <c r="AB466" i="1"/>
  <c r="AA466" i="1"/>
  <c r="Z466" i="1"/>
  <c r="Y466" i="1"/>
  <c r="X466" i="1"/>
  <c r="W466" i="1"/>
  <c r="N466" i="1"/>
  <c r="F466" i="1"/>
  <c r="AC465" i="1"/>
  <c r="AB465" i="1"/>
  <c r="AA465" i="1"/>
  <c r="Z465" i="1"/>
  <c r="Y465" i="1"/>
  <c r="X465" i="1"/>
  <c r="W465" i="1"/>
  <c r="N465" i="1"/>
  <c r="F465" i="1"/>
  <c r="AC464" i="1"/>
  <c r="AB464" i="1"/>
  <c r="AA464" i="1"/>
  <c r="Z464" i="1"/>
  <c r="Y464" i="1"/>
  <c r="X464" i="1"/>
  <c r="W464" i="1"/>
  <c r="N464" i="1"/>
  <c r="F464" i="1"/>
  <c r="AC463" i="1"/>
  <c r="AB463" i="1"/>
  <c r="AA463" i="1"/>
  <c r="Z463" i="1"/>
  <c r="Y463" i="1"/>
  <c r="X463" i="1"/>
  <c r="W463" i="1"/>
  <c r="N463" i="1"/>
  <c r="F463" i="1"/>
  <c r="AC462" i="1"/>
  <c r="AB462" i="1"/>
  <c r="AA462" i="1"/>
  <c r="Z462" i="1"/>
  <c r="Y462" i="1"/>
  <c r="X462" i="1"/>
  <c r="W462" i="1"/>
  <c r="N462" i="1"/>
  <c r="F462" i="1"/>
  <c r="AC461" i="1"/>
  <c r="AB461" i="1"/>
  <c r="AA461" i="1"/>
  <c r="Z461" i="1"/>
  <c r="Y461" i="1"/>
  <c r="X461" i="1"/>
  <c r="W461" i="1"/>
  <c r="N461" i="1"/>
  <c r="F461" i="1"/>
  <c r="AC460" i="1"/>
  <c r="AB460" i="1"/>
  <c r="AA460" i="1"/>
  <c r="Z460" i="1"/>
  <c r="Y460" i="1"/>
  <c r="X460" i="1"/>
  <c r="W460" i="1"/>
  <c r="N460" i="1"/>
  <c r="F460" i="1"/>
  <c r="AC459" i="1"/>
  <c r="AB459" i="1"/>
  <c r="AA459" i="1"/>
  <c r="Z459" i="1"/>
  <c r="Y459" i="1"/>
  <c r="X459" i="1"/>
  <c r="W459" i="1"/>
  <c r="N459" i="1"/>
  <c r="F459" i="1"/>
  <c r="AC458" i="1"/>
  <c r="AB458" i="1"/>
  <c r="AA458" i="1"/>
  <c r="Z458" i="1"/>
  <c r="Y458" i="1"/>
  <c r="X458" i="1"/>
  <c r="W458" i="1"/>
  <c r="N458" i="1"/>
  <c r="F458" i="1"/>
  <c r="AC457" i="1"/>
  <c r="AB457" i="1"/>
  <c r="AA457" i="1"/>
  <c r="Z457" i="1"/>
  <c r="Y457" i="1"/>
  <c r="X457" i="1"/>
  <c r="W457" i="1"/>
  <c r="N457" i="1"/>
  <c r="F457" i="1"/>
  <c r="AC456" i="1"/>
  <c r="AB456" i="1"/>
  <c r="AA456" i="1"/>
  <c r="Z456" i="1"/>
  <c r="Y456" i="1"/>
  <c r="X456" i="1"/>
  <c r="W456" i="1"/>
  <c r="N456" i="1"/>
  <c r="F456" i="1"/>
  <c r="AC455" i="1"/>
  <c r="AB455" i="1"/>
  <c r="AA455" i="1"/>
  <c r="Z455" i="1"/>
  <c r="Y455" i="1"/>
  <c r="X455" i="1"/>
  <c r="W455" i="1"/>
  <c r="N455" i="1"/>
  <c r="F455" i="1"/>
  <c r="AC454" i="1"/>
  <c r="AB454" i="1"/>
  <c r="AA454" i="1"/>
  <c r="Z454" i="1"/>
  <c r="Y454" i="1"/>
  <c r="X454" i="1"/>
  <c r="W454" i="1"/>
  <c r="N454" i="1"/>
  <c r="F454" i="1"/>
  <c r="AC453" i="1"/>
  <c r="AB453" i="1"/>
  <c r="AA453" i="1"/>
  <c r="Z453" i="1"/>
  <c r="Y453" i="1"/>
  <c r="X453" i="1"/>
  <c r="W453" i="1"/>
  <c r="N453" i="1"/>
  <c r="F453" i="1"/>
  <c r="AC452" i="1"/>
  <c r="AB452" i="1"/>
  <c r="AA452" i="1"/>
  <c r="Z452" i="1"/>
  <c r="Y452" i="1"/>
  <c r="X452" i="1"/>
  <c r="W452" i="1"/>
  <c r="N452" i="1"/>
  <c r="F452" i="1"/>
  <c r="AC451" i="1"/>
  <c r="AB451" i="1"/>
  <c r="AA451" i="1"/>
  <c r="Z451" i="1"/>
  <c r="Y451" i="1"/>
  <c r="X451" i="1"/>
  <c r="W451" i="1"/>
  <c r="N451" i="1"/>
  <c r="F451" i="1"/>
  <c r="AC450" i="1"/>
  <c r="AB450" i="1"/>
  <c r="AA450" i="1"/>
  <c r="Z450" i="1"/>
  <c r="Y450" i="1"/>
  <c r="X450" i="1"/>
  <c r="W450" i="1"/>
  <c r="N450" i="1"/>
  <c r="F450" i="1"/>
  <c r="AC449" i="1"/>
  <c r="AB449" i="1"/>
  <c r="AA449" i="1"/>
  <c r="Z449" i="1"/>
  <c r="Y449" i="1"/>
  <c r="X449" i="1"/>
  <c r="W449" i="1"/>
  <c r="N449" i="1"/>
  <c r="F449" i="1"/>
  <c r="AC448" i="1"/>
  <c r="AB448" i="1"/>
  <c r="AA448" i="1"/>
  <c r="Z448" i="1"/>
  <c r="Y448" i="1"/>
  <c r="X448" i="1"/>
  <c r="W448" i="1"/>
  <c r="N448" i="1"/>
  <c r="F448" i="1"/>
  <c r="AC447" i="1"/>
  <c r="AB447" i="1"/>
  <c r="AA447" i="1"/>
  <c r="Z447" i="1"/>
  <c r="Y447" i="1"/>
  <c r="X447" i="1"/>
  <c r="W447" i="1"/>
  <c r="N447" i="1"/>
  <c r="F447" i="1"/>
  <c r="AC446" i="1"/>
  <c r="AB446" i="1"/>
  <c r="AA446" i="1"/>
  <c r="Z446" i="1"/>
  <c r="Y446" i="1"/>
  <c r="X446" i="1"/>
  <c r="W446" i="1"/>
  <c r="N446" i="1"/>
  <c r="F446" i="1"/>
  <c r="AC445" i="1"/>
  <c r="AB445" i="1"/>
  <c r="AA445" i="1"/>
  <c r="Z445" i="1"/>
  <c r="Y445" i="1"/>
  <c r="X445" i="1"/>
  <c r="W445" i="1"/>
  <c r="N445" i="1"/>
  <c r="F445" i="1"/>
  <c r="AC444" i="1"/>
  <c r="AB444" i="1"/>
  <c r="AA444" i="1"/>
  <c r="Z444" i="1"/>
  <c r="Y444" i="1"/>
  <c r="X444" i="1"/>
  <c r="W444" i="1"/>
  <c r="N444" i="1"/>
  <c r="F444" i="1"/>
  <c r="AC443" i="1"/>
  <c r="AB443" i="1"/>
  <c r="AA443" i="1"/>
  <c r="Z443" i="1"/>
  <c r="Y443" i="1"/>
  <c r="X443" i="1"/>
  <c r="W443" i="1"/>
  <c r="N443" i="1"/>
  <c r="F443" i="1"/>
  <c r="AC442" i="1"/>
  <c r="AB442" i="1"/>
  <c r="AA442" i="1"/>
  <c r="Z442" i="1"/>
  <c r="Y442" i="1"/>
  <c r="X442" i="1"/>
  <c r="W442" i="1"/>
  <c r="N442" i="1"/>
  <c r="F442" i="1"/>
  <c r="AC441" i="1"/>
  <c r="AB441" i="1"/>
  <c r="AA441" i="1"/>
  <c r="Z441" i="1"/>
  <c r="Y441" i="1"/>
  <c r="X441" i="1"/>
  <c r="W441" i="1"/>
  <c r="N441" i="1"/>
  <c r="F441" i="1"/>
  <c r="AC440" i="1"/>
  <c r="AB440" i="1"/>
  <c r="AA440" i="1"/>
  <c r="Z440" i="1"/>
  <c r="Y440" i="1"/>
  <c r="X440" i="1"/>
  <c r="W440" i="1"/>
  <c r="N440" i="1"/>
  <c r="F440" i="1"/>
  <c r="AC439" i="1"/>
  <c r="AB439" i="1"/>
  <c r="AA439" i="1"/>
  <c r="Z439" i="1"/>
  <c r="Y439" i="1"/>
  <c r="X439" i="1"/>
  <c r="W439" i="1"/>
  <c r="N439" i="1"/>
  <c r="F439" i="1"/>
  <c r="AC438" i="1"/>
  <c r="AB438" i="1"/>
  <c r="AA438" i="1"/>
  <c r="Z438" i="1"/>
  <c r="Y438" i="1"/>
  <c r="X438" i="1"/>
  <c r="W438" i="1"/>
  <c r="N438" i="1"/>
  <c r="F438" i="1"/>
  <c r="AC437" i="1"/>
  <c r="AB437" i="1"/>
  <c r="AA437" i="1"/>
  <c r="Z437" i="1"/>
  <c r="Y437" i="1"/>
  <c r="X437" i="1"/>
  <c r="W437" i="1"/>
  <c r="N437" i="1"/>
  <c r="F437" i="1"/>
  <c r="AC436" i="1"/>
  <c r="AB436" i="1"/>
  <c r="AA436" i="1"/>
  <c r="Z436" i="1"/>
  <c r="Y436" i="1"/>
  <c r="X436" i="1"/>
  <c r="W436" i="1"/>
  <c r="N436" i="1"/>
  <c r="F436" i="1"/>
  <c r="AC435" i="1"/>
  <c r="AB435" i="1"/>
  <c r="AA435" i="1"/>
  <c r="Z435" i="1"/>
  <c r="Y435" i="1"/>
  <c r="X435" i="1"/>
  <c r="W435" i="1"/>
  <c r="N435" i="1"/>
  <c r="F435" i="1"/>
  <c r="AC434" i="1"/>
  <c r="AB434" i="1"/>
  <c r="AA434" i="1"/>
  <c r="Z434" i="1"/>
  <c r="Y434" i="1"/>
  <c r="X434" i="1"/>
  <c r="W434" i="1"/>
  <c r="N434" i="1"/>
  <c r="F434" i="1"/>
  <c r="AC433" i="1"/>
  <c r="AB433" i="1"/>
  <c r="AA433" i="1"/>
  <c r="Z433" i="1"/>
  <c r="Y433" i="1"/>
  <c r="X433" i="1"/>
  <c r="W433" i="1"/>
  <c r="N433" i="1"/>
  <c r="F433" i="1"/>
  <c r="AC432" i="1"/>
  <c r="AB432" i="1"/>
  <c r="AA432" i="1"/>
  <c r="Z432" i="1"/>
  <c r="Y432" i="1"/>
  <c r="X432" i="1"/>
  <c r="W432" i="1"/>
  <c r="N432" i="1"/>
  <c r="F432" i="1"/>
  <c r="AC431" i="1"/>
  <c r="AB431" i="1"/>
  <c r="AA431" i="1"/>
  <c r="Z431" i="1"/>
  <c r="Y431" i="1"/>
  <c r="X431" i="1"/>
  <c r="W431" i="1"/>
  <c r="N431" i="1"/>
  <c r="F431" i="1"/>
  <c r="AC430" i="1"/>
  <c r="AB430" i="1"/>
  <c r="AA430" i="1"/>
  <c r="Z430" i="1"/>
  <c r="Y430" i="1"/>
  <c r="X430" i="1"/>
  <c r="W430" i="1"/>
  <c r="N430" i="1"/>
  <c r="F430" i="1"/>
  <c r="AC429" i="1"/>
  <c r="AB429" i="1"/>
  <c r="AA429" i="1"/>
  <c r="Z429" i="1"/>
  <c r="Y429" i="1"/>
  <c r="X429" i="1"/>
  <c r="W429" i="1"/>
  <c r="N429" i="1"/>
  <c r="F429" i="1"/>
  <c r="AC428" i="1"/>
  <c r="AB428" i="1"/>
  <c r="AA428" i="1"/>
  <c r="Z428" i="1"/>
  <c r="Y428" i="1"/>
  <c r="X428" i="1"/>
  <c r="W428" i="1"/>
  <c r="N428" i="1"/>
  <c r="F428" i="1"/>
  <c r="AC427" i="1"/>
  <c r="AB427" i="1"/>
  <c r="AA427" i="1"/>
  <c r="Z427" i="1"/>
  <c r="Y427" i="1"/>
  <c r="X427" i="1"/>
  <c r="W427" i="1"/>
  <c r="N427" i="1"/>
  <c r="F427" i="1"/>
  <c r="AC426" i="1"/>
  <c r="AB426" i="1"/>
  <c r="AA426" i="1"/>
  <c r="Z426" i="1"/>
  <c r="Y426" i="1"/>
  <c r="X426" i="1"/>
  <c r="W426" i="1"/>
  <c r="N426" i="1"/>
  <c r="F426" i="1"/>
  <c r="AC425" i="1"/>
  <c r="AB425" i="1"/>
  <c r="AA425" i="1"/>
  <c r="Z425" i="1"/>
  <c r="Y425" i="1"/>
  <c r="X425" i="1"/>
  <c r="W425" i="1"/>
  <c r="N425" i="1"/>
  <c r="F425" i="1"/>
  <c r="AC424" i="1"/>
  <c r="AB424" i="1"/>
  <c r="AA424" i="1"/>
  <c r="Z424" i="1"/>
  <c r="Y424" i="1"/>
  <c r="X424" i="1"/>
  <c r="W424" i="1"/>
  <c r="N424" i="1"/>
  <c r="F424" i="1"/>
  <c r="AC423" i="1"/>
  <c r="AB423" i="1"/>
  <c r="AA423" i="1"/>
  <c r="Z423" i="1"/>
  <c r="Y423" i="1"/>
  <c r="X423" i="1"/>
  <c r="W423" i="1"/>
  <c r="N423" i="1"/>
  <c r="F423" i="1"/>
  <c r="AC422" i="1"/>
  <c r="AB422" i="1"/>
  <c r="AA422" i="1"/>
  <c r="Z422" i="1"/>
  <c r="Y422" i="1"/>
  <c r="X422" i="1"/>
  <c r="W422" i="1"/>
  <c r="N422" i="1"/>
  <c r="F422" i="1"/>
  <c r="AC421" i="1"/>
  <c r="AB421" i="1"/>
  <c r="AA421" i="1"/>
  <c r="Z421" i="1"/>
  <c r="Y421" i="1"/>
  <c r="X421" i="1"/>
  <c r="W421" i="1"/>
  <c r="N421" i="1"/>
  <c r="F421" i="1"/>
  <c r="AC420" i="1"/>
  <c r="AB420" i="1"/>
  <c r="AA420" i="1"/>
  <c r="Z420" i="1"/>
  <c r="Y420" i="1"/>
  <c r="X420" i="1"/>
  <c r="W420" i="1"/>
  <c r="N420" i="1"/>
  <c r="F420" i="1"/>
  <c r="AC419" i="1"/>
  <c r="AB419" i="1"/>
  <c r="AA419" i="1"/>
  <c r="Z419" i="1"/>
  <c r="Y419" i="1"/>
  <c r="X419" i="1"/>
  <c r="W419" i="1"/>
  <c r="N419" i="1"/>
  <c r="F419" i="1"/>
  <c r="AC418" i="1"/>
  <c r="AB418" i="1"/>
  <c r="AA418" i="1"/>
  <c r="Z418" i="1"/>
  <c r="Y418" i="1"/>
  <c r="X418" i="1"/>
  <c r="W418" i="1"/>
  <c r="N418" i="1"/>
  <c r="F418" i="1"/>
  <c r="AC417" i="1"/>
  <c r="AB417" i="1"/>
  <c r="AA417" i="1"/>
  <c r="Z417" i="1"/>
  <c r="Y417" i="1"/>
  <c r="X417" i="1"/>
  <c r="W417" i="1"/>
  <c r="N417" i="1"/>
  <c r="F417" i="1"/>
  <c r="AC416" i="1"/>
  <c r="AB416" i="1"/>
  <c r="AA416" i="1"/>
  <c r="Z416" i="1"/>
  <c r="Y416" i="1"/>
  <c r="X416" i="1"/>
  <c r="W416" i="1"/>
  <c r="N416" i="1"/>
  <c r="F416" i="1"/>
  <c r="AC415" i="1"/>
  <c r="AB415" i="1"/>
  <c r="AA415" i="1"/>
  <c r="Z415" i="1"/>
  <c r="Y415" i="1"/>
  <c r="X415" i="1"/>
  <c r="W415" i="1"/>
  <c r="N415" i="1"/>
  <c r="F415" i="1"/>
  <c r="AC414" i="1"/>
  <c r="AB414" i="1"/>
  <c r="AA414" i="1"/>
  <c r="Z414" i="1"/>
  <c r="Y414" i="1"/>
  <c r="X414" i="1"/>
  <c r="W414" i="1"/>
  <c r="N414" i="1"/>
  <c r="F414" i="1"/>
  <c r="AC413" i="1"/>
  <c r="AB413" i="1"/>
  <c r="AA413" i="1"/>
  <c r="Z413" i="1"/>
  <c r="Y413" i="1"/>
  <c r="X413" i="1"/>
  <c r="W413" i="1"/>
  <c r="N413" i="1"/>
  <c r="F413" i="1"/>
  <c r="AC412" i="1"/>
  <c r="AB412" i="1"/>
  <c r="AA412" i="1"/>
  <c r="Z412" i="1"/>
  <c r="Y412" i="1"/>
  <c r="X412" i="1"/>
  <c r="W412" i="1"/>
  <c r="N412" i="1"/>
  <c r="F412" i="1"/>
  <c r="AC411" i="1"/>
  <c r="AB411" i="1"/>
  <c r="AA411" i="1"/>
  <c r="Z411" i="1"/>
  <c r="Y411" i="1"/>
  <c r="X411" i="1"/>
  <c r="W411" i="1"/>
  <c r="N411" i="1"/>
  <c r="F411" i="1"/>
  <c r="AC410" i="1"/>
  <c r="AB410" i="1"/>
  <c r="AA410" i="1"/>
  <c r="Z410" i="1"/>
  <c r="Y410" i="1"/>
  <c r="X410" i="1"/>
  <c r="W410" i="1"/>
  <c r="N410" i="1"/>
  <c r="F410" i="1"/>
  <c r="AC409" i="1"/>
  <c r="AB409" i="1"/>
  <c r="AA409" i="1"/>
  <c r="Z409" i="1"/>
  <c r="Y409" i="1"/>
  <c r="X409" i="1"/>
  <c r="W409" i="1"/>
  <c r="N409" i="1"/>
  <c r="F409" i="1"/>
  <c r="AC408" i="1"/>
  <c r="AB408" i="1"/>
  <c r="AA408" i="1"/>
  <c r="Z408" i="1"/>
  <c r="Y408" i="1"/>
  <c r="X408" i="1"/>
  <c r="W408" i="1"/>
  <c r="N408" i="1"/>
  <c r="F408" i="1"/>
  <c r="AC407" i="1"/>
  <c r="AB407" i="1"/>
  <c r="AA407" i="1"/>
  <c r="Z407" i="1"/>
  <c r="Y407" i="1"/>
  <c r="X407" i="1"/>
  <c r="W407" i="1"/>
  <c r="N407" i="1"/>
  <c r="F407" i="1"/>
  <c r="AC406" i="1"/>
  <c r="AB406" i="1"/>
  <c r="AA406" i="1"/>
  <c r="Z406" i="1"/>
  <c r="Y406" i="1"/>
  <c r="X406" i="1"/>
  <c r="W406" i="1"/>
  <c r="N406" i="1"/>
  <c r="F406" i="1"/>
  <c r="AC405" i="1"/>
  <c r="AB405" i="1"/>
  <c r="AA405" i="1"/>
  <c r="Z405" i="1"/>
  <c r="Y405" i="1"/>
  <c r="X405" i="1"/>
  <c r="W405" i="1"/>
  <c r="N405" i="1"/>
  <c r="F405" i="1"/>
  <c r="AC404" i="1"/>
  <c r="AB404" i="1"/>
  <c r="AA404" i="1"/>
  <c r="Z404" i="1"/>
  <c r="Y404" i="1"/>
  <c r="X404" i="1"/>
  <c r="W404" i="1"/>
  <c r="N404" i="1"/>
  <c r="F404" i="1"/>
  <c r="AC403" i="1"/>
  <c r="AB403" i="1"/>
  <c r="AA403" i="1"/>
  <c r="Z403" i="1"/>
  <c r="Y403" i="1"/>
  <c r="X403" i="1"/>
  <c r="W403" i="1"/>
  <c r="N403" i="1"/>
  <c r="F403" i="1"/>
  <c r="AC402" i="1"/>
  <c r="AB402" i="1"/>
  <c r="AA402" i="1"/>
  <c r="Z402" i="1"/>
  <c r="Y402" i="1"/>
  <c r="X402" i="1"/>
  <c r="W402" i="1"/>
  <c r="N402" i="1"/>
  <c r="F402" i="1"/>
  <c r="AC401" i="1"/>
  <c r="AB401" i="1"/>
  <c r="AA401" i="1"/>
  <c r="Z401" i="1"/>
  <c r="Y401" i="1"/>
  <c r="X401" i="1"/>
  <c r="W401" i="1"/>
  <c r="N401" i="1"/>
  <c r="F401" i="1"/>
  <c r="AC400" i="1"/>
  <c r="AB400" i="1"/>
  <c r="AA400" i="1"/>
  <c r="Z400" i="1"/>
  <c r="Y400" i="1"/>
  <c r="X400" i="1"/>
  <c r="W400" i="1"/>
  <c r="N400" i="1"/>
  <c r="F400" i="1"/>
  <c r="AC399" i="1"/>
  <c r="AB399" i="1"/>
  <c r="AA399" i="1"/>
  <c r="Z399" i="1"/>
  <c r="Y399" i="1"/>
  <c r="X399" i="1"/>
  <c r="W399" i="1"/>
  <c r="N399" i="1"/>
  <c r="F399" i="1"/>
  <c r="AC398" i="1"/>
  <c r="AB398" i="1"/>
  <c r="AA398" i="1"/>
  <c r="Z398" i="1"/>
  <c r="Y398" i="1"/>
  <c r="X398" i="1"/>
  <c r="W398" i="1"/>
  <c r="N398" i="1"/>
  <c r="F398" i="1"/>
  <c r="AC397" i="1"/>
  <c r="AB397" i="1"/>
  <c r="AA397" i="1"/>
  <c r="Z397" i="1"/>
  <c r="Y397" i="1"/>
  <c r="X397" i="1"/>
  <c r="W397" i="1"/>
  <c r="N397" i="1"/>
  <c r="F397" i="1"/>
  <c r="AC396" i="1"/>
  <c r="AB396" i="1"/>
  <c r="AA396" i="1"/>
  <c r="Z396" i="1"/>
  <c r="Y396" i="1"/>
  <c r="X396" i="1"/>
  <c r="W396" i="1"/>
  <c r="N396" i="1"/>
  <c r="F396" i="1"/>
  <c r="AC395" i="1"/>
  <c r="AB395" i="1"/>
  <c r="AA395" i="1"/>
  <c r="Z395" i="1"/>
  <c r="Y395" i="1"/>
  <c r="X395" i="1"/>
  <c r="W395" i="1"/>
  <c r="N395" i="1"/>
  <c r="F395" i="1"/>
  <c r="AC394" i="1"/>
  <c r="AB394" i="1"/>
  <c r="AA394" i="1"/>
  <c r="Z394" i="1"/>
  <c r="Y394" i="1"/>
  <c r="X394" i="1"/>
  <c r="W394" i="1"/>
  <c r="N394" i="1"/>
  <c r="F394" i="1"/>
  <c r="AC393" i="1"/>
  <c r="AB393" i="1"/>
  <c r="AA393" i="1"/>
  <c r="Z393" i="1"/>
  <c r="Y393" i="1"/>
  <c r="X393" i="1"/>
  <c r="W393" i="1"/>
  <c r="N393" i="1"/>
  <c r="F393" i="1"/>
  <c r="AC392" i="1"/>
  <c r="AB392" i="1"/>
  <c r="AA392" i="1"/>
  <c r="Z392" i="1"/>
  <c r="Y392" i="1"/>
  <c r="X392" i="1"/>
  <c r="W392" i="1"/>
  <c r="N392" i="1"/>
  <c r="F392" i="1"/>
  <c r="AC391" i="1"/>
  <c r="AB391" i="1"/>
  <c r="AA391" i="1"/>
  <c r="Z391" i="1"/>
  <c r="Y391" i="1"/>
  <c r="X391" i="1"/>
  <c r="W391" i="1"/>
  <c r="N391" i="1"/>
  <c r="F391" i="1"/>
  <c r="AC390" i="1"/>
  <c r="AB390" i="1"/>
  <c r="AA390" i="1"/>
  <c r="Z390" i="1"/>
  <c r="Y390" i="1"/>
  <c r="X390" i="1"/>
  <c r="W390" i="1"/>
  <c r="N390" i="1"/>
  <c r="F390" i="1"/>
  <c r="AC389" i="1"/>
  <c r="AB389" i="1"/>
  <c r="AA389" i="1"/>
  <c r="Z389" i="1"/>
  <c r="Y389" i="1"/>
  <c r="X389" i="1"/>
  <c r="W389" i="1"/>
  <c r="N389" i="1"/>
  <c r="F389" i="1"/>
  <c r="AC388" i="1"/>
  <c r="AB388" i="1"/>
  <c r="AA388" i="1"/>
  <c r="Z388" i="1"/>
  <c r="Y388" i="1"/>
  <c r="X388" i="1"/>
  <c r="W388" i="1"/>
  <c r="N388" i="1"/>
  <c r="F388" i="1"/>
  <c r="AC387" i="1"/>
  <c r="AB387" i="1"/>
  <c r="AA387" i="1"/>
  <c r="Z387" i="1"/>
  <c r="Y387" i="1"/>
  <c r="X387" i="1"/>
  <c r="W387" i="1"/>
  <c r="N387" i="1"/>
  <c r="F387" i="1"/>
  <c r="AC386" i="1"/>
  <c r="AB386" i="1"/>
  <c r="AA386" i="1"/>
  <c r="Z386" i="1"/>
  <c r="Y386" i="1"/>
  <c r="X386" i="1"/>
  <c r="W386" i="1"/>
  <c r="N386" i="1"/>
  <c r="F386" i="1"/>
  <c r="AC385" i="1"/>
  <c r="AB385" i="1"/>
  <c r="AA385" i="1"/>
  <c r="Z385" i="1"/>
  <c r="Y385" i="1"/>
  <c r="X385" i="1"/>
  <c r="W385" i="1"/>
  <c r="N385" i="1"/>
  <c r="F385" i="1"/>
  <c r="AC384" i="1"/>
  <c r="AB384" i="1"/>
  <c r="AA384" i="1"/>
  <c r="Z384" i="1"/>
  <c r="Y384" i="1"/>
  <c r="X384" i="1"/>
  <c r="W384" i="1"/>
  <c r="N384" i="1"/>
  <c r="F384" i="1"/>
  <c r="AC383" i="1"/>
  <c r="AB383" i="1"/>
  <c r="AA383" i="1"/>
  <c r="Z383" i="1"/>
  <c r="Y383" i="1"/>
  <c r="X383" i="1"/>
  <c r="W383" i="1"/>
  <c r="N383" i="1"/>
  <c r="F383" i="1"/>
  <c r="AC382" i="1"/>
  <c r="AB382" i="1"/>
  <c r="AA382" i="1"/>
  <c r="Z382" i="1"/>
  <c r="Y382" i="1"/>
  <c r="X382" i="1"/>
  <c r="W382" i="1"/>
  <c r="N382" i="1"/>
  <c r="F382" i="1"/>
  <c r="AC381" i="1"/>
  <c r="AB381" i="1"/>
  <c r="AA381" i="1"/>
  <c r="Z381" i="1"/>
  <c r="Y381" i="1"/>
  <c r="X381" i="1"/>
  <c r="W381" i="1"/>
  <c r="N381" i="1"/>
  <c r="F381" i="1"/>
  <c r="AC380" i="1"/>
  <c r="AB380" i="1"/>
  <c r="AA380" i="1"/>
  <c r="Z380" i="1"/>
  <c r="Y380" i="1"/>
  <c r="X380" i="1"/>
  <c r="W380" i="1"/>
  <c r="N380" i="1"/>
  <c r="F380" i="1"/>
  <c r="AC379" i="1"/>
  <c r="AB379" i="1"/>
  <c r="AA379" i="1"/>
  <c r="Z379" i="1"/>
  <c r="Y379" i="1"/>
  <c r="X379" i="1"/>
  <c r="W379" i="1"/>
  <c r="N379" i="1"/>
  <c r="F379" i="1"/>
  <c r="AC378" i="1"/>
  <c r="AB378" i="1"/>
  <c r="AA378" i="1"/>
  <c r="Z378" i="1"/>
  <c r="Y378" i="1"/>
  <c r="X378" i="1"/>
  <c r="W378" i="1"/>
  <c r="N378" i="1"/>
  <c r="F378" i="1"/>
  <c r="AC377" i="1"/>
  <c r="AB377" i="1"/>
  <c r="AA377" i="1"/>
  <c r="Z377" i="1"/>
  <c r="Y377" i="1"/>
  <c r="X377" i="1"/>
  <c r="W377" i="1"/>
  <c r="N377" i="1"/>
  <c r="F377" i="1"/>
  <c r="AC376" i="1"/>
  <c r="AB376" i="1"/>
  <c r="AA376" i="1"/>
  <c r="Z376" i="1"/>
  <c r="Y376" i="1"/>
  <c r="X376" i="1"/>
  <c r="W376" i="1"/>
  <c r="N376" i="1"/>
  <c r="F376" i="1"/>
  <c r="AC375" i="1"/>
  <c r="AB375" i="1"/>
  <c r="AA375" i="1"/>
  <c r="Z375" i="1"/>
  <c r="Y375" i="1"/>
  <c r="X375" i="1"/>
  <c r="W375" i="1"/>
  <c r="N375" i="1"/>
  <c r="F375" i="1"/>
  <c r="AC374" i="1"/>
  <c r="AB374" i="1"/>
  <c r="AA374" i="1"/>
  <c r="Z374" i="1"/>
  <c r="Y374" i="1"/>
  <c r="X374" i="1"/>
  <c r="W374" i="1"/>
  <c r="N374" i="1"/>
  <c r="F374" i="1"/>
  <c r="AC373" i="1"/>
  <c r="AB373" i="1"/>
  <c r="AA373" i="1"/>
  <c r="Z373" i="1"/>
  <c r="Y373" i="1"/>
  <c r="X373" i="1"/>
  <c r="W373" i="1"/>
  <c r="N373" i="1"/>
  <c r="F373" i="1"/>
  <c r="AC372" i="1"/>
  <c r="AB372" i="1"/>
  <c r="AA372" i="1"/>
  <c r="Z372" i="1"/>
  <c r="Y372" i="1"/>
  <c r="X372" i="1"/>
  <c r="W372" i="1"/>
  <c r="N372" i="1"/>
  <c r="F372" i="1"/>
  <c r="AC371" i="1"/>
  <c r="AB371" i="1"/>
  <c r="AA371" i="1"/>
  <c r="Z371" i="1"/>
  <c r="Y371" i="1"/>
  <c r="X371" i="1"/>
  <c r="W371" i="1"/>
  <c r="N371" i="1"/>
  <c r="F371" i="1"/>
  <c r="AC370" i="1"/>
  <c r="AB370" i="1"/>
  <c r="AA370" i="1"/>
  <c r="Z370" i="1"/>
  <c r="Y370" i="1"/>
  <c r="X370" i="1"/>
  <c r="W370" i="1"/>
  <c r="N370" i="1"/>
  <c r="F370" i="1"/>
  <c r="AC369" i="1"/>
  <c r="AB369" i="1"/>
  <c r="AA369" i="1"/>
  <c r="Z369" i="1"/>
  <c r="Y369" i="1"/>
  <c r="X369" i="1"/>
  <c r="W369" i="1"/>
  <c r="N369" i="1"/>
  <c r="F369" i="1"/>
  <c r="AC368" i="1"/>
  <c r="AB368" i="1"/>
  <c r="AA368" i="1"/>
  <c r="Z368" i="1"/>
  <c r="Y368" i="1"/>
  <c r="X368" i="1"/>
  <c r="W368" i="1"/>
  <c r="N368" i="1"/>
  <c r="F368" i="1"/>
  <c r="AC367" i="1"/>
  <c r="AB367" i="1"/>
  <c r="AA367" i="1"/>
  <c r="Z367" i="1"/>
  <c r="Y367" i="1"/>
  <c r="X367" i="1"/>
  <c r="W367" i="1"/>
  <c r="N367" i="1"/>
  <c r="F367" i="1"/>
  <c r="AC366" i="1"/>
  <c r="AB366" i="1"/>
  <c r="AA366" i="1"/>
  <c r="Z366" i="1"/>
  <c r="Y366" i="1"/>
  <c r="X366" i="1"/>
  <c r="W366" i="1"/>
  <c r="N366" i="1"/>
  <c r="F366" i="1"/>
  <c r="AC365" i="1"/>
  <c r="AB365" i="1"/>
  <c r="AA365" i="1"/>
  <c r="Z365" i="1"/>
  <c r="Y365" i="1"/>
  <c r="X365" i="1"/>
  <c r="W365" i="1"/>
  <c r="N365" i="1"/>
  <c r="F365" i="1"/>
  <c r="AC364" i="1"/>
  <c r="AB364" i="1"/>
  <c r="AA364" i="1"/>
  <c r="Z364" i="1"/>
  <c r="Y364" i="1"/>
  <c r="X364" i="1"/>
  <c r="W364" i="1"/>
  <c r="N364" i="1"/>
  <c r="F364" i="1"/>
  <c r="AC363" i="1"/>
  <c r="AB363" i="1"/>
  <c r="AA363" i="1"/>
  <c r="Z363" i="1"/>
  <c r="Y363" i="1"/>
  <c r="X363" i="1"/>
  <c r="W363" i="1"/>
  <c r="N363" i="1"/>
  <c r="F363" i="1"/>
  <c r="AC362" i="1"/>
  <c r="AB362" i="1"/>
  <c r="AA362" i="1"/>
  <c r="Z362" i="1"/>
  <c r="Y362" i="1"/>
  <c r="X362" i="1"/>
  <c r="W362" i="1"/>
  <c r="N362" i="1"/>
  <c r="F362" i="1"/>
  <c r="AC361" i="1"/>
  <c r="AB361" i="1"/>
  <c r="AA361" i="1"/>
  <c r="Z361" i="1"/>
  <c r="Y361" i="1"/>
  <c r="X361" i="1"/>
  <c r="W361" i="1"/>
  <c r="N361" i="1"/>
  <c r="F361" i="1"/>
  <c r="AC360" i="1"/>
  <c r="AB360" i="1"/>
  <c r="AA360" i="1"/>
  <c r="Z360" i="1"/>
  <c r="Y360" i="1"/>
  <c r="X360" i="1"/>
  <c r="W360" i="1"/>
  <c r="N360" i="1"/>
  <c r="F360" i="1"/>
  <c r="AC359" i="1"/>
  <c r="AB359" i="1"/>
  <c r="AA359" i="1"/>
  <c r="Z359" i="1"/>
  <c r="Y359" i="1"/>
  <c r="X359" i="1"/>
  <c r="W359" i="1"/>
  <c r="N359" i="1"/>
  <c r="F359" i="1"/>
  <c r="AC358" i="1"/>
  <c r="AB358" i="1"/>
  <c r="AA358" i="1"/>
  <c r="Z358" i="1"/>
  <c r="Y358" i="1"/>
  <c r="X358" i="1"/>
  <c r="W358" i="1"/>
  <c r="N358" i="1"/>
  <c r="F358" i="1"/>
  <c r="AC357" i="1"/>
  <c r="AB357" i="1"/>
  <c r="AA357" i="1"/>
  <c r="Z357" i="1"/>
  <c r="Y357" i="1"/>
  <c r="X357" i="1"/>
  <c r="W357" i="1"/>
  <c r="N357" i="1"/>
  <c r="F357" i="1"/>
  <c r="AC356" i="1"/>
  <c r="AB356" i="1"/>
  <c r="AA356" i="1"/>
  <c r="Z356" i="1"/>
  <c r="Y356" i="1"/>
  <c r="X356" i="1"/>
  <c r="W356" i="1"/>
  <c r="N356" i="1"/>
  <c r="F356" i="1"/>
  <c r="AC355" i="1"/>
  <c r="AB355" i="1"/>
  <c r="AA355" i="1"/>
  <c r="Z355" i="1"/>
  <c r="Y355" i="1"/>
  <c r="X355" i="1"/>
  <c r="W355" i="1"/>
  <c r="N355" i="1"/>
  <c r="F355" i="1"/>
  <c r="AC354" i="1"/>
  <c r="AB354" i="1"/>
  <c r="AA354" i="1"/>
  <c r="Z354" i="1"/>
  <c r="Y354" i="1"/>
  <c r="X354" i="1"/>
  <c r="W354" i="1"/>
  <c r="N354" i="1"/>
  <c r="F354" i="1"/>
  <c r="AC353" i="1"/>
  <c r="AB353" i="1"/>
  <c r="AA353" i="1"/>
  <c r="Z353" i="1"/>
  <c r="Y353" i="1"/>
  <c r="X353" i="1"/>
  <c r="W353" i="1"/>
  <c r="N353" i="1"/>
  <c r="F353" i="1"/>
  <c r="AC352" i="1"/>
  <c r="AB352" i="1"/>
  <c r="AA352" i="1"/>
  <c r="Z352" i="1"/>
  <c r="Y352" i="1"/>
  <c r="X352" i="1"/>
  <c r="W352" i="1"/>
  <c r="N352" i="1"/>
  <c r="F352" i="1"/>
  <c r="AC351" i="1"/>
  <c r="AB351" i="1"/>
  <c r="AA351" i="1"/>
  <c r="Z351" i="1"/>
  <c r="Y351" i="1"/>
  <c r="X351" i="1"/>
  <c r="W351" i="1"/>
  <c r="N351" i="1"/>
  <c r="F351" i="1"/>
  <c r="AC350" i="1"/>
  <c r="AB350" i="1"/>
  <c r="AA350" i="1"/>
  <c r="Z350" i="1"/>
  <c r="Y350" i="1"/>
  <c r="X350" i="1"/>
  <c r="W350" i="1"/>
  <c r="N350" i="1"/>
  <c r="F350" i="1"/>
  <c r="AC349" i="1"/>
  <c r="AB349" i="1"/>
  <c r="AA349" i="1"/>
  <c r="Z349" i="1"/>
  <c r="Y349" i="1"/>
  <c r="X349" i="1"/>
  <c r="W349" i="1"/>
  <c r="N349" i="1"/>
  <c r="F349" i="1"/>
  <c r="AC348" i="1"/>
  <c r="AB348" i="1"/>
  <c r="AA348" i="1"/>
  <c r="Z348" i="1"/>
  <c r="Y348" i="1"/>
  <c r="X348" i="1"/>
  <c r="W348" i="1"/>
  <c r="N348" i="1"/>
  <c r="F348" i="1"/>
  <c r="AC347" i="1"/>
  <c r="AB347" i="1"/>
  <c r="AA347" i="1"/>
  <c r="Z347" i="1"/>
  <c r="Y347" i="1"/>
  <c r="X347" i="1"/>
  <c r="W347" i="1"/>
  <c r="N347" i="1"/>
  <c r="F347" i="1"/>
  <c r="AC346" i="1"/>
  <c r="AB346" i="1"/>
  <c r="AA346" i="1"/>
  <c r="Z346" i="1"/>
  <c r="Y346" i="1"/>
  <c r="X346" i="1"/>
  <c r="W346" i="1"/>
  <c r="N346" i="1"/>
  <c r="F346" i="1"/>
  <c r="AC345" i="1"/>
  <c r="AB345" i="1"/>
  <c r="AA345" i="1"/>
  <c r="Z345" i="1"/>
  <c r="Y345" i="1"/>
  <c r="X345" i="1"/>
  <c r="W345" i="1"/>
  <c r="N345" i="1"/>
  <c r="F345" i="1"/>
  <c r="AC344" i="1"/>
  <c r="AB344" i="1"/>
  <c r="AA344" i="1"/>
  <c r="Z344" i="1"/>
  <c r="Y344" i="1"/>
  <c r="X344" i="1"/>
  <c r="W344" i="1"/>
  <c r="N344" i="1"/>
  <c r="F344" i="1"/>
  <c r="AC343" i="1"/>
  <c r="AB343" i="1"/>
  <c r="AA343" i="1"/>
  <c r="Z343" i="1"/>
  <c r="Y343" i="1"/>
  <c r="X343" i="1"/>
  <c r="W343" i="1"/>
  <c r="N343" i="1"/>
  <c r="F343" i="1"/>
  <c r="AC342" i="1"/>
  <c r="AB342" i="1"/>
  <c r="AA342" i="1"/>
  <c r="Z342" i="1"/>
  <c r="Y342" i="1"/>
  <c r="X342" i="1"/>
  <c r="W342" i="1"/>
  <c r="N342" i="1"/>
  <c r="F342" i="1"/>
  <c r="AC341" i="1"/>
  <c r="AB341" i="1"/>
  <c r="AA341" i="1"/>
  <c r="Z341" i="1"/>
  <c r="Y341" i="1"/>
  <c r="X341" i="1"/>
  <c r="W341" i="1"/>
  <c r="N341" i="1"/>
  <c r="F341" i="1"/>
  <c r="AC340" i="1"/>
  <c r="AB340" i="1"/>
  <c r="AA340" i="1"/>
  <c r="Z340" i="1"/>
  <c r="Y340" i="1"/>
  <c r="X340" i="1"/>
  <c r="W340" i="1"/>
  <c r="N340" i="1"/>
  <c r="F340" i="1"/>
  <c r="AC339" i="1"/>
  <c r="AB339" i="1"/>
  <c r="AA339" i="1"/>
  <c r="Z339" i="1"/>
  <c r="Y339" i="1"/>
  <c r="X339" i="1"/>
  <c r="W339" i="1"/>
  <c r="N339" i="1"/>
  <c r="F339" i="1"/>
  <c r="AC338" i="1"/>
  <c r="AB338" i="1"/>
  <c r="AA338" i="1"/>
  <c r="Z338" i="1"/>
  <c r="Y338" i="1"/>
  <c r="X338" i="1"/>
  <c r="W338" i="1"/>
  <c r="N338" i="1"/>
  <c r="F338" i="1"/>
  <c r="AC337" i="1"/>
  <c r="AB337" i="1"/>
  <c r="AA337" i="1"/>
  <c r="Z337" i="1"/>
  <c r="Y337" i="1"/>
  <c r="X337" i="1"/>
  <c r="W337" i="1"/>
  <c r="N337" i="1"/>
  <c r="F337" i="1"/>
  <c r="AC336" i="1"/>
  <c r="AB336" i="1"/>
  <c r="AA336" i="1"/>
  <c r="Z336" i="1"/>
  <c r="Y336" i="1"/>
  <c r="X336" i="1"/>
  <c r="W336" i="1"/>
  <c r="N336" i="1"/>
  <c r="F336" i="1"/>
  <c r="AC335" i="1"/>
  <c r="AB335" i="1"/>
  <c r="AA335" i="1"/>
  <c r="Z335" i="1"/>
  <c r="Y335" i="1"/>
  <c r="X335" i="1"/>
  <c r="W335" i="1"/>
  <c r="N335" i="1"/>
  <c r="F335" i="1"/>
  <c r="AC334" i="1"/>
  <c r="AB334" i="1"/>
  <c r="AA334" i="1"/>
  <c r="Z334" i="1"/>
  <c r="Y334" i="1"/>
  <c r="X334" i="1"/>
  <c r="W334" i="1"/>
  <c r="N334" i="1"/>
  <c r="F334" i="1"/>
  <c r="AC333" i="1"/>
  <c r="AB333" i="1"/>
  <c r="AA333" i="1"/>
  <c r="Z333" i="1"/>
  <c r="Y333" i="1"/>
  <c r="X333" i="1"/>
  <c r="W333" i="1"/>
  <c r="N333" i="1"/>
  <c r="F333" i="1"/>
  <c r="AC332" i="1"/>
  <c r="AB332" i="1"/>
  <c r="AA332" i="1"/>
  <c r="Z332" i="1"/>
  <c r="Y332" i="1"/>
  <c r="X332" i="1"/>
  <c r="W332" i="1"/>
  <c r="N332" i="1"/>
  <c r="F332" i="1"/>
  <c r="AC331" i="1"/>
  <c r="AB331" i="1"/>
  <c r="AA331" i="1"/>
  <c r="Z331" i="1"/>
  <c r="Y331" i="1"/>
  <c r="X331" i="1"/>
  <c r="W331" i="1"/>
  <c r="N331" i="1"/>
  <c r="F331" i="1"/>
  <c r="AC330" i="1"/>
  <c r="AB330" i="1"/>
  <c r="AA330" i="1"/>
  <c r="Z330" i="1"/>
  <c r="Y330" i="1"/>
  <c r="X330" i="1"/>
  <c r="W330" i="1"/>
  <c r="N330" i="1"/>
  <c r="F330" i="1"/>
  <c r="AC329" i="1"/>
  <c r="AB329" i="1"/>
  <c r="AA329" i="1"/>
  <c r="Z329" i="1"/>
  <c r="Y329" i="1"/>
  <c r="X329" i="1"/>
  <c r="W329" i="1"/>
  <c r="N329" i="1"/>
  <c r="F329" i="1"/>
  <c r="AC328" i="1"/>
  <c r="AB328" i="1"/>
  <c r="AA328" i="1"/>
  <c r="Z328" i="1"/>
  <c r="Y328" i="1"/>
  <c r="X328" i="1"/>
  <c r="W328" i="1"/>
  <c r="N328" i="1"/>
  <c r="F328" i="1"/>
  <c r="AC327" i="1"/>
  <c r="AB327" i="1"/>
  <c r="AA327" i="1"/>
  <c r="Z327" i="1"/>
  <c r="Y327" i="1"/>
  <c r="X327" i="1"/>
  <c r="W327" i="1"/>
  <c r="N327" i="1"/>
  <c r="F327" i="1"/>
  <c r="AC326" i="1"/>
  <c r="AB326" i="1"/>
  <c r="AA326" i="1"/>
  <c r="Z326" i="1"/>
  <c r="Y326" i="1"/>
  <c r="X326" i="1"/>
  <c r="W326" i="1"/>
  <c r="N326" i="1"/>
  <c r="F326" i="1"/>
  <c r="AC325" i="1"/>
  <c r="AB325" i="1"/>
  <c r="AA325" i="1"/>
  <c r="Z325" i="1"/>
  <c r="Y325" i="1"/>
  <c r="X325" i="1"/>
  <c r="W325" i="1"/>
  <c r="N325" i="1"/>
  <c r="F325" i="1"/>
  <c r="AC324" i="1"/>
  <c r="AB324" i="1"/>
  <c r="AA324" i="1"/>
  <c r="Z324" i="1"/>
  <c r="Y324" i="1"/>
  <c r="X324" i="1"/>
  <c r="W324" i="1"/>
  <c r="N324" i="1"/>
  <c r="F324" i="1"/>
  <c r="AC323" i="1"/>
  <c r="AB323" i="1"/>
  <c r="AA323" i="1"/>
  <c r="Z323" i="1"/>
  <c r="Y323" i="1"/>
  <c r="X323" i="1"/>
  <c r="W323" i="1"/>
  <c r="N323" i="1"/>
  <c r="F323" i="1"/>
  <c r="AC322" i="1"/>
  <c r="AB322" i="1"/>
  <c r="AA322" i="1"/>
  <c r="Z322" i="1"/>
  <c r="Y322" i="1"/>
  <c r="X322" i="1"/>
  <c r="W322" i="1"/>
  <c r="N322" i="1"/>
  <c r="F322" i="1"/>
  <c r="AC321" i="1"/>
  <c r="AB321" i="1"/>
  <c r="AA321" i="1"/>
  <c r="Z321" i="1"/>
  <c r="Y321" i="1"/>
  <c r="X321" i="1"/>
  <c r="W321" i="1"/>
  <c r="N321" i="1"/>
  <c r="F321" i="1"/>
  <c r="AC320" i="1"/>
  <c r="AB320" i="1"/>
  <c r="AA320" i="1"/>
  <c r="Z320" i="1"/>
  <c r="Y320" i="1"/>
  <c r="X320" i="1"/>
  <c r="W320" i="1"/>
  <c r="N320" i="1"/>
  <c r="F320" i="1"/>
  <c r="AC319" i="1"/>
  <c r="AB319" i="1"/>
  <c r="AA319" i="1"/>
  <c r="Z319" i="1"/>
  <c r="Y319" i="1"/>
  <c r="X319" i="1"/>
  <c r="W319" i="1"/>
  <c r="N319" i="1"/>
  <c r="F319" i="1"/>
  <c r="AC318" i="1"/>
  <c r="AB318" i="1"/>
  <c r="AA318" i="1"/>
  <c r="Z318" i="1"/>
  <c r="Y318" i="1"/>
  <c r="X318" i="1"/>
  <c r="W318" i="1"/>
  <c r="N318" i="1"/>
  <c r="F318" i="1"/>
  <c r="AC317" i="1"/>
  <c r="AB317" i="1"/>
  <c r="AA317" i="1"/>
  <c r="Z317" i="1"/>
  <c r="Y317" i="1"/>
  <c r="X317" i="1"/>
  <c r="W317" i="1"/>
  <c r="N317" i="1"/>
  <c r="F317" i="1"/>
  <c r="AC316" i="1"/>
  <c r="AB316" i="1"/>
  <c r="AA316" i="1"/>
  <c r="Z316" i="1"/>
  <c r="Y316" i="1"/>
  <c r="X316" i="1"/>
  <c r="W316" i="1"/>
  <c r="N316" i="1"/>
  <c r="F316" i="1"/>
  <c r="AC315" i="1"/>
  <c r="AB315" i="1"/>
  <c r="AA315" i="1"/>
  <c r="Z315" i="1"/>
  <c r="Y315" i="1"/>
  <c r="X315" i="1"/>
  <c r="W315" i="1"/>
  <c r="N315" i="1"/>
  <c r="F315" i="1"/>
  <c r="AC314" i="1"/>
  <c r="AB314" i="1"/>
  <c r="AA314" i="1"/>
  <c r="Z314" i="1"/>
  <c r="Y314" i="1"/>
  <c r="X314" i="1"/>
  <c r="W314" i="1"/>
  <c r="N314" i="1"/>
  <c r="F314" i="1"/>
  <c r="AC313" i="1"/>
  <c r="AB313" i="1"/>
  <c r="AA313" i="1"/>
  <c r="Z313" i="1"/>
  <c r="Y313" i="1"/>
  <c r="X313" i="1"/>
  <c r="W313" i="1"/>
  <c r="N313" i="1"/>
  <c r="F313" i="1"/>
  <c r="AC312" i="1"/>
  <c r="AB312" i="1"/>
  <c r="AA312" i="1"/>
  <c r="Z312" i="1"/>
  <c r="Y312" i="1"/>
  <c r="X312" i="1"/>
  <c r="W312" i="1"/>
  <c r="N312" i="1"/>
  <c r="F312" i="1"/>
  <c r="AC311" i="1"/>
  <c r="AB311" i="1"/>
  <c r="AA311" i="1"/>
  <c r="Z311" i="1"/>
  <c r="Y311" i="1"/>
  <c r="X311" i="1"/>
  <c r="W311" i="1"/>
  <c r="N311" i="1"/>
  <c r="F311" i="1"/>
  <c r="AC310" i="1"/>
  <c r="AB310" i="1"/>
  <c r="AA310" i="1"/>
  <c r="Z310" i="1"/>
  <c r="Y310" i="1"/>
  <c r="X310" i="1"/>
  <c r="W310" i="1"/>
  <c r="N310" i="1"/>
  <c r="F310" i="1"/>
  <c r="AC309" i="1"/>
  <c r="AB309" i="1"/>
  <c r="AA309" i="1"/>
  <c r="Z309" i="1"/>
  <c r="Y309" i="1"/>
  <c r="X309" i="1"/>
  <c r="W309" i="1"/>
  <c r="N309" i="1"/>
  <c r="F309" i="1"/>
  <c r="AC308" i="1"/>
  <c r="AB308" i="1"/>
  <c r="AA308" i="1"/>
  <c r="Z308" i="1"/>
  <c r="Y308" i="1"/>
  <c r="X308" i="1"/>
  <c r="W308" i="1"/>
  <c r="N308" i="1"/>
  <c r="F308" i="1"/>
  <c r="AC307" i="1"/>
  <c r="AB307" i="1"/>
  <c r="AA307" i="1"/>
  <c r="Z307" i="1"/>
  <c r="Y307" i="1"/>
  <c r="X307" i="1"/>
  <c r="W307" i="1"/>
  <c r="N307" i="1"/>
  <c r="F307" i="1"/>
  <c r="AC306" i="1"/>
  <c r="AB306" i="1"/>
  <c r="AA306" i="1"/>
  <c r="Z306" i="1"/>
  <c r="Y306" i="1"/>
  <c r="X306" i="1"/>
  <c r="W306" i="1"/>
  <c r="N306" i="1"/>
  <c r="F306" i="1"/>
  <c r="AC305" i="1"/>
  <c r="AB305" i="1"/>
  <c r="AA305" i="1"/>
  <c r="Z305" i="1"/>
  <c r="Y305" i="1"/>
  <c r="X305" i="1"/>
  <c r="W305" i="1"/>
  <c r="N305" i="1"/>
  <c r="F305" i="1"/>
  <c r="AC304" i="1"/>
  <c r="AB304" i="1"/>
  <c r="AA304" i="1"/>
  <c r="Z304" i="1"/>
  <c r="Y304" i="1"/>
  <c r="X304" i="1"/>
  <c r="W304" i="1"/>
  <c r="N304" i="1"/>
  <c r="F304" i="1"/>
  <c r="AC303" i="1"/>
  <c r="AB303" i="1"/>
  <c r="AA303" i="1"/>
  <c r="Z303" i="1"/>
  <c r="Y303" i="1"/>
  <c r="X303" i="1"/>
  <c r="W303" i="1"/>
  <c r="N303" i="1"/>
  <c r="F303" i="1"/>
  <c r="AC302" i="1"/>
  <c r="AB302" i="1"/>
  <c r="AA302" i="1"/>
  <c r="Z302" i="1"/>
  <c r="Y302" i="1"/>
  <c r="X302" i="1"/>
  <c r="W302" i="1"/>
  <c r="N302" i="1"/>
  <c r="F302" i="1"/>
  <c r="AC301" i="1"/>
  <c r="AB301" i="1"/>
  <c r="AA301" i="1"/>
  <c r="Z301" i="1"/>
  <c r="Y301" i="1"/>
  <c r="X301" i="1"/>
  <c r="W301" i="1"/>
  <c r="N301" i="1"/>
  <c r="F301" i="1"/>
  <c r="AC300" i="1"/>
  <c r="AB300" i="1"/>
  <c r="AA300" i="1"/>
  <c r="Z300" i="1"/>
  <c r="Y300" i="1"/>
  <c r="X300" i="1"/>
  <c r="W300" i="1"/>
  <c r="N300" i="1"/>
  <c r="F300" i="1"/>
  <c r="AC299" i="1"/>
  <c r="AB299" i="1"/>
  <c r="AA299" i="1"/>
  <c r="Z299" i="1"/>
  <c r="Y299" i="1"/>
  <c r="X299" i="1"/>
  <c r="W299" i="1"/>
  <c r="N299" i="1"/>
  <c r="F299" i="1"/>
  <c r="AC298" i="1"/>
  <c r="AB298" i="1"/>
  <c r="AA298" i="1"/>
  <c r="Z298" i="1"/>
  <c r="Y298" i="1"/>
  <c r="X298" i="1"/>
  <c r="W298" i="1"/>
  <c r="N298" i="1"/>
  <c r="F298" i="1"/>
  <c r="AC297" i="1"/>
  <c r="AB297" i="1"/>
  <c r="AA297" i="1"/>
  <c r="Z297" i="1"/>
  <c r="Y297" i="1"/>
  <c r="X297" i="1"/>
  <c r="W297" i="1"/>
  <c r="N297" i="1"/>
  <c r="F297" i="1"/>
  <c r="AC296" i="1"/>
  <c r="AB296" i="1"/>
  <c r="AA296" i="1"/>
  <c r="Z296" i="1"/>
  <c r="Y296" i="1"/>
  <c r="X296" i="1"/>
  <c r="W296" i="1"/>
  <c r="N296" i="1"/>
  <c r="F296" i="1"/>
  <c r="AC295" i="1"/>
  <c r="AB295" i="1"/>
  <c r="AA295" i="1"/>
  <c r="Z295" i="1"/>
  <c r="Y295" i="1"/>
  <c r="X295" i="1"/>
  <c r="W295" i="1"/>
  <c r="N295" i="1"/>
  <c r="F295" i="1"/>
  <c r="AC294" i="1"/>
  <c r="AB294" i="1"/>
  <c r="AA294" i="1"/>
  <c r="Z294" i="1"/>
  <c r="Y294" i="1"/>
  <c r="X294" i="1"/>
  <c r="W294" i="1"/>
  <c r="N294" i="1"/>
  <c r="F294" i="1"/>
  <c r="AC293" i="1"/>
  <c r="AB293" i="1"/>
  <c r="AA293" i="1"/>
  <c r="Z293" i="1"/>
  <c r="Y293" i="1"/>
  <c r="X293" i="1"/>
  <c r="W293" i="1"/>
  <c r="N293" i="1"/>
  <c r="F293" i="1"/>
  <c r="AC292" i="1"/>
  <c r="AB292" i="1"/>
  <c r="AA292" i="1"/>
  <c r="Z292" i="1"/>
  <c r="Y292" i="1"/>
  <c r="X292" i="1"/>
  <c r="W292" i="1"/>
  <c r="N292" i="1"/>
  <c r="F292" i="1"/>
  <c r="AC291" i="1"/>
  <c r="AB291" i="1"/>
  <c r="AA291" i="1"/>
  <c r="Z291" i="1"/>
  <c r="Y291" i="1"/>
  <c r="X291" i="1"/>
  <c r="W291" i="1"/>
  <c r="N291" i="1"/>
  <c r="F291" i="1"/>
  <c r="AC290" i="1"/>
  <c r="AB290" i="1"/>
  <c r="AA290" i="1"/>
  <c r="Z290" i="1"/>
  <c r="Y290" i="1"/>
  <c r="X290" i="1"/>
  <c r="W290" i="1"/>
  <c r="N290" i="1"/>
  <c r="F290" i="1"/>
  <c r="AC289" i="1"/>
  <c r="AB289" i="1"/>
  <c r="AA289" i="1"/>
  <c r="Z289" i="1"/>
  <c r="Y289" i="1"/>
  <c r="X289" i="1"/>
  <c r="W289" i="1"/>
  <c r="N289" i="1"/>
  <c r="F289" i="1"/>
  <c r="AC288" i="1"/>
  <c r="AB288" i="1"/>
  <c r="AA288" i="1"/>
  <c r="Z288" i="1"/>
  <c r="Y288" i="1"/>
  <c r="X288" i="1"/>
  <c r="W288" i="1"/>
  <c r="N288" i="1"/>
  <c r="F288" i="1"/>
  <c r="AC287" i="1"/>
  <c r="AB287" i="1"/>
  <c r="AA287" i="1"/>
  <c r="Z287" i="1"/>
  <c r="Y287" i="1"/>
  <c r="X287" i="1"/>
  <c r="W287" i="1"/>
  <c r="N287" i="1"/>
  <c r="F287" i="1"/>
  <c r="AC286" i="1"/>
  <c r="AB286" i="1"/>
  <c r="AA286" i="1"/>
  <c r="Z286" i="1"/>
  <c r="Y286" i="1"/>
  <c r="X286" i="1"/>
  <c r="W286" i="1"/>
  <c r="N286" i="1"/>
  <c r="F286" i="1"/>
  <c r="AC285" i="1"/>
  <c r="AB285" i="1"/>
  <c r="AA285" i="1"/>
  <c r="Z285" i="1"/>
  <c r="Y285" i="1"/>
  <c r="X285" i="1"/>
  <c r="W285" i="1"/>
  <c r="N285" i="1"/>
  <c r="F285" i="1"/>
  <c r="AC284" i="1"/>
  <c r="AB284" i="1"/>
  <c r="AA284" i="1"/>
  <c r="Z284" i="1"/>
  <c r="Y284" i="1"/>
  <c r="X284" i="1"/>
  <c r="W284" i="1"/>
  <c r="N284" i="1"/>
  <c r="F284" i="1"/>
  <c r="AC283" i="1"/>
  <c r="AB283" i="1"/>
  <c r="AA283" i="1"/>
  <c r="Z283" i="1"/>
  <c r="Y283" i="1"/>
  <c r="X283" i="1"/>
  <c r="W283" i="1"/>
  <c r="N283" i="1"/>
  <c r="F283" i="1"/>
  <c r="AC282" i="1"/>
  <c r="AB282" i="1"/>
  <c r="AA282" i="1"/>
  <c r="Z282" i="1"/>
  <c r="Y282" i="1"/>
  <c r="X282" i="1"/>
  <c r="W282" i="1"/>
  <c r="N282" i="1"/>
  <c r="F282" i="1"/>
  <c r="AC281" i="1"/>
  <c r="AB281" i="1"/>
  <c r="AA281" i="1"/>
  <c r="Z281" i="1"/>
  <c r="Y281" i="1"/>
  <c r="X281" i="1"/>
  <c r="W281" i="1"/>
  <c r="N281" i="1"/>
  <c r="F281" i="1"/>
  <c r="AC280" i="1"/>
  <c r="AB280" i="1"/>
  <c r="AA280" i="1"/>
  <c r="Z280" i="1"/>
  <c r="Y280" i="1"/>
  <c r="X280" i="1"/>
  <c r="W280" i="1"/>
  <c r="N280" i="1"/>
  <c r="F280" i="1"/>
  <c r="AC279" i="1"/>
  <c r="AB279" i="1"/>
  <c r="AA279" i="1"/>
  <c r="Z279" i="1"/>
  <c r="Y279" i="1"/>
  <c r="X279" i="1"/>
  <c r="W279" i="1"/>
  <c r="N279" i="1"/>
  <c r="F279" i="1"/>
  <c r="AC278" i="1"/>
  <c r="AB278" i="1"/>
  <c r="AA278" i="1"/>
  <c r="Z278" i="1"/>
  <c r="Y278" i="1"/>
  <c r="X278" i="1"/>
  <c r="W278" i="1"/>
  <c r="N278" i="1"/>
  <c r="F278" i="1"/>
  <c r="AC277" i="1"/>
  <c r="AB277" i="1"/>
  <c r="AA277" i="1"/>
  <c r="Z277" i="1"/>
  <c r="Y277" i="1"/>
  <c r="X277" i="1"/>
  <c r="W277" i="1"/>
  <c r="N277" i="1"/>
  <c r="F277" i="1"/>
  <c r="AC276" i="1"/>
  <c r="AB276" i="1"/>
  <c r="AA276" i="1"/>
  <c r="Z276" i="1"/>
  <c r="Y276" i="1"/>
  <c r="X276" i="1"/>
  <c r="W276" i="1"/>
  <c r="N276" i="1"/>
  <c r="F276" i="1"/>
  <c r="AC275" i="1"/>
  <c r="AB275" i="1"/>
  <c r="AA275" i="1"/>
  <c r="Z275" i="1"/>
  <c r="Y275" i="1"/>
  <c r="X275" i="1"/>
  <c r="W275" i="1"/>
  <c r="N275" i="1"/>
  <c r="F275" i="1"/>
  <c r="AC274" i="1"/>
  <c r="AB274" i="1"/>
  <c r="AA274" i="1"/>
  <c r="Z274" i="1"/>
  <c r="Y274" i="1"/>
  <c r="X274" i="1"/>
  <c r="W274" i="1"/>
  <c r="N274" i="1"/>
  <c r="F274" i="1"/>
  <c r="AC273" i="1"/>
  <c r="AB273" i="1"/>
  <c r="AA273" i="1"/>
  <c r="Z273" i="1"/>
  <c r="Y273" i="1"/>
  <c r="X273" i="1"/>
  <c r="W273" i="1"/>
  <c r="N273" i="1"/>
  <c r="F273" i="1"/>
  <c r="AC272" i="1"/>
  <c r="AB272" i="1"/>
  <c r="AA272" i="1"/>
  <c r="Z272" i="1"/>
  <c r="Y272" i="1"/>
  <c r="X272" i="1"/>
  <c r="W272" i="1"/>
  <c r="N272" i="1"/>
  <c r="F272" i="1"/>
  <c r="AC271" i="1"/>
  <c r="AB271" i="1"/>
  <c r="AA271" i="1"/>
  <c r="Z271" i="1"/>
  <c r="Y271" i="1"/>
  <c r="X271" i="1"/>
  <c r="W271" i="1"/>
  <c r="N271" i="1"/>
  <c r="F271" i="1"/>
  <c r="AC270" i="1"/>
  <c r="AB270" i="1"/>
  <c r="AA270" i="1"/>
  <c r="Z270" i="1"/>
  <c r="Y270" i="1"/>
  <c r="X270" i="1"/>
  <c r="W270" i="1"/>
  <c r="N270" i="1"/>
  <c r="F270" i="1"/>
  <c r="AC269" i="1"/>
  <c r="AB269" i="1"/>
  <c r="AA269" i="1"/>
  <c r="Z269" i="1"/>
  <c r="Y269" i="1"/>
  <c r="X269" i="1"/>
  <c r="W269" i="1"/>
  <c r="N269" i="1"/>
  <c r="F269" i="1"/>
  <c r="AC268" i="1"/>
  <c r="AB268" i="1"/>
  <c r="AA268" i="1"/>
  <c r="Z268" i="1"/>
  <c r="Y268" i="1"/>
  <c r="X268" i="1"/>
  <c r="W268" i="1"/>
  <c r="N268" i="1"/>
  <c r="F268" i="1"/>
  <c r="AC267" i="1"/>
  <c r="AB267" i="1"/>
  <c r="AA267" i="1"/>
  <c r="Z267" i="1"/>
  <c r="Y267" i="1"/>
  <c r="X267" i="1"/>
  <c r="W267" i="1"/>
  <c r="N267" i="1"/>
  <c r="F267" i="1"/>
  <c r="AC266" i="1"/>
  <c r="AB266" i="1"/>
  <c r="AA266" i="1"/>
  <c r="Z266" i="1"/>
  <c r="Y266" i="1"/>
  <c r="X266" i="1"/>
  <c r="W266" i="1"/>
  <c r="N266" i="1"/>
  <c r="F266" i="1"/>
  <c r="AC265" i="1"/>
  <c r="AB265" i="1"/>
  <c r="AA265" i="1"/>
  <c r="Z265" i="1"/>
  <c r="Y265" i="1"/>
  <c r="X265" i="1"/>
  <c r="W265" i="1"/>
  <c r="N265" i="1"/>
  <c r="F265" i="1"/>
  <c r="AC264" i="1"/>
  <c r="AB264" i="1"/>
  <c r="AA264" i="1"/>
  <c r="Z264" i="1"/>
  <c r="Y264" i="1"/>
  <c r="X264" i="1"/>
  <c r="W264" i="1"/>
  <c r="N264" i="1"/>
  <c r="F264" i="1"/>
  <c r="AC263" i="1"/>
  <c r="AB263" i="1"/>
  <c r="AA263" i="1"/>
  <c r="Z263" i="1"/>
  <c r="Y263" i="1"/>
  <c r="X263" i="1"/>
  <c r="W263" i="1"/>
  <c r="N263" i="1"/>
  <c r="F263" i="1"/>
  <c r="AC262" i="1"/>
  <c r="AB262" i="1"/>
  <c r="AA262" i="1"/>
  <c r="Z262" i="1"/>
  <c r="Y262" i="1"/>
  <c r="X262" i="1"/>
  <c r="W262" i="1"/>
  <c r="N262" i="1"/>
  <c r="F262" i="1"/>
  <c r="AC261" i="1"/>
  <c r="AB261" i="1"/>
  <c r="AA261" i="1"/>
  <c r="Z261" i="1"/>
  <c r="Y261" i="1"/>
  <c r="X261" i="1"/>
  <c r="W261" i="1"/>
  <c r="N261" i="1"/>
  <c r="F261" i="1"/>
  <c r="AC260" i="1"/>
  <c r="AB260" i="1"/>
  <c r="AA260" i="1"/>
  <c r="Z260" i="1"/>
  <c r="Y260" i="1"/>
  <c r="X260" i="1"/>
  <c r="W260" i="1"/>
  <c r="N260" i="1"/>
  <c r="F260" i="1"/>
  <c r="AC259" i="1"/>
  <c r="AB259" i="1"/>
  <c r="AA259" i="1"/>
  <c r="Z259" i="1"/>
  <c r="Y259" i="1"/>
  <c r="X259" i="1"/>
  <c r="W259" i="1"/>
  <c r="N259" i="1"/>
  <c r="F259" i="1"/>
  <c r="AC258" i="1"/>
  <c r="AB258" i="1"/>
  <c r="AA258" i="1"/>
  <c r="Z258" i="1"/>
  <c r="Y258" i="1"/>
  <c r="X258" i="1"/>
  <c r="W258" i="1"/>
  <c r="N258" i="1"/>
  <c r="F258" i="1"/>
  <c r="AC257" i="1"/>
  <c r="AB257" i="1"/>
  <c r="AA257" i="1"/>
  <c r="Z257" i="1"/>
  <c r="Y257" i="1"/>
  <c r="X257" i="1"/>
  <c r="W257" i="1"/>
  <c r="N257" i="1"/>
  <c r="F257" i="1"/>
  <c r="AC256" i="1"/>
  <c r="AB256" i="1"/>
  <c r="AA256" i="1"/>
  <c r="Z256" i="1"/>
  <c r="Y256" i="1"/>
  <c r="X256" i="1"/>
  <c r="W256" i="1"/>
  <c r="N256" i="1"/>
  <c r="F256" i="1"/>
  <c r="AC255" i="1"/>
  <c r="AB255" i="1"/>
  <c r="AA255" i="1"/>
  <c r="Z255" i="1"/>
  <c r="Y255" i="1"/>
  <c r="X255" i="1"/>
  <c r="W255" i="1"/>
  <c r="N255" i="1"/>
  <c r="F255" i="1"/>
  <c r="AC254" i="1"/>
  <c r="AB254" i="1"/>
  <c r="AA254" i="1"/>
  <c r="Z254" i="1"/>
  <c r="Y254" i="1"/>
  <c r="X254" i="1"/>
  <c r="W254" i="1"/>
  <c r="N254" i="1"/>
  <c r="F254" i="1"/>
  <c r="AC253" i="1"/>
  <c r="AB253" i="1"/>
  <c r="AA253" i="1"/>
  <c r="Z253" i="1"/>
  <c r="Y253" i="1"/>
  <c r="X253" i="1"/>
  <c r="W253" i="1"/>
  <c r="N253" i="1"/>
  <c r="F253" i="1"/>
  <c r="AC252" i="1"/>
  <c r="AB252" i="1"/>
  <c r="AA252" i="1"/>
  <c r="Z252" i="1"/>
  <c r="Y252" i="1"/>
  <c r="X252" i="1"/>
  <c r="W252" i="1"/>
  <c r="N252" i="1"/>
  <c r="F252" i="1"/>
  <c r="AC251" i="1"/>
  <c r="AB251" i="1"/>
  <c r="AA251" i="1"/>
  <c r="Z251" i="1"/>
  <c r="Y251" i="1"/>
  <c r="X251" i="1"/>
  <c r="W251" i="1"/>
  <c r="N251" i="1"/>
  <c r="F251" i="1"/>
  <c r="AC250" i="1"/>
  <c r="AB250" i="1"/>
  <c r="AA250" i="1"/>
  <c r="Z250" i="1"/>
  <c r="Y250" i="1"/>
  <c r="X250" i="1"/>
  <c r="W250" i="1"/>
  <c r="N250" i="1"/>
  <c r="F250" i="1"/>
  <c r="AC249" i="1"/>
  <c r="AB249" i="1"/>
  <c r="AA249" i="1"/>
  <c r="Z249" i="1"/>
  <c r="Y249" i="1"/>
  <c r="X249" i="1"/>
  <c r="W249" i="1"/>
  <c r="N249" i="1"/>
  <c r="F249" i="1"/>
  <c r="AC248" i="1"/>
  <c r="AB248" i="1"/>
  <c r="AA248" i="1"/>
  <c r="Z248" i="1"/>
  <c r="Y248" i="1"/>
  <c r="X248" i="1"/>
  <c r="W248" i="1"/>
  <c r="N248" i="1"/>
  <c r="F248" i="1"/>
  <c r="AC247" i="1"/>
  <c r="AB247" i="1"/>
  <c r="AA247" i="1"/>
  <c r="Z247" i="1"/>
  <c r="Y247" i="1"/>
  <c r="X247" i="1"/>
  <c r="W247" i="1"/>
  <c r="N247" i="1"/>
  <c r="F247" i="1"/>
  <c r="AC246" i="1"/>
  <c r="AB246" i="1"/>
  <c r="AA246" i="1"/>
  <c r="Z246" i="1"/>
  <c r="Y246" i="1"/>
  <c r="X246" i="1"/>
  <c r="W246" i="1"/>
  <c r="N246" i="1"/>
  <c r="F246" i="1"/>
  <c r="AC245" i="1"/>
  <c r="AB245" i="1"/>
  <c r="AA245" i="1"/>
  <c r="Z245" i="1"/>
  <c r="Y245" i="1"/>
  <c r="X245" i="1"/>
  <c r="W245" i="1"/>
  <c r="N245" i="1"/>
  <c r="F245" i="1"/>
  <c r="AC244" i="1"/>
  <c r="AB244" i="1"/>
  <c r="AA244" i="1"/>
  <c r="Z244" i="1"/>
  <c r="Y244" i="1"/>
  <c r="X244" i="1"/>
  <c r="W244" i="1"/>
  <c r="N244" i="1"/>
  <c r="F244" i="1"/>
  <c r="AC243" i="1"/>
  <c r="AB243" i="1"/>
  <c r="AA243" i="1"/>
  <c r="Z243" i="1"/>
  <c r="Y243" i="1"/>
  <c r="X243" i="1"/>
  <c r="W243" i="1"/>
  <c r="N243" i="1"/>
  <c r="F243" i="1"/>
  <c r="AC242" i="1"/>
  <c r="AB242" i="1"/>
  <c r="AA242" i="1"/>
  <c r="Z242" i="1"/>
  <c r="Y242" i="1"/>
  <c r="X242" i="1"/>
  <c r="W242" i="1"/>
  <c r="N242" i="1"/>
  <c r="F242" i="1"/>
  <c r="AC241" i="1"/>
  <c r="AB241" i="1"/>
  <c r="AA241" i="1"/>
  <c r="Z241" i="1"/>
  <c r="Y241" i="1"/>
  <c r="X241" i="1"/>
  <c r="W241" i="1"/>
  <c r="N241" i="1"/>
  <c r="F241" i="1"/>
  <c r="AC240" i="1"/>
  <c r="AB240" i="1"/>
  <c r="AA240" i="1"/>
  <c r="Z240" i="1"/>
  <c r="Y240" i="1"/>
  <c r="X240" i="1"/>
  <c r="W240" i="1"/>
  <c r="N240" i="1"/>
  <c r="F240" i="1"/>
  <c r="AC239" i="1"/>
  <c r="AB239" i="1"/>
  <c r="AA239" i="1"/>
  <c r="Z239" i="1"/>
  <c r="Y239" i="1"/>
  <c r="X239" i="1"/>
  <c r="W239" i="1"/>
  <c r="N239" i="1"/>
  <c r="F239" i="1"/>
  <c r="AC238" i="1"/>
  <c r="AB238" i="1"/>
  <c r="AA238" i="1"/>
  <c r="Z238" i="1"/>
  <c r="Y238" i="1"/>
  <c r="X238" i="1"/>
  <c r="W238" i="1"/>
  <c r="N238" i="1"/>
  <c r="F238" i="1"/>
  <c r="AC237" i="1"/>
  <c r="AB237" i="1"/>
  <c r="AA237" i="1"/>
  <c r="Z237" i="1"/>
  <c r="Y237" i="1"/>
  <c r="X237" i="1"/>
  <c r="W237" i="1"/>
  <c r="N237" i="1"/>
  <c r="F237" i="1"/>
  <c r="AC236" i="1"/>
  <c r="AB236" i="1"/>
  <c r="AA236" i="1"/>
  <c r="Z236" i="1"/>
  <c r="Y236" i="1"/>
  <c r="X236" i="1"/>
  <c r="W236" i="1"/>
  <c r="N236" i="1"/>
  <c r="F236" i="1"/>
  <c r="AC235" i="1"/>
  <c r="AB235" i="1"/>
  <c r="AA235" i="1"/>
  <c r="Z235" i="1"/>
  <c r="Y235" i="1"/>
  <c r="X235" i="1"/>
  <c r="W235" i="1"/>
  <c r="N235" i="1"/>
  <c r="F235" i="1"/>
  <c r="AC234" i="1"/>
  <c r="AB234" i="1"/>
  <c r="AA234" i="1"/>
  <c r="Z234" i="1"/>
  <c r="Y234" i="1"/>
  <c r="X234" i="1"/>
  <c r="W234" i="1"/>
  <c r="N234" i="1"/>
  <c r="F234" i="1"/>
  <c r="AC233" i="1"/>
  <c r="AB233" i="1"/>
  <c r="AA233" i="1"/>
  <c r="Z233" i="1"/>
  <c r="Y233" i="1"/>
  <c r="X233" i="1"/>
  <c r="W233" i="1"/>
  <c r="N233" i="1"/>
  <c r="F233" i="1"/>
  <c r="AC232" i="1"/>
  <c r="AB232" i="1"/>
  <c r="AA232" i="1"/>
  <c r="Z232" i="1"/>
  <c r="Y232" i="1"/>
  <c r="X232" i="1"/>
  <c r="W232" i="1"/>
  <c r="N232" i="1"/>
  <c r="F232" i="1"/>
  <c r="AC231" i="1"/>
  <c r="AB231" i="1"/>
  <c r="AA231" i="1"/>
  <c r="Z231" i="1"/>
  <c r="Y231" i="1"/>
  <c r="X231" i="1"/>
  <c r="W231" i="1"/>
  <c r="N231" i="1"/>
  <c r="F231" i="1"/>
  <c r="AC230" i="1"/>
  <c r="AB230" i="1"/>
  <c r="AA230" i="1"/>
  <c r="Z230" i="1"/>
  <c r="Y230" i="1"/>
  <c r="X230" i="1"/>
  <c r="W230" i="1"/>
  <c r="N230" i="1"/>
  <c r="F230" i="1"/>
  <c r="AC229" i="1"/>
  <c r="AB229" i="1"/>
  <c r="AA229" i="1"/>
  <c r="Z229" i="1"/>
  <c r="Y229" i="1"/>
  <c r="X229" i="1"/>
  <c r="W229" i="1"/>
  <c r="N229" i="1"/>
  <c r="F229" i="1"/>
  <c r="AC228" i="1"/>
  <c r="AB228" i="1"/>
  <c r="AA228" i="1"/>
  <c r="Z228" i="1"/>
  <c r="Y228" i="1"/>
  <c r="X228" i="1"/>
  <c r="W228" i="1"/>
  <c r="N228" i="1"/>
  <c r="F228" i="1"/>
  <c r="AC227" i="1"/>
  <c r="AB227" i="1"/>
  <c r="AA227" i="1"/>
  <c r="Z227" i="1"/>
  <c r="Y227" i="1"/>
  <c r="X227" i="1"/>
  <c r="W227" i="1"/>
  <c r="N227" i="1"/>
  <c r="F227" i="1"/>
  <c r="AC226" i="1"/>
  <c r="AB226" i="1"/>
  <c r="AA226" i="1"/>
  <c r="Z226" i="1"/>
  <c r="Y226" i="1"/>
  <c r="X226" i="1"/>
  <c r="W226" i="1"/>
  <c r="N226" i="1"/>
  <c r="F226" i="1"/>
  <c r="AC225" i="1"/>
  <c r="AB225" i="1"/>
  <c r="AA225" i="1"/>
  <c r="Z225" i="1"/>
  <c r="Y225" i="1"/>
  <c r="X225" i="1"/>
  <c r="W225" i="1"/>
  <c r="N225" i="1"/>
  <c r="F225" i="1"/>
  <c r="AC224" i="1"/>
  <c r="AB224" i="1"/>
  <c r="AA224" i="1"/>
  <c r="Z224" i="1"/>
  <c r="Y224" i="1"/>
  <c r="X224" i="1"/>
  <c r="W224" i="1"/>
  <c r="N224" i="1"/>
  <c r="F224" i="1"/>
  <c r="AC223" i="1"/>
  <c r="AB223" i="1"/>
  <c r="AA223" i="1"/>
  <c r="Z223" i="1"/>
  <c r="Y223" i="1"/>
  <c r="X223" i="1"/>
  <c r="W223" i="1"/>
  <c r="N223" i="1"/>
  <c r="F223" i="1"/>
  <c r="AC222" i="1"/>
  <c r="AB222" i="1"/>
  <c r="AA222" i="1"/>
  <c r="Z222" i="1"/>
  <c r="Y222" i="1"/>
  <c r="X222" i="1"/>
  <c r="W222" i="1"/>
  <c r="N222" i="1"/>
  <c r="F222" i="1"/>
  <c r="AC221" i="1"/>
  <c r="AB221" i="1"/>
  <c r="AA221" i="1"/>
  <c r="Z221" i="1"/>
  <c r="Y221" i="1"/>
  <c r="X221" i="1"/>
  <c r="W221" i="1"/>
  <c r="N221" i="1"/>
  <c r="F221" i="1"/>
  <c r="AC220" i="1"/>
  <c r="AB220" i="1"/>
  <c r="AA220" i="1"/>
  <c r="Z220" i="1"/>
  <c r="Y220" i="1"/>
  <c r="X220" i="1"/>
  <c r="W220" i="1"/>
  <c r="N220" i="1"/>
  <c r="F220" i="1"/>
  <c r="AC219" i="1"/>
  <c r="AB219" i="1"/>
  <c r="AA219" i="1"/>
  <c r="Z219" i="1"/>
  <c r="Y219" i="1"/>
  <c r="X219" i="1"/>
  <c r="W219" i="1"/>
  <c r="N219" i="1"/>
  <c r="F219" i="1"/>
  <c r="AC218" i="1"/>
  <c r="AB218" i="1"/>
  <c r="AA218" i="1"/>
  <c r="Z218" i="1"/>
  <c r="Y218" i="1"/>
  <c r="X218" i="1"/>
  <c r="W218" i="1"/>
  <c r="N218" i="1"/>
  <c r="F218" i="1"/>
  <c r="AC217" i="1"/>
  <c r="AB217" i="1"/>
  <c r="AA217" i="1"/>
  <c r="Z217" i="1"/>
  <c r="Y217" i="1"/>
  <c r="X217" i="1"/>
  <c r="W217" i="1"/>
  <c r="N217" i="1"/>
  <c r="F217" i="1"/>
  <c r="AC216" i="1"/>
  <c r="AB216" i="1"/>
  <c r="AA216" i="1"/>
  <c r="Z216" i="1"/>
  <c r="Y216" i="1"/>
  <c r="X216" i="1"/>
  <c r="W216" i="1"/>
  <c r="N216" i="1"/>
  <c r="F216" i="1"/>
  <c r="AC215" i="1"/>
  <c r="AB215" i="1"/>
  <c r="AA215" i="1"/>
  <c r="Z215" i="1"/>
  <c r="Y215" i="1"/>
  <c r="X215" i="1"/>
  <c r="W215" i="1"/>
  <c r="N215" i="1"/>
  <c r="F215" i="1"/>
  <c r="AC214" i="1"/>
  <c r="AB214" i="1"/>
  <c r="AA214" i="1"/>
  <c r="Z214" i="1"/>
  <c r="Y214" i="1"/>
  <c r="X214" i="1"/>
  <c r="W214" i="1"/>
  <c r="N214" i="1"/>
  <c r="F214" i="1"/>
  <c r="AC213" i="1"/>
  <c r="AB213" i="1"/>
  <c r="AA213" i="1"/>
  <c r="Z213" i="1"/>
  <c r="Y213" i="1"/>
  <c r="X213" i="1"/>
  <c r="W213" i="1"/>
  <c r="N213" i="1"/>
  <c r="F213" i="1"/>
  <c r="AC212" i="1"/>
  <c r="AB212" i="1"/>
  <c r="AA212" i="1"/>
  <c r="Z212" i="1"/>
  <c r="Y212" i="1"/>
  <c r="X212" i="1"/>
  <c r="W212" i="1"/>
  <c r="N212" i="1"/>
  <c r="F212" i="1"/>
  <c r="AC211" i="1"/>
  <c r="AB211" i="1"/>
  <c r="AA211" i="1"/>
  <c r="Z211" i="1"/>
  <c r="Y211" i="1"/>
  <c r="X211" i="1"/>
  <c r="W211" i="1"/>
  <c r="N211" i="1"/>
  <c r="F211" i="1"/>
  <c r="AC210" i="1"/>
  <c r="AB210" i="1"/>
  <c r="AA210" i="1"/>
  <c r="Z210" i="1"/>
  <c r="Y210" i="1"/>
  <c r="X210" i="1"/>
  <c r="W210" i="1"/>
  <c r="N210" i="1"/>
  <c r="F210" i="1"/>
  <c r="AC209" i="1"/>
  <c r="AB209" i="1"/>
  <c r="AA209" i="1"/>
  <c r="Z209" i="1"/>
  <c r="Y209" i="1"/>
  <c r="X209" i="1"/>
  <c r="W209" i="1"/>
  <c r="N209" i="1"/>
  <c r="F209" i="1"/>
  <c r="AC208" i="1"/>
  <c r="AB208" i="1"/>
  <c r="AA208" i="1"/>
  <c r="Z208" i="1"/>
  <c r="Y208" i="1"/>
  <c r="X208" i="1"/>
  <c r="W208" i="1"/>
  <c r="N208" i="1"/>
  <c r="F208" i="1"/>
  <c r="AC207" i="1"/>
  <c r="AB207" i="1"/>
  <c r="AA207" i="1"/>
  <c r="Z207" i="1"/>
  <c r="Y207" i="1"/>
  <c r="X207" i="1"/>
  <c r="W207" i="1"/>
  <c r="N207" i="1"/>
  <c r="F207" i="1"/>
  <c r="AC206" i="1"/>
  <c r="AB206" i="1"/>
  <c r="AA206" i="1"/>
  <c r="Z206" i="1"/>
  <c r="Y206" i="1"/>
  <c r="X206" i="1"/>
  <c r="W206" i="1"/>
  <c r="N206" i="1"/>
  <c r="F206" i="1"/>
  <c r="AC205" i="1"/>
  <c r="AB205" i="1"/>
  <c r="AA205" i="1"/>
  <c r="Z205" i="1"/>
  <c r="Y205" i="1"/>
  <c r="X205" i="1"/>
  <c r="W205" i="1"/>
  <c r="N205" i="1"/>
  <c r="F205" i="1"/>
  <c r="AC204" i="1"/>
  <c r="AB204" i="1"/>
  <c r="AA204" i="1"/>
  <c r="Z204" i="1"/>
  <c r="Y204" i="1"/>
  <c r="X204" i="1"/>
  <c r="W204" i="1"/>
  <c r="N204" i="1"/>
  <c r="F204" i="1"/>
  <c r="AC203" i="1"/>
  <c r="AB203" i="1"/>
  <c r="AA203" i="1"/>
  <c r="Z203" i="1"/>
  <c r="Y203" i="1"/>
  <c r="X203" i="1"/>
  <c r="W203" i="1"/>
  <c r="N203" i="1"/>
  <c r="F203" i="1"/>
  <c r="AC202" i="1"/>
  <c r="AB202" i="1"/>
  <c r="AA202" i="1"/>
  <c r="Z202" i="1"/>
  <c r="Y202" i="1"/>
  <c r="X202" i="1"/>
  <c r="W202" i="1"/>
  <c r="N202" i="1"/>
  <c r="F202" i="1"/>
  <c r="AC201" i="1"/>
  <c r="AB201" i="1"/>
  <c r="AA201" i="1"/>
  <c r="Z201" i="1"/>
  <c r="Y201" i="1"/>
  <c r="X201" i="1"/>
  <c r="W201" i="1"/>
  <c r="N201" i="1"/>
  <c r="F201" i="1"/>
  <c r="AC200" i="1"/>
  <c r="AB200" i="1"/>
  <c r="AA200" i="1"/>
  <c r="Z200" i="1"/>
  <c r="Y200" i="1"/>
  <c r="X200" i="1"/>
  <c r="W200" i="1"/>
  <c r="N200" i="1"/>
  <c r="F200" i="1"/>
  <c r="AC199" i="1"/>
  <c r="AB199" i="1"/>
  <c r="AA199" i="1"/>
  <c r="Z199" i="1"/>
  <c r="Y199" i="1"/>
  <c r="X199" i="1"/>
  <c r="W199" i="1"/>
  <c r="N199" i="1"/>
  <c r="F199" i="1"/>
  <c r="AC198" i="1"/>
  <c r="AB198" i="1"/>
  <c r="AA198" i="1"/>
  <c r="Z198" i="1"/>
  <c r="Y198" i="1"/>
  <c r="X198" i="1"/>
  <c r="W198" i="1"/>
  <c r="N198" i="1"/>
  <c r="F198" i="1"/>
  <c r="AC197" i="1"/>
  <c r="AB197" i="1"/>
  <c r="AA197" i="1"/>
  <c r="Z197" i="1"/>
  <c r="Y197" i="1"/>
  <c r="X197" i="1"/>
  <c r="W197" i="1"/>
  <c r="N197" i="1"/>
  <c r="F197" i="1"/>
  <c r="AC196" i="1"/>
  <c r="AB196" i="1"/>
  <c r="AA196" i="1"/>
  <c r="Z196" i="1"/>
  <c r="Y196" i="1"/>
  <c r="X196" i="1"/>
  <c r="W196" i="1"/>
  <c r="N196" i="1"/>
  <c r="F196" i="1"/>
  <c r="AC195" i="1"/>
  <c r="AB195" i="1"/>
  <c r="AA195" i="1"/>
  <c r="Z195" i="1"/>
  <c r="Y195" i="1"/>
  <c r="X195" i="1"/>
  <c r="W195" i="1"/>
  <c r="N195" i="1"/>
  <c r="F195" i="1"/>
  <c r="AC194" i="1"/>
  <c r="AB194" i="1"/>
  <c r="AA194" i="1"/>
  <c r="Z194" i="1"/>
  <c r="Y194" i="1"/>
  <c r="X194" i="1"/>
  <c r="W194" i="1"/>
  <c r="N194" i="1"/>
  <c r="F194" i="1"/>
  <c r="AC193" i="1"/>
  <c r="AB193" i="1"/>
  <c r="AA193" i="1"/>
  <c r="Z193" i="1"/>
  <c r="Y193" i="1"/>
  <c r="X193" i="1"/>
  <c r="W193" i="1"/>
  <c r="N193" i="1"/>
  <c r="F193" i="1"/>
  <c r="AC192" i="1"/>
  <c r="AB192" i="1"/>
  <c r="AA192" i="1"/>
  <c r="Z192" i="1"/>
  <c r="Y192" i="1"/>
  <c r="X192" i="1"/>
  <c r="W192" i="1"/>
  <c r="N192" i="1"/>
  <c r="F192" i="1"/>
  <c r="AC191" i="1"/>
  <c r="AB191" i="1"/>
  <c r="AA191" i="1"/>
  <c r="Z191" i="1"/>
  <c r="Y191" i="1"/>
  <c r="X191" i="1"/>
  <c r="W191" i="1"/>
  <c r="N191" i="1"/>
  <c r="F191" i="1"/>
  <c r="AC190" i="1"/>
  <c r="AB190" i="1"/>
  <c r="AA190" i="1"/>
  <c r="Z190" i="1"/>
  <c r="Y190" i="1"/>
  <c r="X190" i="1"/>
  <c r="W190" i="1"/>
  <c r="N190" i="1"/>
  <c r="F190" i="1"/>
  <c r="AC189" i="1"/>
  <c r="AB189" i="1"/>
  <c r="AA189" i="1"/>
  <c r="Z189" i="1"/>
  <c r="Y189" i="1"/>
  <c r="X189" i="1"/>
  <c r="W189" i="1"/>
  <c r="N189" i="1"/>
  <c r="F189" i="1"/>
  <c r="AC188" i="1"/>
  <c r="AB188" i="1"/>
  <c r="AA188" i="1"/>
  <c r="Z188" i="1"/>
  <c r="Y188" i="1"/>
  <c r="X188" i="1"/>
  <c r="W188" i="1"/>
  <c r="N188" i="1"/>
  <c r="F188" i="1"/>
  <c r="AC187" i="1"/>
  <c r="AB187" i="1"/>
  <c r="AA187" i="1"/>
  <c r="Z187" i="1"/>
  <c r="Y187" i="1"/>
  <c r="X187" i="1"/>
  <c r="W187" i="1"/>
  <c r="N187" i="1"/>
  <c r="F187" i="1"/>
  <c r="AC186" i="1"/>
  <c r="AB186" i="1"/>
  <c r="AA186" i="1"/>
  <c r="Z186" i="1"/>
  <c r="Y186" i="1"/>
  <c r="X186" i="1"/>
  <c r="W186" i="1"/>
  <c r="N186" i="1"/>
  <c r="F186" i="1"/>
  <c r="AC185" i="1"/>
  <c r="AB185" i="1"/>
  <c r="AA185" i="1"/>
  <c r="Z185" i="1"/>
  <c r="Y185" i="1"/>
  <c r="X185" i="1"/>
  <c r="W185" i="1"/>
  <c r="N185" i="1"/>
  <c r="F185" i="1"/>
  <c r="AC184" i="1"/>
  <c r="AB184" i="1"/>
  <c r="AA184" i="1"/>
  <c r="Z184" i="1"/>
  <c r="Y184" i="1"/>
  <c r="X184" i="1"/>
  <c r="W184" i="1"/>
  <c r="N184" i="1"/>
  <c r="F184" i="1"/>
  <c r="AC183" i="1"/>
  <c r="AB183" i="1"/>
  <c r="AA183" i="1"/>
  <c r="Z183" i="1"/>
  <c r="Y183" i="1"/>
  <c r="X183" i="1"/>
  <c r="W183" i="1"/>
  <c r="N183" i="1"/>
  <c r="F183" i="1"/>
  <c r="AC182" i="1"/>
  <c r="AB182" i="1"/>
  <c r="AA182" i="1"/>
  <c r="Z182" i="1"/>
  <c r="Y182" i="1"/>
  <c r="X182" i="1"/>
  <c r="W182" i="1"/>
  <c r="N182" i="1"/>
  <c r="F182" i="1"/>
  <c r="AC181" i="1"/>
  <c r="AB181" i="1"/>
  <c r="AA181" i="1"/>
  <c r="Z181" i="1"/>
  <c r="Y181" i="1"/>
  <c r="X181" i="1"/>
  <c r="W181" i="1"/>
  <c r="N181" i="1"/>
  <c r="F181" i="1"/>
  <c r="AC180" i="1"/>
  <c r="AB180" i="1"/>
  <c r="AA180" i="1"/>
  <c r="Z180" i="1"/>
  <c r="Y180" i="1"/>
  <c r="X180" i="1"/>
  <c r="W180" i="1"/>
  <c r="N180" i="1"/>
  <c r="F180" i="1"/>
  <c r="AC179" i="1"/>
  <c r="AB179" i="1"/>
  <c r="AA179" i="1"/>
  <c r="Z179" i="1"/>
  <c r="Y179" i="1"/>
  <c r="X179" i="1"/>
  <c r="W179" i="1"/>
  <c r="N179" i="1"/>
  <c r="F179" i="1"/>
  <c r="AC178" i="1"/>
  <c r="AB178" i="1"/>
  <c r="AA178" i="1"/>
  <c r="Z178" i="1"/>
  <c r="Y178" i="1"/>
  <c r="X178" i="1"/>
  <c r="W178" i="1"/>
  <c r="N178" i="1"/>
  <c r="F178" i="1"/>
  <c r="AC177" i="1"/>
  <c r="AB177" i="1"/>
  <c r="AA177" i="1"/>
  <c r="Z177" i="1"/>
  <c r="Y177" i="1"/>
  <c r="X177" i="1"/>
  <c r="W177" i="1"/>
  <c r="N177" i="1"/>
  <c r="F177" i="1"/>
  <c r="AC176" i="1"/>
  <c r="AB176" i="1"/>
  <c r="AA176" i="1"/>
  <c r="Z176" i="1"/>
  <c r="Y176" i="1"/>
  <c r="X176" i="1"/>
  <c r="W176" i="1"/>
  <c r="N176" i="1"/>
  <c r="F176" i="1"/>
  <c r="AC175" i="1"/>
  <c r="AB175" i="1"/>
  <c r="AA175" i="1"/>
  <c r="Z175" i="1"/>
  <c r="Y175" i="1"/>
  <c r="X175" i="1"/>
  <c r="W175" i="1"/>
  <c r="N175" i="1"/>
  <c r="F175" i="1"/>
  <c r="AC174" i="1"/>
  <c r="AB174" i="1"/>
  <c r="AA174" i="1"/>
  <c r="Z174" i="1"/>
  <c r="Y174" i="1"/>
  <c r="X174" i="1"/>
  <c r="W174" i="1"/>
  <c r="N174" i="1"/>
  <c r="F174" i="1"/>
  <c r="AC173" i="1"/>
  <c r="AB173" i="1"/>
  <c r="AA173" i="1"/>
  <c r="Z173" i="1"/>
  <c r="Y173" i="1"/>
  <c r="X173" i="1"/>
  <c r="W173" i="1"/>
  <c r="N173" i="1"/>
  <c r="F173" i="1"/>
  <c r="AC172" i="1"/>
  <c r="AB172" i="1"/>
  <c r="AA172" i="1"/>
  <c r="Z172" i="1"/>
  <c r="Y172" i="1"/>
  <c r="X172" i="1"/>
  <c r="W172" i="1"/>
  <c r="N172" i="1"/>
  <c r="F172" i="1"/>
  <c r="AC171" i="1"/>
  <c r="AB171" i="1"/>
  <c r="AA171" i="1"/>
  <c r="Z171" i="1"/>
  <c r="Y171" i="1"/>
  <c r="X171" i="1"/>
  <c r="W171" i="1"/>
  <c r="N171" i="1"/>
  <c r="F171" i="1"/>
  <c r="AC170" i="1"/>
  <c r="AB170" i="1"/>
  <c r="AA170" i="1"/>
  <c r="Z170" i="1"/>
  <c r="Y170" i="1"/>
  <c r="X170" i="1"/>
  <c r="W170" i="1"/>
  <c r="N170" i="1"/>
  <c r="F170" i="1"/>
  <c r="AC169" i="1"/>
  <c r="AB169" i="1"/>
  <c r="AA169" i="1"/>
  <c r="Z169" i="1"/>
  <c r="Y169" i="1"/>
  <c r="X169" i="1"/>
  <c r="W169" i="1"/>
  <c r="N169" i="1"/>
  <c r="F169" i="1"/>
  <c r="AC168" i="1"/>
  <c r="AB168" i="1"/>
  <c r="AA168" i="1"/>
  <c r="Z168" i="1"/>
  <c r="Y168" i="1"/>
  <c r="X168" i="1"/>
  <c r="W168" i="1"/>
  <c r="N168" i="1"/>
  <c r="F168" i="1"/>
  <c r="AC167" i="1"/>
  <c r="AB167" i="1"/>
  <c r="AA167" i="1"/>
  <c r="Z167" i="1"/>
  <c r="Y167" i="1"/>
  <c r="X167" i="1"/>
  <c r="W167" i="1"/>
  <c r="N167" i="1"/>
  <c r="F167" i="1"/>
  <c r="AC166" i="1"/>
  <c r="AB166" i="1"/>
  <c r="AA166" i="1"/>
  <c r="Z166" i="1"/>
  <c r="Y166" i="1"/>
  <c r="X166" i="1"/>
  <c r="W166" i="1"/>
  <c r="N166" i="1"/>
  <c r="F166" i="1"/>
  <c r="AC165" i="1"/>
  <c r="AB165" i="1"/>
  <c r="AA165" i="1"/>
  <c r="Z165" i="1"/>
  <c r="Y165" i="1"/>
  <c r="X165" i="1"/>
  <c r="W165" i="1"/>
  <c r="N165" i="1"/>
  <c r="F165" i="1"/>
  <c r="AC164" i="1"/>
  <c r="AB164" i="1"/>
  <c r="AA164" i="1"/>
  <c r="Z164" i="1"/>
  <c r="Y164" i="1"/>
  <c r="X164" i="1"/>
  <c r="W164" i="1"/>
  <c r="N164" i="1"/>
  <c r="F164" i="1"/>
  <c r="AC163" i="1"/>
  <c r="AB163" i="1"/>
  <c r="AA163" i="1"/>
  <c r="Z163" i="1"/>
  <c r="Y163" i="1"/>
  <c r="X163" i="1"/>
  <c r="W163" i="1"/>
  <c r="N163" i="1"/>
  <c r="F163" i="1"/>
  <c r="AC162" i="1"/>
  <c r="AB162" i="1"/>
  <c r="AA162" i="1"/>
  <c r="Z162" i="1"/>
  <c r="Y162" i="1"/>
  <c r="X162" i="1"/>
  <c r="W162" i="1"/>
  <c r="N162" i="1"/>
  <c r="F162" i="1"/>
  <c r="AC161" i="1"/>
  <c r="AB161" i="1"/>
  <c r="AA161" i="1"/>
  <c r="Z161" i="1"/>
  <c r="Y161" i="1"/>
  <c r="X161" i="1"/>
  <c r="W161" i="1"/>
  <c r="N161" i="1"/>
  <c r="F161" i="1"/>
  <c r="AC160" i="1"/>
  <c r="AB160" i="1"/>
  <c r="AA160" i="1"/>
  <c r="Z160" i="1"/>
  <c r="Y160" i="1"/>
  <c r="X160" i="1"/>
  <c r="W160" i="1"/>
  <c r="N160" i="1"/>
  <c r="F160" i="1"/>
  <c r="AC159" i="1"/>
  <c r="AB159" i="1"/>
  <c r="AA159" i="1"/>
  <c r="Z159" i="1"/>
  <c r="Y159" i="1"/>
  <c r="X159" i="1"/>
  <c r="W159" i="1"/>
  <c r="N159" i="1"/>
  <c r="F159" i="1"/>
  <c r="AC158" i="1"/>
  <c r="AB158" i="1"/>
  <c r="AA158" i="1"/>
  <c r="Z158" i="1"/>
  <c r="Y158" i="1"/>
  <c r="X158" i="1"/>
  <c r="W158" i="1"/>
  <c r="N158" i="1"/>
  <c r="F158" i="1"/>
  <c r="AC157" i="1"/>
  <c r="AB157" i="1"/>
  <c r="AA157" i="1"/>
  <c r="Z157" i="1"/>
  <c r="Y157" i="1"/>
  <c r="X157" i="1"/>
  <c r="W157" i="1"/>
  <c r="N157" i="1"/>
  <c r="F157" i="1"/>
  <c r="AC156" i="1"/>
  <c r="AB156" i="1"/>
  <c r="AA156" i="1"/>
  <c r="Z156" i="1"/>
  <c r="Y156" i="1"/>
  <c r="X156" i="1"/>
  <c r="W156" i="1"/>
  <c r="N156" i="1"/>
  <c r="F156" i="1"/>
  <c r="AC155" i="1"/>
  <c r="AB155" i="1"/>
  <c r="AA155" i="1"/>
  <c r="Z155" i="1"/>
  <c r="Y155" i="1"/>
  <c r="X155" i="1"/>
  <c r="W155" i="1"/>
  <c r="N155" i="1"/>
  <c r="F155" i="1"/>
  <c r="AC154" i="1"/>
  <c r="AB154" i="1"/>
  <c r="AA154" i="1"/>
  <c r="Z154" i="1"/>
  <c r="Y154" i="1"/>
  <c r="X154" i="1"/>
  <c r="W154" i="1"/>
  <c r="N154" i="1"/>
  <c r="F154" i="1"/>
  <c r="AC153" i="1"/>
  <c r="AB153" i="1"/>
  <c r="AA153" i="1"/>
  <c r="Z153" i="1"/>
  <c r="Y153" i="1"/>
  <c r="X153" i="1"/>
  <c r="W153" i="1"/>
  <c r="N153" i="1"/>
  <c r="F153" i="1"/>
  <c r="AC152" i="1"/>
  <c r="AB152" i="1"/>
  <c r="AA152" i="1"/>
  <c r="Z152" i="1"/>
  <c r="Y152" i="1"/>
  <c r="X152" i="1"/>
  <c r="W152" i="1"/>
  <c r="N152" i="1"/>
  <c r="F152" i="1"/>
  <c r="AC151" i="1"/>
  <c r="AB151" i="1"/>
  <c r="AA151" i="1"/>
  <c r="Z151" i="1"/>
  <c r="Y151" i="1"/>
  <c r="X151" i="1"/>
  <c r="W151" i="1"/>
  <c r="N151" i="1"/>
  <c r="F151" i="1"/>
  <c r="AC150" i="1"/>
  <c r="AB150" i="1"/>
  <c r="AA150" i="1"/>
  <c r="Z150" i="1"/>
  <c r="Y150" i="1"/>
  <c r="X150" i="1"/>
  <c r="W150" i="1"/>
  <c r="N150" i="1"/>
  <c r="F150" i="1"/>
  <c r="AC149" i="1"/>
  <c r="AB149" i="1"/>
  <c r="AA149" i="1"/>
  <c r="Z149" i="1"/>
  <c r="Y149" i="1"/>
  <c r="X149" i="1"/>
  <c r="W149" i="1"/>
  <c r="N149" i="1"/>
  <c r="F149" i="1"/>
  <c r="AC148" i="1"/>
  <c r="AB148" i="1"/>
  <c r="AA148" i="1"/>
  <c r="Z148" i="1"/>
  <c r="Y148" i="1"/>
  <c r="X148" i="1"/>
  <c r="W148" i="1"/>
  <c r="N148" i="1"/>
  <c r="F148" i="1"/>
  <c r="AC147" i="1"/>
  <c r="AB147" i="1"/>
  <c r="AA147" i="1"/>
  <c r="Z147" i="1"/>
  <c r="Y147" i="1"/>
  <c r="X147" i="1"/>
  <c r="W147" i="1"/>
  <c r="N147" i="1"/>
  <c r="F147" i="1"/>
  <c r="AC146" i="1"/>
  <c r="AB146" i="1"/>
  <c r="AA146" i="1"/>
  <c r="Z146" i="1"/>
  <c r="Y146" i="1"/>
  <c r="X146" i="1"/>
  <c r="W146" i="1"/>
  <c r="N146" i="1"/>
  <c r="F146" i="1"/>
  <c r="AC145" i="1"/>
  <c r="AB145" i="1"/>
  <c r="AA145" i="1"/>
  <c r="Z145" i="1"/>
  <c r="Y145" i="1"/>
  <c r="X145" i="1"/>
  <c r="W145" i="1"/>
  <c r="N145" i="1"/>
  <c r="F145" i="1"/>
  <c r="AC144" i="1"/>
  <c r="AB144" i="1"/>
  <c r="AA144" i="1"/>
  <c r="Z144" i="1"/>
  <c r="Y144" i="1"/>
  <c r="X144" i="1"/>
  <c r="W144" i="1"/>
  <c r="N144" i="1"/>
  <c r="F144" i="1"/>
  <c r="AC143" i="1"/>
  <c r="AB143" i="1"/>
  <c r="AA143" i="1"/>
  <c r="Z143" i="1"/>
  <c r="Y143" i="1"/>
  <c r="X143" i="1"/>
  <c r="W143" i="1"/>
  <c r="N143" i="1"/>
  <c r="F143" i="1"/>
  <c r="AC142" i="1"/>
  <c r="AB142" i="1"/>
  <c r="AA142" i="1"/>
  <c r="Z142" i="1"/>
  <c r="Y142" i="1"/>
  <c r="X142" i="1"/>
  <c r="W142" i="1"/>
  <c r="N142" i="1"/>
  <c r="F142" i="1"/>
  <c r="AC141" i="1"/>
  <c r="AB141" i="1"/>
  <c r="AA141" i="1"/>
  <c r="Z141" i="1"/>
  <c r="Y141" i="1"/>
  <c r="X141" i="1"/>
  <c r="W141" i="1"/>
  <c r="N141" i="1"/>
  <c r="F141" i="1"/>
  <c r="AC140" i="1"/>
  <c r="AB140" i="1"/>
  <c r="AA140" i="1"/>
  <c r="Z140" i="1"/>
  <c r="Y140" i="1"/>
  <c r="X140" i="1"/>
  <c r="W140" i="1"/>
  <c r="N140" i="1"/>
  <c r="F140" i="1"/>
  <c r="AC139" i="1"/>
  <c r="AB139" i="1"/>
  <c r="AA139" i="1"/>
  <c r="Z139" i="1"/>
  <c r="Y139" i="1"/>
  <c r="X139" i="1"/>
  <c r="W139" i="1"/>
  <c r="N139" i="1"/>
  <c r="F139" i="1"/>
  <c r="AC138" i="1"/>
  <c r="AB138" i="1"/>
  <c r="AA138" i="1"/>
  <c r="Z138" i="1"/>
  <c r="Y138" i="1"/>
  <c r="X138" i="1"/>
  <c r="W138" i="1"/>
  <c r="N138" i="1"/>
  <c r="F138" i="1"/>
  <c r="AC137" i="1"/>
  <c r="AB137" i="1"/>
  <c r="AA137" i="1"/>
  <c r="Z137" i="1"/>
  <c r="Y137" i="1"/>
  <c r="X137" i="1"/>
  <c r="W137" i="1"/>
  <c r="N137" i="1"/>
  <c r="F137" i="1"/>
  <c r="AC136" i="1"/>
  <c r="AB136" i="1"/>
  <c r="AA136" i="1"/>
  <c r="Z136" i="1"/>
  <c r="Y136" i="1"/>
  <c r="X136" i="1"/>
  <c r="W136" i="1"/>
  <c r="N136" i="1"/>
  <c r="F136" i="1"/>
  <c r="AC135" i="1"/>
  <c r="AB135" i="1"/>
  <c r="AA135" i="1"/>
  <c r="Z135" i="1"/>
  <c r="Y135" i="1"/>
  <c r="X135" i="1"/>
  <c r="W135" i="1"/>
  <c r="N135" i="1"/>
  <c r="F135" i="1"/>
  <c r="AC134" i="1"/>
  <c r="AB134" i="1"/>
  <c r="AA134" i="1"/>
  <c r="Z134" i="1"/>
  <c r="Y134" i="1"/>
  <c r="X134" i="1"/>
  <c r="W134" i="1"/>
  <c r="N134" i="1"/>
  <c r="F134" i="1"/>
  <c r="AC133" i="1"/>
  <c r="AB133" i="1"/>
  <c r="AA133" i="1"/>
  <c r="Z133" i="1"/>
  <c r="Y133" i="1"/>
  <c r="X133" i="1"/>
  <c r="W133" i="1"/>
  <c r="N133" i="1"/>
  <c r="F133" i="1"/>
  <c r="AC132" i="1"/>
  <c r="AB132" i="1"/>
  <c r="AA132" i="1"/>
  <c r="Z132" i="1"/>
  <c r="Y132" i="1"/>
  <c r="X132" i="1"/>
  <c r="W132" i="1"/>
  <c r="N132" i="1"/>
  <c r="F132" i="1"/>
  <c r="AC131" i="1"/>
  <c r="AB131" i="1"/>
  <c r="AA131" i="1"/>
  <c r="Z131" i="1"/>
  <c r="Y131" i="1"/>
  <c r="X131" i="1"/>
  <c r="W131" i="1"/>
  <c r="N131" i="1"/>
  <c r="F131" i="1"/>
  <c r="AC130" i="1"/>
  <c r="AB130" i="1"/>
  <c r="AA130" i="1"/>
  <c r="Z130" i="1"/>
  <c r="Y130" i="1"/>
  <c r="X130" i="1"/>
  <c r="W130" i="1"/>
  <c r="N130" i="1"/>
  <c r="F130" i="1"/>
  <c r="AC129" i="1"/>
  <c r="AB129" i="1"/>
  <c r="AA129" i="1"/>
  <c r="Z129" i="1"/>
  <c r="Y129" i="1"/>
  <c r="X129" i="1"/>
  <c r="W129" i="1"/>
  <c r="N129" i="1"/>
  <c r="F129" i="1"/>
  <c r="AC128" i="1"/>
  <c r="AB128" i="1"/>
  <c r="AA128" i="1"/>
  <c r="Z128" i="1"/>
  <c r="Y128" i="1"/>
  <c r="X128" i="1"/>
  <c r="W128" i="1"/>
  <c r="N128" i="1"/>
  <c r="F128" i="1"/>
  <c r="AC127" i="1"/>
  <c r="AB127" i="1"/>
  <c r="AA127" i="1"/>
  <c r="Z127" i="1"/>
  <c r="Y127" i="1"/>
  <c r="X127" i="1"/>
  <c r="W127" i="1"/>
  <c r="N127" i="1"/>
  <c r="F127" i="1"/>
  <c r="AC126" i="1"/>
  <c r="AB126" i="1"/>
  <c r="AA126" i="1"/>
  <c r="Z126" i="1"/>
  <c r="Y126" i="1"/>
  <c r="X126" i="1"/>
  <c r="W126" i="1"/>
  <c r="N126" i="1"/>
  <c r="F126" i="1"/>
  <c r="AC125" i="1"/>
  <c r="AB125" i="1"/>
  <c r="AA125" i="1"/>
  <c r="Z125" i="1"/>
  <c r="Y125" i="1"/>
  <c r="X125" i="1"/>
  <c r="W125" i="1"/>
  <c r="N125" i="1"/>
  <c r="F125" i="1"/>
  <c r="AC124" i="1"/>
  <c r="AB124" i="1"/>
  <c r="AA124" i="1"/>
  <c r="Z124" i="1"/>
  <c r="Y124" i="1"/>
  <c r="X124" i="1"/>
  <c r="W124" i="1"/>
  <c r="N124" i="1"/>
  <c r="F124" i="1"/>
  <c r="AC123" i="1"/>
  <c r="AB123" i="1"/>
  <c r="AA123" i="1"/>
  <c r="Z123" i="1"/>
  <c r="Y123" i="1"/>
  <c r="X123" i="1"/>
  <c r="W123" i="1"/>
  <c r="N123" i="1"/>
  <c r="F123" i="1"/>
  <c r="AC122" i="1"/>
  <c r="AB122" i="1"/>
  <c r="AA122" i="1"/>
  <c r="Z122" i="1"/>
  <c r="Y122" i="1"/>
  <c r="X122" i="1"/>
  <c r="W122" i="1"/>
  <c r="N122" i="1"/>
  <c r="F122" i="1"/>
  <c r="AC121" i="1"/>
  <c r="AB121" i="1"/>
  <c r="AA121" i="1"/>
  <c r="Z121" i="1"/>
  <c r="Y121" i="1"/>
  <c r="X121" i="1"/>
  <c r="W121" i="1"/>
  <c r="N121" i="1"/>
  <c r="F121" i="1"/>
  <c r="AC120" i="1"/>
  <c r="AB120" i="1"/>
  <c r="AA120" i="1"/>
  <c r="Z120" i="1"/>
  <c r="Y120" i="1"/>
  <c r="X120" i="1"/>
  <c r="W120" i="1"/>
  <c r="N120" i="1"/>
  <c r="F120" i="1"/>
  <c r="AC119" i="1"/>
  <c r="AB119" i="1"/>
  <c r="AA119" i="1"/>
  <c r="Z119" i="1"/>
  <c r="Y119" i="1"/>
  <c r="X119" i="1"/>
  <c r="W119" i="1"/>
  <c r="N119" i="1"/>
  <c r="F119" i="1"/>
  <c r="AC118" i="1"/>
  <c r="AB118" i="1"/>
  <c r="AA118" i="1"/>
  <c r="Z118" i="1"/>
  <c r="Y118" i="1"/>
  <c r="X118" i="1"/>
  <c r="W118" i="1"/>
  <c r="N118" i="1"/>
  <c r="F118" i="1"/>
  <c r="AC117" i="1"/>
  <c r="AB117" i="1"/>
  <c r="AA117" i="1"/>
  <c r="Z117" i="1"/>
  <c r="Y117" i="1"/>
  <c r="X117" i="1"/>
  <c r="W117" i="1"/>
  <c r="N117" i="1"/>
  <c r="F117" i="1"/>
  <c r="AC116" i="1"/>
  <c r="AB116" i="1"/>
  <c r="AA116" i="1"/>
  <c r="Z116" i="1"/>
  <c r="Y116" i="1"/>
  <c r="X116" i="1"/>
  <c r="W116" i="1"/>
  <c r="N116" i="1"/>
  <c r="F116" i="1"/>
  <c r="AC115" i="1"/>
  <c r="AB115" i="1"/>
  <c r="AA115" i="1"/>
  <c r="Z115" i="1"/>
  <c r="Y115" i="1"/>
  <c r="X115" i="1"/>
  <c r="W115" i="1"/>
  <c r="N115" i="1"/>
  <c r="F115" i="1"/>
  <c r="AC114" i="1"/>
  <c r="AB114" i="1"/>
  <c r="AA114" i="1"/>
  <c r="Z114" i="1"/>
  <c r="Y114" i="1"/>
  <c r="X114" i="1"/>
  <c r="W114" i="1"/>
  <c r="N114" i="1"/>
  <c r="F114" i="1"/>
  <c r="AC113" i="1"/>
  <c r="AB113" i="1"/>
  <c r="AA113" i="1"/>
  <c r="Z113" i="1"/>
  <c r="Y113" i="1"/>
  <c r="X113" i="1"/>
  <c r="W113" i="1"/>
  <c r="N113" i="1"/>
  <c r="F113" i="1"/>
  <c r="AC112" i="1"/>
  <c r="AB112" i="1"/>
  <c r="AA112" i="1"/>
  <c r="Z112" i="1"/>
  <c r="Y112" i="1"/>
  <c r="X112" i="1"/>
  <c r="W112" i="1"/>
  <c r="N112" i="1"/>
  <c r="F112" i="1"/>
  <c r="AC111" i="1"/>
  <c r="AB111" i="1"/>
  <c r="AA111" i="1"/>
  <c r="Z111" i="1"/>
  <c r="Y111" i="1"/>
  <c r="X111" i="1"/>
  <c r="W111" i="1"/>
  <c r="N111" i="1"/>
  <c r="F111" i="1"/>
  <c r="AC110" i="1"/>
  <c r="AB110" i="1"/>
  <c r="AA110" i="1"/>
  <c r="Z110" i="1"/>
  <c r="Y110" i="1"/>
  <c r="X110" i="1"/>
  <c r="W110" i="1"/>
  <c r="N110" i="1"/>
  <c r="F110" i="1"/>
  <c r="AC109" i="1"/>
  <c r="AB109" i="1"/>
  <c r="AA109" i="1"/>
  <c r="Z109" i="1"/>
  <c r="Y109" i="1"/>
  <c r="X109" i="1"/>
  <c r="W109" i="1"/>
  <c r="N109" i="1"/>
  <c r="F109" i="1"/>
  <c r="AC108" i="1"/>
  <c r="AB108" i="1"/>
  <c r="AA108" i="1"/>
  <c r="Z108" i="1"/>
  <c r="Y108" i="1"/>
  <c r="X108" i="1"/>
  <c r="W108" i="1"/>
  <c r="N108" i="1"/>
  <c r="F108" i="1"/>
  <c r="AC107" i="1"/>
  <c r="AB107" i="1"/>
  <c r="AA107" i="1"/>
  <c r="Z107" i="1"/>
  <c r="Y107" i="1"/>
  <c r="X107" i="1"/>
  <c r="W107" i="1"/>
  <c r="N107" i="1"/>
  <c r="F107" i="1"/>
  <c r="AC106" i="1"/>
  <c r="AB106" i="1"/>
  <c r="AA106" i="1"/>
  <c r="Z106" i="1"/>
  <c r="Y106" i="1"/>
  <c r="X106" i="1"/>
  <c r="W106" i="1"/>
  <c r="N106" i="1"/>
  <c r="F106" i="1"/>
  <c r="AC105" i="1"/>
  <c r="AB105" i="1"/>
  <c r="AA105" i="1"/>
  <c r="Z105" i="1"/>
  <c r="Y105" i="1"/>
  <c r="X105" i="1"/>
  <c r="W105" i="1"/>
  <c r="N105" i="1"/>
  <c r="F105" i="1"/>
  <c r="AC104" i="1"/>
  <c r="AB104" i="1"/>
  <c r="AA104" i="1"/>
  <c r="Z104" i="1"/>
  <c r="Y104" i="1"/>
  <c r="X104" i="1"/>
  <c r="W104" i="1"/>
  <c r="N104" i="1"/>
  <c r="F104" i="1"/>
  <c r="AC103" i="1"/>
  <c r="AB103" i="1"/>
  <c r="AA103" i="1"/>
  <c r="Z103" i="1"/>
  <c r="Y103" i="1"/>
  <c r="X103" i="1"/>
  <c r="W103" i="1"/>
  <c r="N103" i="1"/>
  <c r="F103" i="1"/>
  <c r="AC102" i="1"/>
  <c r="AB102" i="1"/>
  <c r="AA102" i="1"/>
  <c r="Z102" i="1"/>
  <c r="Y102" i="1"/>
  <c r="X102" i="1"/>
  <c r="W102" i="1"/>
  <c r="N102" i="1"/>
  <c r="F102" i="1"/>
  <c r="AC101" i="1"/>
  <c r="AB101" i="1"/>
  <c r="AA101" i="1"/>
  <c r="Z101" i="1"/>
  <c r="Y101" i="1"/>
  <c r="X101" i="1"/>
  <c r="W101" i="1"/>
  <c r="N101" i="1"/>
  <c r="F101" i="1"/>
  <c r="AC100" i="1"/>
  <c r="AB100" i="1"/>
  <c r="AA100" i="1"/>
  <c r="Z100" i="1"/>
  <c r="Y100" i="1"/>
  <c r="X100" i="1"/>
  <c r="W100" i="1"/>
  <c r="N100" i="1"/>
  <c r="F100" i="1"/>
  <c r="AC99" i="1"/>
  <c r="AB99" i="1"/>
  <c r="AA99" i="1"/>
  <c r="Z99" i="1"/>
  <c r="Y99" i="1"/>
  <c r="X99" i="1"/>
  <c r="W99" i="1"/>
  <c r="N99" i="1"/>
  <c r="F99" i="1"/>
  <c r="AC98" i="1"/>
  <c r="AB98" i="1"/>
  <c r="AA98" i="1"/>
  <c r="Z98" i="1"/>
  <c r="Y98" i="1"/>
  <c r="X98" i="1"/>
  <c r="W98" i="1"/>
  <c r="N98" i="1"/>
  <c r="F98" i="1"/>
  <c r="AC97" i="1"/>
  <c r="AB97" i="1"/>
  <c r="AA97" i="1"/>
  <c r="Z97" i="1"/>
  <c r="Y97" i="1"/>
  <c r="X97" i="1"/>
  <c r="W97" i="1"/>
  <c r="N97" i="1"/>
  <c r="F97" i="1"/>
  <c r="AC96" i="1"/>
  <c r="AB96" i="1"/>
  <c r="AA96" i="1"/>
  <c r="Z96" i="1"/>
  <c r="Y96" i="1"/>
  <c r="X96" i="1"/>
  <c r="W96" i="1"/>
  <c r="N96" i="1"/>
  <c r="F96" i="1"/>
  <c r="AC95" i="1"/>
  <c r="AB95" i="1"/>
  <c r="AA95" i="1"/>
  <c r="Z95" i="1"/>
  <c r="Y95" i="1"/>
  <c r="X95" i="1"/>
  <c r="W95" i="1"/>
  <c r="N95" i="1"/>
  <c r="F95" i="1"/>
  <c r="AC94" i="1"/>
  <c r="AB94" i="1"/>
  <c r="AA94" i="1"/>
  <c r="Z94" i="1"/>
  <c r="Y94" i="1"/>
  <c r="X94" i="1"/>
  <c r="W94" i="1"/>
  <c r="N94" i="1"/>
  <c r="F94" i="1"/>
  <c r="AC93" i="1"/>
  <c r="AB93" i="1"/>
  <c r="AA93" i="1"/>
  <c r="Z93" i="1"/>
  <c r="Y93" i="1"/>
  <c r="X93" i="1"/>
  <c r="W93" i="1"/>
  <c r="N93" i="1"/>
  <c r="F93" i="1"/>
  <c r="AC92" i="1"/>
  <c r="AB92" i="1"/>
  <c r="AA92" i="1"/>
  <c r="Z92" i="1"/>
  <c r="Y92" i="1"/>
  <c r="X92" i="1"/>
  <c r="W92" i="1"/>
  <c r="N92" i="1"/>
  <c r="F92" i="1"/>
  <c r="AC91" i="1"/>
  <c r="AB91" i="1"/>
  <c r="AA91" i="1"/>
  <c r="Z91" i="1"/>
  <c r="Y91" i="1"/>
  <c r="X91" i="1"/>
  <c r="W91" i="1"/>
  <c r="N91" i="1"/>
  <c r="F91" i="1"/>
  <c r="AC90" i="1"/>
  <c r="AB90" i="1"/>
  <c r="AA90" i="1"/>
  <c r="Z90" i="1"/>
  <c r="Y90" i="1"/>
  <c r="X90" i="1"/>
  <c r="W90" i="1"/>
  <c r="N90" i="1"/>
  <c r="F90" i="1"/>
  <c r="AC89" i="1"/>
  <c r="AB89" i="1"/>
  <c r="AA89" i="1"/>
  <c r="Z89" i="1"/>
  <c r="Y89" i="1"/>
  <c r="X89" i="1"/>
  <c r="W89" i="1"/>
  <c r="N89" i="1"/>
  <c r="F89" i="1"/>
  <c r="AC88" i="1"/>
  <c r="AB88" i="1"/>
  <c r="AA88" i="1"/>
  <c r="Z88" i="1"/>
  <c r="Y88" i="1"/>
  <c r="X88" i="1"/>
  <c r="W88" i="1"/>
  <c r="N88" i="1"/>
  <c r="F88" i="1"/>
  <c r="AC87" i="1"/>
  <c r="AB87" i="1"/>
  <c r="AA87" i="1"/>
  <c r="Z87" i="1"/>
  <c r="Y87" i="1"/>
  <c r="X87" i="1"/>
  <c r="W87" i="1"/>
  <c r="N87" i="1"/>
  <c r="F87" i="1"/>
  <c r="AC86" i="1"/>
  <c r="AB86" i="1"/>
  <c r="AA86" i="1"/>
  <c r="Z86" i="1"/>
  <c r="Y86" i="1"/>
  <c r="X86" i="1"/>
  <c r="W86" i="1"/>
  <c r="N86" i="1"/>
  <c r="F86" i="1"/>
  <c r="AC85" i="1"/>
  <c r="AB85" i="1"/>
  <c r="AA85" i="1"/>
  <c r="Z85" i="1"/>
  <c r="Y85" i="1"/>
  <c r="X85" i="1"/>
  <c r="W85" i="1"/>
  <c r="N85" i="1"/>
  <c r="F85" i="1"/>
  <c r="AC84" i="1"/>
  <c r="AB84" i="1"/>
  <c r="AA84" i="1"/>
  <c r="Z84" i="1"/>
  <c r="Y84" i="1"/>
  <c r="X84" i="1"/>
  <c r="W84" i="1"/>
  <c r="N84" i="1"/>
  <c r="F84" i="1"/>
  <c r="AC83" i="1"/>
  <c r="AB83" i="1"/>
  <c r="AA83" i="1"/>
  <c r="Z83" i="1"/>
  <c r="Y83" i="1"/>
  <c r="X83" i="1"/>
  <c r="W83" i="1"/>
  <c r="N83" i="1"/>
  <c r="F83" i="1"/>
  <c r="AC82" i="1"/>
  <c r="AB82" i="1"/>
  <c r="AA82" i="1"/>
  <c r="Z82" i="1"/>
  <c r="Y82" i="1"/>
  <c r="X82" i="1"/>
  <c r="W82" i="1"/>
  <c r="N82" i="1"/>
  <c r="F82" i="1"/>
  <c r="AC81" i="1"/>
  <c r="AB81" i="1"/>
  <c r="AA81" i="1"/>
  <c r="Z81" i="1"/>
  <c r="Y81" i="1"/>
  <c r="X81" i="1"/>
  <c r="W81" i="1"/>
  <c r="N81" i="1"/>
  <c r="F81" i="1"/>
  <c r="AC80" i="1"/>
  <c r="AB80" i="1"/>
  <c r="AA80" i="1"/>
  <c r="Z80" i="1"/>
  <c r="Y80" i="1"/>
  <c r="X80" i="1"/>
  <c r="W80" i="1"/>
  <c r="N80" i="1"/>
  <c r="F80" i="1"/>
  <c r="AC79" i="1"/>
  <c r="AB79" i="1"/>
  <c r="AA79" i="1"/>
  <c r="Z79" i="1"/>
  <c r="Y79" i="1"/>
  <c r="X79" i="1"/>
  <c r="W79" i="1"/>
  <c r="N79" i="1"/>
  <c r="F79" i="1"/>
  <c r="AC78" i="1"/>
  <c r="AB78" i="1"/>
  <c r="AA78" i="1"/>
  <c r="Z78" i="1"/>
  <c r="Y78" i="1"/>
  <c r="X78" i="1"/>
  <c r="W78" i="1"/>
  <c r="N78" i="1"/>
  <c r="F78" i="1"/>
  <c r="AC77" i="1"/>
  <c r="AB77" i="1"/>
  <c r="AA77" i="1"/>
  <c r="Z77" i="1"/>
  <c r="Y77" i="1"/>
  <c r="X77" i="1"/>
  <c r="W77" i="1"/>
  <c r="N77" i="1"/>
  <c r="F77" i="1"/>
  <c r="AC76" i="1"/>
  <c r="AB76" i="1"/>
  <c r="AA76" i="1"/>
  <c r="Z76" i="1"/>
  <c r="Y76" i="1"/>
  <c r="X76" i="1"/>
  <c r="W76" i="1"/>
  <c r="N76" i="1"/>
  <c r="F76" i="1"/>
  <c r="AC75" i="1"/>
  <c r="AB75" i="1"/>
  <c r="AA75" i="1"/>
  <c r="Z75" i="1"/>
  <c r="Y75" i="1"/>
  <c r="X75" i="1"/>
  <c r="W75" i="1"/>
  <c r="N75" i="1"/>
  <c r="F75" i="1"/>
  <c r="AC74" i="1"/>
  <c r="AB74" i="1"/>
  <c r="AA74" i="1"/>
  <c r="Z74" i="1"/>
  <c r="Y74" i="1"/>
  <c r="X74" i="1"/>
  <c r="W74" i="1"/>
  <c r="N74" i="1"/>
  <c r="F74" i="1"/>
  <c r="AC73" i="1"/>
  <c r="AB73" i="1"/>
  <c r="AA73" i="1"/>
  <c r="Z73" i="1"/>
  <c r="Y73" i="1"/>
  <c r="X73" i="1"/>
  <c r="W73" i="1"/>
  <c r="N73" i="1"/>
  <c r="F73" i="1"/>
  <c r="AC72" i="1"/>
  <c r="AB72" i="1"/>
  <c r="AA72" i="1"/>
  <c r="Z72" i="1"/>
  <c r="Y72" i="1"/>
  <c r="X72" i="1"/>
  <c r="W72" i="1"/>
  <c r="N72" i="1"/>
  <c r="F72" i="1"/>
  <c r="AC71" i="1"/>
  <c r="AB71" i="1"/>
  <c r="AA71" i="1"/>
  <c r="Z71" i="1"/>
  <c r="Y71" i="1"/>
  <c r="X71" i="1"/>
  <c r="W71" i="1"/>
  <c r="N71" i="1"/>
  <c r="F71" i="1"/>
  <c r="AC70" i="1"/>
  <c r="AB70" i="1"/>
  <c r="AA70" i="1"/>
  <c r="Z70" i="1"/>
  <c r="Y70" i="1"/>
  <c r="X70" i="1"/>
  <c r="W70" i="1"/>
  <c r="N70" i="1"/>
  <c r="F70" i="1"/>
  <c r="AC69" i="1"/>
  <c r="AB69" i="1"/>
  <c r="AA69" i="1"/>
  <c r="Z69" i="1"/>
  <c r="Y69" i="1"/>
  <c r="X69" i="1"/>
  <c r="W69" i="1"/>
  <c r="N69" i="1"/>
  <c r="F69" i="1"/>
  <c r="AC68" i="1"/>
  <c r="AB68" i="1"/>
  <c r="AA68" i="1"/>
  <c r="Z68" i="1"/>
  <c r="Y68" i="1"/>
  <c r="X68" i="1"/>
  <c r="W68" i="1"/>
  <c r="N68" i="1"/>
  <c r="F68" i="1"/>
  <c r="AC67" i="1"/>
  <c r="AB67" i="1"/>
  <c r="AA67" i="1"/>
  <c r="Z67" i="1"/>
  <c r="Y67" i="1"/>
  <c r="X67" i="1"/>
  <c r="W67" i="1"/>
  <c r="N67" i="1"/>
  <c r="F67" i="1"/>
  <c r="AC66" i="1"/>
  <c r="AB66" i="1"/>
  <c r="AA66" i="1"/>
  <c r="Z66" i="1"/>
  <c r="Y66" i="1"/>
  <c r="X66" i="1"/>
  <c r="W66" i="1"/>
  <c r="N66" i="1"/>
  <c r="F66" i="1"/>
  <c r="AC65" i="1"/>
  <c r="AB65" i="1"/>
  <c r="AA65" i="1"/>
  <c r="Z65" i="1"/>
  <c r="Y65" i="1"/>
  <c r="X65" i="1"/>
  <c r="W65" i="1"/>
  <c r="N65" i="1"/>
  <c r="F65" i="1"/>
  <c r="AC64" i="1"/>
  <c r="AB64" i="1"/>
  <c r="AA64" i="1"/>
  <c r="Z64" i="1"/>
  <c r="Y64" i="1"/>
  <c r="X64" i="1"/>
  <c r="W64" i="1"/>
  <c r="N64" i="1"/>
  <c r="F64" i="1"/>
  <c r="AC63" i="1"/>
  <c r="AB63" i="1"/>
  <c r="AA63" i="1"/>
  <c r="Z63" i="1"/>
  <c r="Y63" i="1"/>
  <c r="X63" i="1"/>
  <c r="W63" i="1"/>
  <c r="N63" i="1"/>
  <c r="F63" i="1"/>
  <c r="AC62" i="1"/>
  <c r="AB62" i="1"/>
  <c r="AA62" i="1"/>
  <c r="Z62" i="1"/>
  <c r="Y62" i="1"/>
  <c r="X62" i="1"/>
  <c r="W62" i="1"/>
  <c r="N62" i="1"/>
  <c r="F62" i="1"/>
  <c r="AC61" i="1"/>
  <c r="AB61" i="1"/>
  <c r="AA61" i="1"/>
  <c r="Z61" i="1"/>
  <c r="Y61" i="1"/>
  <c r="X61" i="1"/>
  <c r="W61" i="1"/>
  <c r="N61" i="1"/>
  <c r="F61" i="1"/>
  <c r="AC60" i="1"/>
  <c r="AB60" i="1"/>
  <c r="AA60" i="1"/>
  <c r="Z60" i="1"/>
  <c r="Y60" i="1"/>
  <c r="X60" i="1"/>
  <c r="W60" i="1"/>
  <c r="N60" i="1"/>
  <c r="F60" i="1"/>
  <c r="AC59" i="1"/>
  <c r="AB59" i="1"/>
  <c r="AA59" i="1"/>
  <c r="Z59" i="1"/>
  <c r="Y59" i="1"/>
  <c r="X59" i="1"/>
  <c r="W59" i="1"/>
  <c r="N59" i="1"/>
  <c r="F59" i="1"/>
  <c r="AC58" i="1"/>
  <c r="AB58" i="1"/>
  <c r="AA58" i="1"/>
  <c r="Z58" i="1"/>
  <c r="Y58" i="1"/>
  <c r="X58" i="1"/>
  <c r="W58" i="1"/>
  <c r="N58" i="1"/>
  <c r="F58" i="1"/>
  <c r="AC57" i="1"/>
  <c r="AB57" i="1"/>
  <c r="AA57" i="1"/>
  <c r="Z57" i="1"/>
  <c r="Y57" i="1"/>
  <c r="X57" i="1"/>
  <c r="W57" i="1"/>
  <c r="N57" i="1"/>
  <c r="F57" i="1"/>
  <c r="AC56" i="1"/>
  <c r="AB56" i="1"/>
  <c r="AA56" i="1"/>
  <c r="Z56" i="1"/>
  <c r="Y56" i="1"/>
  <c r="X56" i="1"/>
  <c r="W56" i="1"/>
  <c r="N56" i="1"/>
  <c r="F56" i="1"/>
  <c r="AC55" i="1"/>
  <c r="AB55" i="1"/>
  <c r="AA55" i="1"/>
  <c r="Z55" i="1"/>
  <c r="Y55" i="1"/>
  <c r="X55" i="1"/>
  <c r="W55" i="1"/>
  <c r="N55" i="1"/>
  <c r="F55" i="1"/>
  <c r="AC54" i="1"/>
  <c r="AB54" i="1"/>
  <c r="AA54" i="1"/>
  <c r="Z54" i="1"/>
  <c r="Y54" i="1"/>
  <c r="X54" i="1"/>
  <c r="W54" i="1"/>
  <c r="N54" i="1"/>
  <c r="F54" i="1"/>
  <c r="AC53" i="1"/>
  <c r="AB53" i="1"/>
  <c r="AA53" i="1"/>
  <c r="Z53" i="1"/>
  <c r="Y53" i="1"/>
  <c r="X53" i="1"/>
  <c r="W53" i="1"/>
  <c r="N53" i="1"/>
  <c r="F53" i="1"/>
  <c r="AC52" i="1"/>
  <c r="AB52" i="1"/>
  <c r="AA52" i="1"/>
  <c r="Z52" i="1"/>
  <c r="Y52" i="1"/>
  <c r="X52" i="1"/>
  <c r="W52" i="1"/>
  <c r="N52" i="1"/>
  <c r="F52" i="1"/>
  <c r="AC51" i="1"/>
  <c r="AB51" i="1"/>
  <c r="AA51" i="1"/>
  <c r="Z51" i="1"/>
  <c r="Y51" i="1"/>
  <c r="X51" i="1"/>
  <c r="W51" i="1"/>
  <c r="N51" i="1"/>
  <c r="F51" i="1"/>
  <c r="AC50" i="1"/>
  <c r="AB50" i="1"/>
  <c r="AA50" i="1"/>
  <c r="Z50" i="1"/>
  <c r="Y50" i="1"/>
  <c r="X50" i="1"/>
  <c r="W50" i="1"/>
  <c r="N50" i="1"/>
  <c r="F50" i="1"/>
  <c r="AC49" i="1"/>
  <c r="AB49" i="1"/>
  <c r="AA49" i="1"/>
  <c r="Z49" i="1"/>
  <c r="Y49" i="1"/>
  <c r="X49" i="1"/>
  <c r="W49" i="1"/>
  <c r="N49" i="1"/>
  <c r="F49" i="1"/>
  <c r="AC48" i="1"/>
  <c r="AB48" i="1"/>
  <c r="AA48" i="1"/>
  <c r="Z48" i="1"/>
  <c r="Y48" i="1"/>
  <c r="X48" i="1"/>
  <c r="W48" i="1"/>
  <c r="N48" i="1"/>
  <c r="F48" i="1"/>
  <c r="AC47" i="1"/>
  <c r="AB47" i="1"/>
  <c r="AA47" i="1"/>
  <c r="Z47" i="1"/>
  <c r="Y47" i="1"/>
  <c r="X47" i="1"/>
  <c r="W47" i="1"/>
  <c r="N47" i="1"/>
  <c r="F47" i="1"/>
  <c r="AC46" i="1"/>
  <c r="AB46" i="1"/>
  <c r="AA46" i="1"/>
  <c r="Z46" i="1"/>
  <c r="Y46" i="1"/>
  <c r="X46" i="1"/>
  <c r="W46" i="1"/>
  <c r="N46" i="1"/>
  <c r="F46" i="1"/>
  <c r="AC45" i="1"/>
  <c r="AB45" i="1"/>
  <c r="AA45" i="1"/>
  <c r="Z45" i="1"/>
  <c r="Y45" i="1"/>
  <c r="X45" i="1"/>
  <c r="W45" i="1"/>
  <c r="N45" i="1"/>
  <c r="F45" i="1"/>
  <c r="AC44" i="1"/>
  <c r="AB44" i="1"/>
  <c r="AA44" i="1"/>
  <c r="Z44" i="1"/>
  <c r="Y44" i="1"/>
  <c r="X44" i="1"/>
  <c r="W44" i="1"/>
  <c r="N44" i="1"/>
  <c r="F44" i="1"/>
  <c r="AC43" i="1"/>
  <c r="AB43" i="1"/>
  <c r="AA43" i="1"/>
  <c r="Z43" i="1"/>
  <c r="Y43" i="1"/>
  <c r="X43" i="1"/>
  <c r="W43" i="1"/>
  <c r="N43" i="1"/>
  <c r="F43" i="1"/>
  <c r="AC42" i="1"/>
  <c r="AB42" i="1"/>
  <c r="AA42" i="1"/>
  <c r="Z42" i="1"/>
  <c r="Y42" i="1"/>
  <c r="X42" i="1"/>
  <c r="W42" i="1"/>
  <c r="N42" i="1"/>
  <c r="F42" i="1"/>
  <c r="AC41" i="1"/>
  <c r="AB41" i="1"/>
  <c r="AA41" i="1"/>
  <c r="Z41" i="1"/>
  <c r="Y41" i="1"/>
  <c r="X41" i="1"/>
  <c r="W41" i="1"/>
  <c r="N41" i="1"/>
  <c r="F41" i="1"/>
  <c r="AC40" i="1"/>
  <c r="AB40" i="1"/>
  <c r="AA40" i="1"/>
  <c r="Z40" i="1"/>
  <c r="Y40" i="1"/>
  <c r="X40" i="1"/>
  <c r="W40" i="1"/>
  <c r="N40" i="1"/>
  <c r="F40" i="1"/>
  <c r="AC39" i="1"/>
  <c r="AB39" i="1"/>
  <c r="AA39" i="1"/>
  <c r="Z39" i="1"/>
  <c r="Y39" i="1"/>
  <c r="X39" i="1"/>
  <c r="W39" i="1"/>
  <c r="N39" i="1"/>
  <c r="F39" i="1"/>
  <c r="AC38" i="1"/>
  <c r="AB38" i="1"/>
  <c r="AA38" i="1"/>
  <c r="Z38" i="1"/>
  <c r="Y38" i="1"/>
  <c r="X38" i="1"/>
  <c r="W38" i="1"/>
  <c r="N38" i="1"/>
  <c r="F38" i="1"/>
  <c r="AC37" i="1"/>
  <c r="AB37" i="1"/>
  <c r="AA37" i="1"/>
  <c r="Z37" i="1"/>
  <c r="Y37" i="1"/>
  <c r="X37" i="1"/>
  <c r="W37" i="1"/>
  <c r="N37" i="1"/>
  <c r="F37" i="1"/>
  <c r="AC36" i="1"/>
  <c r="AB36" i="1"/>
  <c r="AA36" i="1"/>
  <c r="Z36" i="1"/>
  <c r="Y36" i="1"/>
  <c r="X36" i="1"/>
  <c r="W36" i="1"/>
  <c r="N36" i="1"/>
  <c r="F36" i="1"/>
  <c r="AC35" i="1"/>
  <c r="AB35" i="1"/>
  <c r="AA35" i="1"/>
  <c r="Z35" i="1"/>
  <c r="Y35" i="1"/>
  <c r="X35" i="1"/>
  <c r="W35" i="1"/>
  <c r="N35" i="1"/>
  <c r="F35" i="1"/>
  <c r="AC34" i="1"/>
  <c r="AB34" i="1"/>
  <c r="AA34" i="1"/>
  <c r="Z34" i="1"/>
  <c r="Y34" i="1"/>
  <c r="X34" i="1"/>
  <c r="W34" i="1"/>
  <c r="N34" i="1"/>
  <c r="F34" i="1"/>
  <c r="AC33" i="1"/>
  <c r="AB33" i="1"/>
  <c r="AA33" i="1"/>
  <c r="Z33" i="1"/>
  <c r="Y33" i="1"/>
  <c r="X33" i="1"/>
  <c r="W33" i="1"/>
  <c r="N33" i="1"/>
  <c r="F33" i="1"/>
  <c r="AC32" i="1"/>
  <c r="AB32" i="1"/>
  <c r="AA32" i="1"/>
  <c r="Z32" i="1"/>
  <c r="Y32" i="1"/>
  <c r="X32" i="1"/>
  <c r="W32" i="1"/>
  <c r="N32" i="1"/>
  <c r="F32" i="1"/>
  <c r="AC31" i="1"/>
  <c r="AB31" i="1"/>
  <c r="AA31" i="1"/>
  <c r="Z31" i="1"/>
  <c r="Y31" i="1"/>
  <c r="X31" i="1"/>
  <c r="W31" i="1"/>
  <c r="N31" i="1"/>
  <c r="F31" i="1"/>
  <c r="AC30" i="1"/>
  <c r="AB30" i="1"/>
  <c r="AA30" i="1"/>
  <c r="Z30" i="1"/>
  <c r="Y30" i="1"/>
  <c r="X30" i="1"/>
  <c r="W30" i="1"/>
  <c r="N30" i="1"/>
  <c r="F30" i="1"/>
  <c r="AC29" i="1"/>
  <c r="AB29" i="1"/>
  <c r="AA29" i="1"/>
  <c r="Z29" i="1"/>
  <c r="Y29" i="1"/>
  <c r="X29" i="1"/>
  <c r="W29" i="1"/>
  <c r="N29" i="1"/>
  <c r="F29" i="1"/>
  <c r="AC28" i="1"/>
  <c r="AB28" i="1"/>
  <c r="AA28" i="1"/>
  <c r="Z28" i="1"/>
  <c r="Y28" i="1"/>
  <c r="X28" i="1"/>
  <c r="W28" i="1"/>
  <c r="N28" i="1"/>
  <c r="F28" i="1"/>
  <c r="AC27" i="1"/>
  <c r="AB27" i="1"/>
  <c r="AA27" i="1"/>
  <c r="Z27" i="1"/>
  <c r="Y27" i="1"/>
  <c r="X27" i="1"/>
  <c r="W27" i="1"/>
  <c r="N27" i="1"/>
  <c r="F27" i="1"/>
  <c r="AC26" i="1"/>
  <c r="AB26" i="1"/>
  <c r="AA26" i="1"/>
  <c r="Z26" i="1"/>
  <c r="Y26" i="1"/>
  <c r="X26" i="1"/>
  <c r="W26" i="1"/>
  <c r="N26" i="1"/>
  <c r="F26" i="1"/>
  <c r="AC25" i="1"/>
  <c r="AB25" i="1"/>
  <c r="AA25" i="1"/>
  <c r="Z25" i="1"/>
  <c r="Y25" i="1"/>
  <c r="X25" i="1"/>
  <c r="W25" i="1"/>
  <c r="N25" i="1"/>
  <c r="F25" i="1"/>
  <c r="AC24" i="1"/>
  <c r="AB24" i="1"/>
  <c r="AA24" i="1"/>
  <c r="Z24" i="1"/>
  <c r="Y24" i="1"/>
  <c r="X24" i="1"/>
  <c r="W24" i="1"/>
  <c r="N24" i="1"/>
  <c r="F24" i="1"/>
  <c r="AC23" i="1"/>
  <c r="AB23" i="1"/>
  <c r="AA23" i="1"/>
  <c r="Z23" i="1"/>
  <c r="Y23" i="1"/>
  <c r="X23" i="1"/>
  <c r="W23" i="1"/>
  <c r="N23" i="1"/>
  <c r="F23" i="1"/>
  <c r="AC22" i="1"/>
  <c r="AB22" i="1"/>
  <c r="AA22" i="1"/>
  <c r="Z22" i="1"/>
  <c r="Y22" i="1"/>
  <c r="X22" i="1"/>
  <c r="W22" i="1"/>
  <c r="N22" i="1"/>
  <c r="F22" i="1"/>
  <c r="AC21" i="1"/>
  <c r="AB21" i="1"/>
  <c r="AA21" i="1"/>
  <c r="Z21" i="1"/>
  <c r="Y21" i="1"/>
  <c r="X21" i="1"/>
  <c r="W21" i="1"/>
  <c r="N21" i="1"/>
  <c r="F21" i="1"/>
  <c r="AC20" i="1"/>
  <c r="AB20" i="1"/>
  <c r="AA20" i="1"/>
  <c r="Z20" i="1"/>
  <c r="Y20" i="1"/>
  <c r="X20" i="1"/>
  <c r="W20" i="1"/>
  <c r="N20" i="1"/>
  <c r="F20" i="1"/>
  <c r="AC19" i="1"/>
  <c r="AB19" i="1"/>
  <c r="AA19" i="1"/>
  <c r="Z19" i="1"/>
  <c r="Y19" i="1"/>
  <c r="X19" i="1"/>
  <c r="W19" i="1"/>
  <c r="N19" i="1"/>
  <c r="F19" i="1"/>
  <c r="AC18" i="1"/>
  <c r="AB18" i="1"/>
  <c r="AA18" i="1"/>
  <c r="Z18" i="1"/>
  <c r="Y18" i="1"/>
  <c r="X18" i="1"/>
  <c r="W18" i="1"/>
  <c r="N18" i="1"/>
  <c r="F18" i="1"/>
  <c r="AC17" i="1"/>
  <c r="AB17" i="1"/>
  <c r="AA17" i="1"/>
  <c r="Z17" i="1"/>
  <c r="Y17" i="1"/>
  <c r="X17" i="1"/>
  <c r="W17" i="1"/>
  <c r="N17" i="1"/>
  <c r="F17" i="1"/>
  <c r="AC16" i="1"/>
  <c r="AB16" i="1"/>
  <c r="AA16" i="1"/>
  <c r="Z16" i="1"/>
  <c r="Y16" i="1"/>
  <c r="X16" i="1"/>
  <c r="W16" i="1"/>
  <c r="N16" i="1"/>
  <c r="F16" i="1"/>
  <c r="AC15" i="1"/>
  <c r="AB15" i="1"/>
  <c r="AA15" i="1"/>
  <c r="Z15" i="1"/>
  <c r="Y15" i="1"/>
  <c r="X15" i="1"/>
  <c r="W15" i="1"/>
  <c r="N15" i="1"/>
  <c r="F15" i="1"/>
  <c r="AC14" i="1"/>
  <c r="AB14" i="1"/>
  <c r="AA14" i="1"/>
  <c r="Z14" i="1"/>
  <c r="Y14" i="1"/>
  <c r="X14" i="1"/>
  <c r="W14" i="1"/>
  <c r="N14" i="1"/>
  <c r="F14" i="1"/>
  <c r="AC13" i="1"/>
  <c r="AB13" i="1"/>
  <c r="AA13" i="1"/>
  <c r="Z13" i="1"/>
  <c r="Y13" i="1"/>
  <c r="X13" i="1"/>
  <c r="W13" i="1"/>
  <c r="N13" i="1"/>
  <c r="F13" i="1"/>
  <c r="AC12" i="1"/>
  <c r="AB12" i="1"/>
  <c r="AA12" i="1"/>
  <c r="Z12" i="1"/>
  <c r="Y12" i="1"/>
  <c r="X12" i="1"/>
  <c r="W12" i="1"/>
  <c r="N12" i="1"/>
  <c r="F12" i="1"/>
  <c r="AC11" i="1"/>
  <c r="AB11" i="1"/>
  <c r="AA11" i="1"/>
  <c r="Z11" i="1"/>
  <c r="Y11" i="1"/>
  <c r="X11" i="1"/>
  <c r="W11" i="1"/>
  <c r="N11" i="1"/>
  <c r="F11" i="1"/>
  <c r="AC10" i="1"/>
  <c r="AB10" i="1"/>
  <c r="AA10" i="1"/>
  <c r="Z10" i="1"/>
  <c r="Y10" i="1"/>
  <c r="X10" i="1"/>
  <c r="W10" i="1"/>
  <c r="N10" i="1"/>
  <c r="F10" i="1"/>
  <c r="AC9" i="1"/>
  <c r="AB9" i="1"/>
  <c r="AA9" i="1"/>
  <c r="Z9" i="1"/>
  <c r="Y9" i="1"/>
  <c r="X9" i="1"/>
  <c r="W9" i="1"/>
  <c r="N9" i="1"/>
  <c r="F9" i="1"/>
  <c r="AC8" i="1"/>
  <c r="AB8" i="1"/>
  <c r="AA8" i="1"/>
  <c r="Z8" i="1"/>
  <c r="Y8" i="1"/>
  <c r="X8" i="1"/>
  <c r="W8" i="1"/>
  <c r="N8" i="1"/>
  <c r="F8" i="1"/>
  <c r="AC7" i="1"/>
  <c r="AB7" i="1"/>
  <c r="AA7" i="1"/>
  <c r="Z7" i="1"/>
  <c r="Y7" i="1"/>
  <c r="X7" i="1"/>
  <c r="W7" i="1"/>
  <c r="N7" i="1"/>
  <c r="F7" i="1"/>
  <c r="AC6" i="1"/>
  <c r="AB6" i="1"/>
  <c r="AA6" i="1"/>
  <c r="Z6" i="1"/>
  <c r="Y6" i="1"/>
  <c r="X6" i="1"/>
  <c r="W6" i="1"/>
  <c r="N6" i="1"/>
  <c r="F6" i="1"/>
  <c r="AC5" i="1"/>
  <c r="AB5" i="1"/>
  <c r="AA5" i="1"/>
  <c r="Z5" i="1"/>
  <c r="Y5" i="1"/>
  <c r="X5" i="1"/>
  <c r="W5" i="1"/>
  <c r="N5" i="1"/>
  <c r="F5" i="1"/>
  <c r="AC4" i="1"/>
  <c r="AB4" i="1"/>
  <c r="AA4" i="1"/>
  <c r="Z4" i="1"/>
  <c r="Y4" i="1"/>
  <c r="X4" i="1"/>
  <c r="W4" i="1"/>
  <c r="N4" i="1"/>
  <c r="F4" i="1"/>
  <c r="AC3" i="1"/>
  <c r="AB3" i="1"/>
  <c r="AA3" i="1"/>
  <c r="Z3" i="1"/>
  <c r="Y3" i="1"/>
  <c r="X3" i="1"/>
  <c r="W3" i="1"/>
  <c r="N3" i="1"/>
  <c r="F3" i="1"/>
  <c r="AC2" i="1"/>
  <c r="AB2" i="1"/>
  <c r="AA2" i="1"/>
  <c r="Z2" i="1"/>
  <c r="Y2" i="1"/>
  <c r="X2" i="1"/>
  <c r="W2" i="1"/>
  <c r="N2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W1" authorId="0" shapeId="0" xr:uid="{00000000-0006-0000-0000-000008000000}">
      <text>
        <r>
          <rPr>
            <sz val="10"/>
            <color rgb="FF000000"/>
            <rFont val="Arial"/>
            <scheme val="minor"/>
          </rPr>
          <t>= [Gross Cost Column] / [Total Conversions Column]
	-john isik</t>
        </r>
      </text>
    </comment>
    <comment ref="X1" authorId="0" shapeId="0" xr:uid="{00000000-0006-0000-0000-000007000000}">
      <text>
        <r>
          <rPr>
            <sz val="10"/>
            <color rgb="FF000000"/>
            <rFont val="Arial"/>
            <scheme val="minor"/>
          </rPr>
          <t>= ([Clicks Column] / [Impressions Column]) * 100
	-john isik</t>
        </r>
      </text>
    </comment>
    <comment ref="Y1" authorId="0" shapeId="0" xr:uid="{00000000-0006-0000-0000-000006000000}">
      <text>
        <r>
          <rPr>
            <sz val="10"/>
            <color rgb="FF000000"/>
            <rFont val="Arial"/>
            <scheme val="minor"/>
          </rPr>
          <t>= ([Viewable Impressions Column] / [Impressions Column]) * 100
	-john isik</t>
        </r>
      </text>
    </comment>
    <comment ref="Z1" authorId="0" shapeId="0" xr:uid="{00000000-0006-0000-0000-000005000000}">
      <text>
        <r>
          <rPr>
            <sz val="10"/>
            <color rgb="FF000000"/>
            <rFont val="Arial"/>
            <scheme val="minor"/>
          </rPr>
          <t>= [Gross Cost Column] / ([Viewable Impressions Column] / 1000)
	-john isik
CPVM = (Cost ÷ viewable impressions) x
	-john isik
Viewable CPM = (Total Ad Spend / Viewable Impressions) * 1000
	-john isik</t>
        </r>
      </text>
    </comment>
    <comment ref="AA1" authorId="0" shapeId="0" xr:uid="{00000000-0006-0000-0000-000001000000}">
      <text>
        <r>
          <rPr>
            <sz val="10"/>
            <color rgb="FF000000"/>
            <rFont val="Arial"/>
            <scheme val="minor"/>
          </rPr>
          <t>CPM = (Total Ad Spend / Total Impressions) * 1000
	-john isik</t>
        </r>
      </text>
    </comment>
    <comment ref="AB1" authorId="0" shapeId="0" xr:uid="{00000000-0006-0000-0000-000004000000}">
      <text>
        <r>
          <rPr>
            <sz val="10"/>
            <color rgb="FF000000"/>
            <rFont val="Arial"/>
            <scheme val="minor"/>
          </rPr>
          <t>CPC = Total Ad Spend / Total Clicks
	-john isik</t>
        </r>
      </text>
    </comment>
    <comment ref="AC1" authorId="0" shapeId="0" xr:uid="{00000000-0006-0000-0000-000003000000}">
      <text>
        <r>
          <rPr>
            <sz val="10"/>
            <color rgb="FF000000"/>
            <rFont val="Arial"/>
            <scheme val="minor"/>
          </rPr>
          <t>CVR = (Total Conversions / Total Visitors or Clicks) * 100%
	-john isik</t>
        </r>
      </text>
    </comment>
    <comment ref="AD1" authorId="0" shapeId="0" xr:uid="{00000000-0006-0000-0000-000002000000}">
      <text>
        <r>
          <rPr>
            <sz val="10"/>
            <color rgb="FF000000"/>
            <rFont val="Arial"/>
            <scheme val="minor"/>
          </rPr>
          <t>СРМ = (Cost ÷ viewable impressions) × 1000
	-john isik</t>
        </r>
      </text>
    </comment>
  </commentList>
</comments>
</file>

<file path=xl/sharedStrings.xml><?xml version="1.0" encoding="utf-8"?>
<sst xmlns="http://schemas.openxmlformats.org/spreadsheetml/2006/main" count="23059" uniqueCount="4186">
  <si>
    <t>campaign_id</t>
  </si>
  <si>
    <t>Audience_Segment_1</t>
  </si>
  <si>
    <t>Audience_Segment_2</t>
  </si>
  <si>
    <t>Audience_Segment_3</t>
  </si>
  <si>
    <t>Audience_Segment_4</t>
  </si>
  <si>
    <t>Category_byFunction</t>
  </si>
  <si>
    <t>Custom_Category</t>
  </si>
  <si>
    <t>Creative_Size</t>
  </si>
  <si>
    <t>user_id</t>
  </si>
  <si>
    <t>Creative_Messaging</t>
  </si>
  <si>
    <t>City</t>
  </si>
  <si>
    <t>State</t>
  </si>
  <si>
    <t>App_url</t>
  </si>
  <si>
    <t>Webpage</t>
  </si>
  <si>
    <t>Exchange</t>
  </si>
  <si>
    <t>Device</t>
  </si>
  <si>
    <t>Impressions</t>
  </si>
  <si>
    <t>Clicks</t>
  </si>
  <si>
    <t>Viewable_Impressions</t>
  </si>
  <si>
    <t>Measurable_Impressions</t>
  </si>
  <si>
    <t>Total_Conversions</t>
  </si>
  <si>
    <t>Gross_Cost</t>
  </si>
  <si>
    <t>CPA 
(Cost Per Acquisition)</t>
  </si>
  <si>
    <t>CTR 
(Click-Through Rate)</t>
  </si>
  <si>
    <t>Viewability</t>
  </si>
  <si>
    <t>CPvM
(Viewable CPM)</t>
  </si>
  <si>
    <t>CPM
(Cost Per Thousand)</t>
  </si>
  <si>
    <t>CPC 
(Cost-Per-Click)</t>
  </si>
  <si>
    <t>CVR 
(Conversion Rate)</t>
  </si>
  <si>
    <t>AB40F</t>
  </si>
  <si>
    <t>Purchase Behaviors</t>
  </si>
  <si>
    <t>Q2 Environmentally Concerned Shoppers</t>
  </si>
  <si>
    <t>320x50</t>
  </si>
  <si>
    <t>IRMPR6262S</t>
  </si>
  <si>
    <t>Sign up Now - 10% Off</t>
  </si>
  <si>
    <t>Nashville</t>
  </si>
  <si>
    <t>Tennessee</t>
  </si>
  <si>
    <t>cars.com</t>
  </si>
  <si>
    <t>Sovrn</t>
  </si>
  <si>
    <t>Smartphone</t>
  </si>
  <si>
    <t>AC72T</t>
  </si>
  <si>
    <t>Online Behavior</t>
  </si>
  <si>
    <t>The Changing Consumer</t>
  </si>
  <si>
    <t>Home Entertaining</t>
  </si>
  <si>
    <t>300x250</t>
  </si>
  <si>
    <t>BLKON6199V</t>
  </si>
  <si>
    <t>Sign up Today - 10% Off</t>
  </si>
  <si>
    <t>Flint-Saginaw-Bay City</t>
  </si>
  <si>
    <t>Michigan</t>
  </si>
  <si>
    <t>mail.yahoo.com</t>
  </si>
  <si>
    <t>Google Ad Manager</t>
  </si>
  <si>
    <t>AG15I</t>
  </si>
  <si>
    <t>Interest Propensities</t>
  </si>
  <si>
    <t>Insurance</t>
  </si>
  <si>
    <t>Unitedhealth Group</t>
  </si>
  <si>
    <t>WVOFQ9893P</t>
  </si>
  <si>
    <t>New York City</t>
  </si>
  <si>
    <t>New York</t>
  </si>
  <si>
    <t>forbes.com</t>
  </si>
  <si>
    <t>AG25K</t>
  </si>
  <si>
    <t>Aetna Group</t>
  </si>
  <si>
    <t>KGDGG2331X</t>
  </si>
  <si>
    <t>10% Discount - Ends 6/1</t>
  </si>
  <si>
    <t>foxbusiness.com</t>
  </si>
  <si>
    <t>Apple PC</t>
  </si>
  <si>
    <t>AH51D</t>
  </si>
  <si>
    <t>Brand Propensities</t>
  </si>
  <si>
    <t>Media and Entertainment</t>
  </si>
  <si>
    <t>Sony Network Entertainment International Buyer Propensity</t>
  </si>
  <si>
    <t>Entertainment</t>
  </si>
  <si>
    <t>QNBHM4798S</t>
  </si>
  <si>
    <t>West Palm Beach-Ft. Pierce</t>
  </si>
  <si>
    <t>Florida</t>
  </si>
  <si>
    <t>mail.aol.com</t>
  </si>
  <si>
    <t>PubMatic</t>
  </si>
  <si>
    <t>Windows PC</t>
  </si>
  <si>
    <t>AL1W</t>
  </si>
  <si>
    <t>Response Performance</t>
  </si>
  <si>
    <t>Direct Marketing Purchasers</t>
  </si>
  <si>
    <t>CIWBB0883B</t>
  </si>
  <si>
    <t>Subscribe Today - 10% Discount</t>
  </si>
  <si>
    <t>Champaign &amp; Springfield-Decatur</t>
  </si>
  <si>
    <t>Illinois</t>
  </si>
  <si>
    <t>gamingbible.com</t>
  </si>
  <si>
    <t>AL69A</t>
  </si>
  <si>
    <t>Travel</t>
  </si>
  <si>
    <t>Hotels and Accommodations</t>
  </si>
  <si>
    <t>FYZMG3428M</t>
  </si>
  <si>
    <t>San Francisco</t>
  </si>
  <si>
    <t>California</t>
  </si>
  <si>
    <t>outlook.live.com</t>
  </si>
  <si>
    <t>AM10N</t>
  </si>
  <si>
    <t>Propensity Models</t>
  </si>
  <si>
    <t>Lifestyle</t>
  </si>
  <si>
    <t>Loyalty Programs</t>
  </si>
  <si>
    <t>Loyalty Card User</t>
  </si>
  <si>
    <t>MWWQM0755O</t>
  </si>
  <si>
    <t>findagrave.com</t>
  </si>
  <si>
    <t>AS27N</t>
  </si>
  <si>
    <t>Tourist Destinations</t>
  </si>
  <si>
    <t>Mountain and Ski Resorts</t>
  </si>
  <si>
    <t>ZDIZU7193X</t>
  </si>
  <si>
    <t>cbsnews.com</t>
  </si>
  <si>
    <t>BidSwitch</t>
  </si>
  <si>
    <t>AT73E</t>
  </si>
  <si>
    <t>Beauty and Fitness</t>
  </si>
  <si>
    <t>Cosmetology and Beauty Professionals</t>
  </si>
  <si>
    <t>EKGPP8018L</t>
  </si>
  <si>
    <t>dotesports.com</t>
  </si>
  <si>
    <t>Xandr - Monetize SSP</t>
  </si>
  <si>
    <t>AV74Z</t>
  </si>
  <si>
    <t>FIHJW2587P</t>
  </si>
  <si>
    <t>ebay.com</t>
  </si>
  <si>
    <t>AW40T</t>
  </si>
  <si>
    <t>Life Event</t>
  </si>
  <si>
    <t>Bride</t>
  </si>
  <si>
    <t>XAGNC8410N</t>
  </si>
  <si>
    <t>businessinsider.com</t>
  </si>
  <si>
    <t>TripleLift</t>
  </si>
  <si>
    <t>AW54Q</t>
  </si>
  <si>
    <t>Autos and Vehicles</t>
  </si>
  <si>
    <t>Hybrid and Alternative Vehicles</t>
  </si>
  <si>
    <t>Automotive</t>
  </si>
  <si>
    <t>300x50</t>
  </si>
  <si>
    <t>XVKEV1441G</t>
  </si>
  <si>
    <t>hindustantimes.com</t>
  </si>
  <si>
    <t>AX2U</t>
  </si>
  <si>
    <t>Finance</t>
  </si>
  <si>
    <t>Travel Insurance</t>
  </si>
  <si>
    <t>TZSFS8968E</t>
  </si>
  <si>
    <t>weather.com</t>
  </si>
  <si>
    <t>Magnite DV+</t>
  </si>
  <si>
    <t>AY42X</t>
  </si>
  <si>
    <t>Telecommunications (Telco)</t>
  </si>
  <si>
    <t>Subscribers</t>
  </si>
  <si>
    <t>Technology</t>
  </si>
  <si>
    <t>LOJCW7817F</t>
  </si>
  <si>
    <t>Tallahassee</t>
  </si>
  <si>
    <t>dailydot.com</t>
  </si>
  <si>
    <t>AZ11F</t>
  </si>
  <si>
    <t>Engagement</t>
  </si>
  <si>
    <t>MOLSZ6722X</t>
  </si>
  <si>
    <t>Miami-Ft. Lauderdale</t>
  </si>
  <si>
    <t>AZ42U</t>
  </si>
  <si>
    <t>OnAudience</t>
  </si>
  <si>
    <t>News</t>
  </si>
  <si>
    <t>National News</t>
  </si>
  <si>
    <t>DJRUD9702Z</t>
  </si>
  <si>
    <t>Los Angeles</t>
  </si>
  <si>
    <t>greedyfinance.com</t>
  </si>
  <si>
    <t>AZ61O</t>
  </si>
  <si>
    <t>Sports and Recreational Activities</t>
  </si>
  <si>
    <t>Team Sports</t>
  </si>
  <si>
    <t>Baseball - Major League Baseball (MLB)</t>
  </si>
  <si>
    <t>Sports</t>
  </si>
  <si>
    <t>KFRBM4147Z</t>
  </si>
  <si>
    <t>aol.com</t>
  </si>
  <si>
    <t>OpenX</t>
  </si>
  <si>
    <t>BB24S</t>
  </si>
  <si>
    <t>BHJKL7319I</t>
  </si>
  <si>
    <t>tomsguide.com</t>
  </si>
  <si>
    <t>BC71S</t>
  </si>
  <si>
    <t>Auto Buyers</t>
  </si>
  <si>
    <t>Car Make</t>
  </si>
  <si>
    <t>Vauxhall</t>
  </si>
  <si>
    <t>OYFOL0602Q</t>
  </si>
  <si>
    <t>nypost.com</t>
  </si>
  <si>
    <t>BE54Z</t>
  </si>
  <si>
    <t>Streaming Services</t>
  </si>
  <si>
    <t>YPSPS2140K</t>
  </si>
  <si>
    <t>Jacksonville</t>
  </si>
  <si>
    <t>sports.yahoo.com</t>
  </si>
  <si>
    <t>BF90F</t>
  </si>
  <si>
    <t>Music</t>
  </si>
  <si>
    <t>Hip Hop and Rap</t>
  </si>
  <si>
    <t>UTHQB7740D</t>
  </si>
  <si>
    <t>Knoxville</t>
  </si>
  <si>
    <t>BF99N</t>
  </si>
  <si>
    <t>Hobbies and Interest</t>
  </si>
  <si>
    <t>Avid Runners</t>
  </si>
  <si>
    <t>CFHGW5648C</t>
  </si>
  <si>
    <t>Lansing</t>
  </si>
  <si>
    <t>BG59Q</t>
  </si>
  <si>
    <t>Cruises</t>
  </si>
  <si>
    <t>EOTVC4808M</t>
  </si>
  <si>
    <t>doctoreport.com</t>
  </si>
  <si>
    <t>Index Exchange</t>
  </si>
  <si>
    <t>BG76D</t>
  </si>
  <si>
    <t>Sports League</t>
  </si>
  <si>
    <t>MLB</t>
  </si>
  <si>
    <t>CSFSM1628N</t>
  </si>
  <si>
    <t>autotrader.com</t>
  </si>
  <si>
    <t>BH30K</t>
  </si>
  <si>
    <t>Arts and Entertainment</t>
  </si>
  <si>
    <t>Music and Audio</t>
  </si>
  <si>
    <t>OEHNZ3437I</t>
  </si>
  <si>
    <t>chicagotribune.com</t>
  </si>
  <si>
    <t>BH79Z</t>
  </si>
  <si>
    <t>B2B Decision Maker Responsibilities</t>
  </si>
  <si>
    <t>Real Estate Services</t>
  </si>
  <si>
    <t>Real Estate</t>
  </si>
  <si>
    <t>BTTSH5960B</t>
  </si>
  <si>
    <t>zillow.com</t>
  </si>
  <si>
    <t>BJ86Y</t>
  </si>
  <si>
    <t>TV and Movies</t>
  </si>
  <si>
    <t>Network TV</t>
  </si>
  <si>
    <t>IQRYH0409J</t>
  </si>
  <si>
    <t>realtor.com</t>
  </si>
  <si>
    <t>BL51J</t>
  </si>
  <si>
    <t>Occupation</t>
  </si>
  <si>
    <t>Broker</t>
  </si>
  <si>
    <t>ISJZP5116B</t>
  </si>
  <si>
    <t>tastesbetterfromscratch.com</t>
  </si>
  <si>
    <t>BM25C</t>
  </si>
  <si>
    <t>Validated Demographic</t>
  </si>
  <si>
    <t>Gender and Age Combined</t>
  </si>
  <si>
    <t>Females 55-64</t>
  </si>
  <si>
    <t>URUUN6862Y</t>
  </si>
  <si>
    <t>news.yahoo.com</t>
  </si>
  <si>
    <t>BM27N</t>
  </si>
  <si>
    <t>Peugeot</t>
  </si>
  <si>
    <t>UHRAL1341C</t>
  </si>
  <si>
    <t>usatoday.com</t>
  </si>
  <si>
    <t>BM49D</t>
  </si>
  <si>
    <t>Activities and Interests</t>
  </si>
  <si>
    <t>College Life</t>
  </si>
  <si>
    <t>IBKNH6417J</t>
  </si>
  <si>
    <t>Jackson</t>
  </si>
  <si>
    <t>Mississippi</t>
  </si>
  <si>
    <t>msn.com</t>
  </si>
  <si>
    <t>BN24N</t>
  </si>
  <si>
    <t>Cruises and Charters</t>
  </si>
  <si>
    <t>JCTLS5100D</t>
  </si>
  <si>
    <t>BO73M</t>
  </si>
  <si>
    <t>Internet Connection</t>
  </si>
  <si>
    <t>KWEJC2523I</t>
  </si>
  <si>
    <t>Chicago</t>
  </si>
  <si>
    <t>BP1N</t>
  </si>
  <si>
    <t>Baby and Toddler</t>
  </si>
  <si>
    <t>Baby Toys</t>
  </si>
  <si>
    <t>CVPKQ4333A</t>
  </si>
  <si>
    <t>Augusta</t>
  </si>
  <si>
    <t>Georgia</t>
  </si>
  <si>
    <t>poshland.com</t>
  </si>
  <si>
    <t>BP46K</t>
  </si>
  <si>
    <t>FASKQ5093E</t>
  </si>
  <si>
    <t>clutchpoints.com</t>
  </si>
  <si>
    <t>BP95C</t>
  </si>
  <si>
    <t>Type</t>
  </si>
  <si>
    <t>SUV</t>
  </si>
  <si>
    <t>DGHBT9952X</t>
  </si>
  <si>
    <t>homeaddict.io</t>
  </si>
  <si>
    <t>BR61E</t>
  </si>
  <si>
    <t>Shopping</t>
  </si>
  <si>
    <t>Consumer Electronics</t>
  </si>
  <si>
    <t>Cameras and Photography Equip</t>
  </si>
  <si>
    <t>YZRZD5125Z</t>
  </si>
  <si>
    <t>gameofglam.com</t>
  </si>
  <si>
    <t>BR75Q</t>
  </si>
  <si>
    <t>Student</t>
  </si>
  <si>
    <t>HNVLH7748V</t>
  </si>
  <si>
    <t>BS61I</t>
  </si>
  <si>
    <t>Retail</t>
  </si>
  <si>
    <t>AJJCI3040E</t>
  </si>
  <si>
    <t>South Bend-Elkhart</t>
  </si>
  <si>
    <t>Indiana</t>
  </si>
  <si>
    <t>BS84C</t>
  </si>
  <si>
    <t>Events and Listings</t>
  </si>
  <si>
    <t>Expos and Conventions</t>
  </si>
  <si>
    <t>VUHLC2139A</t>
  </si>
  <si>
    <t>BT52H</t>
  </si>
  <si>
    <t>News and Current Events</t>
  </si>
  <si>
    <t>Online News Websites</t>
  </si>
  <si>
    <t>AROWV6562F</t>
  </si>
  <si>
    <t>Grand Rapids-Kalamazoo</t>
  </si>
  <si>
    <t>newsharper.com</t>
  </si>
  <si>
    <t>BW84Z</t>
  </si>
  <si>
    <t>Photography</t>
  </si>
  <si>
    <t>IWALP7682D</t>
  </si>
  <si>
    <t>boattrader.com</t>
  </si>
  <si>
    <t>BX74G</t>
  </si>
  <si>
    <t>Games</t>
  </si>
  <si>
    <t>Computer and Video Games</t>
  </si>
  <si>
    <t>XRXCI6979P</t>
  </si>
  <si>
    <t>bbc.com</t>
  </si>
  <si>
    <t>BY31B</t>
  </si>
  <si>
    <t>Technology News</t>
  </si>
  <si>
    <t>ZNEJY5510H</t>
  </si>
  <si>
    <t>femanin.com</t>
  </si>
  <si>
    <t>CA34N</t>
  </si>
  <si>
    <t>Mobile Device Ownership</t>
  </si>
  <si>
    <t>Smartphones</t>
  </si>
  <si>
    <t>iOS (Apple)</t>
  </si>
  <si>
    <t>iPhone 11</t>
  </si>
  <si>
    <t>DZZSC6982P</t>
  </si>
  <si>
    <t>finance.yahoo.com</t>
  </si>
  <si>
    <t>CA9X</t>
  </si>
  <si>
    <t>Luxurious Brands</t>
  </si>
  <si>
    <t>GEOMK7360B</t>
  </si>
  <si>
    <t>Ft. Myers-Naples</t>
  </si>
  <si>
    <t>the-sun.com</t>
  </si>
  <si>
    <t>CB44H</t>
  </si>
  <si>
    <t>DNKCL6936S</t>
  </si>
  <si>
    <t>gamespot.com</t>
  </si>
  <si>
    <t>CC4W</t>
  </si>
  <si>
    <t>Financially in Charge</t>
  </si>
  <si>
    <t>Performance Score: Top 50%</t>
  </si>
  <si>
    <t>QRBII8237O</t>
  </si>
  <si>
    <t>CE62P</t>
  </si>
  <si>
    <t>Celebrity Fan</t>
  </si>
  <si>
    <t>Gossip</t>
  </si>
  <si>
    <t>FKKDR3691J</t>
  </si>
  <si>
    <t>CE82F</t>
  </si>
  <si>
    <t>Shopping Mall Buyers</t>
  </si>
  <si>
    <t>FMYIG2676Q</t>
  </si>
  <si>
    <t>Memphis</t>
  </si>
  <si>
    <t>cargurus.com</t>
  </si>
  <si>
    <t>Sharethrough</t>
  </si>
  <si>
    <t>CF31E</t>
  </si>
  <si>
    <t>Food and Drink</t>
  </si>
  <si>
    <t>Beverages</t>
  </si>
  <si>
    <t>Soft Drinks</t>
  </si>
  <si>
    <t>FMGTL4108A</t>
  </si>
  <si>
    <t>lotterypost.com</t>
  </si>
  <si>
    <t>CG21B</t>
  </si>
  <si>
    <t>Sociodemographic</t>
  </si>
  <si>
    <t>Age</t>
  </si>
  <si>
    <t>45-49</t>
  </si>
  <si>
    <t>KWIBK2289A</t>
  </si>
  <si>
    <t>CH74Y</t>
  </si>
  <si>
    <t>Financial Aid</t>
  </si>
  <si>
    <t>RLSQY9807F</t>
  </si>
  <si>
    <t>apnews.com</t>
  </si>
  <si>
    <t>CI32B</t>
  </si>
  <si>
    <t>Computers</t>
  </si>
  <si>
    <t>DNGFI5901X</t>
  </si>
  <si>
    <t>CJ79P</t>
  </si>
  <si>
    <t>Local News</t>
  </si>
  <si>
    <t>AOTHP3333L</t>
  </si>
  <si>
    <t>foxnews.com</t>
  </si>
  <si>
    <t>CK9M</t>
  </si>
  <si>
    <t>Transactional</t>
  </si>
  <si>
    <t>Q3 Casual Dining Restaurant Goers</t>
  </si>
  <si>
    <t>DUQDY1587I</t>
  </si>
  <si>
    <t>CM49X</t>
  </si>
  <si>
    <t>Rent Amount</t>
  </si>
  <si>
    <t>Sensible  Rentals ($1000-$3000)</t>
  </si>
  <si>
    <t>ANIZM5002N</t>
  </si>
  <si>
    <t>drugs.com</t>
  </si>
  <si>
    <t>Smart RTB+</t>
  </si>
  <si>
    <t>CM93O</t>
  </si>
  <si>
    <t>Restaurants and Dining</t>
  </si>
  <si>
    <t>Seamless Buyer Propensity</t>
  </si>
  <si>
    <t>PCNIR6115S</t>
  </si>
  <si>
    <t>yahoo.com</t>
  </si>
  <si>
    <t>CN71E</t>
  </si>
  <si>
    <t>Luxury Travel</t>
  </si>
  <si>
    <t>HPADF0180L</t>
  </si>
  <si>
    <t>Huntsville-Decatur (Florence)</t>
  </si>
  <si>
    <t>Alabama</t>
  </si>
  <si>
    <t>seedsgames.com</t>
  </si>
  <si>
    <t>CO92O</t>
  </si>
  <si>
    <t>Movies</t>
  </si>
  <si>
    <t>funnyand.com</t>
  </si>
  <si>
    <t>CP6L</t>
  </si>
  <si>
    <t>US</t>
  </si>
  <si>
    <t>US Â» Financially in Charge Â» Performance Score: Top 25%</t>
  </si>
  <si>
    <t>RKDTH1662X</t>
  </si>
  <si>
    <t>Tri-Cities</t>
  </si>
  <si>
    <t>CU31G</t>
  </si>
  <si>
    <t>Jeep</t>
  </si>
  <si>
    <t>BSXZP1860B</t>
  </si>
  <si>
    <t>accuweather.com</t>
  </si>
  <si>
    <t>CU47X</t>
  </si>
  <si>
    <t>Internet and Telecom</t>
  </si>
  <si>
    <t>Web Portals</t>
  </si>
  <si>
    <t>LZDFY9479R</t>
  </si>
  <si>
    <t>CU79T</t>
  </si>
  <si>
    <t>US Financial</t>
  </si>
  <si>
    <t>Likely Credit Card</t>
  </si>
  <si>
    <t>Card in Own Name</t>
  </si>
  <si>
    <t>Any major Credit/Debit Card</t>
  </si>
  <si>
    <t>ATODY7832T</t>
  </si>
  <si>
    <t>CV51T</t>
  </si>
  <si>
    <t>Restaurants</t>
  </si>
  <si>
    <t>Food</t>
  </si>
  <si>
    <t>timeanddate.com</t>
  </si>
  <si>
    <t>CV74M</t>
  </si>
  <si>
    <t>Apparel</t>
  </si>
  <si>
    <t>Lady Foot Locker Buyer Propensity</t>
  </si>
  <si>
    <t>FAYJV6363S</t>
  </si>
  <si>
    <t>Shreveport</t>
  </si>
  <si>
    <t>Louisiana</t>
  </si>
  <si>
    <t>thesaurus.com</t>
  </si>
  <si>
    <t>CV90M</t>
  </si>
  <si>
    <t>Accounting and Auditing</t>
  </si>
  <si>
    <t>Bookkeeping</t>
  </si>
  <si>
    <t>EWZBC8759S</t>
  </si>
  <si>
    <t>kbb.com</t>
  </si>
  <si>
    <t>CW75T</t>
  </si>
  <si>
    <t>Mortgage Amount</t>
  </si>
  <si>
    <t>$120,000-$159,999</t>
  </si>
  <si>
    <t>m.timesofindia.com</t>
  </si>
  <si>
    <t>CX30O</t>
  </si>
  <si>
    <t>CPG» Home Care</t>
  </si>
  <si>
    <t>Tampa-St Petersburg (Sarasota)</t>
  </si>
  <si>
    <t>CX8O</t>
  </si>
  <si>
    <t>People and Society</t>
  </si>
  <si>
    <t>Millennials</t>
  </si>
  <si>
    <t>VGSJY3745H</t>
  </si>
  <si>
    <t>CY20G</t>
  </si>
  <si>
    <t>Acura</t>
  </si>
  <si>
    <t>AGZHL2761K</t>
  </si>
  <si>
    <t>CZ97I</t>
  </si>
  <si>
    <t>Sporting Goods</t>
  </si>
  <si>
    <t>VJDNM3110F</t>
  </si>
  <si>
    <t>Charleston</t>
  </si>
  <si>
    <t>South Carolina</t>
  </si>
  <si>
    <t>cbssports.com</t>
  </si>
  <si>
    <t>DA77E</t>
  </si>
  <si>
    <t>Health</t>
  </si>
  <si>
    <t>Beauty and Cosmetics</t>
  </si>
  <si>
    <t>ULTA Buyer Propensity</t>
  </si>
  <si>
    <t>CSRWZ4875C</t>
  </si>
  <si>
    <t>Toledo</t>
  </si>
  <si>
    <t>Ohio</t>
  </si>
  <si>
    <t>DD49S</t>
  </si>
  <si>
    <t>Investing</t>
  </si>
  <si>
    <t>Derivatives</t>
  </si>
  <si>
    <t>NNSZT1320N</t>
  </si>
  <si>
    <t>biblegateway.com</t>
  </si>
  <si>
    <t>DD73R</t>
  </si>
  <si>
    <t>B2B Job Search</t>
  </si>
  <si>
    <t>KCPLJ6183V</t>
  </si>
  <si>
    <t>mlb.com</t>
  </si>
  <si>
    <t>DD97W</t>
  </si>
  <si>
    <t>Cultural Arts</t>
  </si>
  <si>
    <t>KWILC2964Y</t>
  </si>
  <si>
    <t>Peoria-Bloomington</t>
  </si>
  <si>
    <t>people.com</t>
  </si>
  <si>
    <t>DE47I</t>
  </si>
  <si>
    <t>Celebrities and Entertainment News</t>
  </si>
  <si>
    <t>NTGKR4815F</t>
  </si>
  <si>
    <t>Orlando-Daytona Beach</t>
  </si>
  <si>
    <t>icy-veins.com</t>
  </si>
  <si>
    <t>DF19R</t>
  </si>
  <si>
    <t>Males 18-44</t>
  </si>
  <si>
    <t>DF26V</t>
  </si>
  <si>
    <t>Financial Planning and Management</t>
  </si>
  <si>
    <t>Asset and Portfolio Management</t>
  </si>
  <si>
    <t>YPPIQ5980X</t>
  </si>
  <si>
    <t>culturess.com</t>
  </si>
  <si>
    <t>DJ29R</t>
  </si>
  <si>
    <t>Sandals Resorts Buyer Propensity</t>
  </si>
  <si>
    <t>DK21Q</t>
  </si>
  <si>
    <t>Estimated Current Home Value</t>
  </si>
  <si>
    <t>$160,000-$199,999</t>
  </si>
  <si>
    <t>QLQTQ7912S</t>
  </si>
  <si>
    <t>DK62C</t>
  </si>
  <si>
    <t>Mobile</t>
  </si>
  <si>
    <t>Basketball</t>
  </si>
  <si>
    <t>NCAA College Basketball</t>
  </si>
  <si>
    <t>POCRB4406V</t>
  </si>
  <si>
    <t>wizofawes.com</t>
  </si>
  <si>
    <t>DK71O</t>
  </si>
  <si>
    <t>Pets</t>
  </si>
  <si>
    <t>PHMEG3275U</t>
  </si>
  <si>
    <t>soaps.sheknows.com</t>
  </si>
  <si>
    <t>DL91Y</t>
  </si>
  <si>
    <t>Individual Sports</t>
  </si>
  <si>
    <t>Tennis and Racquet Sports</t>
  </si>
  <si>
    <t>DLALL5294N</t>
  </si>
  <si>
    <t>investopedia.com</t>
  </si>
  <si>
    <t>DN86M</t>
  </si>
  <si>
    <t>Televisions/TVs</t>
  </si>
  <si>
    <t>NVIPJ0384X</t>
  </si>
  <si>
    <t>DO76X</t>
  </si>
  <si>
    <t>Direct to Consumer</t>
  </si>
  <si>
    <t>MDWSP5220O</t>
  </si>
  <si>
    <t>cheezburger.com</t>
  </si>
  <si>
    <t>DQ15G</t>
  </si>
  <si>
    <t>Method of Payment</t>
  </si>
  <si>
    <t>Other</t>
  </si>
  <si>
    <t>LLMRO4391P</t>
  </si>
  <si>
    <t>whatismyipaddress.com</t>
  </si>
  <si>
    <t>DV64V</t>
  </si>
  <si>
    <t>Services</t>
  </si>
  <si>
    <t>ZUGUN2624B</t>
  </si>
  <si>
    <t>DW13Q</t>
  </si>
  <si>
    <t>PGA Tour Enthusiast</t>
  </si>
  <si>
    <t>CLLBZ5214Q</t>
  </si>
  <si>
    <t>DY68W</t>
  </si>
  <si>
    <t>Television</t>
  </si>
  <si>
    <t>RRHIG7939U</t>
  </si>
  <si>
    <t>DY73D</t>
  </si>
  <si>
    <t>Cat Owners</t>
  </si>
  <si>
    <t>WTKWQ3082S</t>
  </si>
  <si>
    <t>DY85C</t>
  </si>
  <si>
    <t>Lotame</t>
  </si>
  <si>
    <t>Social Media</t>
  </si>
  <si>
    <t>PMBNU9714O</t>
  </si>
  <si>
    <t>DZ30Z</t>
  </si>
  <si>
    <t>Shoebuy.com Buyer Propensity</t>
  </si>
  <si>
    <t>TXBMM6628P</t>
  </si>
  <si>
    <t>DZ6D</t>
  </si>
  <si>
    <t>ECJRW6924Q</t>
  </si>
  <si>
    <t>DZ71L</t>
  </si>
  <si>
    <t>Demographic</t>
  </si>
  <si>
    <t>Family</t>
  </si>
  <si>
    <t>Female Head of Household</t>
  </si>
  <si>
    <t>IRHJI8002Z</t>
  </si>
  <si>
    <t>att.yahoo.com</t>
  </si>
  <si>
    <t>EC16S</t>
  </si>
  <si>
    <t>US Buying Channel Preference</t>
  </si>
  <si>
    <t>Online</t>
  </si>
  <si>
    <t>CDQVV9354G</t>
  </si>
  <si>
    <t>travelerdreams.com</t>
  </si>
  <si>
    <t>EE23O</t>
  </si>
  <si>
    <t>Fashion</t>
  </si>
  <si>
    <t>YEFUW6275K</t>
  </si>
  <si>
    <t>EE62L</t>
  </si>
  <si>
    <t>Travel and Tourism</t>
  </si>
  <si>
    <t>Destinations</t>
  </si>
  <si>
    <t>North America</t>
  </si>
  <si>
    <t>United States</t>
  </si>
  <si>
    <t>IZALV9445C</t>
  </si>
  <si>
    <t>EE65H</t>
  </si>
  <si>
    <t>Fantasy Sports</t>
  </si>
  <si>
    <t>XPTNG7311M</t>
  </si>
  <si>
    <t>EF31W</t>
  </si>
  <si>
    <t>Fitness</t>
  </si>
  <si>
    <t>Fitness Instruction and Personal Training</t>
  </si>
  <si>
    <t>QGNHX5788B</t>
  </si>
  <si>
    <t>EF31Z</t>
  </si>
  <si>
    <t>Credit</t>
  </si>
  <si>
    <t>Debit Card - Major Credit Card User</t>
  </si>
  <si>
    <t>KHHIL9517V</t>
  </si>
  <si>
    <t>EG26F</t>
  </si>
  <si>
    <t>Home</t>
  </si>
  <si>
    <t>Home Improvement</t>
  </si>
  <si>
    <t>Home Improvement Grouping</t>
  </si>
  <si>
    <t>EJ12F</t>
  </si>
  <si>
    <t>Hobbies and Leisure</t>
  </si>
  <si>
    <t>Water Activities</t>
  </si>
  <si>
    <t>EJ29S</t>
  </si>
  <si>
    <t>Audio and Video Streaming</t>
  </si>
  <si>
    <t>Streaming Video</t>
  </si>
  <si>
    <t>nytimes.com</t>
  </si>
  <si>
    <t>EK89N</t>
  </si>
  <si>
    <t>Latin America</t>
  </si>
  <si>
    <t>WBEHI2534S</t>
  </si>
  <si>
    <t>factable.com</t>
  </si>
  <si>
    <t>EL59Q</t>
  </si>
  <si>
    <t>NBA Enthusiast</t>
  </si>
  <si>
    <t>GQGKG5845V</t>
  </si>
  <si>
    <t>jdpower.com</t>
  </si>
  <si>
    <t>EM61H</t>
  </si>
  <si>
    <t>Internet Services</t>
  </si>
  <si>
    <t>NIUDH7635W</t>
  </si>
  <si>
    <t>EM71I</t>
  </si>
  <si>
    <t>Social life</t>
  </si>
  <si>
    <t>JPPMZ6483N</t>
  </si>
  <si>
    <t>screenrant.com</t>
  </si>
  <si>
    <t>EN57G</t>
  </si>
  <si>
    <t>Lincoln Heritage</t>
  </si>
  <si>
    <t>TIPEG6807U</t>
  </si>
  <si>
    <t>EO9I</t>
  </si>
  <si>
    <t>Big Box Dollar Tree Buyer Propensity</t>
  </si>
  <si>
    <t>LTTNB2264R</t>
  </si>
  <si>
    <t>EP2H</t>
  </si>
  <si>
    <t>Households with 3 Adults</t>
  </si>
  <si>
    <t>ER35C</t>
  </si>
  <si>
    <t>P$YCLE Premier Lifestage</t>
  </si>
  <si>
    <t>M2 Wealthy Achievers</t>
  </si>
  <si>
    <t>dailymail.co.uk/tvshowbiz</t>
  </si>
  <si>
    <t>ES12J</t>
  </si>
  <si>
    <t>ConneXions Lifestage</t>
  </si>
  <si>
    <t>Y2 Emerging Techies</t>
  </si>
  <si>
    <t>EJEIC6423I</t>
  </si>
  <si>
    <t>shareably.net</t>
  </si>
  <si>
    <t>ES56X</t>
  </si>
  <si>
    <t>Personal Finance</t>
  </si>
  <si>
    <t>Estate Planning</t>
  </si>
  <si>
    <t>ZJYWR9031U</t>
  </si>
  <si>
    <t>ES5Z</t>
  </si>
  <si>
    <t>Isuzu</t>
  </si>
  <si>
    <t>HWQQZ9726H</t>
  </si>
  <si>
    <t>ES90K</t>
  </si>
  <si>
    <t>Car Rental and Taxi Services</t>
  </si>
  <si>
    <t>SOLSQ9165J</t>
  </si>
  <si>
    <t>dictionary.com</t>
  </si>
  <si>
    <t>ET7P</t>
  </si>
  <si>
    <t>Females 18-64</t>
  </si>
  <si>
    <t>Yahoo Exchange</t>
  </si>
  <si>
    <t>ET94I</t>
  </si>
  <si>
    <t>Likely In Market Timing</t>
  </si>
  <si>
    <t>Not At All Likely to Purchase</t>
  </si>
  <si>
    <t>Second House/Residence In The Next Year</t>
  </si>
  <si>
    <t>HRLWB3781J</t>
  </si>
  <si>
    <t>maxroll.gg</t>
  </si>
  <si>
    <t>EU24A</t>
  </si>
  <si>
    <t>Listens to Pop Music</t>
  </si>
  <si>
    <t>Food and Drinks</t>
  </si>
  <si>
    <t>DVFAY1218D</t>
  </si>
  <si>
    <t>merriam-webster.com/dictionary</t>
  </si>
  <si>
    <t>EU49F</t>
  </si>
  <si>
    <t>Vauxhall-Opel</t>
  </si>
  <si>
    <t>QPNDD6389F</t>
  </si>
  <si>
    <t>wsmv.com</t>
  </si>
  <si>
    <t>EU53E</t>
  </si>
  <si>
    <t>Cooking</t>
  </si>
  <si>
    <t>General</t>
  </si>
  <si>
    <t>NXEJF9205S</t>
  </si>
  <si>
    <t>ew.com</t>
  </si>
  <si>
    <t>EV32K</t>
  </si>
  <si>
    <t>Streaming Audio</t>
  </si>
  <si>
    <t>TEXCP6975A</t>
  </si>
  <si>
    <t>cnbc.com</t>
  </si>
  <si>
    <t>EW39C</t>
  </si>
  <si>
    <t>Ford Credit Buyer Propensity</t>
  </si>
  <si>
    <t>EW65I</t>
  </si>
  <si>
    <t>Males 18-64</t>
  </si>
  <si>
    <t>UZADJ6699O</t>
  </si>
  <si>
    <t>livescience.com</t>
  </si>
  <si>
    <t>EW9G</t>
  </si>
  <si>
    <t>Sedan</t>
  </si>
  <si>
    <t>CJQMQ0226T</t>
  </si>
  <si>
    <t>EX16A</t>
  </si>
  <si>
    <t>ZLWMH0969T</t>
  </si>
  <si>
    <t>wordunscrambler.me</t>
  </si>
  <si>
    <t>EX96U</t>
  </si>
  <si>
    <t>Technology and Computing</t>
  </si>
  <si>
    <t>Internet Technology</t>
  </si>
  <si>
    <t>Panama City</t>
  </si>
  <si>
    <t>ign.com</t>
  </si>
  <si>
    <t>FA39J</t>
  </si>
  <si>
    <t>Sale Activity</t>
  </si>
  <si>
    <t>Just Sold</t>
  </si>
  <si>
    <t>OMVLC8350U</t>
  </si>
  <si>
    <t>Lafayette</t>
  </si>
  <si>
    <t>FA51A</t>
  </si>
  <si>
    <t>Online Retailers</t>
  </si>
  <si>
    <t>investing.com</t>
  </si>
  <si>
    <t>FA87P</t>
  </si>
  <si>
    <t>US Mail Order Buyer</t>
  </si>
  <si>
    <t>CHKMG9396E</t>
  </si>
  <si>
    <t>FC52J</t>
  </si>
  <si>
    <t>Household Income</t>
  </si>
  <si>
    <t>$50,000-$74,999</t>
  </si>
  <si>
    <t>KHYWK4353X</t>
  </si>
  <si>
    <t>FE85D</t>
  </si>
  <si>
    <t>18 or older</t>
  </si>
  <si>
    <t>EGZIN4465T</t>
  </si>
  <si>
    <t>reference.com</t>
  </si>
  <si>
    <t>FG20H</t>
  </si>
  <si>
    <t>Retirement and Pension</t>
  </si>
  <si>
    <t>FG44A</t>
  </si>
  <si>
    <t>Jobs and Education</t>
  </si>
  <si>
    <t>Education</t>
  </si>
  <si>
    <t>LLTRU7723I</t>
  </si>
  <si>
    <t>FG63C</t>
  </si>
  <si>
    <t>Online Communities</t>
  </si>
  <si>
    <t>Blogging Resources and Services</t>
  </si>
  <si>
    <t>WVFMN4165A</t>
  </si>
  <si>
    <t>signin.ebay.com</t>
  </si>
  <si>
    <t>FH83V</t>
  </si>
  <si>
    <t>Male Head of Household</t>
  </si>
  <si>
    <t>DKFNA5776L</t>
  </si>
  <si>
    <t>slickdeals.net</t>
  </si>
  <si>
    <t>FK85V</t>
  </si>
  <si>
    <t>Events and Attractions</t>
  </si>
  <si>
    <t>FPTNH7101O</t>
  </si>
  <si>
    <t>motor-junkie.com</t>
  </si>
  <si>
    <t>FL26O</t>
  </si>
  <si>
    <t>NFL Enthusiast</t>
  </si>
  <si>
    <t>DKKXN4557T</t>
  </si>
  <si>
    <t>medicalnewstoday.com</t>
  </si>
  <si>
    <t>FM3E</t>
  </si>
  <si>
    <t>Food and Beverage Events</t>
  </si>
  <si>
    <t>FM57Z</t>
  </si>
  <si>
    <t>Computer Hardware</t>
  </si>
  <si>
    <t>FM76P</t>
  </si>
  <si>
    <t>Price-Driven Traditionalist Audience</t>
  </si>
  <si>
    <t>FM84C</t>
  </si>
  <si>
    <t>Fine Art</t>
  </si>
  <si>
    <t>LPXCY6522G</t>
  </si>
  <si>
    <t>FN42L</t>
  </si>
  <si>
    <t>Cooking and Recipes</t>
  </si>
  <si>
    <t>WEBYC7012O</t>
  </si>
  <si>
    <t>FN46M</t>
  </si>
  <si>
    <t>PRIZM Premier Social</t>
  </si>
  <si>
    <t>T2 Country Comfort</t>
  </si>
  <si>
    <t>OAMGQ6208B</t>
  </si>
  <si>
    <t>PulsePoint</t>
  </si>
  <si>
    <t>FN88O</t>
  </si>
  <si>
    <t>Science</t>
  </si>
  <si>
    <t>Weather</t>
  </si>
  <si>
    <t>PFTYF9099D</t>
  </si>
  <si>
    <t>omnicalculator.com</t>
  </si>
  <si>
    <t>FO81Y</t>
  </si>
  <si>
    <t>Email</t>
  </si>
  <si>
    <t>EUDBU4665J</t>
  </si>
  <si>
    <t>sporcle.com</t>
  </si>
  <si>
    <t>GumGum</t>
  </si>
  <si>
    <t>FO99A</t>
  </si>
  <si>
    <t>Advertising Services</t>
  </si>
  <si>
    <t>VIKRS0659N</t>
  </si>
  <si>
    <t>dmv.org</t>
  </si>
  <si>
    <t>FQ39O</t>
  </si>
  <si>
    <t>Tirerack.com Buyer Propensity</t>
  </si>
  <si>
    <t>EEIIB6951G</t>
  </si>
  <si>
    <t>FQ87Y</t>
  </si>
  <si>
    <t>International News</t>
  </si>
  <si>
    <t>MXNZG3785U</t>
  </si>
  <si>
    <t>Rockford</t>
  </si>
  <si>
    <t>bridesblush.com</t>
  </si>
  <si>
    <t>FR91J</t>
  </si>
  <si>
    <t>55-64</t>
  </si>
  <si>
    <t>AWXVU6002T</t>
  </si>
  <si>
    <t>FS18I</t>
  </si>
  <si>
    <t>American Cuisine</t>
  </si>
  <si>
    <t>FYGPX7454T</t>
  </si>
  <si>
    <t>FS74F</t>
  </si>
  <si>
    <t>65 or older</t>
  </si>
  <si>
    <t>tripadvisor.com</t>
  </si>
  <si>
    <t>Yieldmo</t>
  </si>
  <si>
    <t>FS92Q</t>
  </si>
  <si>
    <t>Monthly Mortgage Payment</t>
  </si>
  <si>
    <t>$800-$999</t>
  </si>
  <si>
    <t>DOIMT7462U</t>
  </si>
  <si>
    <t>FU32X</t>
  </si>
  <si>
    <t>PNVNP9772E</t>
  </si>
  <si>
    <t>FU62Z</t>
  </si>
  <si>
    <t>Homeowner Status</t>
  </si>
  <si>
    <t>Renter</t>
  </si>
  <si>
    <t>LPXGR3479V</t>
  </si>
  <si>
    <t>FV14E</t>
  </si>
  <si>
    <t>yellowpages.com</t>
  </si>
  <si>
    <t>FV49M</t>
  </si>
  <si>
    <t>F4 Working-Class USA</t>
  </si>
  <si>
    <t>AJZTP3968S</t>
  </si>
  <si>
    <t>FV7V</t>
  </si>
  <si>
    <t>ElectricalEngineer</t>
  </si>
  <si>
    <t>SAPYX0769P</t>
  </si>
  <si>
    <t>miamiherald.com</t>
  </si>
  <si>
    <t>FW69C</t>
  </si>
  <si>
    <t>Banking</t>
  </si>
  <si>
    <t>ATMs and Branch Locations</t>
  </si>
  <si>
    <t>QGKGJ3795G</t>
  </si>
  <si>
    <t>dailyhodl.com</t>
  </si>
  <si>
    <t>FW95G</t>
  </si>
  <si>
    <t>PropertyManager</t>
  </si>
  <si>
    <t>FW97S</t>
  </si>
  <si>
    <t>Business Travel</t>
  </si>
  <si>
    <t>OLOHZ1751M</t>
  </si>
  <si>
    <t>gamerant.com</t>
  </si>
  <si>
    <t>FX63X</t>
  </si>
  <si>
    <t>Luxury Home Goods Store Shopper</t>
  </si>
  <si>
    <t>PEIRR1444H</t>
  </si>
  <si>
    <t>classmates.com</t>
  </si>
  <si>
    <t>FX84C</t>
  </si>
  <si>
    <t>Auto</t>
  </si>
  <si>
    <t>Vehicle Parts and Accessories</t>
  </si>
  <si>
    <t>BZYUX5752U</t>
  </si>
  <si>
    <t>FZ19F</t>
  </si>
  <si>
    <t>Home Learning</t>
  </si>
  <si>
    <t>QBSOQ6151K</t>
  </si>
  <si>
    <t>FZ30H</t>
  </si>
  <si>
    <t>Mobile - Food</t>
  </si>
  <si>
    <t>Restaurant</t>
  </si>
  <si>
    <t>Brand</t>
  </si>
  <si>
    <t>Krispy Kreme</t>
  </si>
  <si>
    <t>INCRB7252U</t>
  </si>
  <si>
    <t>usnews.com</t>
  </si>
  <si>
    <t>GA68F</t>
  </si>
  <si>
    <t>Home Cooking</t>
  </si>
  <si>
    <t>IKJYQ1906K</t>
  </si>
  <si>
    <t>GB72T</t>
  </si>
  <si>
    <t>Photo and Video Sharing</t>
  </si>
  <si>
    <t>flightaware.com</t>
  </si>
  <si>
    <t>GI23R</t>
  </si>
  <si>
    <t>US Home - Dwelling Type</t>
  </si>
  <si>
    <t>Single-Family</t>
  </si>
  <si>
    <t>GI8D</t>
  </si>
  <si>
    <t>Charities</t>
  </si>
  <si>
    <t>Contributes by Volunteering</t>
  </si>
  <si>
    <t>PUWPT2409P</t>
  </si>
  <si>
    <t>sneakertoast.com</t>
  </si>
  <si>
    <t>GJ66U</t>
  </si>
  <si>
    <t>NBA</t>
  </si>
  <si>
    <t>GK13L</t>
  </si>
  <si>
    <t>Brands</t>
  </si>
  <si>
    <t>Quick Service Restaurants</t>
  </si>
  <si>
    <t>YJMEQ9238S</t>
  </si>
  <si>
    <t>GM61L</t>
  </si>
  <si>
    <t>Savings Accounts</t>
  </si>
  <si>
    <t>MXFZS7424B</t>
  </si>
  <si>
    <t>GO2Y</t>
  </si>
  <si>
    <t>Connected TV and Over-the-Top</t>
  </si>
  <si>
    <t>streetinsider.com</t>
  </si>
  <si>
    <t>GO86G</t>
  </si>
  <si>
    <t>LandRover</t>
  </si>
  <si>
    <t>KUQES7066D</t>
  </si>
  <si>
    <t>GP76Y</t>
  </si>
  <si>
    <t>Society</t>
  </si>
  <si>
    <t>XVRMT2814H</t>
  </si>
  <si>
    <t>thehulltruth.com</t>
  </si>
  <si>
    <t>GQ33R</t>
  </si>
  <si>
    <t>Fashion and Style</t>
  </si>
  <si>
    <t>TMGOP8000K</t>
  </si>
  <si>
    <t>houseplans.net</t>
  </si>
  <si>
    <t>GR55N</t>
  </si>
  <si>
    <t>Spas and Beauty Services</t>
  </si>
  <si>
    <t>Massage Therapy</t>
  </si>
  <si>
    <t>VIANS7053R</t>
  </si>
  <si>
    <t>GS87U</t>
  </si>
  <si>
    <t>Flights</t>
  </si>
  <si>
    <t>FZXRW3885D</t>
  </si>
  <si>
    <t>GS8O</t>
  </si>
  <si>
    <t>Taboola</t>
  </si>
  <si>
    <t>GU11N</t>
  </si>
  <si>
    <t>TOMS Buyer Propensity</t>
  </si>
  <si>
    <t>GU70X</t>
  </si>
  <si>
    <t>Females 25-64</t>
  </si>
  <si>
    <t>KLUIQ6556G</t>
  </si>
  <si>
    <t>GU77J</t>
  </si>
  <si>
    <t>Electronics and Gadgets</t>
  </si>
  <si>
    <t>ZBLMC0428L</t>
  </si>
  <si>
    <t>GU98E</t>
  </si>
  <si>
    <t>Food and Grocery Delivery</t>
  </si>
  <si>
    <t>JLWUY6039V</t>
  </si>
  <si>
    <t>GV60P</t>
  </si>
  <si>
    <t>Historical Sites and Buildings</t>
  </si>
  <si>
    <t>VOXLX7287T</t>
  </si>
  <si>
    <t>GW85C</t>
  </si>
  <si>
    <t>Weight Loss</t>
  </si>
  <si>
    <t>IECYH3530S</t>
  </si>
  <si>
    <t>GX96G</t>
  </si>
  <si>
    <t>Mobile and Wireless</t>
  </si>
  <si>
    <t>HA98T</t>
  </si>
  <si>
    <t>B2B - Purchase DM</t>
  </si>
  <si>
    <t>Technology Services, Hardware and, or Software</t>
  </si>
  <si>
    <t>I make the final decision with input from staff, management</t>
  </si>
  <si>
    <t>IIACN8931W</t>
  </si>
  <si>
    <t>taboolanews.com</t>
  </si>
  <si>
    <t>HB38R</t>
  </si>
  <si>
    <t>Track and Field</t>
  </si>
  <si>
    <t>HD66S</t>
  </si>
  <si>
    <t>Coffee Connoisseurs</t>
  </si>
  <si>
    <t>LVWON1040F</t>
  </si>
  <si>
    <t>HD86N</t>
  </si>
  <si>
    <t>Household Consumer Expenditures</t>
  </si>
  <si>
    <t>Lawn and Garden</t>
  </si>
  <si>
    <t>GRLRA8191Q</t>
  </si>
  <si>
    <t>HE85E</t>
  </si>
  <si>
    <t>GZYUI1052D</t>
  </si>
  <si>
    <t>HF90D</t>
  </si>
  <si>
    <t>SkinCareRx Buyer Propensity</t>
  </si>
  <si>
    <t>RZOJV1467Y</t>
  </si>
  <si>
    <t>HH42Z</t>
  </si>
  <si>
    <t>Office Supplies</t>
  </si>
  <si>
    <t>ISBSI9065H</t>
  </si>
  <si>
    <t>HI15Q</t>
  </si>
  <si>
    <t>Style, Fashion and Clothing</t>
  </si>
  <si>
    <t>Women's Clothing Shoppers</t>
  </si>
  <si>
    <t>Style, Fashion &amp; Clothing</t>
  </si>
  <si>
    <t>HI64M</t>
  </si>
  <si>
    <t>MGM Resorts International Buyer Propensity</t>
  </si>
  <si>
    <t>HDFBI6875J</t>
  </si>
  <si>
    <t>w3schools.com</t>
  </si>
  <si>
    <t>HI94Z</t>
  </si>
  <si>
    <t>Fashion Modeling</t>
  </si>
  <si>
    <t>TXFJI8384J</t>
  </si>
  <si>
    <t>HJ28H</t>
  </si>
  <si>
    <t>US AUTO</t>
  </si>
  <si>
    <t>Auto Loyalists and Defectors</t>
  </si>
  <si>
    <t>Auto Make Defectors</t>
  </si>
  <si>
    <t>DABFQ9218H</t>
  </si>
  <si>
    <t>si.com</t>
  </si>
  <si>
    <t>HJ53U</t>
  </si>
  <si>
    <t>Olympics</t>
  </si>
  <si>
    <t>Summer Olympics</t>
  </si>
  <si>
    <t>QBITE8490L</t>
  </si>
  <si>
    <t>HK70A</t>
  </si>
  <si>
    <t>Steam Community Buyer Propensity</t>
  </si>
  <si>
    <t>ISFIX4795J</t>
  </si>
  <si>
    <t>HM31M</t>
  </si>
  <si>
    <t>Honda</t>
  </si>
  <si>
    <t>microsoftcasualgames.com</t>
  </si>
  <si>
    <t>HN53I</t>
  </si>
  <si>
    <t>CPG</t>
  </si>
  <si>
    <t>HP59M</t>
  </si>
  <si>
    <t>Telecom and Service Providers</t>
  </si>
  <si>
    <t>Page Plus Cellular Buyer Propensity</t>
  </si>
  <si>
    <t>CFZCA3587E</t>
  </si>
  <si>
    <t>Ft. Wayne</t>
  </si>
  <si>
    <t>merriam-webster.com</t>
  </si>
  <si>
    <t>HQ23R</t>
  </si>
  <si>
    <t>Five Guys</t>
  </si>
  <si>
    <t>HR18U</t>
  </si>
  <si>
    <t>Maserati</t>
  </si>
  <si>
    <t>HT41B</t>
  </si>
  <si>
    <t>Arcade and Coin-Op Games</t>
  </si>
  <si>
    <t>KEIGT3829Y</t>
  </si>
  <si>
    <t>HV23X</t>
  </si>
  <si>
    <t>Mobile - US</t>
  </si>
  <si>
    <t>Vacation Rentals</t>
  </si>
  <si>
    <t>HomeAway</t>
  </si>
  <si>
    <t>Chattanooga</t>
  </si>
  <si>
    <t>HV48I</t>
  </si>
  <si>
    <t>Fiat</t>
  </si>
  <si>
    <t>AECWX9233R</t>
  </si>
  <si>
    <t>thekrazycouponlady.com</t>
  </si>
  <si>
    <t>HX88Z</t>
  </si>
  <si>
    <t>Category</t>
  </si>
  <si>
    <t>Van</t>
  </si>
  <si>
    <t>LIAGZ4586W</t>
  </si>
  <si>
    <t>tasteofhome.com</t>
  </si>
  <si>
    <t>HY59A</t>
  </si>
  <si>
    <t>Streaming</t>
  </si>
  <si>
    <t>HRJJX3125R</t>
  </si>
  <si>
    <t>HY96C</t>
  </si>
  <si>
    <t>Beachbody Buyer Propensity</t>
  </si>
  <si>
    <t>JNAMM4456W</t>
  </si>
  <si>
    <t>IA41T</t>
  </si>
  <si>
    <t>Web Services</t>
  </si>
  <si>
    <t>IA96N</t>
  </si>
  <si>
    <t>Volleyball</t>
  </si>
  <si>
    <t>KRTOI7551F</t>
  </si>
  <si>
    <t>buzzfeed.com</t>
  </si>
  <si>
    <t>IC65N</t>
  </si>
  <si>
    <t>Food and Grocery Retailers</t>
  </si>
  <si>
    <t>ID43C</t>
  </si>
  <si>
    <t>Home and Garden Interests</t>
  </si>
  <si>
    <t>House and Garden Merchandise Buyers</t>
  </si>
  <si>
    <t>MANZC3750L</t>
  </si>
  <si>
    <t>ID64N</t>
  </si>
  <si>
    <t>Old Navy</t>
  </si>
  <si>
    <t>IE77W</t>
  </si>
  <si>
    <t>Motorcycle</t>
  </si>
  <si>
    <t>IIXRF0938N</t>
  </si>
  <si>
    <t>fandom.com</t>
  </si>
  <si>
    <t>IF1H</t>
  </si>
  <si>
    <t>GOLZO2212D</t>
  </si>
  <si>
    <t>Birmingham</t>
  </si>
  <si>
    <t>IF4B</t>
  </si>
  <si>
    <t>I am the sole decision maker</t>
  </si>
  <si>
    <t>TPWPV2299Y</t>
  </si>
  <si>
    <t>phys.org</t>
  </si>
  <si>
    <t>IG12A</t>
  </si>
  <si>
    <t>Estimated Discretionary Spending (Financial)</t>
  </si>
  <si>
    <t>Greater than $2,499</t>
  </si>
  <si>
    <t>TXHFP5147Y</t>
  </si>
  <si>
    <t>biblestudytools.com</t>
  </si>
  <si>
    <t>IG18O</t>
  </si>
  <si>
    <t>IH73N</t>
  </si>
  <si>
    <t>University Graduation</t>
  </si>
  <si>
    <t>IJ79W</t>
  </si>
  <si>
    <t>Animals and Pet</t>
  </si>
  <si>
    <t>HICAK5310C</t>
  </si>
  <si>
    <t>a-z-animals.com</t>
  </si>
  <si>
    <t>IK76M</t>
  </si>
  <si>
    <t>Beer</t>
  </si>
  <si>
    <t>IL47Q</t>
  </si>
  <si>
    <t>Health and Wellbeing</t>
  </si>
  <si>
    <t>IO39I</t>
  </si>
  <si>
    <t>New Parent</t>
  </si>
  <si>
    <t>XOFAZ2792C</t>
  </si>
  <si>
    <t>IO5D</t>
  </si>
  <si>
    <t>wunderground.com</t>
  </si>
  <si>
    <t>IQ50S</t>
  </si>
  <si>
    <t>IQ66L</t>
  </si>
  <si>
    <t>Kia</t>
  </si>
  <si>
    <t>CQBKW6821H</t>
  </si>
  <si>
    <t>IR49Y</t>
  </si>
  <si>
    <t>Winter Sports</t>
  </si>
  <si>
    <t>Ice Skating</t>
  </si>
  <si>
    <t>ONCOK8833J</t>
  </si>
  <si>
    <t>IR55W</t>
  </si>
  <si>
    <t>Listens to Country Music</t>
  </si>
  <si>
    <t>IR61A</t>
  </si>
  <si>
    <t>Debit Card - Store Credit Card User</t>
  </si>
  <si>
    <t>AUSLN9199Y</t>
  </si>
  <si>
    <t>IR91W</t>
  </si>
  <si>
    <t>Winter Olympics</t>
  </si>
  <si>
    <t>IS75Y</t>
  </si>
  <si>
    <t>Males 25-54</t>
  </si>
  <si>
    <t>EYGKX4350Z</t>
  </si>
  <si>
    <t>marca.com</t>
  </si>
  <si>
    <t>IU57I</t>
  </si>
  <si>
    <t>American Airlines Buyer Propensity</t>
  </si>
  <si>
    <t>IW87Z</t>
  </si>
  <si>
    <t>18-54</t>
  </si>
  <si>
    <t>GYVSO4436P</t>
  </si>
  <si>
    <t>macrumors.com</t>
  </si>
  <si>
    <t>IX70S</t>
  </si>
  <si>
    <t>Home and Garden</t>
  </si>
  <si>
    <t>IY2Y</t>
  </si>
  <si>
    <t>Juice</t>
  </si>
  <si>
    <t>UIPSP5950E</t>
  </si>
  <si>
    <t>IY6F</t>
  </si>
  <si>
    <t>Preferred Language</t>
  </si>
  <si>
    <t>Non-Hispanic</t>
  </si>
  <si>
    <t>wikihow.com</t>
  </si>
  <si>
    <t>IZ89R</t>
  </si>
  <si>
    <t>Future Travel</t>
  </si>
  <si>
    <t>AOEUZ3414F</t>
  </si>
  <si>
    <t>JD9C</t>
  </si>
  <si>
    <t>Europe</t>
  </si>
  <si>
    <t>SUXOV6040Z</t>
  </si>
  <si>
    <t>JE60A</t>
  </si>
  <si>
    <t>NHL Enthusiast</t>
  </si>
  <si>
    <t>AVOBJ3014H</t>
  </si>
  <si>
    <t>JF45V</t>
  </si>
  <si>
    <t>Debit and Checking Services</t>
  </si>
  <si>
    <t>MBNDY3862Y</t>
  </si>
  <si>
    <t>thegamer.com</t>
  </si>
  <si>
    <t>JF49Z</t>
  </si>
  <si>
    <t>Music Lovers</t>
  </si>
  <si>
    <t>BYINL9871V</t>
  </si>
  <si>
    <t>JG62D</t>
  </si>
  <si>
    <t>JCPenney Buyer Propensity</t>
  </si>
  <si>
    <t>greatschools.org</t>
  </si>
  <si>
    <t>JI63H</t>
  </si>
  <si>
    <t>Cycling</t>
  </si>
  <si>
    <t>JI66V</t>
  </si>
  <si>
    <t>XVJVY6722N</t>
  </si>
  <si>
    <t>JI73B</t>
  </si>
  <si>
    <t>Software</t>
  </si>
  <si>
    <t>Video Game Software</t>
  </si>
  <si>
    <t>JLZEQ0328H</t>
  </si>
  <si>
    <t>activebeat.com</t>
  </si>
  <si>
    <t>JJ36T</t>
  </si>
  <si>
    <t>Homemaking and Interior Decor</t>
  </si>
  <si>
    <t>OCQZT2083G</t>
  </si>
  <si>
    <t>dailymail.co.uk/news</t>
  </si>
  <si>
    <t>JJ71K</t>
  </si>
  <si>
    <t>Carpooling and Vehicle Sharing</t>
  </si>
  <si>
    <t>NPHAZ8360D</t>
  </si>
  <si>
    <t>JJ78G</t>
  </si>
  <si>
    <t>Moes Southwest Grill</t>
  </si>
  <si>
    <t>JPXBW4979F</t>
  </si>
  <si>
    <t>mapquest.com</t>
  </si>
  <si>
    <t>JK18T</t>
  </si>
  <si>
    <t>Apartments and Residential Rentals</t>
  </si>
  <si>
    <t>YZCFL2986Y</t>
  </si>
  <si>
    <t>JK50Q</t>
  </si>
  <si>
    <t>Accommodation</t>
  </si>
  <si>
    <t>Hotels</t>
  </si>
  <si>
    <t>ECZBH8950Q</t>
  </si>
  <si>
    <t>JM29G</t>
  </si>
  <si>
    <t>Homeowner</t>
  </si>
  <si>
    <t>HPNMM5625A</t>
  </si>
  <si>
    <t>JM50E</t>
  </si>
  <si>
    <t>Careers</t>
  </si>
  <si>
    <t>GEEXJ2987K</t>
  </si>
  <si>
    <t>JN42W</t>
  </si>
  <si>
    <t>Classic Rock</t>
  </si>
  <si>
    <t>CJPNR0822A</t>
  </si>
  <si>
    <t>JO63W</t>
  </si>
  <si>
    <t>Movers</t>
  </si>
  <si>
    <t>KWZXS7136Y</t>
  </si>
  <si>
    <t>JO91A</t>
  </si>
  <si>
    <t>Print, Copy or Photo Services</t>
  </si>
  <si>
    <t>XONOL3636P</t>
  </si>
  <si>
    <t>JP65P</t>
  </si>
  <si>
    <t>Y3 Fiscal Fledglings</t>
  </si>
  <si>
    <t>HFQXV9674Y</t>
  </si>
  <si>
    <t>JP80I</t>
  </si>
  <si>
    <t>Financial Intent</t>
  </si>
  <si>
    <t>Loans and Credit</t>
  </si>
  <si>
    <t>XLJIK2076T</t>
  </si>
  <si>
    <t>Savannah</t>
  </si>
  <si>
    <t>JQ21X</t>
  </si>
  <si>
    <t>Truck</t>
  </si>
  <si>
    <t>GNXJA8969M</t>
  </si>
  <si>
    <t>JQ63D</t>
  </si>
  <si>
    <t>Individual</t>
  </si>
  <si>
    <t>OSDRZ9148A</t>
  </si>
  <si>
    <t>JT45O</t>
  </si>
  <si>
    <t>NFL</t>
  </si>
  <si>
    <t>alotfinance.com</t>
  </si>
  <si>
    <t>JT58U</t>
  </si>
  <si>
    <t>Virtual Events</t>
  </si>
  <si>
    <t>WFPNH3620P</t>
  </si>
  <si>
    <t>JU47S</t>
  </si>
  <si>
    <t>PLERR1529Y</t>
  </si>
  <si>
    <t>cnn.com</t>
  </si>
  <si>
    <t>JU9W</t>
  </si>
  <si>
    <t>Males 25-44</t>
  </si>
  <si>
    <t>CLSHM6277W</t>
  </si>
  <si>
    <t>JV50T</t>
  </si>
  <si>
    <t>Gaming Equipment</t>
  </si>
  <si>
    <t>HNQOJ3592J</t>
  </si>
  <si>
    <t>cnet.com</t>
  </si>
  <si>
    <t>JW11B</t>
  </si>
  <si>
    <t>Hyundai</t>
  </si>
  <si>
    <t>VVMOR8767G</t>
  </si>
  <si>
    <t>daily-choices.com</t>
  </si>
  <si>
    <t>JW13H</t>
  </si>
  <si>
    <t>HAKEC4651L</t>
  </si>
  <si>
    <t>JX88L</t>
  </si>
  <si>
    <t>US Demographic</t>
  </si>
  <si>
    <t>Specialty Age Range</t>
  </si>
  <si>
    <t>21+</t>
  </si>
  <si>
    <t>JZ35X</t>
  </si>
  <si>
    <t>BMW</t>
  </si>
  <si>
    <t>YVOKD6461D</t>
  </si>
  <si>
    <t>firstcoastnews.com</t>
  </si>
  <si>
    <t>KB64W</t>
  </si>
  <si>
    <t>Fast Food</t>
  </si>
  <si>
    <t>YDCFZ9825B</t>
  </si>
  <si>
    <t>KD61O</t>
  </si>
  <si>
    <t>Style</t>
  </si>
  <si>
    <t>Desserts</t>
  </si>
  <si>
    <t>VFZBB0282D</t>
  </si>
  <si>
    <t>KD90K</t>
  </si>
  <si>
    <t>Pet Food</t>
  </si>
  <si>
    <t>Dog</t>
  </si>
  <si>
    <t>QEGTE9790O</t>
  </si>
  <si>
    <t>yourdailysportfix.com</t>
  </si>
  <si>
    <t>KE49S</t>
  </si>
  <si>
    <t>Face and Body Care</t>
  </si>
  <si>
    <t>Skin and Nail Care</t>
  </si>
  <si>
    <t>KE60M</t>
  </si>
  <si>
    <t>Dwelling Size</t>
  </si>
  <si>
    <t>1 Unit</t>
  </si>
  <si>
    <t>IYCBT9201J</t>
  </si>
  <si>
    <t>KJ36W</t>
  </si>
  <si>
    <t>Volkswagen</t>
  </si>
  <si>
    <t>KJ87J</t>
  </si>
  <si>
    <t>Credit and Lending</t>
  </si>
  <si>
    <t>RQWWZ0422I</t>
  </si>
  <si>
    <t>KP12T</t>
  </si>
  <si>
    <t>Motorsports</t>
  </si>
  <si>
    <t>JVAUR7344V</t>
  </si>
  <si>
    <t>KP14B</t>
  </si>
  <si>
    <t>Mobile Demographics</t>
  </si>
  <si>
    <t>High Education Achievement</t>
  </si>
  <si>
    <t>AQGKA8901Y</t>
  </si>
  <si>
    <t>KP52V</t>
  </si>
  <si>
    <t>Consumer Entertainment Technology</t>
  </si>
  <si>
    <t>ZZORT7715Y</t>
  </si>
  <si>
    <t>editorsnation.com</t>
  </si>
  <si>
    <t>KP86R</t>
  </si>
  <si>
    <t>MTDOM6894I</t>
  </si>
  <si>
    <t>KQ2L</t>
  </si>
  <si>
    <t>Email and Messaging</t>
  </si>
  <si>
    <t>dexerto.com</t>
  </si>
  <si>
    <t>KQ31U</t>
  </si>
  <si>
    <t>First Home/Residence In The Next Year</t>
  </si>
  <si>
    <t>ZFVWD3229F</t>
  </si>
  <si>
    <t>signupgenius.com</t>
  </si>
  <si>
    <t>KQ48K</t>
  </si>
  <si>
    <t>Healthy Living</t>
  </si>
  <si>
    <t>PKQLH1979H</t>
  </si>
  <si>
    <t>KR64J</t>
  </si>
  <si>
    <t>Thanksgiving Travel</t>
  </si>
  <si>
    <t>MSHHK2719Q</t>
  </si>
  <si>
    <t>Cincinnati</t>
  </si>
  <si>
    <t>KS33U</t>
  </si>
  <si>
    <t>PGTDG9358C</t>
  </si>
  <si>
    <t>KS45B</t>
  </si>
  <si>
    <t>Loans</t>
  </si>
  <si>
    <t>UHEJB8287K</t>
  </si>
  <si>
    <t>KT38I</t>
  </si>
  <si>
    <t>M3 Offline Seniors</t>
  </si>
  <si>
    <t>ZGKGP8289X</t>
  </si>
  <si>
    <t>geeksforgeeks.org</t>
  </si>
  <si>
    <t>KT43H</t>
  </si>
  <si>
    <t>Sports News</t>
  </si>
  <si>
    <t>KT45W</t>
  </si>
  <si>
    <t>KT72I</t>
  </si>
  <si>
    <t>Crossover</t>
  </si>
  <si>
    <t>KU42U</t>
  </si>
  <si>
    <t>Gender</t>
  </si>
  <si>
    <t>Female</t>
  </si>
  <si>
    <t>IMIDE3483V</t>
  </si>
  <si>
    <t>yourroyals.com</t>
  </si>
  <si>
    <t>KW71V</t>
  </si>
  <si>
    <t>Make-Up and Cosmetics</t>
  </si>
  <si>
    <t>UKERS8216P</t>
  </si>
  <si>
    <t>zdnet.com</t>
  </si>
  <si>
    <t>KX29G</t>
  </si>
  <si>
    <t>Buick</t>
  </si>
  <si>
    <t>FTFVI5535W</t>
  </si>
  <si>
    <t>KY37B</t>
  </si>
  <si>
    <t>SOQQW5795F</t>
  </si>
  <si>
    <t>KZ94D</t>
  </si>
  <si>
    <t>Drug Stores</t>
  </si>
  <si>
    <t>CVS</t>
  </si>
  <si>
    <t>CNFXR5394I</t>
  </si>
  <si>
    <t>LA11D</t>
  </si>
  <si>
    <t>Life Stage</t>
  </si>
  <si>
    <t>YMMMQ8595M</t>
  </si>
  <si>
    <t>LA75B</t>
  </si>
  <si>
    <t>Brokerages and Day Trading</t>
  </si>
  <si>
    <t>CPMZO0001Q</t>
  </si>
  <si>
    <t>newsmemory.com</t>
  </si>
  <si>
    <t>LB23B</t>
  </si>
  <si>
    <t>Citroen</t>
  </si>
  <si>
    <t>VLMUA3410K</t>
  </si>
  <si>
    <t>Little Rock-Pine Bluff</t>
  </si>
  <si>
    <t>Arkansas</t>
  </si>
  <si>
    <t>reuters.com</t>
  </si>
  <si>
    <t>LD51I</t>
  </si>
  <si>
    <t>Budget Travel</t>
  </si>
  <si>
    <t>XDALU8746W</t>
  </si>
  <si>
    <t>yachtworld.com</t>
  </si>
  <si>
    <t>LE53S</t>
  </si>
  <si>
    <t>Card Games</t>
  </si>
  <si>
    <t>LE77D</t>
  </si>
  <si>
    <t>Fashion Designers and Collections</t>
  </si>
  <si>
    <t>ACQXP6132Q</t>
  </si>
  <si>
    <t>LG29V</t>
  </si>
  <si>
    <t>BANVC6058Q</t>
  </si>
  <si>
    <t>LG60H</t>
  </si>
  <si>
    <t>Booking.com Buyer Propensity</t>
  </si>
  <si>
    <t>FGIVS1565C</t>
  </si>
  <si>
    <t>LG72Q</t>
  </si>
  <si>
    <t>Law and Government</t>
  </si>
  <si>
    <t>Legal</t>
  </si>
  <si>
    <t>PHNEW5291K</t>
  </si>
  <si>
    <t>washingtonpost.com</t>
  </si>
  <si>
    <t>LH22D</t>
  </si>
  <si>
    <t>Young Adult Clothing Shoppers</t>
  </si>
  <si>
    <t>sciencesensei.com</t>
  </si>
  <si>
    <t>LH71M</t>
  </si>
  <si>
    <t>Households with 2 Adults</t>
  </si>
  <si>
    <t>COBZW7547O</t>
  </si>
  <si>
    <t>LH90W</t>
  </si>
  <si>
    <t>Q3 Gardening Shoppers</t>
  </si>
  <si>
    <t>SCEPV9076U</t>
  </si>
  <si>
    <t>LI12Z</t>
  </si>
  <si>
    <t>Q2 Graduation Gift Shoppers</t>
  </si>
  <si>
    <t>FNGJA1454X</t>
  </si>
  <si>
    <t>LI82G</t>
  </si>
  <si>
    <t>Luxury Store Shoppers</t>
  </si>
  <si>
    <t>VPGMT8907Q</t>
  </si>
  <si>
    <t>LJ36Y</t>
  </si>
  <si>
    <t>SEFWO1141R</t>
  </si>
  <si>
    <t>LJ58I</t>
  </si>
  <si>
    <t>Primary Vehicle</t>
  </si>
  <si>
    <t>New</t>
  </si>
  <si>
    <t>LCTFQ9240X</t>
  </si>
  <si>
    <t>dinneratthezoo.com</t>
  </si>
  <si>
    <t>LJ77T</t>
  </si>
  <si>
    <t>Decision Maker for Auto Purchase</t>
  </si>
  <si>
    <t>I was the sole decision-maker</t>
  </si>
  <si>
    <t>LJ80N</t>
  </si>
  <si>
    <t>Northwestern Mutual</t>
  </si>
  <si>
    <t>TWADZ8901H</t>
  </si>
  <si>
    <t>LJ91A</t>
  </si>
  <si>
    <t>Teacher</t>
  </si>
  <si>
    <t>DRJAX5361M</t>
  </si>
  <si>
    <t>LK33Q</t>
  </si>
  <si>
    <t>Tax Preparation and Planning</t>
  </si>
  <si>
    <t>pandora.com</t>
  </si>
  <si>
    <t>LK68W</t>
  </si>
  <si>
    <t>Estimated Discretionary Spending</t>
  </si>
  <si>
    <t>Greater than $2,500</t>
  </si>
  <si>
    <t>ILTLJ4877I</t>
  </si>
  <si>
    <t>LL46A</t>
  </si>
  <si>
    <t>Offline CPG Purchasers</t>
  </si>
  <si>
    <t>Product Segment</t>
  </si>
  <si>
    <t>Home Supplies</t>
  </si>
  <si>
    <t>LL53R</t>
  </si>
  <si>
    <t>Aston Martin</t>
  </si>
  <si>
    <t>FGVPW3544C</t>
  </si>
  <si>
    <t>LL81E</t>
  </si>
  <si>
    <t>Newspapers</t>
  </si>
  <si>
    <t>PCVPC6144C</t>
  </si>
  <si>
    <t>calculator.net</t>
  </si>
  <si>
    <t>LM48B</t>
  </si>
  <si>
    <t>Bus and Rail</t>
  </si>
  <si>
    <t>PNNGV1723I</t>
  </si>
  <si>
    <t>LP44Z</t>
  </si>
  <si>
    <t>wwe.comBuyer Propensity</t>
  </si>
  <si>
    <t>YQWKR0204V</t>
  </si>
  <si>
    <t>allrecipes.com</t>
  </si>
  <si>
    <t>LQ6L</t>
  </si>
  <si>
    <t>Winter Holiday Travel</t>
  </si>
  <si>
    <t>REODI7132J</t>
  </si>
  <si>
    <t>LQ9R</t>
  </si>
  <si>
    <t>Specialty Travel</t>
  </si>
  <si>
    <t>BCBBV1468I</t>
  </si>
  <si>
    <t>LR9O</t>
  </si>
  <si>
    <t>Luxury</t>
  </si>
  <si>
    <t>DFQGI9997O</t>
  </si>
  <si>
    <t>al.com</t>
  </si>
  <si>
    <t>LS14X</t>
  </si>
  <si>
    <t>Volvo</t>
  </si>
  <si>
    <t>OUAPW0127E</t>
  </si>
  <si>
    <t>chocolatecoveredkatie.com</t>
  </si>
  <si>
    <t>LU52N</t>
  </si>
  <si>
    <t>Home and Household Goods</t>
  </si>
  <si>
    <t>Pottery Barn Kids Buyer Propensity</t>
  </si>
  <si>
    <t>RJTVS1124X</t>
  </si>
  <si>
    <t>investmentguru.com</t>
  </si>
  <si>
    <t>LU98T</t>
  </si>
  <si>
    <t>WUACZ9864Q</t>
  </si>
  <si>
    <t>LV48Y</t>
  </si>
  <si>
    <t>Beaches and Islands</t>
  </si>
  <si>
    <t>SYMLU1611U</t>
  </si>
  <si>
    <t>LV90F</t>
  </si>
  <si>
    <t>Computers, Laptops</t>
  </si>
  <si>
    <t>HFRGF7395P</t>
  </si>
  <si>
    <t>LX71R</t>
  </si>
  <si>
    <t>Reality</t>
  </si>
  <si>
    <t>Game Shows</t>
  </si>
  <si>
    <t>CRNNN5016T</t>
  </si>
  <si>
    <t>nbcsports.com</t>
  </si>
  <si>
    <t>LX93C</t>
  </si>
  <si>
    <t>Telehealth</t>
  </si>
  <si>
    <t>ONZOI4536S</t>
  </si>
  <si>
    <t>LY33D</t>
  </si>
  <si>
    <t>Military</t>
  </si>
  <si>
    <t>LY98V</t>
  </si>
  <si>
    <t>Office Services or Moving</t>
  </si>
  <si>
    <t>LZ39I</t>
  </si>
  <si>
    <t>NXPMZ8898X</t>
  </si>
  <si>
    <t>LZ49Z</t>
  </si>
  <si>
    <t>Air Travel</t>
  </si>
  <si>
    <t>FTLSP7247H</t>
  </si>
  <si>
    <t>LZ60O</t>
  </si>
  <si>
    <t>Bottled Water</t>
  </si>
  <si>
    <t>XEEJE6586B</t>
  </si>
  <si>
    <t>MB91Z</t>
  </si>
  <si>
    <t>Mary Kay Buyer Propensity</t>
  </si>
  <si>
    <t>ZFEQW7935E</t>
  </si>
  <si>
    <t>MH59A</t>
  </si>
  <si>
    <t>Family and Relationships</t>
  </si>
  <si>
    <t>Moms</t>
  </si>
  <si>
    <t>my.yahoo.com</t>
  </si>
  <si>
    <t>MH97H</t>
  </si>
  <si>
    <t>SEAT</t>
  </si>
  <si>
    <t>VYAJZ8128V</t>
  </si>
  <si>
    <t>MJ8S</t>
  </si>
  <si>
    <t>Business News</t>
  </si>
  <si>
    <t>NFIRA4322Q</t>
  </si>
  <si>
    <t>MJ99C</t>
  </si>
  <si>
    <t>MK90F</t>
  </si>
  <si>
    <t>Quality-First Shopper Audience</t>
  </si>
  <si>
    <t>SAXFV6520F</t>
  </si>
  <si>
    <t>ML90F</t>
  </si>
  <si>
    <t>Buying and Selling Homes - Real Estate</t>
  </si>
  <si>
    <t>MM22N</t>
  </si>
  <si>
    <t>MN13Y</t>
  </si>
  <si>
    <t>Fitness Enthusiasts</t>
  </si>
  <si>
    <t>fandomwire.com</t>
  </si>
  <si>
    <t>MN16C</t>
  </si>
  <si>
    <t>Online Shoppers</t>
  </si>
  <si>
    <t>sciencealert.com</t>
  </si>
  <si>
    <t>MN52G</t>
  </si>
  <si>
    <t>I shared equally in the decision</t>
  </si>
  <si>
    <t>MP63V</t>
  </si>
  <si>
    <t>Lexus</t>
  </si>
  <si>
    <t>QGSPI6609K</t>
  </si>
  <si>
    <t>sportpirate.com</t>
  </si>
  <si>
    <t>MQ23K</t>
  </si>
  <si>
    <t>MR34R</t>
  </si>
  <si>
    <t>International Travel</t>
  </si>
  <si>
    <t>eonline</t>
  </si>
  <si>
    <t>MR80T</t>
  </si>
  <si>
    <t>Mazda</t>
  </si>
  <si>
    <t>NMDNW0075G</t>
  </si>
  <si>
    <t>MS13X</t>
  </si>
  <si>
    <t>Saab</t>
  </si>
  <si>
    <t>IKVKL3220N</t>
  </si>
  <si>
    <t>MS99B</t>
  </si>
  <si>
    <t>Male</t>
  </si>
  <si>
    <t>UGBDH9396Q</t>
  </si>
  <si>
    <t>MT83U</t>
  </si>
  <si>
    <t>Purchasing Utilities</t>
  </si>
  <si>
    <t>VJSZC2958L</t>
  </si>
  <si>
    <t>MU42O</t>
  </si>
  <si>
    <t>Credit Cards</t>
  </si>
  <si>
    <t>MW13Q</t>
  </si>
  <si>
    <t>ZTE</t>
  </si>
  <si>
    <t>MW33J</t>
  </si>
  <si>
    <t>yes</t>
  </si>
  <si>
    <t>MW66X</t>
  </si>
  <si>
    <t>Males 25 or older</t>
  </si>
  <si>
    <t>ISEGR9981S</t>
  </si>
  <si>
    <t>MW86D</t>
  </si>
  <si>
    <t>Vivo</t>
  </si>
  <si>
    <t>MX45F</t>
  </si>
  <si>
    <t>Bodybuilding</t>
  </si>
  <si>
    <t>GYOZX2851Q</t>
  </si>
  <si>
    <t>MY57E</t>
  </si>
  <si>
    <t>Toyota</t>
  </si>
  <si>
    <t>MY89Z</t>
  </si>
  <si>
    <t>Pre-owned</t>
  </si>
  <si>
    <t>billboard.com</t>
  </si>
  <si>
    <t>MY98M</t>
  </si>
  <si>
    <t>Electric and Plug-In Vehicles</t>
  </si>
  <si>
    <t>USYBQ0583Y</t>
  </si>
  <si>
    <t>NA38G</t>
  </si>
  <si>
    <t>Mini</t>
  </si>
  <si>
    <t>NA65D</t>
  </si>
  <si>
    <t>Bare Necessities Buyer Propensity</t>
  </si>
  <si>
    <t>NC3U</t>
  </si>
  <si>
    <t>Gaming</t>
  </si>
  <si>
    <t>In-Market</t>
  </si>
  <si>
    <t>ZQXCO1346J</t>
  </si>
  <si>
    <t>moneyppl.com</t>
  </si>
  <si>
    <t>ND59Y</t>
  </si>
  <si>
    <t>XBUQQ6173W</t>
  </si>
  <si>
    <t>politico.com</t>
  </si>
  <si>
    <t>ND9P</t>
  </si>
  <si>
    <t>Clubs and Organizations</t>
  </si>
  <si>
    <t>CVRLX9939M</t>
  </si>
  <si>
    <t>NE65H</t>
  </si>
  <si>
    <t>Children's Clothing Shoppers</t>
  </si>
  <si>
    <t>SHXPR1905B</t>
  </si>
  <si>
    <t>lensvid.com</t>
  </si>
  <si>
    <t>NE81K</t>
  </si>
  <si>
    <t>Repair and Oil Change</t>
  </si>
  <si>
    <t>Intend</t>
  </si>
  <si>
    <t>KSIMT4587A</t>
  </si>
  <si>
    <t>therighthairstyles.com</t>
  </si>
  <si>
    <t>NE97V</t>
  </si>
  <si>
    <t>Home Insurance</t>
  </si>
  <si>
    <t>NF16N</t>
  </si>
  <si>
    <t>NI67E</t>
  </si>
  <si>
    <t>Females 25 or older</t>
  </si>
  <si>
    <t>ZNYKU3011Q</t>
  </si>
  <si>
    <t>abcnews.go.com</t>
  </si>
  <si>
    <t>NJ37T</t>
  </si>
  <si>
    <t>Hobbies and Interests</t>
  </si>
  <si>
    <t>Art</t>
  </si>
  <si>
    <t>AIUWS8476Y</t>
  </si>
  <si>
    <t>NK59I</t>
  </si>
  <si>
    <t>Dodge</t>
  </si>
  <si>
    <t>SXETB3323X</t>
  </si>
  <si>
    <t>NL56V</t>
  </si>
  <si>
    <t>Home Buying</t>
  </si>
  <si>
    <t>KHZRL5052V</t>
  </si>
  <si>
    <t>topclassactions.com</t>
  </si>
  <si>
    <t>NM94C</t>
  </si>
  <si>
    <t>NASCAR Enthusiast</t>
  </si>
  <si>
    <t>TDALE4719U</t>
  </si>
  <si>
    <t>NO19J</t>
  </si>
  <si>
    <t>Auto Parts Stores</t>
  </si>
  <si>
    <t>ZZGMU8537Y</t>
  </si>
  <si>
    <t>insider.com</t>
  </si>
  <si>
    <t>NO3O</t>
  </si>
  <si>
    <t>Television providers</t>
  </si>
  <si>
    <t>services</t>
  </si>
  <si>
    <t>XKKWT7454D</t>
  </si>
  <si>
    <t>NQ58V</t>
  </si>
  <si>
    <t>Zoos-Aquariums-Preserves</t>
  </si>
  <si>
    <t>CUZXM7602U</t>
  </si>
  <si>
    <t>NQ99Y</t>
  </si>
  <si>
    <t>Females 35-44</t>
  </si>
  <si>
    <t>XTZRX8040O</t>
  </si>
  <si>
    <t>espn.com</t>
  </si>
  <si>
    <t>NR43L</t>
  </si>
  <si>
    <t>M4 Elderly Traditionalists</t>
  </si>
  <si>
    <t>NR48H</t>
  </si>
  <si>
    <t>Opel</t>
  </si>
  <si>
    <t>FVBBK0090Y</t>
  </si>
  <si>
    <t>NT47W</t>
  </si>
  <si>
    <t>Crafts</t>
  </si>
  <si>
    <t>NU54M</t>
  </si>
  <si>
    <t>File Sharing and Hosting</t>
  </si>
  <si>
    <t>ZJAYC2987F</t>
  </si>
  <si>
    <t>NW71T</t>
  </si>
  <si>
    <t>Caravan</t>
  </si>
  <si>
    <t>ranker.com</t>
  </si>
  <si>
    <t>OB42J</t>
  </si>
  <si>
    <t>OYUEN2234N</t>
  </si>
  <si>
    <t>OB44N</t>
  </si>
  <si>
    <t>OC37K</t>
  </si>
  <si>
    <t>OC3W</t>
  </si>
  <si>
    <t>Special Occasions</t>
  </si>
  <si>
    <t>YPUXJ8978T</t>
  </si>
  <si>
    <t>mayoclinic.org</t>
  </si>
  <si>
    <t>OC57A</t>
  </si>
  <si>
    <t>Sports and Outdoors</t>
  </si>
  <si>
    <t>ZMFKM9001I</t>
  </si>
  <si>
    <t>OF1H</t>
  </si>
  <si>
    <t>OF92W</t>
  </si>
  <si>
    <t>Rent Value</t>
  </si>
  <si>
    <t>Highest Rent Value</t>
  </si>
  <si>
    <t>FXGBS1831V</t>
  </si>
  <si>
    <t>OF94X</t>
  </si>
  <si>
    <t>Weather Forecast</t>
  </si>
  <si>
    <t>OG24Y</t>
  </si>
  <si>
    <t>Happy at Home</t>
  </si>
  <si>
    <t>OH22Q</t>
  </si>
  <si>
    <t>Online Goodies</t>
  </si>
  <si>
    <t>OI24N</t>
  </si>
  <si>
    <t>Destination</t>
  </si>
  <si>
    <t>International Travelers - Frequent Travelers</t>
  </si>
  <si>
    <t>QAKGQ0599J</t>
  </si>
  <si>
    <t>OJ90E</t>
  </si>
  <si>
    <t>Football (American)</t>
  </si>
  <si>
    <t>POYRQ6465K</t>
  </si>
  <si>
    <t>ON2U</t>
  </si>
  <si>
    <t>Media Source</t>
  </si>
  <si>
    <t>healthyrecipesblogs.com</t>
  </si>
  <si>
    <t>OP80Y</t>
  </si>
  <si>
    <t>Soccer (Football)</t>
  </si>
  <si>
    <t>OP98H</t>
  </si>
  <si>
    <t>M3 Upscale Empty Nests</t>
  </si>
  <si>
    <t>WWPFG2583F</t>
  </si>
  <si>
    <t>historyallday.com</t>
  </si>
  <si>
    <t>OR18G</t>
  </si>
  <si>
    <t>Lowest Rent Value</t>
  </si>
  <si>
    <t>OS10M</t>
  </si>
  <si>
    <t>New York Life</t>
  </si>
  <si>
    <t>VUUTP4764A</t>
  </si>
  <si>
    <t>OS13G</t>
  </si>
  <si>
    <t>Contributes to Charities</t>
  </si>
  <si>
    <t>OWUAV4353D</t>
  </si>
  <si>
    <t>commercialappeal.com</t>
  </si>
  <si>
    <t>OS77J</t>
  </si>
  <si>
    <t>Africa</t>
  </si>
  <si>
    <t>OS78Q</t>
  </si>
  <si>
    <t>High Frequency Travel</t>
  </si>
  <si>
    <t>Foreign Vacationer</t>
  </si>
  <si>
    <t>nsfas-applications.co.za</t>
  </si>
  <si>
    <t>OT46S</t>
  </si>
  <si>
    <t>Hygiene and Toiletries</t>
  </si>
  <si>
    <t>OT47T</t>
  </si>
  <si>
    <t>Wedding Planning</t>
  </si>
  <si>
    <t>ZRGPG5133W</t>
  </si>
  <si>
    <t>OV20L</t>
  </si>
  <si>
    <t>Social</t>
  </si>
  <si>
    <t>Premium User Generated Content</t>
  </si>
  <si>
    <t>NFHGL5241D</t>
  </si>
  <si>
    <t>OW85L</t>
  </si>
  <si>
    <t>Financial Services</t>
  </si>
  <si>
    <t>Digital Payments</t>
  </si>
  <si>
    <t>Chase Pay</t>
  </si>
  <si>
    <t>MDIZH0479C</t>
  </si>
  <si>
    <t>OW98P</t>
  </si>
  <si>
    <t>Television (TV)</t>
  </si>
  <si>
    <t>OZ35S</t>
  </si>
  <si>
    <t>F2 Suburban Spenders</t>
  </si>
  <si>
    <t>OZ77R</t>
  </si>
  <si>
    <t>MKPKD5134L</t>
  </si>
  <si>
    <t>OZ96C</t>
  </si>
  <si>
    <t>Security Services</t>
  </si>
  <si>
    <t>NJMXV2227T</t>
  </si>
  <si>
    <t>PA86A</t>
  </si>
  <si>
    <t>MKYNC9675E</t>
  </si>
  <si>
    <t>PA8P</t>
  </si>
  <si>
    <t>Interest (Affinity)</t>
  </si>
  <si>
    <t>Video Games</t>
  </si>
  <si>
    <t>GHEXC4271G</t>
  </si>
  <si>
    <t>bleacherbreaker.com</t>
  </si>
  <si>
    <t>PB54F</t>
  </si>
  <si>
    <t>Business</t>
  </si>
  <si>
    <t>Economy</t>
  </si>
  <si>
    <t>LLHDI5345H</t>
  </si>
  <si>
    <t>PG30A</t>
  </si>
  <si>
    <t>PG39M</t>
  </si>
  <si>
    <t>TV and Video</t>
  </si>
  <si>
    <t>LDJVF5710Z</t>
  </si>
  <si>
    <t>PH57X</t>
  </si>
  <si>
    <t>Composite Segment</t>
  </si>
  <si>
    <t>Women Born to Shop</t>
  </si>
  <si>
    <t>ZXNGE3860E</t>
  </si>
  <si>
    <t>PJ23H</t>
  </si>
  <si>
    <t>HVQYH5891M</t>
  </si>
  <si>
    <t>nbcchicago.com</t>
  </si>
  <si>
    <t>PJ39B</t>
  </si>
  <si>
    <t>CTRRN0110B</t>
  </si>
  <si>
    <t>androidpolice.com</t>
  </si>
  <si>
    <t>PJ77L</t>
  </si>
  <si>
    <t>18-64</t>
  </si>
  <si>
    <t>VKCWD4290J</t>
  </si>
  <si>
    <t>PL87H</t>
  </si>
  <si>
    <t>25-34</t>
  </si>
  <si>
    <t>PM53B</t>
  </si>
  <si>
    <t>Dating and Personals</t>
  </si>
  <si>
    <t>PN88X</t>
  </si>
  <si>
    <t>Concerts and Music Festivals</t>
  </si>
  <si>
    <t>usssa.com</t>
  </si>
  <si>
    <t>PO18Y</t>
  </si>
  <si>
    <t>PO22U</t>
  </si>
  <si>
    <t>Home Furnishings</t>
  </si>
  <si>
    <t>NOSEL1497A</t>
  </si>
  <si>
    <t>PO48F</t>
  </si>
  <si>
    <t>Credit Card Type</t>
  </si>
  <si>
    <t>Credit Card Holder - Unknown Type</t>
  </si>
  <si>
    <t>FVCXM7753B</t>
  </si>
  <si>
    <t>PQ96Y</t>
  </si>
  <si>
    <t>Mobile Audience</t>
  </si>
  <si>
    <t>Arts Enthusiasts</t>
  </si>
  <si>
    <t>VFEQO2766Q</t>
  </si>
  <si>
    <t>PS24G</t>
  </si>
  <si>
    <t>VTOPU6249A</t>
  </si>
  <si>
    <t>PU15F</t>
  </si>
  <si>
    <t>Family-Oriented Games and Activities</t>
  </si>
  <si>
    <t>JUNLE2504O</t>
  </si>
  <si>
    <t>PU59O</t>
  </si>
  <si>
    <t>F1 Early Adopting Elite</t>
  </si>
  <si>
    <t>JVTFZ9150J</t>
  </si>
  <si>
    <t>PW4W</t>
  </si>
  <si>
    <t>Yoga and Pilates</t>
  </si>
  <si>
    <t>SRWVA9406K</t>
  </si>
  <si>
    <t>PW56U</t>
  </si>
  <si>
    <t>Females 25-34</t>
  </si>
  <si>
    <t>QWTWH2779Y</t>
  </si>
  <si>
    <t>PY30Q</t>
  </si>
  <si>
    <t>Made In America Audience</t>
  </si>
  <si>
    <t>WBNSR4815R</t>
  </si>
  <si>
    <t>upworthy.com</t>
  </si>
  <si>
    <t>QA65D</t>
  </si>
  <si>
    <t>College Applications</t>
  </si>
  <si>
    <t>KGLLH3730J</t>
  </si>
  <si>
    <t>QB93I</t>
  </si>
  <si>
    <t>Males 18-54</t>
  </si>
  <si>
    <t>QD57R</t>
  </si>
  <si>
    <t>RLWUO8369C</t>
  </si>
  <si>
    <t>QD76P</t>
  </si>
  <si>
    <t>Water Sports</t>
  </si>
  <si>
    <t>Boating</t>
  </si>
  <si>
    <t>NEAPL8644K</t>
  </si>
  <si>
    <t>heraldweekly.com</t>
  </si>
  <si>
    <t>QE21R</t>
  </si>
  <si>
    <t>Occupancy</t>
  </si>
  <si>
    <t>Owner Occupied</t>
  </si>
  <si>
    <t>QE23Y</t>
  </si>
  <si>
    <t>RIHZX9620T</t>
  </si>
  <si>
    <t>QF24L</t>
  </si>
  <si>
    <t>Event Ticket Sales</t>
  </si>
  <si>
    <t>RODUO2145F</t>
  </si>
  <si>
    <t>QG45D</t>
  </si>
  <si>
    <t>Estimated Disposable Income</t>
  </si>
  <si>
    <t>$0 - $99,999</t>
  </si>
  <si>
    <t>QH16W</t>
  </si>
  <si>
    <t>Baseball</t>
  </si>
  <si>
    <t>QH85S</t>
  </si>
  <si>
    <t>MechanicalEngineer</t>
  </si>
  <si>
    <t>ATIOA1830W</t>
  </si>
  <si>
    <t>QJ68R</t>
  </si>
  <si>
    <t>IALWL3548O</t>
  </si>
  <si>
    <t>todaysnyc.com</t>
  </si>
  <si>
    <t>QK4P</t>
  </si>
  <si>
    <t>Chilis</t>
  </si>
  <si>
    <t>QM25I</t>
  </si>
  <si>
    <t>Bowling</t>
  </si>
  <si>
    <t>QM37S</t>
  </si>
  <si>
    <t>Mobile Phones</t>
  </si>
  <si>
    <t>QM5U</t>
  </si>
  <si>
    <t>CPG» Cosmetics</t>
  </si>
  <si>
    <t>QP28Q</t>
  </si>
  <si>
    <t>Tablets</t>
  </si>
  <si>
    <t>QYEQM4399O</t>
  </si>
  <si>
    <t>QQ83V</t>
  </si>
  <si>
    <t>Activity</t>
  </si>
  <si>
    <t>Ski Travelers</t>
  </si>
  <si>
    <t>VILUK8823M</t>
  </si>
  <si>
    <t>QT27P</t>
  </si>
  <si>
    <t>Grants, Scholarships and Financial Aid</t>
  </si>
  <si>
    <t>Study Grants and Scholarships</t>
  </si>
  <si>
    <t>VZIST0152O</t>
  </si>
  <si>
    <t>QT78D</t>
  </si>
  <si>
    <t>Kitchen</t>
  </si>
  <si>
    <t>NRVSZ4124D</t>
  </si>
  <si>
    <t>culinaryhill.com</t>
  </si>
  <si>
    <t>QU14T</t>
  </si>
  <si>
    <t>College Sports</t>
  </si>
  <si>
    <t>QW19F</t>
  </si>
  <si>
    <t>Yard and Patio</t>
  </si>
  <si>
    <t>QW56P</t>
  </si>
  <si>
    <t>Clothing Shoppers</t>
  </si>
  <si>
    <t>UALQR9872D</t>
  </si>
  <si>
    <t>QX29U</t>
  </si>
  <si>
    <t>JYBOR4297F</t>
  </si>
  <si>
    <t>QX68R</t>
  </si>
  <si>
    <t>Lowest Education Achievement</t>
  </si>
  <si>
    <t>BKTFJ3090U</t>
  </si>
  <si>
    <t>essentiallysports.com</t>
  </si>
  <si>
    <t>QY47P</t>
  </si>
  <si>
    <t>Contests, Awards and Prizes</t>
  </si>
  <si>
    <t>WGZAC1449D</t>
  </si>
  <si>
    <t>RA17O</t>
  </si>
  <si>
    <t>International Travelers yes</t>
  </si>
  <si>
    <t>RA90E</t>
  </si>
  <si>
    <t>Kids Products</t>
  </si>
  <si>
    <t>Disney Buyer Propensity</t>
  </si>
  <si>
    <t>YQHRE6327U</t>
  </si>
  <si>
    <t>RB41C</t>
  </si>
  <si>
    <t>Travel Guides and Travelogues</t>
  </si>
  <si>
    <t>RB71Y</t>
  </si>
  <si>
    <t>Seniors and Retirement</t>
  </si>
  <si>
    <t>RKCRU2032O</t>
  </si>
  <si>
    <t>healthline.com</t>
  </si>
  <si>
    <t>RE59K</t>
  </si>
  <si>
    <t>Household Income $50k+</t>
  </si>
  <si>
    <t>RE88L</t>
  </si>
  <si>
    <t>Graduation Trip</t>
  </si>
  <si>
    <t>sallysbakingaddiction.com</t>
  </si>
  <si>
    <t>RF19B</t>
  </si>
  <si>
    <t>PNDZA8403Y</t>
  </si>
  <si>
    <t>RF63I</t>
  </si>
  <si>
    <t>Regal Cinemas Buyer Propensity</t>
  </si>
  <si>
    <t>RG87T</t>
  </si>
  <si>
    <t>Health Insurance</t>
  </si>
  <si>
    <t>myfitnesspal.com</t>
  </si>
  <si>
    <t>RH98P</t>
  </si>
  <si>
    <t>Premier League</t>
  </si>
  <si>
    <t>QLKLM7985S</t>
  </si>
  <si>
    <t>RI33T</t>
  </si>
  <si>
    <t>Viewership</t>
  </si>
  <si>
    <t>Drama</t>
  </si>
  <si>
    <t>semana.com</t>
  </si>
  <si>
    <t>RJ15G</t>
  </si>
  <si>
    <t>Males 55-64</t>
  </si>
  <si>
    <t>ANFNS6998F</t>
  </si>
  <si>
    <t>RJ65C</t>
  </si>
  <si>
    <t>Vehicle Ownership</t>
  </si>
  <si>
    <t>GKRMR1768T</t>
  </si>
  <si>
    <t>RK95C</t>
  </si>
  <si>
    <t>Gamers</t>
  </si>
  <si>
    <t>Users</t>
  </si>
  <si>
    <t>RL56G</t>
  </si>
  <si>
    <t>Architect</t>
  </si>
  <si>
    <t>RL60H</t>
  </si>
  <si>
    <t>Sales</t>
  </si>
  <si>
    <t>RFDTQ3121R</t>
  </si>
  <si>
    <t>RM97D</t>
  </si>
  <si>
    <t>B2B Work from Home</t>
  </si>
  <si>
    <t>SYKWZ2884G</t>
  </si>
  <si>
    <t>RP92A</t>
  </si>
  <si>
    <t>Females 18-44</t>
  </si>
  <si>
    <t>RQ5G</t>
  </si>
  <si>
    <t>Jobs</t>
  </si>
  <si>
    <t>RR20Z</t>
  </si>
  <si>
    <t>RR56C</t>
  </si>
  <si>
    <t>ComputerProgrammer</t>
  </si>
  <si>
    <t>OCAXR0957T</t>
  </si>
  <si>
    <t>RU60G</t>
  </si>
  <si>
    <t>Green Consumer Audience</t>
  </si>
  <si>
    <t>RV65Z</t>
  </si>
  <si>
    <t>Inheritance and Estate Planning</t>
  </si>
  <si>
    <t>RV68I</t>
  </si>
  <si>
    <t>Comics and Animation</t>
  </si>
  <si>
    <t>fox59.com</t>
  </si>
  <si>
    <t>RV82Y</t>
  </si>
  <si>
    <t>BNNND1001J</t>
  </si>
  <si>
    <t>RV91J</t>
  </si>
  <si>
    <t>Bare Escentuals Buyer Propensity</t>
  </si>
  <si>
    <t>NFINS9522P</t>
  </si>
  <si>
    <t>RX41S</t>
  </si>
  <si>
    <t>Tech Enthusiasts</t>
  </si>
  <si>
    <t>OMNIL9227Y</t>
  </si>
  <si>
    <t>RX74N</t>
  </si>
  <si>
    <t>GEKPL6384E</t>
  </si>
  <si>
    <t>iflscience.com</t>
  </si>
  <si>
    <t>RY57L</t>
  </si>
  <si>
    <t>Premium Gender</t>
  </si>
  <si>
    <t>Males</t>
  </si>
  <si>
    <t>NDBQG0920F</t>
  </si>
  <si>
    <t>behindthevoiceactors.com</t>
  </si>
  <si>
    <t>RZ75Y</t>
  </si>
  <si>
    <t>Bars, Clubs and Nightlife</t>
  </si>
  <si>
    <t>VTXNC8329K</t>
  </si>
  <si>
    <t>RZ84W</t>
  </si>
  <si>
    <t>Fuel Economy and Gas Prices</t>
  </si>
  <si>
    <t>OVPZA4373F</t>
  </si>
  <si>
    <t>nbcnews.com</t>
  </si>
  <si>
    <t>SA31K</t>
  </si>
  <si>
    <t>Buffalo Wild Wings</t>
  </si>
  <si>
    <t>VAMYM3927E</t>
  </si>
  <si>
    <t>evite.com</t>
  </si>
  <si>
    <t>SC17A</t>
  </si>
  <si>
    <t>25-44</t>
  </si>
  <si>
    <t>cheapoair.com</t>
  </si>
  <si>
    <t>SC23P</t>
  </si>
  <si>
    <t>Transamerica</t>
  </si>
  <si>
    <t>FHATQ2716C</t>
  </si>
  <si>
    <t>SD50Z</t>
  </si>
  <si>
    <t>Outdoors</t>
  </si>
  <si>
    <t>SF13N</t>
  </si>
  <si>
    <t>Combat Sports</t>
  </si>
  <si>
    <t>HPTJG5110P</t>
  </si>
  <si>
    <t>npr.org</t>
  </si>
  <si>
    <t>SF4C</t>
  </si>
  <si>
    <t>Food Enthusiasts</t>
  </si>
  <si>
    <t>SBFDD1822R</t>
  </si>
  <si>
    <t>ajc.com</t>
  </si>
  <si>
    <t>SG19N</t>
  </si>
  <si>
    <t>Accounting or Tax Services</t>
  </si>
  <si>
    <t>doodle.com</t>
  </si>
  <si>
    <t>SG87U</t>
  </si>
  <si>
    <t>IJGYM6908K</t>
  </si>
  <si>
    <t>androidauthority.com</t>
  </si>
  <si>
    <t>SH44M</t>
  </si>
  <si>
    <t>Males 25-64</t>
  </si>
  <si>
    <t>GBJRG3726B</t>
  </si>
  <si>
    <t>SI66V</t>
  </si>
  <si>
    <t>Employee Benefits</t>
  </si>
  <si>
    <t>SK12Q</t>
  </si>
  <si>
    <t>Likely Behavior</t>
  </si>
  <si>
    <t>Heavy Facebook User</t>
  </si>
  <si>
    <t>SK29K</t>
  </si>
  <si>
    <t>Fine Dining</t>
  </si>
  <si>
    <t>SM69F</t>
  </si>
  <si>
    <t>Extreme Sports</t>
  </si>
  <si>
    <t>webmd.com</t>
  </si>
  <si>
    <t>SN27L</t>
  </si>
  <si>
    <t>Red Lobster</t>
  </si>
  <si>
    <t>BJMIP6724O</t>
  </si>
  <si>
    <t>SN60T</t>
  </si>
  <si>
    <t>Rural Improvement Fanatic</t>
  </si>
  <si>
    <t>SN67I</t>
  </si>
  <si>
    <t>Job Search</t>
  </si>
  <si>
    <t>VMKOT9945C</t>
  </si>
  <si>
    <t>SO78R</t>
  </si>
  <si>
    <t>finviz.com</t>
  </si>
  <si>
    <t>SP53W</t>
  </si>
  <si>
    <t>SR69I</t>
  </si>
  <si>
    <t>35-44</t>
  </si>
  <si>
    <t>IVOAN1509V</t>
  </si>
  <si>
    <t>homehacks.co</t>
  </si>
  <si>
    <t>SU92S</t>
  </si>
  <si>
    <t>Country</t>
  </si>
  <si>
    <t>IFPCO8569Z</t>
  </si>
  <si>
    <t>SV87D</t>
  </si>
  <si>
    <t>Oil and Gas</t>
  </si>
  <si>
    <t>QuickTrip</t>
  </si>
  <si>
    <t>SW21T</t>
  </si>
  <si>
    <t>Products</t>
  </si>
  <si>
    <t>LBNHI4328W</t>
  </si>
  <si>
    <t>SX19D</t>
  </si>
  <si>
    <t>Connected Impulse-Shopper Audience</t>
  </si>
  <si>
    <t>SPQZY1149S</t>
  </si>
  <si>
    <t>boxrox.com</t>
  </si>
  <si>
    <t>SX30U</t>
  </si>
  <si>
    <t>Search Engines</t>
  </si>
  <si>
    <t>SY63H</t>
  </si>
  <si>
    <t>Toys and Games</t>
  </si>
  <si>
    <t>JBJHR4385F</t>
  </si>
  <si>
    <t>SZ28P</t>
  </si>
  <si>
    <t>Sport Cars</t>
  </si>
  <si>
    <t>SZ60O</t>
  </si>
  <si>
    <t>Canoeing - Kayaking</t>
  </si>
  <si>
    <t>thebigmansworld.com</t>
  </si>
  <si>
    <t>SZ67J</t>
  </si>
  <si>
    <t>Stocks and Bonds</t>
  </si>
  <si>
    <t>TA70Z</t>
  </si>
  <si>
    <t>Outback Steakhouse</t>
  </si>
  <si>
    <t>TB53B</t>
  </si>
  <si>
    <t>LBDigital</t>
  </si>
  <si>
    <t>Open For Business B2B</t>
  </si>
  <si>
    <t>TC4L</t>
  </si>
  <si>
    <t>B2B - Occupation</t>
  </si>
  <si>
    <t>Entrepreneur</t>
  </si>
  <si>
    <t>PBYSO0802Z</t>
  </si>
  <si>
    <t>TC57U</t>
  </si>
  <si>
    <t>TC70T</t>
  </si>
  <si>
    <t>Big Box Dollar General Buyer Propensity</t>
  </si>
  <si>
    <t>TD18K</t>
  </si>
  <si>
    <t>Porsche</t>
  </si>
  <si>
    <t>CGSWF3615P</t>
  </si>
  <si>
    <t>TE69B</t>
  </si>
  <si>
    <t>Hunting Enthusiasts</t>
  </si>
  <si>
    <t>TE8N</t>
  </si>
  <si>
    <t>Film Festivals</t>
  </si>
  <si>
    <t>TF26J</t>
  </si>
  <si>
    <t>HR or Personnel Services</t>
  </si>
  <si>
    <t>CHFYQ2941E</t>
  </si>
  <si>
    <t>TF33H</t>
  </si>
  <si>
    <t>iPhone X</t>
  </si>
  <si>
    <t>TIBWX8177M</t>
  </si>
  <si>
    <t>TF39Y</t>
  </si>
  <si>
    <t>GM-Daewoo</t>
  </si>
  <si>
    <t>VQBXY9624A</t>
  </si>
  <si>
    <t>TF4U</t>
  </si>
  <si>
    <t>TG43F</t>
  </si>
  <si>
    <t>Office Supplies or Equipment</t>
  </si>
  <si>
    <t>TG65Z</t>
  </si>
  <si>
    <t>Bugatti</t>
  </si>
  <si>
    <t>XWPWC1033V</t>
  </si>
  <si>
    <t>mobileposse.com</t>
  </si>
  <si>
    <t>TK59G</t>
  </si>
  <si>
    <t>SCHMD8376D</t>
  </si>
  <si>
    <t>TL58E</t>
  </si>
  <si>
    <t>historycollection.com</t>
  </si>
  <si>
    <t>TM74N</t>
  </si>
  <si>
    <t>25-64</t>
  </si>
  <si>
    <t>SQCYI9528I</t>
  </si>
  <si>
    <t>TN56F</t>
  </si>
  <si>
    <t>Airport Parking and Transportation</t>
  </si>
  <si>
    <t>TO16O</t>
  </si>
  <si>
    <t>Trending TV Shows</t>
  </si>
  <si>
    <t>TO97R</t>
  </si>
  <si>
    <t>Eats at Fast Food Restaurants</t>
  </si>
  <si>
    <t>FVMJC3951Q</t>
  </si>
  <si>
    <t>bestbuy.com</t>
  </si>
  <si>
    <t>TQ57K</t>
  </si>
  <si>
    <t>Travel Agencies and Services</t>
  </si>
  <si>
    <t>Tourist Boards and Visitor Centers</t>
  </si>
  <si>
    <t>ZCLPW3120T</t>
  </si>
  <si>
    <t>TQ9R</t>
  </si>
  <si>
    <t>Mitsubishi</t>
  </si>
  <si>
    <t>TS30A</t>
  </si>
  <si>
    <t>Q2 Spring Cleaners</t>
  </si>
  <si>
    <t>QDPUV3825U</t>
  </si>
  <si>
    <t>TS94E</t>
  </si>
  <si>
    <t>Plays Tennis</t>
  </si>
  <si>
    <t>COHFI9877A</t>
  </si>
  <si>
    <t>rollingstone.com</t>
  </si>
  <si>
    <t>TV2V</t>
  </si>
  <si>
    <t>Life Insurance</t>
  </si>
  <si>
    <t>TV57A</t>
  </si>
  <si>
    <t>Dining Guides</t>
  </si>
  <si>
    <t>TW13Y</t>
  </si>
  <si>
    <t>Web Apps and Online Tools</t>
  </si>
  <si>
    <t>TW45O</t>
  </si>
  <si>
    <t>Enthusiasts</t>
  </si>
  <si>
    <t>DRBTQ7923R</t>
  </si>
  <si>
    <t>wsvn.com</t>
  </si>
  <si>
    <t>UA30C</t>
  </si>
  <si>
    <t>Demo</t>
  </si>
  <si>
    <t>65+</t>
  </si>
  <si>
    <t>ESMDL6650Q</t>
  </si>
  <si>
    <t>UC52Z</t>
  </si>
  <si>
    <t>Q3 Fashion Shoppers</t>
  </si>
  <si>
    <t>UD2G</t>
  </si>
  <si>
    <t>UD90W</t>
  </si>
  <si>
    <t>Natural Disasters</t>
  </si>
  <si>
    <t>FZLFY7327B</t>
  </si>
  <si>
    <t>UE65D</t>
  </si>
  <si>
    <t>Rolls-Royce</t>
  </si>
  <si>
    <t>UG90P</t>
  </si>
  <si>
    <t>Connected TV and Over-the-Top (CTV and OTT)</t>
  </si>
  <si>
    <t>Streaming Television and Film Viewership</t>
  </si>
  <si>
    <t>OTT Movie Viewers Genre: Crime Movie Streamers</t>
  </si>
  <si>
    <t>UH52Z</t>
  </si>
  <si>
    <t>American Football</t>
  </si>
  <si>
    <t>YRTCW3194T</t>
  </si>
  <si>
    <t>UJ91R</t>
  </si>
  <si>
    <t>Men's Clothing Shoppers</t>
  </si>
  <si>
    <t>OQHLV3457P</t>
  </si>
  <si>
    <t>zone.msn.com</t>
  </si>
  <si>
    <t>UM67M</t>
  </si>
  <si>
    <t>Home Appliances</t>
  </si>
  <si>
    <t>UN10W</t>
  </si>
  <si>
    <t>UN11G</t>
  </si>
  <si>
    <t>Wireless Providers</t>
  </si>
  <si>
    <t>VHFRU3982T</t>
  </si>
  <si>
    <t>milb.com</t>
  </si>
  <si>
    <t>UN23N</t>
  </si>
  <si>
    <t>Live Sporting Events</t>
  </si>
  <si>
    <t>FHVXB0831I</t>
  </si>
  <si>
    <t>UN24D</t>
  </si>
  <si>
    <t>Likely Attitude and Behavior</t>
  </si>
  <si>
    <t>Completely Disagree</t>
  </si>
  <si>
    <t>When I Find A Financial Product/Service I Like I Typically Recommend It To People I Know (Financial)</t>
  </si>
  <si>
    <t>UO71X</t>
  </si>
  <si>
    <t>Food and Drug</t>
  </si>
  <si>
    <t>Postmates Buyer Propensity</t>
  </si>
  <si>
    <t>Mobile, Alabama-Pensacola</t>
  </si>
  <si>
    <t>UP26V</t>
  </si>
  <si>
    <t>US21I</t>
  </si>
  <si>
    <t>Boats and Watercraft</t>
  </si>
  <si>
    <t>US22I</t>
  </si>
  <si>
    <t>Bed and Bath</t>
  </si>
  <si>
    <t>UT52W</t>
  </si>
  <si>
    <t>Mercedes-Benz</t>
  </si>
  <si>
    <t>UT9W</t>
  </si>
  <si>
    <t>Theme Parks</t>
  </si>
  <si>
    <t>UU28I</t>
  </si>
  <si>
    <t>Marketing or Market Research</t>
  </si>
  <si>
    <t>fortune.com</t>
  </si>
  <si>
    <t>UV55D</t>
  </si>
  <si>
    <t>Motor Sports</t>
  </si>
  <si>
    <t>NASCAR</t>
  </si>
  <si>
    <t>UX67Y</t>
  </si>
  <si>
    <t>Electronics</t>
  </si>
  <si>
    <t>RadioShack Buyer Propensity</t>
  </si>
  <si>
    <t>KQWEC5265Q</t>
  </si>
  <si>
    <t>UX95W</t>
  </si>
  <si>
    <t>Gyms and Health Clubs</t>
  </si>
  <si>
    <t>ZUCTB2527E</t>
  </si>
  <si>
    <t>UY89F</t>
  </si>
  <si>
    <t>Likely Bank Account and Services</t>
  </si>
  <si>
    <t>Saving Account</t>
  </si>
  <si>
    <t>Personal or Join</t>
  </si>
  <si>
    <t>EYDEZ2877H</t>
  </si>
  <si>
    <t>VA92G</t>
  </si>
  <si>
    <t>Educational Games</t>
  </si>
  <si>
    <t>EBJQC0934G</t>
  </si>
  <si>
    <t>VB58T</t>
  </si>
  <si>
    <t>Government</t>
  </si>
  <si>
    <t>ZDHAY8105G</t>
  </si>
  <si>
    <t>VC13L</t>
  </si>
  <si>
    <t>Maybach</t>
  </si>
  <si>
    <t>insidethemagic.net</t>
  </si>
  <si>
    <t>VC34U</t>
  </si>
  <si>
    <t>VC77G</t>
  </si>
  <si>
    <t>Video Game Consoles</t>
  </si>
  <si>
    <t>RSPQE1339C</t>
  </si>
  <si>
    <t>factinate.com</t>
  </si>
  <si>
    <t>VD19D</t>
  </si>
  <si>
    <t>redfin.com</t>
  </si>
  <si>
    <t>VD63Q</t>
  </si>
  <si>
    <t>Home Renovation</t>
  </si>
  <si>
    <t>Home Renovators</t>
  </si>
  <si>
    <t>RIDYW0144Y</t>
  </si>
  <si>
    <t>thesaltymarshmallow.com</t>
  </si>
  <si>
    <t>VE61P</t>
  </si>
  <si>
    <t>Car Rentals</t>
  </si>
  <si>
    <t>Hertz</t>
  </si>
  <si>
    <t>WVIEF2507J</t>
  </si>
  <si>
    <t>VF49M</t>
  </si>
  <si>
    <t>Purchase-Based</t>
  </si>
  <si>
    <t>Categories</t>
  </si>
  <si>
    <t>Office Supplies Buyers</t>
  </si>
  <si>
    <t>VG35E</t>
  </si>
  <si>
    <t>VG47S</t>
  </si>
  <si>
    <t>Delivery Services and Quick Service Restaurants</t>
  </si>
  <si>
    <t>LWGFB7339T</t>
  </si>
  <si>
    <t>VH15Z</t>
  </si>
  <si>
    <t>Politics</t>
  </si>
  <si>
    <t>VI17M</t>
  </si>
  <si>
    <t>US Travel</t>
  </si>
  <si>
    <t>Likely Business Travel</t>
  </si>
  <si>
    <t>Number of Nights Stayed</t>
  </si>
  <si>
    <t>0 Nights</t>
  </si>
  <si>
    <t>LKSDD3907S</t>
  </si>
  <si>
    <t>VI99P</t>
  </si>
  <si>
    <t>pokerstars.net Buyer Propensity</t>
  </si>
  <si>
    <t>ZTMJW6643X</t>
  </si>
  <si>
    <t>VJ3D</t>
  </si>
  <si>
    <t>Money Transfer and Wire Services</t>
  </si>
  <si>
    <t>UASRM6168D</t>
  </si>
  <si>
    <t>VJ42T</t>
  </si>
  <si>
    <t>VJ53T</t>
  </si>
  <si>
    <t>Nissan</t>
  </si>
  <si>
    <t>britannica.com</t>
  </si>
  <si>
    <t>VJ54T</t>
  </si>
  <si>
    <t>VK67N</t>
  </si>
  <si>
    <t>Pet Enthusiast</t>
  </si>
  <si>
    <t>VK76P</t>
  </si>
  <si>
    <t>Skiing and Snowboarding</t>
  </si>
  <si>
    <t>GXDEU2722C</t>
  </si>
  <si>
    <t>VL71W</t>
  </si>
  <si>
    <t>Auto Car Purchase Next Year</t>
  </si>
  <si>
    <t>Yes</t>
  </si>
  <si>
    <t>VL86Z</t>
  </si>
  <si>
    <t>VP28L</t>
  </si>
  <si>
    <t>Purchasing Vehicles or Automobile Services</t>
  </si>
  <si>
    <t>VP29W</t>
  </si>
  <si>
    <t>Multibuyer Behaviors</t>
  </si>
  <si>
    <t>Pastimes Multibuyer</t>
  </si>
  <si>
    <t>JNMOC5445H</t>
  </si>
  <si>
    <t>rent.com</t>
  </si>
  <si>
    <t>VQ33T</t>
  </si>
  <si>
    <t>VR34F</t>
  </si>
  <si>
    <t>UFC Fans</t>
  </si>
  <si>
    <t>VR48T</t>
  </si>
  <si>
    <t>MassMutual</t>
  </si>
  <si>
    <t>VS66G</t>
  </si>
  <si>
    <t>VS82D</t>
  </si>
  <si>
    <t>Hotels and Lodging</t>
  </si>
  <si>
    <t>KZYBM6074H</t>
  </si>
  <si>
    <t>VT4D</t>
  </si>
  <si>
    <t>Females 65 or older</t>
  </si>
  <si>
    <t>VT57N</t>
  </si>
  <si>
    <t>The Men's Wearhouse Buyer Propensity</t>
  </si>
  <si>
    <t>HCVVZ6100Z</t>
  </si>
  <si>
    <t>VT80Y</t>
  </si>
  <si>
    <t>VT8O</t>
  </si>
  <si>
    <t>Jaguar</t>
  </si>
  <si>
    <t>KTGEH9338Z</t>
  </si>
  <si>
    <t>VT9W</t>
  </si>
  <si>
    <t>VTVTF9406H</t>
  </si>
  <si>
    <t>VW81B</t>
  </si>
  <si>
    <t>MTOTS2232O</t>
  </si>
  <si>
    <t>scitechdaily.com</t>
  </si>
  <si>
    <t>VY58P</t>
  </si>
  <si>
    <t>SystemsAnalyst</t>
  </si>
  <si>
    <t>VY60L</t>
  </si>
  <si>
    <t>Crutchfield Buyer Propensity</t>
  </si>
  <si>
    <t>VY64X</t>
  </si>
  <si>
    <t>Behavior</t>
  </si>
  <si>
    <t>Used for Personal Purposes</t>
  </si>
  <si>
    <t>WA47A</t>
  </si>
  <si>
    <t>Property Type</t>
  </si>
  <si>
    <t>Single</t>
  </si>
  <si>
    <t>WA77G</t>
  </si>
  <si>
    <t>WA83V</t>
  </si>
  <si>
    <t>Walgreens</t>
  </si>
  <si>
    <t>WB32B</t>
  </si>
  <si>
    <t>rvtrader.com</t>
  </si>
  <si>
    <t>WB33U</t>
  </si>
  <si>
    <t>Premium Entertainment and Pastimes</t>
  </si>
  <si>
    <t>Premium Magazine Enthusiasts</t>
  </si>
  <si>
    <t>WB39L</t>
  </si>
  <si>
    <t>Sports TV</t>
  </si>
  <si>
    <t>WB83T</t>
  </si>
  <si>
    <t>Fitness Equipment and Accessories</t>
  </si>
  <si>
    <t>WC1W</t>
  </si>
  <si>
    <t>Females 18-54</t>
  </si>
  <si>
    <t>WD24S</t>
  </si>
  <si>
    <t>Eats at Family Restaurants</t>
  </si>
  <si>
    <t>WD8Q</t>
  </si>
  <si>
    <t>WE66Y</t>
  </si>
  <si>
    <t>Musician</t>
  </si>
  <si>
    <t>WF66F</t>
  </si>
  <si>
    <t>WF74S</t>
  </si>
  <si>
    <t>Company Car</t>
  </si>
  <si>
    <t>Hattiesburg-Laurel</t>
  </si>
  <si>
    <t>onechicagocenter.com</t>
  </si>
  <si>
    <t>WG95N</t>
  </si>
  <si>
    <t>Q3 Home Entertainers</t>
  </si>
  <si>
    <t>QLFXM0266I</t>
  </si>
  <si>
    <t>WH67W</t>
  </si>
  <si>
    <t>Government Grants</t>
  </si>
  <si>
    <t>WH93Y</t>
  </si>
  <si>
    <t>C2 City Centers</t>
  </si>
  <si>
    <t>GCUME0297L</t>
  </si>
  <si>
    <t>WI19H</t>
  </si>
  <si>
    <t>Mercedes</t>
  </si>
  <si>
    <t>XTSRY4576S</t>
  </si>
  <si>
    <t>WI97W</t>
  </si>
  <si>
    <t>College Graduation</t>
  </si>
  <si>
    <t>WK86W</t>
  </si>
  <si>
    <t>WK8H</t>
  </si>
  <si>
    <t>Bank Selection</t>
  </si>
  <si>
    <t>Customer Service Very Important</t>
  </si>
  <si>
    <t>XHXBX5957R</t>
  </si>
  <si>
    <t>carscoops.com</t>
  </si>
  <si>
    <t>WK8O</t>
  </si>
  <si>
    <t>Commodities and Futures Trading</t>
  </si>
  <si>
    <t>DSXGF8209L</t>
  </si>
  <si>
    <t>nbcmiami.com</t>
  </si>
  <si>
    <t>WL23J</t>
  </si>
  <si>
    <t>Public Safety</t>
  </si>
  <si>
    <t>WN47X</t>
  </si>
  <si>
    <t>Summer Travel</t>
  </si>
  <si>
    <t>WO90A</t>
  </si>
  <si>
    <t>Males 18-34</t>
  </si>
  <si>
    <t>QSUJC6205Q</t>
  </si>
  <si>
    <t>nbcdfw.com</t>
  </si>
  <si>
    <t>WS44Y</t>
  </si>
  <si>
    <t>NHL</t>
  </si>
  <si>
    <t>UOMGJ9702W</t>
  </si>
  <si>
    <t>WT24D</t>
  </si>
  <si>
    <t>Home Office</t>
  </si>
  <si>
    <t>WT40O</t>
  </si>
  <si>
    <t>Regional Parks and Gardens</t>
  </si>
  <si>
    <t>WU2K</t>
  </si>
  <si>
    <t>FYPAV5868D</t>
  </si>
  <si>
    <t>WX33F</t>
  </si>
  <si>
    <t>Video</t>
  </si>
  <si>
    <t>Televisions</t>
  </si>
  <si>
    <t>JYUMW9816F</t>
  </si>
  <si>
    <t>WX87Y</t>
  </si>
  <si>
    <t>JEPHO5456Q</t>
  </si>
  <si>
    <t>WZ23S</t>
  </si>
  <si>
    <t>Lakes and Rivers</t>
  </si>
  <si>
    <t>XB1G</t>
  </si>
  <si>
    <t>Books</t>
  </si>
  <si>
    <t>E-Book Reader</t>
  </si>
  <si>
    <t>XC65E</t>
  </si>
  <si>
    <t>25-54</t>
  </si>
  <si>
    <t>XD33Z</t>
  </si>
  <si>
    <t>Paid with Credit Card</t>
  </si>
  <si>
    <t>baseball.fantasysports.yahoo.com</t>
  </si>
  <si>
    <t>XD48N</t>
  </si>
  <si>
    <t>XE78W</t>
  </si>
  <si>
    <t>25 or older</t>
  </si>
  <si>
    <t>ZADUU1102L</t>
  </si>
  <si>
    <t>kiplinger.com</t>
  </si>
  <si>
    <t>XG28T</t>
  </si>
  <si>
    <t>Active Facebook Users</t>
  </si>
  <si>
    <t>XJ84A</t>
  </si>
  <si>
    <t>Hotel Tonight Buyer Propensity</t>
  </si>
  <si>
    <t>XK63D</t>
  </si>
  <si>
    <t>JKRHK0759G</t>
  </si>
  <si>
    <t>XK65E</t>
  </si>
  <si>
    <t>Audi Q</t>
  </si>
  <si>
    <t>LYTFU0708J</t>
  </si>
  <si>
    <t>XK84O</t>
  </si>
  <si>
    <t>Golf</t>
  </si>
  <si>
    <t>XK93B</t>
  </si>
  <si>
    <t>Rugby</t>
  </si>
  <si>
    <t>JNSGH4128A</t>
  </si>
  <si>
    <t>XL58G</t>
  </si>
  <si>
    <t>Residential</t>
  </si>
  <si>
    <t>XL67K</t>
  </si>
  <si>
    <t>Club</t>
  </si>
  <si>
    <t>Continuity Buyers</t>
  </si>
  <si>
    <t>XL73Q</t>
  </si>
  <si>
    <t>BGJPN3021R</t>
  </si>
  <si>
    <t>XM16M</t>
  </si>
  <si>
    <t>Body Art</t>
  </si>
  <si>
    <t>VSPXO5611Z</t>
  </si>
  <si>
    <t>XM29A</t>
  </si>
  <si>
    <t>Lot Size</t>
  </si>
  <si>
    <t>Cozy Outdoor Living Space (Less than  an Acre)</t>
  </si>
  <si>
    <t>XT10E</t>
  </si>
  <si>
    <t>XV45I</t>
  </si>
  <si>
    <t>PRIZM Premier Lifestage</t>
  </si>
  <si>
    <t>F2 Young Accumulators</t>
  </si>
  <si>
    <t>KROXS0842I</t>
  </si>
  <si>
    <t>XV77J</t>
  </si>
  <si>
    <t>KOPFG9064M</t>
  </si>
  <si>
    <t>XW61Q</t>
  </si>
  <si>
    <t>LLVNA4149A</t>
  </si>
  <si>
    <t>XX41L</t>
  </si>
  <si>
    <t>Celebrities</t>
  </si>
  <si>
    <t>Celebrity Fan Gossip</t>
  </si>
  <si>
    <t>ZQBHC8143K</t>
  </si>
  <si>
    <t>XY86D</t>
  </si>
  <si>
    <t>Company Liability or Insurance</t>
  </si>
  <si>
    <t>citationmachine.net</t>
  </si>
  <si>
    <t>YC51G</t>
  </si>
  <si>
    <t>Females 25-44</t>
  </si>
  <si>
    <t>YD50C</t>
  </si>
  <si>
    <t>nba.com</t>
  </si>
  <si>
    <t>YE71N</t>
  </si>
  <si>
    <t>Agritourism</t>
  </si>
  <si>
    <t>YF50T</t>
  </si>
  <si>
    <t>Hair Care</t>
  </si>
  <si>
    <t>YG91V</t>
  </si>
  <si>
    <t>Stocks</t>
  </si>
  <si>
    <t>PQIWN3479L</t>
  </si>
  <si>
    <t>repairlinkshop.com</t>
  </si>
  <si>
    <t>YH75O</t>
  </si>
  <si>
    <t>uscellular.com</t>
  </si>
  <si>
    <t>YJ57D</t>
  </si>
  <si>
    <t>I have no input into the final decision</t>
  </si>
  <si>
    <t>ISDJU1050N</t>
  </si>
  <si>
    <t>YK77J</t>
  </si>
  <si>
    <t>DIY</t>
  </si>
  <si>
    <t>techradar.com</t>
  </si>
  <si>
    <t>YL18U</t>
  </si>
  <si>
    <t>Entertainment and Pastimes</t>
  </si>
  <si>
    <t>WSSZR4646I</t>
  </si>
  <si>
    <t>YN51W</t>
  </si>
  <si>
    <t>YO26P</t>
  </si>
  <si>
    <t>QDTDE7454P</t>
  </si>
  <si>
    <t>YO5O</t>
  </si>
  <si>
    <t>Pontiac</t>
  </si>
  <si>
    <t>YO99V</t>
  </si>
  <si>
    <t>Computer Software</t>
  </si>
  <si>
    <t>YP5P</t>
  </si>
  <si>
    <t>High-end Spirit Drinkers</t>
  </si>
  <si>
    <t>ZIOZM0154P</t>
  </si>
  <si>
    <t>YP7I</t>
  </si>
  <si>
    <t>Personal Budgeting</t>
  </si>
  <si>
    <t>NSZTK1005Y</t>
  </si>
  <si>
    <t>YS41T</t>
  </si>
  <si>
    <t>Wine Lovers</t>
  </si>
  <si>
    <t>YS8H</t>
  </si>
  <si>
    <t>Ferrari</t>
  </si>
  <si>
    <t>YT67Y</t>
  </si>
  <si>
    <t>Plays Soccer</t>
  </si>
  <si>
    <t>health.usnews.com</t>
  </si>
  <si>
    <t>YU3U</t>
  </si>
  <si>
    <t>Running and Walking</t>
  </si>
  <si>
    <t>DZPSC2326G</t>
  </si>
  <si>
    <t>YV40B</t>
  </si>
  <si>
    <t>Dwelling Type</t>
  </si>
  <si>
    <t>Multi-family Dwelling Unit</t>
  </si>
  <si>
    <t>LMZTH4259C</t>
  </si>
  <si>
    <t>YX24H</t>
  </si>
  <si>
    <t>Parents</t>
  </si>
  <si>
    <t>YX54M</t>
  </si>
  <si>
    <t>mydailymagazine.com</t>
  </si>
  <si>
    <t>YY84B</t>
  </si>
  <si>
    <t>Skate Sports</t>
  </si>
  <si>
    <t>medical-news.org</t>
  </si>
  <si>
    <t>YZ94L</t>
  </si>
  <si>
    <t>Unwanted Body and Facial Hair Removal</t>
  </si>
  <si>
    <t>ZA16T</t>
  </si>
  <si>
    <t>Subaru</t>
  </si>
  <si>
    <t>ZB88A</t>
  </si>
  <si>
    <t>Kitchen and Dining</t>
  </si>
  <si>
    <t>ZB97A</t>
  </si>
  <si>
    <t>Ecommerce</t>
  </si>
  <si>
    <t>wsj.com</t>
  </si>
  <si>
    <t>ZD52J</t>
  </si>
  <si>
    <t>News and Magazines</t>
  </si>
  <si>
    <t>ZE56R</t>
  </si>
  <si>
    <t>ZG59Q</t>
  </si>
  <si>
    <t>Choice Hotels Buyer Propensity</t>
  </si>
  <si>
    <t>JRFMX8886W</t>
  </si>
  <si>
    <t>ZG65M</t>
  </si>
  <si>
    <t>ZG77X</t>
  </si>
  <si>
    <t>Adventure Travel</t>
  </si>
  <si>
    <t>ZH50S</t>
  </si>
  <si>
    <t>ZH63R</t>
  </si>
  <si>
    <t>GWRJB5730V</t>
  </si>
  <si>
    <t>ZH8N</t>
  </si>
  <si>
    <t>Direct Marketing Responders</t>
  </si>
  <si>
    <t>baseball-reference.com</t>
  </si>
  <si>
    <t>ZI45Z</t>
  </si>
  <si>
    <t>Home Exercise</t>
  </si>
  <si>
    <t>ZI4I</t>
  </si>
  <si>
    <t>Beauty Pageants</t>
  </si>
  <si>
    <t>MDGOQ6855W</t>
  </si>
  <si>
    <t>ZK25C</t>
  </si>
  <si>
    <t>Ford</t>
  </si>
  <si>
    <t>ZK42Z</t>
  </si>
  <si>
    <t>Fishing</t>
  </si>
  <si>
    <t>ZK68Y</t>
  </si>
  <si>
    <t>Data For Good</t>
  </si>
  <si>
    <t>Current Affairs - Social Justice</t>
  </si>
  <si>
    <t>ZN15I</t>
  </si>
  <si>
    <t>US Health and Fitness</t>
  </si>
  <si>
    <t>Exercise</t>
  </si>
  <si>
    <t>ZO78S</t>
  </si>
  <si>
    <t>Social Networks</t>
  </si>
  <si>
    <t>ZP23G</t>
  </si>
  <si>
    <t>ZT54S</t>
  </si>
  <si>
    <t>ZT96X</t>
  </si>
  <si>
    <t>Humana</t>
  </si>
  <si>
    <t>Kargo</t>
  </si>
  <si>
    <t>ZU40E</t>
  </si>
  <si>
    <t>NIOUL8511M</t>
  </si>
  <si>
    <t>ZV1K</t>
  </si>
  <si>
    <t>JYDYN0938L</t>
  </si>
  <si>
    <t>womenshealthmag.com</t>
  </si>
  <si>
    <t>ZV94R</t>
  </si>
  <si>
    <t>Pet Adoption</t>
  </si>
  <si>
    <t>ZW11Z</t>
  </si>
  <si>
    <t>PSNZO2329S</t>
  </si>
  <si>
    <t>ZW58L</t>
  </si>
  <si>
    <t>Furniture</t>
  </si>
  <si>
    <t>HHFPT9348I</t>
  </si>
  <si>
    <t>Louisville</t>
  </si>
  <si>
    <t>Kentucky</t>
  </si>
  <si>
    <t>ZX54K</t>
  </si>
  <si>
    <t>Coffee and Tea</t>
  </si>
  <si>
    <t>JDAPN8561D</t>
  </si>
  <si>
    <t>ZX69I</t>
  </si>
  <si>
    <t>Cadillac</t>
  </si>
  <si>
    <t>TNXKR4685Q</t>
  </si>
  <si>
    <t>eenadu.net</t>
  </si>
  <si>
    <t>ZZ48D</t>
  </si>
  <si>
    <t>Females 45-54</t>
  </si>
  <si>
    <t>ZZ50B</t>
  </si>
  <si>
    <t>Big Box Retail</t>
  </si>
  <si>
    <t>ZZ61P</t>
  </si>
  <si>
    <t>ZZ8I</t>
  </si>
  <si>
    <t>Telecommunications and Mobile Tech</t>
  </si>
  <si>
    <t>Mobile Devices and Connected Technology</t>
  </si>
  <si>
    <t>Viewable Impressions</t>
  </si>
  <si>
    <t>Measurable Impressions</t>
  </si>
  <si>
    <t>Total Conversions</t>
  </si>
  <si>
    <t>userid</t>
  </si>
  <si>
    <t>Audience Segment</t>
  </si>
  <si>
    <t>sex</t>
  </si>
  <si>
    <t>Creative Size</t>
  </si>
  <si>
    <t>age</t>
  </si>
  <si>
    <t>Creative Messaging</t>
  </si>
  <si>
    <t>state</t>
  </si>
  <si>
    <t>Location</t>
  </si>
  <si>
    <t>ad_view_date</t>
  </si>
  <si>
    <t>App/URL</t>
  </si>
  <si>
    <t>college_graduate</t>
  </si>
  <si>
    <t>parents</t>
  </si>
  <si>
    <t>Device Make</t>
  </si>
  <si>
    <t>children</t>
  </si>
  <si>
    <t>Gross Cost</t>
  </si>
  <si>
    <t>gross_cost</t>
  </si>
  <si>
    <t>User ID</t>
  </si>
  <si>
    <t>Sex</t>
  </si>
  <si>
    <t>Ad view date</t>
  </si>
  <si>
    <t>Status</t>
  </si>
  <si>
    <t># of Children</t>
  </si>
  <si>
    <t># of Adds</t>
  </si>
  <si>
    <t>AASJN6566V</t>
  </si>
  <si>
    <t>AFMGV7103M</t>
  </si>
  <si>
    <t>AFWXW7173V</t>
  </si>
  <si>
    <t>AJGGN6896H</t>
  </si>
  <si>
    <t>AJUUR1682M</t>
  </si>
  <si>
    <t>ANUYN8455C</t>
  </si>
  <si>
    <t>AOESO1044W</t>
  </si>
  <si>
    <t>AOYKZ7575Z</t>
  </si>
  <si>
    <t>ATNFX2489J</t>
  </si>
  <si>
    <t>ATXKH2464V</t>
  </si>
  <si>
    <t>AUDNG1717R</t>
  </si>
  <si>
    <t>AVVHZ3710E</t>
  </si>
  <si>
    <t>BCNYA9822Z</t>
  </si>
  <si>
    <t>BDKMD3717K</t>
  </si>
  <si>
    <t>BDKPR0623B</t>
  </si>
  <si>
    <t>BEGSD1042Q</t>
  </si>
  <si>
    <t>BIGEQ4643T</t>
  </si>
  <si>
    <t>BKQLV2433W</t>
  </si>
  <si>
    <t>BORJP1574K</t>
  </si>
  <si>
    <t>BMWXW1770T</t>
  </si>
  <si>
    <t>BOVNX0838R</t>
  </si>
  <si>
    <t>BQEPA9536D</t>
  </si>
  <si>
    <t>BRRNE8969L</t>
  </si>
  <si>
    <t>BUUFS2994E</t>
  </si>
  <si>
    <t>BVVXJ9235U</t>
  </si>
  <si>
    <t>BWHWU4889E</t>
  </si>
  <si>
    <t>BXTWC4740X</t>
  </si>
  <si>
    <t>BYURP1445C</t>
  </si>
  <si>
    <t>CCNKK2449X</t>
  </si>
  <si>
    <t>CCWDB5218E</t>
  </si>
  <si>
    <t>CGPVR0991V</t>
  </si>
  <si>
    <t>CMKRJ1656V</t>
  </si>
  <si>
    <t>CPAKW7957Q</t>
  </si>
  <si>
    <t>CQALS5504B</t>
  </si>
  <si>
    <t>CQPZW0684R</t>
  </si>
  <si>
    <t>CSUHK6458X</t>
  </si>
  <si>
    <t>CUFMN7199M</t>
  </si>
  <si>
    <t>CUNQX0567S</t>
  </si>
  <si>
    <t>CVGLM0302N</t>
  </si>
  <si>
    <t>CYHKY9487L</t>
  </si>
  <si>
    <t>DAEWA7720Z</t>
  </si>
  <si>
    <t>DDGYO2578G</t>
  </si>
  <si>
    <t>DFIDC8361F</t>
  </si>
  <si>
    <t>DFMZN5113X</t>
  </si>
  <si>
    <t>DFTZN2382H</t>
  </si>
  <si>
    <t>DGNGV6008M</t>
  </si>
  <si>
    <t>DIUVV1402J</t>
  </si>
  <si>
    <t>DJPQQ9653E</t>
  </si>
  <si>
    <t>DOOPK8694D</t>
  </si>
  <si>
    <t>DQUXJ6930O</t>
  </si>
  <si>
    <t>DSSEC4939T</t>
  </si>
  <si>
    <t>DWVYJ0558N</t>
  </si>
  <si>
    <t>DXHPK1380B</t>
  </si>
  <si>
    <t>DYLOH0478B</t>
  </si>
  <si>
    <t>DYUAE6304H</t>
  </si>
  <si>
    <t>DYUYE0694D</t>
  </si>
  <si>
    <t>ECGQM3110I</t>
  </si>
  <si>
    <t>EGTEN2670J</t>
  </si>
  <si>
    <t>EORJJ7236Y</t>
  </si>
  <si>
    <t>EPSMD4818L</t>
  </si>
  <si>
    <t>ETCKZ7878Z</t>
  </si>
  <si>
    <t>EVJTZ1324D</t>
  </si>
  <si>
    <t>EVKKZ9427Z</t>
  </si>
  <si>
    <t>EVPXX3448Q</t>
  </si>
  <si>
    <t>EXDIM0176Q</t>
  </si>
  <si>
    <t>FCNKB0011E</t>
  </si>
  <si>
    <t>FFAMB4479M</t>
  </si>
  <si>
    <t>FHVSF3091W</t>
  </si>
  <si>
    <t>FKOHG2058Q</t>
  </si>
  <si>
    <t>FLZUQ8441J</t>
  </si>
  <si>
    <t>FOIGV0005P</t>
  </si>
  <si>
    <t>FRNPJ8734Z</t>
  </si>
  <si>
    <t>FSDKX4167W</t>
  </si>
  <si>
    <t>FTOFV9463Y</t>
  </si>
  <si>
    <t>FUHUM4458F</t>
  </si>
  <si>
    <t>FVCNG7764Y</t>
  </si>
  <si>
    <t>FWRTX6661Z</t>
  </si>
  <si>
    <t>FWUEF0150N</t>
  </si>
  <si>
    <t>FZUAS7137G</t>
  </si>
  <si>
    <t>GBMNH2789F</t>
  </si>
  <si>
    <t>GBPTC6423M</t>
  </si>
  <si>
    <t>GBZGA1951E</t>
  </si>
  <si>
    <t>GCUSR5033I</t>
  </si>
  <si>
    <t>GGPWZ7391Z</t>
  </si>
  <si>
    <t>GRYMN2282K</t>
  </si>
  <si>
    <t>GHGJW1602V</t>
  </si>
  <si>
    <t>GJDLG5108M</t>
  </si>
  <si>
    <t>GNJUX9255Y</t>
  </si>
  <si>
    <t>GPYUD3806Y</t>
  </si>
  <si>
    <t>GQZEF8413K</t>
  </si>
  <si>
    <t>GRXUZ8753L</t>
  </si>
  <si>
    <t>GTIPJ7109E</t>
  </si>
  <si>
    <t>GUKYC5370J</t>
  </si>
  <si>
    <t>GXSMG2690U</t>
  </si>
  <si>
    <t>GYXKT6323I</t>
  </si>
  <si>
    <t>GZAPZ3977Z</t>
  </si>
  <si>
    <t>GZZIL6470C</t>
  </si>
  <si>
    <t>HGNVQ8867D</t>
  </si>
  <si>
    <t>HMHZH1099F</t>
  </si>
  <si>
    <t>HMQJN4260K</t>
  </si>
  <si>
    <t>HOIIS5050E</t>
  </si>
  <si>
    <t>HQNHT5813M</t>
  </si>
  <si>
    <t>HSPNA0331Z</t>
  </si>
  <si>
    <t>HUECU7307B</t>
  </si>
  <si>
    <t>HWBLD1507A</t>
  </si>
  <si>
    <t>HWUZQ8076O</t>
  </si>
  <si>
    <t>IBUUP5170O</t>
  </si>
  <si>
    <t>ICXPH2664G</t>
  </si>
  <si>
    <t>IEBJO3934V</t>
  </si>
  <si>
    <t>IHXVK5510X</t>
  </si>
  <si>
    <t>IPXOU3818F</t>
  </si>
  <si>
    <t>IRQVP7195G</t>
  </si>
  <si>
    <t>IRQXZ4530V</t>
  </si>
  <si>
    <t>JAWNV5760T</t>
  </si>
  <si>
    <t>JBDUZ0953Q</t>
  </si>
  <si>
    <t>JFYBZ3651Z</t>
  </si>
  <si>
    <t>JMGFV2364G</t>
  </si>
  <si>
    <t>JTUEQ8071D</t>
  </si>
  <si>
    <t>JURIA1892I</t>
  </si>
  <si>
    <t>JYYKN6843H</t>
  </si>
  <si>
    <t>KDYOC6715B</t>
  </si>
  <si>
    <t>KFGSD8702H</t>
  </si>
  <si>
    <t>KHCIB5849Z</t>
  </si>
  <si>
    <t>KHCWH1344N</t>
  </si>
  <si>
    <t>KKHLI6526E</t>
  </si>
  <si>
    <t>KLJWX8034F</t>
  </si>
  <si>
    <t>KMWPD0837V</t>
  </si>
  <si>
    <t>KPEVN9143G</t>
  </si>
  <si>
    <t>KWWTK9379S</t>
  </si>
  <si>
    <t>LCAMF1104Y</t>
  </si>
  <si>
    <t>LJCTW1750W</t>
  </si>
  <si>
    <t>LLUHN5365Q</t>
  </si>
  <si>
    <t>LRHMZ4698F</t>
  </si>
  <si>
    <t>LSGUE8366M</t>
  </si>
  <si>
    <t>LSROC1464G</t>
  </si>
  <si>
    <t>LTFEA1428Y</t>
  </si>
  <si>
    <t>LTPBJ3051J</t>
  </si>
  <si>
    <t>LXFVN2078I</t>
  </si>
  <si>
    <t>LXLLA0491M</t>
  </si>
  <si>
    <t>LXNJQ3311S</t>
  </si>
  <si>
    <t>MALTD4943A</t>
  </si>
  <si>
    <t>MATKC4710M</t>
  </si>
  <si>
    <t>MCKKQ3864W</t>
  </si>
  <si>
    <t>MEEUU1655O</t>
  </si>
  <si>
    <t>MEPDX7287C</t>
  </si>
  <si>
    <t>MFWIN6534A</t>
  </si>
  <si>
    <t>MHYEZ5216G</t>
  </si>
  <si>
    <t>MIGAV1214A</t>
  </si>
  <si>
    <t>MILKP1814V</t>
  </si>
  <si>
    <t>MJKHJ4765R</t>
  </si>
  <si>
    <t>MNYZK1114Z</t>
  </si>
  <si>
    <t>MRPBX8558V</t>
  </si>
  <si>
    <t>MRTCD1508J</t>
  </si>
  <si>
    <t>MXYXR8889K</t>
  </si>
  <si>
    <t>MZWYQ8095E</t>
  </si>
  <si>
    <t>NAFZP6543K</t>
  </si>
  <si>
    <t>NAGZQ9768A</t>
  </si>
  <si>
    <t>NDMPG4321L</t>
  </si>
  <si>
    <t>NGMPD6104L</t>
  </si>
  <si>
    <t>NJIBN1529V</t>
  </si>
  <si>
    <t>NMROT2706Z</t>
  </si>
  <si>
    <t>NMWUO1963V</t>
  </si>
  <si>
    <t>NNBNT1225J</t>
  </si>
  <si>
    <t>NSQJI0107W</t>
  </si>
  <si>
    <t>NTISA3714O</t>
  </si>
  <si>
    <t>OCBPC7502S</t>
  </si>
  <si>
    <t>ODXZA9617Y</t>
  </si>
  <si>
    <t>OESLH1898E</t>
  </si>
  <si>
    <t>OGZKN7969Q</t>
  </si>
  <si>
    <t>OOUWN2005U</t>
  </si>
  <si>
    <t>OQAFM6683R</t>
  </si>
  <si>
    <t>OQPUB6621D</t>
  </si>
  <si>
    <t>OUEEU0212Q</t>
  </si>
  <si>
    <t>OZFXF9369G</t>
  </si>
  <si>
    <t>PDBGP0709Y</t>
  </si>
  <si>
    <t>PDLYR8326U</t>
  </si>
  <si>
    <t>PDZIC0538H</t>
  </si>
  <si>
    <t>PGGIZ9216T</t>
  </si>
  <si>
    <t>PJSCG9646N</t>
  </si>
  <si>
    <t>PTONM7936W</t>
  </si>
  <si>
    <t>PUVYA1779L</t>
  </si>
  <si>
    <t>QBNED4908M</t>
  </si>
  <si>
    <t>QKBGN3534J</t>
  </si>
  <si>
    <t>QLBUQ5008H</t>
  </si>
  <si>
    <t>QLVXV3774K</t>
  </si>
  <si>
    <t>QTUOD5324K</t>
  </si>
  <si>
    <t>RBSHZ4196U</t>
  </si>
  <si>
    <t>REFWQ3296Q</t>
  </si>
  <si>
    <t>RHNBZ2763C</t>
  </si>
  <si>
    <t>RIQQC0345Y</t>
  </si>
  <si>
    <t>RLPLI8075L</t>
  </si>
  <si>
    <t>RMIJP6094N</t>
  </si>
  <si>
    <t>RMNQS0290M</t>
  </si>
  <si>
    <t>ROCGX0707T</t>
  </si>
  <si>
    <t>RTPIT9968S</t>
  </si>
  <si>
    <t>RUAEU5343R</t>
  </si>
  <si>
    <t>RUZSZ6104V</t>
  </si>
  <si>
    <t>RVFWH2399X</t>
  </si>
  <si>
    <t>RWDFP5105T</t>
  </si>
  <si>
    <t>RZJSD8597K</t>
  </si>
  <si>
    <t>SDTHI4584W</t>
  </si>
  <si>
    <t>SGNYD9354K</t>
  </si>
  <si>
    <t>SIKQT9522X</t>
  </si>
  <si>
    <t>SIMDR7388N</t>
  </si>
  <si>
    <t>SIRKB8125E</t>
  </si>
  <si>
    <t>SJFAC8793S</t>
  </si>
  <si>
    <t>SMRSE1860I</t>
  </si>
  <si>
    <t>SSCHK9492S</t>
  </si>
  <si>
    <t>SSFFZ7639U</t>
  </si>
  <si>
    <t>STBSP7187K</t>
  </si>
  <si>
    <t>SUPLY7207F</t>
  </si>
  <si>
    <t>SVJNW3641W</t>
  </si>
  <si>
    <t>SWUCS8052H</t>
  </si>
  <si>
    <t>SXGMR5828R</t>
  </si>
  <si>
    <t>SZHAE9366D</t>
  </si>
  <si>
    <t>TCXBO2291R</t>
  </si>
  <si>
    <t>TGQGY4311P</t>
  </si>
  <si>
    <t>TGZQQ2389F</t>
  </si>
  <si>
    <t>TPKQB8508V</t>
  </si>
  <si>
    <t>TQVEW9514Q</t>
  </si>
  <si>
    <t>TQWTA4586G</t>
  </si>
  <si>
    <t>TTISO2928H</t>
  </si>
  <si>
    <t>UASHA9495T</t>
  </si>
  <si>
    <t>UCSWZ2109K</t>
  </si>
  <si>
    <t>UDZAH7743P</t>
  </si>
  <si>
    <t>UEOUL6191K</t>
  </si>
  <si>
    <t>UGLWY1803V</t>
  </si>
  <si>
    <t>UGTLR0542Y</t>
  </si>
  <si>
    <t>UKNKZ6377A</t>
  </si>
  <si>
    <t>UMENU7825M</t>
  </si>
  <si>
    <t>UNEMK5981B</t>
  </si>
  <si>
    <t>UVAQN6012Z</t>
  </si>
  <si>
    <t>VEHYG9749P</t>
  </si>
  <si>
    <t>VGAWF9828F</t>
  </si>
  <si>
    <t>VHSUQ8262P</t>
  </si>
  <si>
    <t>VJCJB7235R</t>
  </si>
  <si>
    <t>VJYCU1129H</t>
  </si>
  <si>
    <t>VMZQJ5017O</t>
  </si>
  <si>
    <t>VOYXC3799F</t>
  </si>
  <si>
    <t>VPUHN6326Z</t>
  </si>
  <si>
    <t>VSBYO0776S</t>
  </si>
  <si>
    <t>VUKTI3799F</t>
  </si>
  <si>
    <t>VXRAZ5389H</t>
  </si>
  <si>
    <t>WAJFL2694Y</t>
  </si>
  <si>
    <t>WAJHX1572H</t>
  </si>
  <si>
    <t>WGCMY8526N</t>
  </si>
  <si>
    <t>WGDLB4933E</t>
  </si>
  <si>
    <t>WJBTS6776N</t>
  </si>
  <si>
    <t>WKRRI3211V</t>
  </si>
  <si>
    <t>WLWWQ7312L</t>
  </si>
  <si>
    <t>XBPEX3568H</t>
  </si>
  <si>
    <t>XBVPP5854I</t>
  </si>
  <si>
    <t>XDQNT5923P</t>
  </si>
  <si>
    <t>XIKAA9575E</t>
  </si>
  <si>
    <t>XJWVP7898Y</t>
  </si>
  <si>
    <t>XMXMG2605H</t>
  </si>
  <si>
    <t>XRGXQ5218A</t>
  </si>
  <si>
    <t>XRUNR2540U</t>
  </si>
  <si>
    <t>XSAFS2843D</t>
  </si>
  <si>
    <t>YGBWM3973P</t>
  </si>
  <si>
    <t>YGMIX8264U</t>
  </si>
  <si>
    <t>YHFYY1314Z</t>
  </si>
  <si>
    <t>YHPOV5502K</t>
  </si>
  <si>
    <t>YIKSO8629F</t>
  </si>
  <si>
    <t>YMDCM0428V</t>
  </si>
  <si>
    <t>YNSCO9633V</t>
  </si>
  <si>
    <t>YOZJH0366D</t>
  </si>
  <si>
    <t>YUJAT6057A</t>
  </si>
  <si>
    <t>YYWDS3366Z</t>
  </si>
  <si>
    <t>ZDEHN2914U</t>
  </si>
  <si>
    <t>ZFOAT8628W</t>
  </si>
  <si>
    <t>ZFRXU9393I</t>
  </si>
  <si>
    <t>ZJEED7375E</t>
  </si>
  <si>
    <t>ZMPJI2294S</t>
  </si>
  <si>
    <t>ZQYCY2662U</t>
  </si>
  <si>
    <t>ZTFMT1623Z</t>
  </si>
  <si>
    <t>ZWDNT1911S</t>
  </si>
  <si>
    <t>ZWZNF0128K</t>
  </si>
  <si>
    <t>ZXKQQ7005F</t>
  </si>
  <si>
    <t xml:space="preserve">Education </t>
  </si>
  <si>
    <t>College graduate</t>
  </si>
  <si>
    <t>Not a parent</t>
  </si>
  <si>
    <t>Non-college graduate</t>
  </si>
  <si>
    <t>Is a parent</t>
  </si>
  <si>
    <t>Alaska</t>
  </si>
  <si>
    <t>KEYHR5488T</t>
  </si>
  <si>
    <t>Arizona</t>
  </si>
  <si>
    <t>Colorado</t>
  </si>
  <si>
    <t>Connecticut</t>
  </si>
  <si>
    <t>Delaware</t>
  </si>
  <si>
    <t>Hawaii</t>
  </si>
  <si>
    <t>Idaho</t>
  </si>
  <si>
    <t>Iowa</t>
  </si>
  <si>
    <t>Kansas</t>
  </si>
  <si>
    <t>Maine</t>
  </si>
  <si>
    <t>Maryland</t>
  </si>
  <si>
    <t>Massachusetts</t>
  </si>
  <si>
    <t>Minnesota</t>
  </si>
  <si>
    <t>Missouri</t>
  </si>
  <si>
    <t>Montana</t>
  </si>
  <si>
    <t>Nebraska</t>
  </si>
  <si>
    <t>Nevada</t>
  </si>
  <si>
    <t>New Hampshire</t>
  </si>
  <si>
    <t>New Jersey</t>
  </si>
  <si>
    <t>New Mexico</t>
  </si>
  <si>
    <t>North Carolina</t>
  </si>
  <si>
    <t>North Dakota</t>
  </si>
  <si>
    <t>Oklahoma</t>
  </si>
  <si>
    <t>Oregon</t>
  </si>
  <si>
    <t>Pennsylvania</t>
  </si>
  <si>
    <t>Rhode Island</t>
  </si>
  <si>
    <t>South Dakota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</si>
  <si>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</si>
  <si>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</si>
  <si>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</si>
  <si>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</si>
  <si>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</si>
  <si>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</si>
  <si>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</si>
  <si>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</si>
  <si>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error Check gross cost to add compain ids</t>
  </si>
  <si>
    <t>OnAudience Â» Interest Â» Arts &amp; Entertainment Â» Television</t>
  </si>
  <si>
    <t>Augusta, Georgia</t>
  </si>
  <si>
    <r>
      <rPr>
        <u/>
        <sz val="8"/>
        <color rgb="FF1155CC"/>
        <rFont val="&quot;Helvetica Neue&quot;"/>
      </rPr>
      <t>forbes.com</t>
    </r>
  </si>
  <si>
    <t>OnAudience Â» Intent Â» Baby &amp; Toddler Â» Baby Toys</t>
  </si>
  <si>
    <r>
      <rPr>
        <u/>
        <sz val="8"/>
        <color rgb="FF1155CC"/>
        <rFont val="&quot;Helvetica Neue&quot;"/>
      </rPr>
      <t>poshland.com</t>
    </r>
  </si>
  <si>
    <t>Online Behavior&gt;United States&gt;Law and Government&gt;Public Safety</t>
  </si>
  <si>
    <r>
      <rPr>
        <u/>
        <sz val="8"/>
        <color rgb="FF1155CC"/>
        <rFont val="&quot;Helvetica Neue&quot;"/>
      </rPr>
      <t>biblegateway.com</t>
    </r>
  </si>
  <si>
    <t>Online Behavior&gt;United States&gt;Validated Demographic Â» Gender and Age Combined&gt;Females 18-44</t>
  </si>
  <si>
    <r>
      <rPr>
        <u/>
        <sz val="8"/>
        <color rgb="FF1155CC"/>
        <rFont val="&quot;Helvetica Neue&quot;"/>
      </rPr>
      <t>mail.yahoo.com</t>
    </r>
  </si>
  <si>
    <t>Online Behavior&gt;United States&gt;Intent Â» Auto Buyers Â» Category&gt;Sport Cars</t>
  </si>
  <si>
    <r>
      <rPr>
        <u/>
        <sz val="8"/>
        <color rgb="FF1155CC"/>
        <rFont val="&quot;Helvetica Neue&quot;"/>
      </rPr>
      <t>people.com</t>
    </r>
  </si>
  <si>
    <t>OnAudience Â» Interest Â» Food &amp; Drink</t>
  </si>
  <si>
    <t>Birmingham, Alabama</t>
  </si>
  <si>
    <r>
      <rPr>
        <u/>
        <sz val="8"/>
        <color rgb="FF1155CC"/>
        <rFont val="&quot;Helvetica Neue&quot;"/>
      </rPr>
      <t>w3schools.com</t>
    </r>
  </si>
  <si>
    <r>
      <rPr>
        <u/>
        <sz val="8"/>
        <color rgb="FF1155CC"/>
        <rFont val="&quot;Helvetica Neue&quot;"/>
      </rPr>
      <t>biblegateway.com</t>
    </r>
  </si>
  <si>
    <t>Lotame Â» Technology Â» Mobile Phones</t>
  </si>
  <si>
    <t>Champaign &amp; Springfield-Decatur,Illinois</t>
  </si>
  <si>
    <r>
      <rPr>
        <u/>
        <sz val="8"/>
        <color rgb="FF1155CC"/>
        <rFont val="&quot;Helvetica Neue&quot;"/>
      </rPr>
      <t>insider.com</t>
    </r>
  </si>
  <si>
    <t>Media and Entertainment Â» Sports and Recreational Activities Â» Interest (Affinity) Â» Team Sports Â» Baseball Â» Major League Baseball (MLB)</t>
  </si>
  <si>
    <r>
      <rPr>
        <u/>
        <sz val="8"/>
        <color rgb="FF1155CC"/>
        <rFont val="&quot;Helvetica Neue&quot;"/>
      </rPr>
      <t>aol.com</t>
    </r>
  </si>
  <si>
    <t>US Â» Response Performance Â» Direct Marketing Purchasers</t>
  </si>
  <si>
    <r>
      <rPr>
        <u/>
        <sz val="8"/>
        <color rgb="FF1155CC"/>
        <rFont val="&quot;Helvetica Neue&quot;"/>
      </rPr>
      <t>gamingbible.com</t>
    </r>
  </si>
  <si>
    <t>Online Behavior&gt;United States&gt;Validated Demographic Â» Age&gt;55-64</t>
  </si>
  <si>
    <r>
      <rPr>
        <u/>
        <sz val="8"/>
        <color rgb="FF1155CC"/>
        <rFont val="&quot;Helvetica Neue&quot;"/>
      </rPr>
      <t>accuweather.com</t>
    </r>
  </si>
  <si>
    <t>Online Behavior&gt;United States&gt;Intent Â» Auto Buyers Â» Car Make&gt;Dodge</t>
  </si>
  <si>
    <r>
      <rPr>
        <u/>
        <sz val="8"/>
        <color rgb="FF1155CC"/>
        <rFont val="&quot;Helvetica Neue&quot;"/>
      </rPr>
      <t>historycollection.com</t>
    </r>
  </si>
  <si>
    <t>Online Behavior&gt;United States&gt;B2B Â» Occupation&gt;Broker</t>
  </si>
  <si>
    <r>
      <rPr>
        <u/>
        <sz val="8"/>
        <color rgb="FF1155CC"/>
        <rFont val="&quot;Helvetica Neue&quot;"/>
      </rPr>
      <t>tastesbetterfromscratch.com</t>
    </r>
  </si>
  <si>
    <t>OnAudience Â» Intent Â» Sporting Goods Â» Team Sports</t>
  </si>
  <si>
    <t>Charleston, South Carolina</t>
  </si>
  <si>
    <r>
      <rPr>
        <u/>
        <sz val="8"/>
        <color rgb="FF1155CC"/>
        <rFont val="&quot;Helvetica Neue&quot;"/>
      </rPr>
      <t>cbssports.com</t>
    </r>
  </si>
  <si>
    <t>Mobile - US Â» Demographics Â» Finance Â» Rent Value Â» Lowest Rent Value</t>
  </si>
  <si>
    <r>
      <rPr>
        <u/>
        <sz val="8"/>
        <color rgb="FF1155CC"/>
        <rFont val="&quot;Helvetica Neue&quot;"/>
      </rPr>
      <t>outlook.live.com</t>
    </r>
  </si>
  <si>
    <t>US Â» Reach Â» Propensity Models Â» Hobbies and Interest Â» Books Â» E-Book Reader</t>
  </si>
  <si>
    <r>
      <rPr>
        <u/>
        <sz val="8"/>
        <color rgb="FF1155CC"/>
        <rFont val="&quot;Helvetica Neue&quot;"/>
      </rPr>
      <t>yahoo.com</t>
    </r>
  </si>
  <si>
    <t>Online Behavior&gt;United States&gt;Sports&gt;Individual Sports Â» Skate Sports</t>
  </si>
  <si>
    <r>
      <rPr>
        <u/>
        <sz val="8"/>
        <color rgb="FF1155CC"/>
        <rFont val="&quot;Helvetica Neue&quot;"/>
      </rPr>
      <t>medical-news.org</t>
    </r>
  </si>
  <si>
    <t>Online Behavior&gt;United States&gt;Hobbies and Leisure&gt;Water Activities</t>
  </si>
  <si>
    <r>
      <rPr>
        <u/>
        <sz val="8"/>
        <color rgb="FF1155CC"/>
        <rFont val="&quot;Helvetica Neue&quot;"/>
      </rPr>
      <t>weather.com</t>
    </r>
  </si>
  <si>
    <t>Mobile - US Â» Travel Â» Vacation Rentals Â» HomeAway</t>
  </si>
  <si>
    <t>Chattanooga, Tennessee</t>
  </si>
  <si>
    <r>
      <rPr>
        <u/>
        <sz val="8"/>
        <color rgb="FF1155CC"/>
        <rFont val="&quot;Helvetica Neue&quot;"/>
      </rPr>
      <t>foxnews.com</t>
    </r>
  </si>
  <si>
    <t>US Â» Reach Â» Propensity Models Â» Hobbies and Interest Â» Music Â» Streaming</t>
  </si>
  <si>
    <r>
      <rPr>
        <u/>
        <sz val="8"/>
        <color rgb="FF1155CC"/>
        <rFont val="&quot;Helvetica Neue&quot;"/>
      </rPr>
      <t>mail.aol.com</t>
    </r>
  </si>
  <si>
    <t>Online Behavior&gt;United States&gt;B2B Â» Occupation&gt;ComputerProgrammer</t>
  </si>
  <si>
    <r>
      <rPr>
        <u/>
        <sz val="8"/>
        <color rgb="FF1155CC"/>
        <rFont val="&quot;Helvetica Neue&quot;"/>
      </rPr>
      <t>realtor.com</t>
    </r>
  </si>
  <si>
    <t>Online Behavior&gt;United States&gt;The Changing Consumer&gt;Gaming Equipment</t>
  </si>
  <si>
    <r>
      <rPr>
        <u/>
        <sz val="8"/>
        <color rgb="FF1155CC"/>
        <rFont val="&quot;Helvetica Neue&quot;"/>
      </rPr>
      <t>cnet.com</t>
    </r>
  </si>
  <si>
    <t>Online Behavior&gt;United States&gt;Validated Demographic Â» Age&gt;25 or older</t>
  </si>
  <si>
    <r>
      <rPr>
        <u/>
        <sz val="8"/>
        <color rgb="FF1155CC"/>
        <rFont val="&quot;Helvetica Neue&quot;"/>
      </rPr>
      <t>kiplinger.com</t>
    </r>
  </si>
  <si>
    <t>Purchase-Based Â» Categories Â» Office Supplies Buyers</t>
  </si>
  <si>
    <t>Chicago, Illinois</t>
  </si>
  <si>
    <r>
      <rPr>
        <u/>
        <sz val="8"/>
        <color rgb="FF1155CC"/>
        <rFont val="&quot;Helvetica Neue&quot;"/>
      </rPr>
      <t>weather.com</t>
    </r>
  </si>
  <si>
    <t>US Interest Â» Cooking Â» General</t>
  </si>
  <si>
    <r>
      <rPr>
        <u/>
        <sz val="8"/>
        <color rgb="FF1155CC"/>
        <rFont val="&quot;Helvetica Neue&quot;"/>
      </rPr>
      <t>ew.com</t>
    </r>
  </si>
  <si>
    <t>Xandr - Monetize SSP (AppNexus)</t>
  </si>
  <si>
    <t>Lotame Â» Style, Fashion &amp; Clothing Â» Men's Clothing Shoppers</t>
  </si>
  <si>
    <r>
      <rPr>
        <u/>
        <sz val="8"/>
        <color rgb="FF1155CC"/>
        <rFont val="&quot;Helvetica Neue&quot;"/>
      </rPr>
      <t>zone.msn.com</t>
    </r>
  </si>
  <si>
    <t>US Â» Interest Propensities Â» Insurance Â» Northwestern Mutual</t>
  </si>
  <si>
    <r>
      <rPr>
        <u/>
        <sz val="8"/>
        <color rgb="FF1155CC"/>
        <rFont val="&quot;Helvetica Neue&quot;"/>
      </rPr>
      <t>ebay.com</t>
    </r>
  </si>
  <si>
    <t>US Financial Â» Estimated Discretionary Spending Â» Greater than $2,500</t>
  </si>
  <si>
    <r>
      <rPr>
        <u/>
        <sz val="8"/>
        <color rgb="FF1155CC"/>
        <rFont val="&quot;Helvetica Neue&quot;"/>
      </rPr>
      <t>ebay.com</t>
    </r>
  </si>
  <si>
    <t>US Â» Brand Propensities Â» Health Â» Beauty and Cosmetics Â» Beachbody Buyer Propensity</t>
  </si>
  <si>
    <r>
      <rPr>
        <u/>
        <sz val="8"/>
        <color rgb="FF1155CC"/>
        <rFont val="&quot;Helvetica Neue&quot;"/>
      </rPr>
      <t>nypost.com</t>
    </r>
  </si>
  <si>
    <t>US Â» Brand Propensities Â» Health Â» Beauty and Cosmetics Â» Mary Kay Buyer Propensity</t>
  </si>
  <si>
    <r>
      <rPr>
        <u/>
        <sz val="8"/>
        <color rgb="FF1155CC"/>
        <rFont val="&quot;Helvetica Neue&quot;"/>
      </rPr>
      <t>ebay.com</t>
    </r>
  </si>
  <si>
    <t>US Â» Health and Wellbeing Â» Health and Wellbeing</t>
  </si>
  <si>
    <r>
      <rPr>
        <u/>
        <sz val="8"/>
        <color rgb="FF1155CC"/>
        <rFont val="&quot;Helvetica Neue&quot;"/>
      </rPr>
      <t>medicalnewstoday.com</t>
    </r>
  </si>
  <si>
    <t>OnAudience Â» Intent Â» Travel</t>
  </si>
  <si>
    <r>
      <rPr>
        <u/>
        <sz val="8"/>
        <color rgb="FF1155CC"/>
        <rFont val="&quot;Helvetica Neue&quot;"/>
      </rPr>
      <t>msn.com</t>
    </r>
  </si>
  <si>
    <t>Media and Entertainment Â» Connected TV and Over-the-Top (CTV and OTT) Â» Streaming Television and Film Viewership Â» OTT Movie Viewers Â» Genre Â» Crime Movie Streamers</t>
  </si>
  <si>
    <r>
      <rPr>
        <u/>
        <sz val="8"/>
        <color rgb="FF1155CC"/>
        <rFont val="&quot;Helvetica Neue&quot;"/>
      </rPr>
      <t>cars.com</t>
    </r>
  </si>
  <si>
    <t>OnAudience Â» Intent Â» Electronics Â» Video Game Consoles</t>
  </si>
  <si>
    <r>
      <rPr>
        <u/>
        <sz val="8"/>
        <color rgb="FF1155CC"/>
        <rFont val="&quot;Helvetica Neue&quot;"/>
      </rPr>
      <t>reuters.com</t>
    </r>
  </si>
  <si>
    <t>Media and Entertainment Â» Audio and Video Streaming Â» Streaming Audio</t>
  </si>
  <si>
    <r>
      <rPr>
        <u/>
        <sz val="8"/>
        <color rgb="FF1155CC"/>
        <rFont val="&quot;Helvetica Neue&quot;"/>
      </rPr>
      <t>cnbc.com</t>
    </r>
  </si>
  <si>
    <t>Mobile - US Â» Food Â» Restaurant Â» Brand Â» Five Guys</t>
  </si>
  <si>
    <r>
      <rPr>
        <u/>
        <sz val="8"/>
        <color rgb="FF1155CC"/>
        <rFont val="&quot;Helvetica Neue&quot;"/>
      </rPr>
      <t>ebay.com</t>
    </r>
  </si>
  <si>
    <t>US Interest Â» Home Â» Home Improvement Â» Home Improvement Grouping</t>
  </si>
  <si>
    <r>
      <rPr>
        <u/>
        <sz val="8"/>
        <color rgb="FF1155CC"/>
        <rFont val="&quot;Helvetica Neue&quot;"/>
      </rPr>
      <t>cbsnews.com</t>
    </r>
  </si>
  <si>
    <t>US Home Â» Dwelling Type Â» Single-Family</t>
  </si>
  <si>
    <r>
      <rPr>
        <u/>
        <sz val="8"/>
        <color rgb="FF1155CC"/>
        <rFont val="&quot;Helvetica Neue&quot;"/>
      </rPr>
      <t>gamerant.com</t>
    </r>
  </si>
  <si>
    <t>Mobile - US Â» Travel Â» Car Rentals Â» Hertz</t>
  </si>
  <si>
    <r>
      <rPr>
        <u/>
        <sz val="8"/>
        <color rgb="FF1155CC"/>
        <rFont val="&quot;Helvetica Neue&quot;"/>
      </rPr>
      <t>ebay.com</t>
    </r>
  </si>
  <si>
    <t>OnAudience Â» Intent Â» Toys &amp; Games</t>
  </si>
  <si>
    <r>
      <rPr>
        <u/>
        <sz val="8"/>
        <color rgb="FF1155CC"/>
        <rFont val="&quot;Helvetica Neue&quot;"/>
      </rPr>
      <t>kbb.com</t>
    </r>
  </si>
  <si>
    <t>US Â» Brand Propensities Â» Big Box Dollar General Buyer Propensity</t>
  </si>
  <si>
    <r>
      <rPr>
        <u/>
        <sz val="8"/>
        <color rgb="FF1155CC"/>
        <rFont val="&quot;Helvetica Neue&quot;"/>
      </rPr>
      <t>weather.com</t>
    </r>
  </si>
  <si>
    <t>Lotame Â» Social Media</t>
  </si>
  <si>
    <r>
      <rPr>
        <u/>
        <sz val="8"/>
        <color rgb="FF1155CC"/>
        <rFont val="&quot;Helvetica Neue&quot;"/>
      </rPr>
      <t>msn.com</t>
    </r>
  </si>
  <si>
    <t>US Â» Premium Entertainment and Pastimes Â» Premium Magazine Enthusiasts</t>
  </si>
  <si>
    <r>
      <rPr>
        <u/>
        <sz val="8"/>
        <color rgb="FF1155CC"/>
        <rFont val="&quot;Helvetica Neue&quot;"/>
      </rPr>
      <t>finance.yahoo.com</t>
    </r>
  </si>
  <si>
    <t>OnAudience Â» Intent Â» Sporting Goods</t>
  </si>
  <si>
    <r>
      <rPr>
        <u/>
        <sz val="8"/>
        <color rgb="FF1155CC"/>
        <rFont val="&quot;Helvetica Neue&quot;"/>
      </rPr>
      <t>calculator.net</t>
    </r>
  </si>
  <si>
    <t>Media &amp; Entertainment</t>
  </si>
  <si>
    <r>
      <rPr>
        <u/>
        <sz val="8"/>
        <color rgb="FF1155CC"/>
        <rFont val="&quot;Helvetica Neue&quot;"/>
      </rPr>
      <t>yahoo.com</t>
    </r>
  </si>
  <si>
    <r>
      <rPr>
        <u/>
        <sz val="8"/>
        <color rgb="FF1155CC"/>
        <rFont val="&quot;Helvetica Neue&quot;"/>
      </rPr>
      <t>scitechdaily.com</t>
    </r>
  </si>
  <si>
    <t>Mobile - US Â» Food Â» Restaurant Â» Brand Â» Red Lobster</t>
  </si>
  <si>
    <r>
      <rPr>
        <u/>
        <sz val="8"/>
        <color rgb="FF1155CC"/>
        <rFont val="&quot;Helvetica Neue&quot;"/>
      </rPr>
      <t>thesaurus.com</t>
    </r>
  </si>
  <si>
    <t>Mobile - US Â» Food Â» Restaurant Â» Brand Â» Outback Steakhouse</t>
  </si>
  <si>
    <r>
      <rPr>
        <u/>
        <sz val="8"/>
        <color rgb="FF1155CC"/>
        <rFont val="&quot;Helvetica Neue&quot;"/>
      </rPr>
      <t>buzzfeed.com</t>
    </r>
  </si>
  <si>
    <t>US Â» Interest Propensities Â» Insurance Â» Transamerica</t>
  </si>
  <si>
    <r>
      <rPr>
        <u/>
        <sz val="8"/>
        <color rgb="FF1155CC"/>
        <rFont val="&quot;Helvetica Neue&quot;"/>
      </rPr>
      <t>yahoo.com</t>
    </r>
  </si>
  <si>
    <t>Real Estate Â» Occupancy Â» Owner Occupied</t>
  </si>
  <si>
    <r>
      <rPr>
        <u/>
        <sz val="8"/>
        <color rgb="FF1155CC"/>
        <rFont val="&quot;Helvetica Neue&quot;"/>
      </rPr>
      <t>accuweather.com</t>
    </r>
  </si>
  <si>
    <t>US Demographic Â» Age Â» Specialty Age Range Â» 21+</t>
  </si>
  <si>
    <r>
      <rPr>
        <u/>
        <sz val="8"/>
        <color rgb="FF1155CC"/>
        <rFont val="&quot;Helvetica Neue&quot;"/>
      </rPr>
      <t>weather.com</t>
    </r>
  </si>
  <si>
    <t>US Â» Interest Propensities Â» Insurance Â» New York Life</t>
  </si>
  <si>
    <r>
      <rPr>
        <u/>
        <sz val="8"/>
        <color rgb="FF1155CC"/>
        <rFont val="&quot;Helvetica Neue&quot;"/>
      </rPr>
      <t>nytimes.com</t>
    </r>
  </si>
  <si>
    <t>Mobile - US Â» Automotive Â» Vehicle Ownership Â» yes</t>
  </si>
  <si>
    <r>
      <rPr>
        <u/>
        <sz val="8"/>
        <color rgb="FF1155CC"/>
        <rFont val="&quot;Helvetica Neue&quot;"/>
      </rPr>
      <t>mail.yahoo.com</t>
    </r>
  </si>
  <si>
    <t>OnAudience Â» Interest Â» Sports</t>
  </si>
  <si>
    <r>
      <rPr>
        <u/>
        <sz val="8"/>
        <color rgb="FF1155CC"/>
        <rFont val="&quot;Helvetica Neue&quot;"/>
      </rPr>
      <t>femanin.com</t>
    </r>
  </si>
  <si>
    <t>US Â» Home Renovation Â» Home Renovators</t>
  </si>
  <si>
    <r>
      <rPr>
        <u/>
        <sz val="8"/>
        <color rgb="FF1155CC"/>
        <rFont val="&quot;Helvetica Neue&quot;"/>
      </rPr>
      <t>thesaltymarshmallow.com</t>
    </r>
  </si>
  <si>
    <t>OnAudience Â» Interest Â» Personal Finance</t>
  </si>
  <si>
    <r>
      <rPr>
        <u/>
        <sz val="8"/>
        <color rgb="FF1155CC"/>
        <rFont val="&quot;Helvetica Neue&quot;"/>
      </rPr>
      <t>essentiallysports.com</t>
    </r>
  </si>
  <si>
    <t>US Â» Reach Â» Sociodemographic Â» Estimated Current Home Value Â» $160,000-$199,999</t>
  </si>
  <si>
    <r>
      <rPr>
        <u/>
        <sz val="8"/>
        <color rgb="FF1155CC"/>
        <rFont val="&quot;Helvetica Neue&quot;"/>
      </rPr>
      <t>boattrader.com</t>
    </r>
  </si>
  <si>
    <t>OnAudience Â» Interest Â» Technology</t>
  </si>
  <si>
    <r>
      <rPr>
        <u/>
        <sz val="8"/>
        <color rgb="FF1155CC"/>
        <rFont val="&quot;Helvetica Neue&quot;"/>
      </rPr>
      <t>cnn.com</t>
    </r>
  </si>
  <si>
    <t>US Â» Premium Gender Â» Premium Gender Â» Males</t>
  </si>
  <si>
    <r>
      <rPr>
        <u/>
        <sz val="8"/>
        <color rgb="FF1155CC"/>
        <rFont val="&quot;Helvetica Neue&quot;"/>
      </rPr>
      <t>behindthevoiceactors.com</t>
    </r>
  </si>
  <si>
    <t>US Financial Â» Likely In Market Timing Â» Not At All Likely to Purchase Â» First Home/Residence In The Next Year (Financial)</t>
  </si>
  <si>
    <r>
      <rPr>
        <u/>
        <sz val="8"/>
        <color rgb="FF1155CC"/>
        <rFont val="&quot;Helvetica Neue&quot;"/>
      </rPr>
      <t>signupgenius.com</t>
    </r>
  </si>
  <si>
    <t>Media and Entertainment Â» Sports and Recreational Activities Â» Interest (Affinity) Â» Individual Sports</t>
  </si>
  <si>
    <r>
      <rPr>
        <u/>
        <sz val="8"/>
        <color rgb="FF1155CC"/>
        <rFont val="&quot;Helvetica Neue&quot;"/>
      </rPr>
      <t>yahoo.com</t>
    </r>
  </si>
  <si>
    <r>
      <t xml:space="preserve">US Â» Brand Propensities Â» Media and Entertainment Â» </t>
    </r>
    <r>
      <rPr>
        <b/>
        <u/>
        <sz val="8"/>
        <color rgb="FF1155CC"/>
        <rFont val="&quot;Helvetica Neue&quot;"/>
      </rPr>
      <t>pokerstars.net</t>
    </r>
    <r>
      <rPr>
        <b/>
        <sz val="8"/>
        <rFont val="&quot;Helvetica Neue&quot;"/>
      </rPr>
      <t xml:space="preserve"> Buyer Propensity</t>
    </r>
  </si>
  <si>
    <r>
      <rPr>
        <u/>
        <sz val="8"/>
        <color rgb="FF1155CC"/>
        <rFont val="&quot;Helvetica Neue&quot;"/>
      </rPr>
      <t>yellowpages.com</t>
    </r>
  </si>
  <si>
    <t>Travel and Tourism Â» In-Market</t>
  </si>
  <si>
    <r>
      <rPr>
        <u/>
        <sz val="8"/>
        <color rgb="FF1155CC"/>
        <rFont val="&quot;Helvetica Neue&quot;"/>
      </rPr>
      <t>realtor.com</t>
    </r>
  </si>
  <si>
    <t>US Â» AUTO Â» Decision Maker for Auto Purchase Â» I shared equally in the decision</t>
  </si>
  <si>
    <r>
      <rPr>
        <u/>
        <sz val="8"/>
        <color rgb="FF1155CC"/>
        <rFont val="&quot;Helvetica Neue&quot;"/>
      </rPr>
      <t>ebay.com</t>
    </r>
  </si>
  <si>
    <t>US Â» Brand Propensities Â» Travel Â» Choice Hotels Buyer Propensity</t>
  </si>
  <si>
    <r>
      <rPr>
        <u/>
        <sz val="8"/>
        <color rgb="FF1155CC"/>
        <rFont val="&quot;Helvetica Neue&quot;"/>
      </rPr>
      <t>biblegateway.com</t>
    </r>
  </si>
  <si>
    <t>OnAudience Â» Interest Â» News &amp; Magazines</t>
  </si>
  <si>
    <r>
      <rPr>
        <u/>
        <sz val="8"/>
        <color rgb="FF1155CC"/>
        <rFont val="&quot;Helvetica Neue&quot;"/>
      </rPr>
      <t>msn.com</t>
    </r>
  </si>
  <si>
    <t>US Â» Interest Propensities Â» TV and Movies Â» Reality Â» Game Shows</t>
  </si>
  <si>
    <r>
      <rPr>
        <u/>
        <sz val="8"/>
        <color rgb="FF1155CC"/>
        <rFont val="&quot;Helvetica Neue&quot;"/>
      </rPr>
      <t>nbcsports.com</t>
    </r>
  </si>
  <si>
    <t>Online Behavior&gt;United States&gt;B2B Â» Occupation&gt;ElectricalEngineer</t>
  </si>
  <si>
    <r>
      <rPr>
        <u/>
        <sz val="8"/>
        <color rgb="FF1155CC"/>
        <rFont val="&quot;Helvetica Neue&quot;"/>
      </rPr>
      <t>miamiherald.com</t>
    </r>
  </si>
  <si>
    <t>OnAudience Â» Intent</t>
  </si>
  <si>
    <r>
      <rPr>
        <u/>
        <sz val="8"/>
        <color rgb="FF1155CC"/>
        <rFont val="&quot;Helvetica Neue&quot;"/>
      </rPr>
      <t>slickdeals.net</t>
    </r>
  </si>
  <si>
    <t>US Â» Interest Propensities Â» Music Â» Classic Rock</t>
  </si>
  <si>
    <r>
      <rPr>
        <u/>
        <sz val="8"/>
        <color rgb="FF1155CC"/>
        <rFont val="&quot;Helvetica Neue&quot;"/>
      </rPr>
      <t>screenrant.com</t>
    </r>
  </si>
  <si>
    <t>US Â» Reach Â» Propensity Models Â» Finance Â» Credit Â» Debit Card Â» Store Credit Card User</t>
  </si>
  <si>
    <r>
      <rPr>
        <u/>
        <sz val="8"/>
        <color rgb="FF1155CC"/>
        <rFont val="&quot;Helvetica Neue&quot;"/>
      </rPr>
      <t>realtor.com</t>
    </r>
  </si>
  <si>
    <t>US Â» Interest Propensities Â» Food and Drink Â» American Cuisine</t>
  </si>
  <si>
    <r>
      <rPr>
        <u/>
        <sz val="8"/>
        <color rgb="FF1155CC"/>
        <rFont val="&quot;Helvetica Neue&quot;"/>
      </rPr>
      <t>realtor.com</t>
    </r>
  </si>
  <si>
    <t>US Â» Sociodemographic Â» P$YCLE Premier Lifestage Â» Y3 Fiscal Fledglings</t>
  </si>
  <si>
    <r>
      <rPr>
        <u/>
        <sz val="8"/>
        <color rgb="FF1155CC"/>
        <rFont val="&quot;Helvetica Neue&quot;"/>
      </rPr>
      <t>msn.com</t>
    </r>
  </si>
  <si>
    <t>US Â» Reach Â» Propensity Models Â» Lifestyle Â» Charities Â» Contributes to Charities</t>
  </si>
  <si>
    <r>
      <rPr>
        <u/>
        <sz val="8"/>
        <color rgb="FF1155CC"/>
        <rFont val="&quot;Helvetica Neue&quot;"/>
      </rPr>
      <t>commercialappeal.com</t>
    </r>
  </si>
  <si>
    <t>Media and Entertainment Â» Audio and Video Streaming Â» Streaming Video Â» Interest (Affinity)</t>
  </si>
  <si>
    <r>
      <rPr>
        <u/>
        <sz val="8"/>
        <color rgb="FF1155CC"/>
        <rFont val="&quot;Helvetica Neue&quot;"/>
      </rPr>
      <t>nytimes.com</t>
    </r>
  </si>
  <si>
    <t>Media and Entertainment Â» Connected TV and Over-the-Top (CTV and OTT)</t>
  </si>
  <si>
    <r>
      <rPr>
        <u/>
        <sz val="8"/>
        <color rgb="FF1155CC"/>
        <rFont val="&quot;Helvetica Neue&quot;"/>
      </rPr>
      <t>streetinsider.com</t>
    </r>
  </si>
  <si>
    <t>US Â» B2B Â» Purchase DM Â» Technology Services, Hardware and Â» or Software Â» I am the sole decision maker</t>
  </si>
  <si>
    <r>
      <rPr>
        <u/>
        <sz val="8"/>
        <color rgb="FF1155CC"/>
        <rFont val="&quot;Helvetica Neue&quot;"/>
      </rPr>
      <t>phys.org</t>
    </r>
  </si>
  <si>
    <t>US Â» Response Performance Â» Direct Marketing Responders</t>
  </si>
  <si>
    <r>
      <rPr>
        <u/>
        <sz val="8"/>
        <color rgb="FF1155CC"/>
        <rFont val="&quot;Helvetica Neue&quot;"/>
      </rPr>
      <t>baseball-reference.com</t>
    </r>
  </si>
  <si>
    <t>Media and Entertainment Â» Sports and Recreational Activities Â» Interest (Affinity)</t>
  </si>
  <si>
    <r>
      <rPr>
        <u/>
        <sz val="8"/>
        <color rgb="FF1155CC"/>
        <rFont val="&quot;Helvetica Neue&quot;"/>
      </rPr>
      <t>cheapoair.com</t>
    </r>
  </si>
  <si>
    <t>US Â» Reach Â» Propensity Models Â» Hobbies and Interest Â» Sports Â» Boating</t>
  </si>
  <si>
    <r>
      <rPr>
        <u/>
        <sz val="8"/>
        <color rgb="FF1155CC"/>
        <rFont val="&quot;Helvetica Neue&quot;"/>
      </rPr>
      <t>weather.com</t>
    </r>
  </si>
  <si>
    <t>US Â» Reach Â» Propensity Models Â» Hobbies and Interest Â» Food and Drinks Â» High-end Spirit Drinkers</t>
  </si>
  <si>
    <r>
      <rPr>
        <u/>
        <sz val="8"/>
        <color rgb="FF1155CC"/>
        <rFont val="&quot;Helvetica Neue&quot;"/>
      </rPr>
      <t>cbssports.com</t>
    </r>
  </si>
  <si>
    <t>US Â» Reach Â» Propensity Models Â» Hobbies and Interest Â» Sports Â» Fitness Enthusiasts</t>
  </si>
  <si>
    <r>
      <rPr>
        <u/>
        <sz val="8"/>
        <color rgb="FF1155CC"/>
        <rFont val="&quot;Helvetica Neue&quot;"/>
      </rPr>
      <t>fandomwire.com</t>
    </r>
  </si>
  <si>
    <t>US Â» Reach Â» Propensity Models Â» Finance Â» Credit Â» Debit Card Â» Major Credit Card User</t>
  </si>
  <si>
    <r>
      <rPr>
        <u/>
        <sz val="8"/>
        <color rgb="FF1155CC"/>
        <rFont val="&quot;Helvetica Neue&quot;"/>
      </rPr>
      <t>m.timesofindia.com</t>
    </r>
  </si>
  <si>
    <t>Online Behavior&gt;United States&gt;B2B Â» Occupation&gt;SystemsAnalyst</t>
  </si>
  <si>
    <r>
      <rPr>
        <u/>
        <sz val="8"/>
        <color rgb="FF1155CC"/>
        <rFont val="&quot;Helvetica Neue&quot;"/>
      </rPr>
      <t>espn.com</t>
    </r>
  </si>
  <si>
    <t>Online Behavior&gt;United States&gt;B2B Â» Occupation&gt;PropertyManager</t>
  </si>
  <si>
    <r>
      <rPr>
        <u/>
        <sz val="8"/>
        <color rgb="FF1155CC"/>
        <rFont val="&quot;Helvetica Neue&quot;"/>
      </rPr>
      <t>whatismyipaddress.com</t>
    </r>
  </si>
  <si>
    <t>Online Behavior&gt;United States&gt;Finance Â» Financial Planning and Management&gt;Asset and Portfolio Management</t>
  </si>
  <si>
    <r>
      <rPr>
        <u/>
        <sz val="8"/>
        <color rgb="FF1155CC"/>
        <rFont val="&quot;Helvetica Neue&quot;"/>
      </rPr>
      <t>culturess.com</t>
    </r>
  </si>
  <si>
    <t>Online Behavior&gt;United States&gt;B2B Â» Occupation&gt;Teacher</t>
  </si>
  <si>
    <r>
      <rPr>
        <u/>
        <sz val="8"/>
        <color rgb="FF1155CC"/>
        <rFont val="&quot;Helvetica Neue&quot;"/>
      </rPr>
      <t>kbb.com</t>
    </r>
  </si>
  <si>
    <t>Online Behavior&gt;United States&gt;The Changing Consumer&gt;Home Learning</t>
  </si>
  <si>
    <r>
      <rPr>
        <u/>
        <sz val="8"/>
        <color rgb="FF1155CC"/>
        <rFont val="&quot;Helvetica Neue&quot;"/>
      </rPr>
      <t>whatismyipaddress.com</t>
    </r>
  </si>
  <si>
    <t>Online Behavior&gt;United States&gt;The Changing Consumer&gt;Internet Connection</t>
  </si>
  <si>
    <r>
      <rPr>
        <u/>
        <sz val="8"/>
        <color rgb="FF1155CC"/>
        <rFont val="&quot;Helvetica Neue&quot;"/>
      </rPr>
      <t>businessinsider.com</t>
    </r>
  </si>
  <si>
    <t>Online Behavior&gt;United States&gt;Beauty and Fitness&gt;Beauty Pageants</t>
  </si>
  <si>
    <r>
      <rPr>
        <u/>
        <sz val="8"/>
        <color rgb="FF1155CC"/>
        <rFont val="&quot;Helvetica Neue&quot;"/>
      </rPr>
      <t>yahoo.com</t>
    </r>
  </si>
  <si>
    <t>Online Behavior&gt;United States&gt;Intent Â» Shopping&gt;CPG» Cosmetics</t>
  </si>
  <si>
    <r>
      <rPr>
        <u/>
        <sz val="8"/>
        <color rgb="FF1155CC"/>
        <rFont val="&quot;Helvetica Neue&quot;"/>
      </rPr>
      <t>weather.com</t>
    </r>
  </si>
  <si>
    <t>Online Behavior&gt;United States&gt;News&gt;Sports News</t>
  </si>
  <si>
    <r>
      <rPr>
        <u/>
        <sz val="8"/>
        <color rgb="FF1155CC"/>
        <rFont val="&quot;Helvetica Neue&quot;"/>
      </rPr>
      <t>biblegateway.com</t>
    </r>
  </si>
  <si>
    <t>Online Behavior&gt;United States&gt;Intent Â» Travel&gt;Future Travel</t>
  </si>
  <si>
    <r>
      <rPr>
        <u/>
        <sz val="8"/>
        <color rgb="FF1155CC"/>
        <rFont val="&quot;Helvetica Neue&quot;"/>
      </rPr>
      <t>weather.com</t>
    </r>
  </si>
  <si>
    <t>Online Behavior&gt;United States&gt;Travel&gt;Business Travel</t>
  </si>
  <si>
    <r>
      <rPr>
        <u/>
        <sz val="8"/>
        <color rgb="FF1155CC"/>
        <rFont val="&quot;Helvetica Neue&quot;"/>
      </rPr>
      <t>marca.com</t>
    </r>
  </si>
  <si>
    <t>Online Behavior&gt;United States&gt;Intent Â» Auto Buyers Â» Type&gt;Crossover</t>
  </si>
  <si>
    <r>
      <rPr>
        <u/>
        <sz val="8"/>
        <color rgb="FF1155CC"/>
        <rFont val="&quot;Helvetica Neue&quot;"/>
      </rPr>
      <t>usatoday.com</t>
    </r>
  </si>
  <si>
    <t>Online Behavior&gt;United States&gt;B2B Â» Occupation&gt;Musician</t>
  </si>
  <si>
    <r>
      <rPr>
        <u/>
        <sz val="8"/>
        <color rgb="FF1155CC"/>
        <rFont val="&quot;Helvetica Neue&quot;"/>
      </rPr>
      <t>ajc.com</t>
    </r>
  </si>
  <si>
    <t>Online Behavior&gt;United States&gt;Food and Drink&gt;Restaurants Â» Dining Guides</t>
  </si>
  <si>
    <r>
      <rPr>
        <u/>
        <sz val="8"/>
        <color rgb="FF1155CC"/>
        <rFont val="&quot;Helvetica Neue&quot;"/>
      </rPr>
      <t>cnn.com</t>
    </r>
  </si>
  <si>
    <t>Online Behavior&gt;United States&gt;Validated Demographic Â» Gender and Age Combined&gt;Males 18-44</t>
  </si>
  <si>
    <r>
      <rPr>
        <u/>
        <sz val="8"/>
        <color rgb="FF1155CC"/>
        <rFont val="&quot;Helvetica Neue&quot;"/>
      </rPr>
      <t>realtor.com</t>
    </r>
  </si>
  <si>
    <t>Online Behavior&gt;United States&gt;Validated Demographic Â» Gender and Age Combined&gt;Males 25-54</t>
  </si>
  <si>
    <r>
      <rPr>
        <u/>
        <sz val="8"/>
        <color rgb="FF1155CC"/>
        <rFont val="&quot;Helvetica Neue&quot;"/>
      </rPr>
      <t>marca.com</t>
    </r>
  </si>
  <si>
    <t>Online Behavior&gt;United States&gt;Sports&gt;Winter Sports Â» Ice Skating</t>
  </si>
  <si>
    <r>
      <rPr>
        <u/>
        <sz val="8"/>
        <color rgb="FF1155CC"/>
        <rFont val="&quot;Helvetica Neue&quot;"/>
      </rPr>
      <t>mail.yahoo.com</t>
    </r>
  </si>
  <si>
    <t>Online Behavior&gt;United States&gt;Intent Â» Auto Buyers Â» Type&gt;Sedan</t>
  </si>
  <si>
    <r>
      <rPr>
        <u/>
        <sz val="8"/>
        <color rgb="FF1155CC"/>
        <rFont val="&quot;Helvetica Neue&quot;"/>
      </rPr>
      <t>mail.aol.com</t>
    </r>
  </si>
  <si>
    <t>Online Behavior&gt;United States&gt;Intent Â» Auto Buyers Â» Category&gt;Van</t>
  </si>
  <si>
    <r>
      <rPr>
        <u/>
        <sz val="8"/>
        <color rgb="FF1155CC"/>
        <rFont val="&quot;Helvetica Neue&quot;"/>
      </rPr>
      <t>tasteofhome.com</t>
    </r>
  </si>
  <si>
    <t>Online Behavior&gt;United States&gt;Finance Â» Financial Planning and Management&gt;Inheritance and Estate Planning</t>
  </si>
  <si>
    <r>
      <rPr>
        <u/>
        <sz val="8"/>
        <color rgb="FF1155CC"/>
        <rFont val="&quot;Helvetica Neue&quot;"/>
      </rPr>
      <t>investing.com</t>
    </r>
  </si>
  <si>
    <t>Online Behavior&gt;United States&gt;Autos and Vehicles Â» Brands&gt;Lexus</t>
  </si>
  <si>
    <r>
      <rPr>
        <u/>
        <sz val="8"/>
        <color rgb="FF1155CC"/>
        <rFont val="&quot;Helvetica Neue&quot;"/>
      </rPr>
      <t>sportpirate.com</t>
    </r>
  </si>
  <si>
    <t>Online Behavior&gt;United States&gt;Intent Â» Shopping&gt;Pet Food Â» Dog</t>
  </si>
  <si>
    <r>
      <rPr>
        <u/>
        <sz val="8"/>
        <color rgb="FF1155CC"/>
        <rFont val="&quot;Helvetica Neue&quot;"/>
      </rPr>
      <t>yourdailysportfix.com</t>
    </r>
  </si>
  <si>
    <t>Online Behavior&gt;United States&gt;Arts and Entertainment&gt;Events and Listings Â» Live Sporting Events</t>
  </si>
  <si>
    <r>
      <rPr>
        <u/>
        <sz val="8"/>
        <color rgb="FF1155CC"/>
        <rFont val="&quot;Helvetica Neue&quot;"/>
      </rPr>
      <t>my.yahoo.com</t>
    </r>
  </si>
  <si>
    <t>Online Behavior&gt;United States&gt;Jobs and Education&gt;Education</t>
  </si>
  <si>
    <r>
      <rPr>
        <u/>
        <sz val="8"/>
        <color rgb="FF1155CC"/>
        <rFont val="&quot;Helvetica Neue&quot;"/>
      </rPr>
      <t>biblegateway.com</t>
    </r>
  </si>
  <si>
    <t>Online Behavior&gt;United States&gt;Sports&gt;Sports League Â» NHL</t>
  </si>
  <si>
    <r>
      <rPr>
        <u/>
        <sz val="8"/>
        <color rgb="FF1155CC"/>
        <rFont val="&quot;Helvetica Neue&quot;"/>
      </rPr>
      <t>ebay.com</t>
    </r>
  </si>
  <si>
    <t>Online Behavior&gt;United States&gt;Food and Drink&gt;Food and Grocery Delivery</t>
  </si>
  <si>
    <r>
      <rPr>
        <u/>
        <sz val="8"/>
        <color rgb="FF1155CC"/>
        <rFont val="&quot;Helvetica Neue&quot;"/>
      </rPr>
      <t>ebay.com</t>
    </r>
  </si>
  <si>
    <t>Online Behavior&gt;United States&gt;Home and Garden&gt;Home Furnishings</t>
  </si>
  <si>
    <r>
      <rPr>
        <u/>
        <sz val="8"/>
        <color rgb="FF1155CC"/>
        <rFont val="&quot;Helvetica Neue&quot;"/>
      </rPr>
      <t>nypost.com</t>
    </r>
  </si>
  <si>
    <t>Online Behavior&gt;United States&gt;Law and Government&gt;Government</t>
  </si>
  <si>
    <r>
      <rPr>
        <u/>
        <sz val="8"/>
        <color rgb="FF1155CC"/>
        <rFont val="&quot;Helvetica Neue&quot;"/>
      </rPr>
      <t>slickdeals.net</t>
    </r>
  </si>
  <si>
    <t>Online Behavior&gt;United States&gt;Intent Â» Shopping&gt;Consumer Electronics Â» Cameras and Photography Equip</t>
  </si>
  <si>
    <r>
      <rPr>
        <u/>
        <sz val="8"/>
        <color rgb="FF1155CC"/>
        <rFont val="&quot;Helvetica Neue&quot;"/>
      </rPr>
      <t>gameofglam.com</t>
    </r>
  </si>
  <si>
    <t>Online Behavior&gt;United States&gt;Online Communities&gt;Photo and Video Sharing</t>
  </si>
  <si>
    <r>
      <rPr>
        <u/>
        <sz val="8"/>
        <color rgb="FF1155CC"/>
        <rFont val="&quot;Helvetica Neue&quot;"/>
      </rPr>
      <t>flightaware.com</t>
    </r>
  </si>
  <si>
    <t>Online Behavior&gt;United States&gt;The Changing Consumer&gt;Direct to Consumer</t>
  </si>
  <si>
    <r>
      <rPr>
        <u/>
        <sz val="8"/>
        <color rgb="FF1155CC"/>
        <rFont val="&quot;Helvetica Neue&quot;"/>
      </rPr>
      <t>cheezburger.com</t>
    </r>
  </si>
  <si>
    <t>Online Behavior&gt;United States&gt;Internet and Telecom&gt;Search Engines</t>
  </si>
  <si>
    <r>
      <rPr>
        <u/>
        <sz val="8"/>
        <color rgb="FF1155CC"/>
        <rFont val="&quot;Helvetica Neue&quot;"/>
      </rPr>
      <t>weather.com</t>
    </r>
  </si>
  <si>
    <t>Online Behavior&gt;United States&gt;Validated Demographic Â» Gender and Age Combined&gt;Females 65 or older</t>
  </si>
  <si>
    <r>
      <rPr>
        <u/>
        <sz val="8"/>
        <color rgb="FF1155CC"/>
        <rFont val="&quot;Helvetica Neue&quot;"/>
      </rPr>
      <t>finance.yahoo.com</t>
    </r>
  </si>
  <si>
    <t>Online Behavior&gt;United States&gt;Intent Â» Shopping&gt;Consumer Electronics Â» Video Game Consoles</t>
  </si>
  <si>
    <r>
      <rPr>
        <u/>
        <sz val="8"/>
        <color rgb="FF1155CC"/>
        <rFont val="&quot;Helvetica Neue&quot;"/>
      </rPr>
      <t>factinate.com</t>
    </r>
  </si>
  <si>
    <t>Online Behavior&gt;United States&gt;Validated Demographic Â» Gender and Age Combined&gt;Females 18-54</t>
  </si>
  <si>
    <r>
      <rPr>
        <u/>
        <sz val="8"/>
        <color rgb="FF1155CC"/>
        <rFont val="&quot;Helvetica Neue&quot;"/>
      </rPr>
      <t>daily-choices.com</t>
    </r>
  </si>
  <si>
    <t>Online Behavior&gt;United States&gt;Validated Demographic Â» Gender and Age Combined&gt;Males 25-64</t>
  </si>
  <si>
    <r>
      <rPr>
        <u/>
        <sz val="8"/>
        <color rgb="FF1155CC"/>
        <rFont val="&quot;Helvetica Neue&quot;"/>
      </rPr>
      <t>the-sun.com</t>
    </r>
  </si>
  <si>
    <t>Online Behavior&gt;United States&gt;Autos and Vehicles Â» Brands&gt;Peugeot</t>
  </si>
  <si>
    <r>
      <rPr>
        <u/>
        <sz val="8"/>
        <color rgb="FF1155CC"/>
        <rFont val="&quot;Helvetica Neue&quot;"/>
      </rPr>
      <t>todaysnyc.com</t>
    </r>
  </si>
  <si>
    <t>Online Behavior&gt;United States&gt;Life Event&gt;Wedding Planning</t>
  </si>
  <si>
    <r>
      <rPr>
        <u/>
        <sz val="8"/>
        <color rgb="FF1155CC"/>
        <rFont val="&quot;Helvetica Neue&quot;"/>
      </rPr>
      <t>news.yahoo.com</t>
    </r>
  </si>
  <si>
    <t>Online Behavior&gt;United States&gt;Autos and Vehicles Â» Brands&gt;Jaguar</t>
  </si>
  <si>
    <r>
      <rPr>
        <u/>
        <sz val="8"/>
        <color rgb="FF1155CC"/>
        <rFont val="&quot;Helvetica Neue&quot;"/>
      </rPr>
      <t>mlb.com</t>
    </r>
  </si>
  <si>
    <t>Online Behavior&gt;United States&gt;Autos and Vehicles Â» Brands&gt;Porsche</t>
  </si>
  <si>
    <r>
      <rPr>
        <u/>
        <sz val="8"/>
        <color rgb="FF1155CC"/>
        <rFont val="&quot;Helvetica Neue&quot;"/>
      </rPr>
      <t>msn.com</t>
    </r>
  </si>
  <si>
    <t>Online Behavior&gt;United States&gt;Finance Â» Investing&gt;Derivatives</t>
  </si>
  <si>
    <r>
      <rPr>
        <u/>
        <sz val="8"/>
        <color rgb="FF1155CC"/>
        <rFont val="&quot;Helvetica Neue&quot;"/>
      </rPr>
      <t>biblegateway.com</t>
    </r>
  </si>
  <si>
    <t>Online Behavior&gt;United States&gt;Intent Â» Services&gt;Photography</t>
  </si>
  <si>
    <r>
      <rPr>
        <u/>
        <sz val="8"/>
        <color rgb="FF1155CC"/>
        <rFont val="&quot;Helvetica Neue&quot;"/>
      </rPr>
      <t>mail.aol.com</t>
    </r>
  </si>
  <si>
    <t>Online Behavior&gt;United States&gt;Autos and Vehicles Â» Brands&gt;Isuzu</t>
  </si>
  <si>
    <r>
      <rPr>
        <u/>
        <sz val="8"/>
        <color rgb="FF1155CC"/>
        <rFont val="&quot;Helvetica Neue&quot;"/>
      </rPr>
      <t>realtor.com</t>
    </r>
  </si>
  <si>
    <t>Online Behavior&gt;United States&gt;Autos and Vehicles Â» Brands&gt;Nissan</t>
  </si>
  <si>
    <r>
      <rPr>
        <u/>
        <sz val="8"/>
        <color rgb="FF1155CC"/>
        <rFont val="&quot;Helvetica Neue&quot;"/>
      </rPr>
      <t>thefinancechatter.com</t>
    </r>
  </si>
  <si>
    <t>BE80I</t>
  </si>
  <si>
    <t>Online Behavior&gt;United States&gt;Validated Demographic Â» Gender and Age Combined&gt;Males 25 or older</t>
  </si>
  <si>
    <r>
      <rPr>
        <u/>
        <sz val="8"/>
        <color rgb="FF1155CC"/>
        <rFont val="&quot;Helvetica Neue&quot;"/>
      </rPr>
      <t>usatoday.com</t>
    </r>
  </si>
  <si>
    <t>Online Behavior&gt;United States&gt;Autos and Vehicles Â» Brands&gt;SEAT</t>
  </si>
  <si>
    <r>
      <rPr>
        <u/>
        <sz val="8"/>
        <color rgb="FF1155CC"/>
        <rFont val="&quot;Helvetica Neue&quot;"/>
      </rPr>
      <t>mail.aol.com</t>
    </r>
  </si>
  <si>
    <t>Online Behavior&gt;United States&gt;Validated Demographic Â» Gender and Age Combined&gt;Females 18-64</t>
  </si>
  <si>
    <r>
      <rPr>
        <u/>
        <sz val="8"/>
        <color rgb="FF1155CC"/>
        <rFont val="&quot;Helvetica Neue&quot;"/>
      </rPr>
      <t>mail.yahoo.com</t>
    </r>
  </si>
  <si>
    <t>Online Behavior&gt;United States&gt;Intent Â» Services&gt;Arts and Entertainment</t>
  </si>
  <si>
    <r>
      <rPr>
        <u/>
        <sz val="8"/>
        <color rgb="FF1155CC"/>
        <rFont val="&quot;Helvetica Neue&quot;"/>
      </rPr>
      <t>msn.com</t>
    </r>
  </si>
  <si>
    <t>Online Behavior&gt;United States&gt;Hobbies and Leisure&gt;Clubs and Organizations</t>
  </si>
  <si>
    <r>
      <rPr>
        <u/>
        <sz val="8"/>
        <color rgb="FF1155CC"/>
        <rFont val="&quot;Helvetica Neue&quot;"/>
      </rPr>
      <t>weather.com</t>
    </r>
  </si>
  <si>
    <t>Online Behavior&gt;United States&gt;Sports&gt;Sports League Â» Premier League</t>
  </si>
  <si>
    <r>
      <rPr>
        <u/>
        <sz val="8"/>
        <color rgb="FF1155CC"/>
        <rFont val="&quot;Helvetica Neue&quot;"/>
      </rPr>
      <t>cnet.com</t>
    </r>
  </si>
  <si>
    <t>Online Behavior&gt;United States&gt;Beauty and Fitness&gt;Fitness Â» Fitness Instruction and Personal Training</t>
  </si>
  <si>
    <r>
      <rPr>
        <u/>
        <sz val="8"/>
        <color rgb="FF1155CC"/>
        <rFont val="&quot;Helvetica Neue&quot;"/>
      </rPr>
      <t>accuweather.com</t>
    </r>
  </si>
  <si>
    <t>Online Behavior&gt;United States&gt;Intent Â» Shopping&gt;Consumer Electronics Â» Televisions/TVs</t>
  </si>
  <si>
    <r>
      <rPr>
        <u/>
        <sz val="8"/>
        <color rgb="FF1155CC"/>
        <rFont val="&quot;Helvetica Neue&quot;"/>
      </rPr>
      <t>msn.com</t>
    </r>
  </si>
  <si>
    <t>Online Behavior&gt;United States&gt;Autos and Vehicles Â» Brands&gt;Fiat</t>
  </si>
  <si>
    <r>
      <rPr>
        <u/>
        <sz val="8"/>
        <color rgb="FF1155CC"/>
        <rFont val="&quot;Helvetica Neue&quot;"/>
      </rPr>
      <t>thekrazycouponlady.com</t>
    </r>
  </si>
  <si>
    <t>Online Behavior&gt;United States&gt;Travel&gt;Specialty Travel</t>
  </si>
  <si>
    <r>
      <rPr>
        <u/>
        <sz val="8"/>
        <color rgb="FF1155CC"/>
        <rFont val="&quot;Helvetica Neue&quot;"/>
      </rPr>
      <t>weather.com</t>
    </r>
  </si>
  <si>
    <t>Online Behavior&gt;United States&gt;The Changing Consumer&gt;Online Retailers</t>
  </si>
  <si>
    <r>
      <rPr>
        <u/>
        <sz val="8"/>
        <color rgb="FF1155CC"/>
        <rFont val="&quot;Helvetica Neue&quot;"/>
      </rPr>
      <t>investing.com</t>
    </r>
  </si>
  <si>
    <t>Online Behavior&gt;United States&gt;Intent Â» Auto Buyers Â» Car Make&gt;Volkswagen</t>
  </si>
  <si>
    <r>
      <rPr>
        <u/>
        <sz val="8"/>
        <color rgb="FF1155CC"/>
        <rFont val="&quot;Helvetica Neue&quot;"/>
      </rPr>
      <t>androidauthority.com</t>
    </r>
  </si>
  <si>
    <t>Online Behavior&gt;United States&gt;Intent Â» Travel&gt;Graduation Trip</t>
  </si>
  <si>
    <r>
      <rPr>
        <u/>
        <sz val="8"/>
        <color rgb="FF1155CC"/>
        <rFont val="&quot;Helvetica Neue&quot;"/>
      </rPr>
      <t>sallysbakingaddiction.com</t>
    </r>
  </si>
  <si>
    <t>Online Behavior&gt;United States&gt;Food and Drink&gt;Beverages Â» Beer</t>
  </si>
  <si>
    <r>
      <rPr>
        <u/>
        <sz val="8"/>
        <color rgb="FF1155CC"/>
        <rFont val="&quot;Helvetica Neue&quot;"/>
      </rPr>
      <t>zillow.com</t>
    </r>
  </si>
  <si>
    <t>Online Behavior&gt;United States&gt;Autos and Vehicles&gt;Boats and Watercraft</t>
  </si>
  <si>
    <r>
      <rPr>
        <u/>
        <sz val="8"/>
        <color rgb="FF1155CC"/>
        <rFont val="&quot;Helvetica Neue&quot;"/>
      </rPr>
      <t>fandomwire.com</t>
    </r>
  </si>
  <si>
    <t>Online Behavior&gt;United States&gt;The Changing Consumer&gt;Natural Disasters</t>
  </si>
  <si>
    <r>
      <rPr>
        <u/>
        <sz val="8"/>
        <color rgb="FF1155CC"/>
        <rFont val="&quot;Helvetica Neue&quot;"/>
      </rPr>
      <t>outlook.live.com</t>
    </r>
  </si>
  <si>
    <t>Online Behavior&gt;United States&gt;Travel&gt;Tourist Destinations Â» Zoos-Aquariums-Preserves</t>
  </si>
  <si>
    <r>
      <rPr>
        <u/>
        <sz val="8"/>
        <color rgb="FF1155CC"/>
        <rFont val="&quot;Helvetica Neue&quot;"/>
      </rPr>
      <t>biblegateway.com</t>
    </r>
  </si>
  <si>
    <t>Online Behavior&gt;United States&gt;Finance Â» Banking&gt;Savings Accounts</t>
  </si>
  <si>
    <r>
      <rPr>
        <u/>
        <sz val="8"/>
        <color rgb="FF1155CC"/>
        <rFont val="&quot;Helvetica Neue&quot;"/>
      </rPr>
      <t>the-sun.com</t>
    </r>
  </si>
  <si>
    <t>Online Behavior&gt;United States&gt;Games&gt;Computer and Video Games</t>
  </si>
  <si>
    <r>
      <rPr>
        <u/>
        <sz val="8"/>
        <color rgb="FF1155CC"/>
        <rFont val="&quot;Helvetica Neue&quot;"/>
      </rPr>
      <t>bbc.com</t>
    </r>
  </si>
  <si>
    <t>Online Behavior&gt;United States&gt;Sports&gt;Individual Sports Â» Track and Field</t>
  </si>
  <si>
    <r>
      <rPr>
        <u/>
        <sz val="8"/>
        <color rgb="FF1155CC"/>
        <rFont val="&quot;Helvetica Neue&quot;"/>
      </rPr>
      <t>mail.aol.com</t>
    </r>
  </si>
  <si>
    <t>Online Behavior&gt;United States&gt;Food and Drink&gt;Cooking and Recipes</t>
  </si>
  <si>
    <r>
      <rPr>
        <u/>
        <sz val="8"/>
        <color rgb="FF1155CC"/>
        <rFont val="&quot;Helvetica Neue&quot;"/>
      </rPr>
      <t>weather.com</t>
    </r>
  </si>
  <si>
    <t>Online Behavior&gt;United States&gt;Beauty and Fitness&gt;Fashion and Style Â» Fashion Modeling</t>
  </si>
  <si>
    <r>
      <rPr>
        <u/>
        <sz val="8"/>
        <color rgb="FF1155CC"/>
        <rFont val="&quot;Helvetica Neue&quot;"/>
      </rPr>
      <t>forbes.com</t>
    </r>
  </si>
  <si>
    <t>Online Behavior&gt;United States&gt;Food and Drink&gt;Restaurants Â» Fast Food</t>
  </si>
  <si>
    <r>
      <rPr>
        <u/>
        <sz val="8"/>
        <color rgb="FF1155CC"/>
        <rFont val="&quot;Helvetica Neue&quot;"/>
      </rPr>
      <t>macrumors.com</t>
    </r>
  </si>
  <si>
    <t>Online Behavior&gt;United States&gt;Finance Â» Accounting and Auditing&gt;Tax Preparation and Planning</t>
  </si>
  <si>
    <r>
      <rPr>
        <u/>
        <sz val="8"/>
        <color rgb="FF1155CC"/>
        <rFont val="&quot;Helvetica Neue&quot;"/>
      </rPr>
      <t>pandora.com</t>
    </r>
  </si>
  <si>
    <t>Online Behavior&gt;United States&gt;Hobbies and Leisure&gt;Outdoors Â» Hiking and Camping</t>
  </si>
  <si>
    <r>
      <rPr>
        <u/>
        <sz val="8"/>
        <color rgb="FF1155CC"/>
        <rFont val="&quot;Helvetica Neue&quot;"/>
      </rPr>
      <t>ebay.com</t>
    </r>
  </si>
  <si>
    <t>Online Behavior&gt;United States&gt;Law and Government&gt;Legal</t>
  </si>
  <si>
    <r>
      <rPr>
        <u/>
        <sz val="8"/>
        <color rgb="FF1155CC"/>
        <rFont val="&quot;Helvetica Neue&quot;"/>
      </rPr>
      <t>washingtonpost.com</t>
    </r>
  </si>
  <si>
    <t>Online Behavior&gt;United States&gt;Travel&gt;Specialty Travel Â» Adventure Travel</t>
  </si>
  <si>
    <r>
      <rPr>
        <u/>
        <sz val="8"/>
        <color rgb="FF1155CC"/>
        <rFont val="&quot;Helvetica Neue&quot;"/>
      </rPr>
      <t>biblegateway.com</t>
    </r>
  </si>
  <si>
    <t>Online Behavior&gt;United States&gt;Online Communities&gt;Social Networks</t>
  </si>
  <si>
    <r>
      <rPr>
        <u/>
        <sz val="8"/>
        <color rgb="FF1155CC"/>
        <rFont val="&quot;Helvetica Neue&quot;"/>
      </rPr>
      <t>flightaware.com</t>
    </r>
  </si>
  <si>
    <t>Online Behavior&gt;United States&gt;Arts and Entertainment&gt;Events and Listings Â» Concerts and Music Festivals</t>
  </si>
  <si>
    <r>
      <rPr>
        <u/>
        <sz val="8"/>
        <color rgb="FF1155CC"/>
        <rFont val="&quot;Helvetica Neue&quot;"/>
      </rPr>
      <t>usssa.com</t>
    </r>
  </si>
  <si>
    <t>Online Behavior&gt;United States&gt;Finance Â» Banking&gt;Debit and Checking Services</t>
  </si>
  <si>
    <r>
      <rPr>
        <u/>
        <sz val="8"/>
        <color rgb="FF1155CC"/>
        <rFont val="&quot;Helvetica Neue&quot;"/>
      </rPr>
      <t>thegamer.com</t>
    </r>
  </si>
  <si>
    <t>Online Behavior&gt;United States&gt;Arts and Entertainment&gt;Events and Listings Â» Bars, Clubs and Nightlife</t>
  </si>
  <si>
    <r>
      <rPr>
        <u/>
        <sz val="8"/>
        <color rgb="FF1155CC"/>
        <rFont val="&quot;Helvetica Neue&quot;"/>
      </rPr>
      <t>activebeat.com</t>
    </r>
  </si>
  <si>
    <t>Online Behavior&gt;United States&gt;Life Event&gt;College Applications</t>
  </si>
  <si>
    <r>
      <rPr>
        <u/>
        <sz val="8"/>
        <color rgb="FF1155CC"/>
        <rFont val="&quot;Helvetica Neue&quot;"/>
      </rPr>
      <t>yahoo.com</t>
    </r>
  </si>
  <si>
    <t>Online Behavior&gt;United States&gt;Travel&gt;Air Travel</t>
  </si>
  <si>
    <r>
      <rPr>
        <u/>
        <sz val="8"/>
        <color rgb="FF1155CC"/>
        <rFont val="&quot;Helvetica Neue&quot;"/>
      </rPr>
      <t>finance.yahoo.com</t>
    </r>
  </si>
  <si>
    <t>Online Behavior&gt;United States&gt;Travel&gt;Tourist Destinations Â» Beaches and Islands</t>
  </si>
  <si>
    <r>
      <rPr>
        <u/>
        <sz val="8"/>
        <color rgb="FF1155CC"/>
        <rFont val="&quot;Helvetica Neue&quot;"/>
      </rPr>
      <t>cheezburger.com</t>
    </r>
  </si>
  <si>
    <t>Online Behavior&gt;United States&gt;Beauty and Fitness&gt;Weight Loss</t>
  </si>
  <si>
    <r>
      <rPr>
        <u/>
        <sz val="8"/>
        <color rgb="FF1155CC"/>
        <rFont val="&quot;Helvetica Neue&quot;"/>
      </rPr>
      <t>mail.yahoo.com</t>
    </r>
  </si>
  <si>
    <t>Online Behavior&gt;United States&gt;Finance Â» Accounting and Auditing&gt;Accounting and Auditing</t>
  </si>
  <si>
    <r>
      <rPr>
        <u/>
        <sz val="8"/>
        <color rgb="FF1155CC"/>
        <rFont val="&quot;Helvetica Neue&quot;"/>
      </rPr>
      <t>yahoo.com</t>
    </r>
  </si>
  <si>
    <t>Online Behavior&gt;United States&gt;Beauty and Fitness&gt;Face and Body Care Â» Hygiene and Toiletries</t>
  </si>
  <si>
    <r>
      <rPr>
        <u/>
        <sz val="8"/>
        <color rgb="FF1155CC"/>
        <rFont val="&quot;Helvetica Neue&quot;"/>
      </rPr>
      <t>the-sun.com</t>
    </r>
  </si>
  <si>
    <t>Online Behavior&gt;United States&gt;Finance Â» Insurance&gt;Insurance</t>
  </si>
  <si>
    <r>
      <rPr>
        <u/>
        <sz val="8"/>
        <color rgb="FF1155CC"/>
        <rFont val="&quot;Helvetica Neue&quot;"/>
      </rPr>
      <t>foxnews.com</t>
    </r>
  </si>
  <si>
    <t>Online Behavior&gt;United States&gt;Travel&gt;Tourist Destinations Â» Lakes and Rivers</t>
  </si>
  <si>
    <r>
      <rPr>
        <u/>
        <sz val="8"/>
        <color rgb="FF1155CC"/>
        <rFont val="&quot;Helvetica Neue&quot;"/>
      </rPr>
      <t>flightaware.com</t>
    </r>
  </si>
  <si>
    <t>Online Behavior&gt;United States&gt;Finance Â» Credit and Lending&gt;Loans</t>
  </si>
  <si>
    <r>
      <rPr>
        <u/>
        <sz val="8"/>
        <color rgb="FF1155CC"/>
        <rFont val="&quot;Helvetica Neue&quot;"/>
      </rPr>
      <t>ebay.com</t>
    </r>
  </si>
  <si>
    <t>Online Behavior&gt;United States&gt;Finance Â» Credit and Lending&gt;Credit and Lending</t>
  </si>
  <si>
    <r>
      <rPr>
        <u/>
        <sz val="8"/>
        <color rgb="FF1155CC"/>
        <rFont val="&quot;Helvetica Neue&quot;"/>
      </rPr>
      <t>msn.com</t>
    </r>
  </si>
  <si>
    <t>Online Behavior&gt;United States&gt;Beauty and Fitness&gt;Fitness</t>
  </si>
  <si>
    <r>
      <rPr>
        <u/>
        <sz val="8"/>
        <color rgb="FF1155CC"/>
        <rFont val="&quot;Helvetica Neue&quot;"/>
      </rPr>
      <t>mail.yahoo.com</t>
    </r>
  </si>
  <si>
    <t>Online Behavior&gt;United States&gt;Beauty and Fitness&gt;Spas and Beauty Services</t>
  </si>
  <si>
    <r>
      <rPr>
        <u/>
        <sz val="8"/>
        <color rgb="FF1155CC"/>
        <rFont val="&quot;Helvetica Neue&quot;"/>
      </rPr>
      <t>yahoo.com</t>
    </r>
  </si>
  <si>
    <t>Online Behavior&gt;United States&gt;Finance Â» Financial Planning and Management&gt;Financial Planning and Management</t>
  </si>
  <si>
    <r>
      <rPr>
        <u/>
        <sz val="8"/>
        <color rgb="FF1155CC"/>
        <rFont val="&quot;Helvetica Neue&quot;"/>
      </rPr>
      <t>mail.yahoo.com</t>
    </r>
  </si>
  <si>
    <t>Lotame Â» Travel Â» Thanksgiving Travel</t>
  </si>
  <si>
    <t>Cincinnati, Ohio</t>
  </si>
  <si>
    <r>
      <rPr>
        <u/>
        <sz val="8"/>
        <color rgb="FF1155CC"/>
        <rFont val="&quot;Helvetica Neue&quot;"/>
      </rPr>
      <t>weather.com</t>
    </r>
  </si>
  <si>
    <t>OnAudience Â» Intent Â» Education</t>
  </si>
  <si>
    <t>Flint-Saginaw-Bay City, Michigan</t>
  </si>
  <si>
    <r>
      <rPr>
        <u/>
        <sz val="8"/>
        <color rgb="FF1155CC"/>
        <rFont val="&quot;Helvetica Neue&quot;"/>
      </rPr>
      <t>icy-veins.com</t>
    </r>
  </si>
  <si>
    <t>Transactional Â» Q3 Fashion Shoppers</t>
  </si>
  <si>
    <r>
      <rPr>
        <u/>
        <sz val="8"/>
        <color rgb="FF1155CC"/>
        <rFont val="&quot;Helvetica Neue&quot;"/>
      </rPr>
      <t>zillow.com</t>
    </r>
  </si>
  <si>
    <t>Lotame Â» Technology Â» Electronics &amp; Gadgets</t>
  </si>
  <si>
    <r>
      <rPr>
        <u/>
        <sz val="8"/>
        <color rgb="FF1155CC"/>
        <rFont val="&quot;Helvetica Neue&quot;"/>
      </rPr>
      <t>kbb.com</t>
    </r>
  </si>
  <si>
    <t>OnAudience Â» Interest Â» Careers</t>
  </si>
  <si>
    <r>
      <rPr>
        <u/>
        <sz val="8"/>
        <color rgb="FF1155CC"/>
        <rFont val="&quot;Helvetica Neue&quot;"/>
      </rPr>
      <t>biblegateway.com</t>
    </r>
  </si>
  <si>
    <t>Media and Entertainment Â» Events and Attractions</t>
  </si>
  <si>
    <r>
      <rPr>
        <u/>
        <sz val="8"/>
        <color rgb="FF1155CC"/>
        <rFont val="&quot;Helvetica Neue&quot;"/>
      </rPr>
      <t>motor-junkie.com</t>
    </r>
  </si>
  <si>
    <t>OnAudience Â» Interest Â» Technology &amp; Computing</t>
  </si>
  <si>
    <r>
      <rPr>
        <u/>
        <sz val="8"/>
        <color rgb="FF1155CC"/>
        <rFont val="&quot;Helvetica Neue&quot;"/>
      </rPr>
      <t>wunderground.com</t>
    </r>
  </si>
  <si>
    <t>US Â» Reach Â» Propensity Models Â» Hobbies and Interest Â» Food and Drinks Â» Eats at Family Restaurants</t>
  </si>
  <si>
    <r>
      <rPr>
        <u/>
        <sz val="8"/>
        <color rgb="FF1155CC"/>
        <rFont val="&quot;Helvetica Neue&quot;"/>
      </rPr>
      <t>poshland.com</t>
    </r>
  </si>
  <si>
    <t>Online Behavior&gt;United States&gt;The Changing Consumer&gt;Home Entertaining</t>
  </si>
  <si>
    <r>
      <rPr>
        <u/>
        <sz val="8"/>
        <color rgb="FF1155CC"/>
        <rFont val="&quot;Helvetica Neue&quot;"/>
      </rPr>
      <t>mail.yahoo.com</t>
    </r>
  </si>
  <si>
    <t>Online Behavior&gt;United States&gt;Autos and Vehicles Â» Brands&gt;Mini</t>
  </si>
  <si>
    <r>
      <rPr>
        <u/>
        <sz val="8"/>
        <color rgb="FF1155CC"/>
        <rFont val="&quot;Helvetica Neue&quot;"/>
      </rPr>
      <t>signupgenius.com</t>
    </r>
  </si>
  <si>
    <t>Online Behavior&gt;United States&gt;People and Society&gt;Family and Relationships Â» Moms</t>
  </si>
  <si>
    <r>
      <rPr>
        <u/>
        <sz val="8"/>
        <color rgb="FF1155CC"/>
        <rFont val="&quot;Helvetica Neue&quot;"/>
      </rPr>
      <t>my.yahoo.com</t>
    </r>
  </si>
  <si>
    <t>US Â» Home and Garden Interests Â» Cooking Â» Food Enthusiasts</t>
  </si>
  <si>
    <t>Ft. Myers-Naples, Florida</t>
  </si>
  <si>
    <r>
      <rPr>
        <u/>
        <sz val="8"/>
        <color rgb="FF1155CC"/>
        <rFont val="&quot;Helvetica Neue&quot;"/>
      </rPr>
      <t>ajc.com</t>
    </r>
  </si>
  <si>
    <t>US Travel Â» Likely Business Travel Â» Number of Nights Stayed Â» 0 Nights</t>
  </si>
  <si>
    <r>
      <rPr>
        <u/>
        <sz val="8"/>
        <color rgb="FF1155CC"/>
        <rFont val="&quot;Helvetica Neue&quot;"/>
      </rPr>
      <t>screenrant.com</t>
    </r>
  </si>
  <si>
    <t>US Â» Brand Propensities Â» Apparel Â» The Men's Wearhouse Buyer Propensity</t>
  </si>
  <si>
    <r>
      <rPr>
        <u/>
        <sz val="8"/>
        <color rgb="FF1155CC"/>
        <rFont val="&quot;Helvetica Neue&quot;"/>
      </rPr>
      <t>yahoo.com</t>
    </r>
  </si>
  <si>
    <t>US Â» Interest Propensities Â» Insurance Â» Humana</t>
  </si>
  <si>
    <r>
      <rPr>
        <u/>
        <sz val="8"/>
        <color rgb="FF1155CC"/>
        <rFont val="&quot;Helvetica Neue&quot;"/>
      </rPr>
      <t>mlb.com</t>
    </r>
  </si>
  <si>
    <r>
      <t xml:space="preserve">US Â» Brand Propensities Â» Media and Entertainment Â» </t>
    </r>
    <r>
      <rPr>
        <b/>
        <u/>
        <sz val="8"/>
        <color rgb="FF1155CC"/>
        <rFont val="&quot;Helvetica Neue&quot;"/>
      </rPr>
      <t>wwe.com</t>
    </r>
    <r>
      <rPr>
        <b/>
        <sz val="8"/>
        <rFont val="&quot;Helvetica Neue&quot;"/>
      </rPr>
      <t>Buyer Propensity</t>
    </r>
  </si>
  <si>
    <r>
      <rPr>
        <u/>
        <sz val="8"/>
        <color rgb="FF1155CC"/>
        <rFont val="&quot;Helvetica Neue&quot;"/>
      </rPr>
      <t>allrecipes.com</t>
    </r>
  </si>
  <si>
    <t>OnAudience Â» Interest Â» Shopping Â» Luxurious Brands</t>
  </si>
  <si>
    <r>
      <rPr>
        <u/>
        <sz val="8"/>
        <color rgb="FF1155CC"/>
        <rFont val="&quot;Helvetica Neue&quot;"/>
      </rPr>
      <t>the-sun.com</t>
    </r>
  </si>
  <si>
    <t>US Â» Reach Â» Propensity Models Â» Real Estate Â» Mortgage Amount Â» $120,000-$159,999</t>
  </si>
  <si>
    <r>
      <rPr>
        <u/>
        <sz val="8"/>
        <color rgb="FF1155CC"/>
        <rFont val="&quot;Helvetica Neue&quot;"/>
      </rPr>
      <t>m.timesofindia.com</t>
    </r>
  </si>
  <si>
    <t>OnAudience Â» Interest Â» Shopping</t>
  </si>
  <si>
    <r>
      <rPr>
        <u/>
        <sz val="8"/>
        <color rgb="FF1155CC"/>
        <rFont val="&quot;Helvetica Neue&quot;"/>
      </rPr>
      <t>news.yahoo.com</t>
    </r>
  </si>
  <si>
    <t>US Â» Interest Propensities Â» Brands Â» Quick Service Restaurants</t>
  </si>
  <si>
    <r>
      <rPr>
        <u/>
        <sz val="8"/>
        <color rgb="FF1155CC"/>
        <rFont val="&quot;Helvetica Neue&quot;"/>
      </rPr>
      <t>accuweather.com</t>
    </r>
  </si>
  <si>
    <t>Online Behavior&gt;United States&gt;Autos and Vehicles Â» Brands&gt;Maserati</t>
  </si>
  <si>
    <r>
      <rPr>
        <u/>
        <sz val="8"/>
        <color rgb="FF1155CC"/>
        <rFont val="&quot;Helvetica Neue&quot;"/>
      </rPr>
      <t>foxnews.com</t>
    </r>
  </si>
  <si>
    <t>Online Behavior&gt;United States&gt;Validated Demographic Â» Gender and Age Combined&gt;Females 25-64</t>
  </si>
  <si>
    <r>
      <rPr>
        <u/>
        <sz val="8"/>
        <color rgb="FF1155CC"/>
        <rFont val="&quot;Helvetica Neue&quot;"/>
      </rPr>
      <t>mail.yahoo.com</t>
    </r>
  </si>
  <si>
    <t>Online Behavior&gt;United States&gt;Autos and Vehicles Â» Brands&gt;Volkswagen</t>
  </si>
  <si>
    <r>
      <rPr>
        <u/>
        <sz val="8"/>
        <color rgb="FF1155CC"/>
        <rFont val="&quot;Helvetica Neue&quot;"/>
      </rPr>
      <t>mlb.com</t>
    </r>
  </si>
  <si>
    <t>Online Behavior&gt;United States&gt;Intent Â» Shopping&gt;Home and Garden</t>
  </si>
  <si>
    <r>
      <rPr>
        <u/>
        <sz val="8"/>
        <color rgb="FF1155CC"/>
        <rFont val="&quot;Helvetica Neue&quot;"/>
      </rPr>
      <t>msn.com</t>
    </r>
  </si>
  <si>
    <t>Online Behavior&gt;United States&gt;Games&gt;Arcade and Coin-Op Games</t>
  </si>
  <si>
    <r>
      <rPr>
        <u/>
        <sz val="8"/>
        <color rgb="FF1155CC"/>
        <rFont val="&quot;Helvetica Neue&quot;"/>
      </rPr>
      <t>yahoo.com</t>
    </r>
  </si>
  <si>
    <t>Mobile - US Â» Sports Â» Motor Sports Â» NASCAR</t>
  </si>
  <si>
    <t>Ft. Wayne, Indiana</t>
  </si>
  <si>
    <r>
      <rPr>
        <u/>
        <sz val="8"/>
        <color rgb="FF1155CC"/>
        <rFont val="&quot;Helvetica Neue&quot;"/>
      </rPr>
      <t>yahoo.com</t>
    </r>
  </si>
  <si>
    <t>US Â» Brand Propensities Â» Health Â» Beauty and Cosmetics Â» Bare Escentuals Buyer Propensity</t>
  </si>
  <si>
    <r>
      <rPr>
        <u/>
        <sz val="8"/>
        <color rgb="FF1155CC"/>
        <rFont val="&quot;Helvetica Neue&quot;"/>
      </rPr>
      <t>dailymail.co.uk/tvshowbiz</t>
    </r>
  </si>
  <si>
    <t>US Â» Brand Propensities Â» Telecom and Service Providers Â» Page Plus Cellular Buyer Propensity</t>
  </si>
  <si>
    <r>
      <rPr>
        <u/>
        <sz val="8"/>
        <color rgb="FF1155CC"/>
        <rFont val="&quot;Helvetica Neue&quot;"/>
      </rPr>
      <t>merriam-webster.com</t>
    </r>
  </si>
  <si>
    <t>US Â» B2B Â» B2B Decision Maker Responsibilities Â» Purchasing Vehicles or Automobile Services</t>
  </si>
  <si>
    <r>
      <rPr>
        <u/>
        <sz val="8"/>
        <color rgb="FF1155CC"/>
        <rFont val="&quot;Helvetica Neue&quot;"/>
      </rPr>
      <t>yahoo.com</t>
    </r>
  </si>
  <si>
    <t>Online Behavior&gt;United States&gt;Food and Drink&gt;Food and Grocery Retailers</t>
  </si>
  <si>
    <r>
      <rPr>
        <u/>
        <sz val="8"/>
        <color rgb="FF1155CC"/>
        <rFont val="&quot;Helvetica Neue&quot;"/>
      </rPr>
      <t>drugs.com</t>
    </r>
  </si>
  <si>
    <t>Online Behavior&gt;United States&gt;Travel&gt;Travel Agencies and Services Â» Tourist Boards and Visitor Centers</t>
  </si>
  <si>
    <r>
      <rPr>
        <u/>
        <sz val="8"/>
        <color rgb="FF1155CC"/>
        <rFont val="&quot;Helvetica Neue&quot;"/>
      </rPr>
      <t>nbcnews.com</t>
    </r>
  </si>
  <si>
    <t>OnAudience Â» Intent Â» Auto Â» Vehicle Parts &amp; Accessories</t>
  </si>
  <si>
    <t>Grand Rapids-Kalamazoo, Michigan</t>
  </si>
  <si>
    <r>
      <rPr>
        <u/>
        <sz val="8"/>
        <color rgb="FF1155CC"/>
        <rFont val="&quot;Helvetica Neue&quot;"/>
      </rPr>
      <t>ebay.com</t>
    </r>
  </si>
  <si>
    <t>US Â» Demo Â» Age Â» 55-64</t>
  </si>
  <si>
    <r>
      <rPr>
        <u/>
        <sz val="8"/>
        <color rgb="FF1155CC"/>
        <rFont val="&quot;Helvetica Neue&quot;"/>
      </rPr>
      <t>ajc.com</t>
    </r>
  </si>
  <si>
    <t>Media and Entertainment Â» Audio and Video Streaming Â» Streaming Video</t>
  </si>
  <si>
    <r>
      <rPr>
        <u/>
        <sz val="8"/>
        <color rgb="FF1155CC"/>
        <rFont val="&quot;Helvetica Neue&quot;"/>
      </rPr>
      <t>wunderground.com</t>
    </r>
  </si>
  <si>
    <t>OnAudience Â» Interest Â» Arts &amp; Entertainment Â» Movies</t>
  </si>
  <si>
    <r>
      <rPr>
        <u/>
        <sz val="8"/>
        <color rgb="FF1155CC"/>
        <rFont val="&quot;Helvetica Neue&quot;"/>
      </rPr>
      <t>realtor.com</t>
    </r>
  </si>
  <si>
    <t>Lotame Â» Online Shoppers Â» Online Shoppers</t>
  </si>
  <si>
    <r>
      <rPr>
        <u/>
        <sz val="8"/>
        <color rgb="FF1155CC"/>
        <rFont val="&quot;Helvetica Neue&quot;"/>
      </rPr>
      <t>sciencealert.com</t>
    </r>
  </si>
  <si>
    <t>Mobile - US Â» Demographics Â» Finance Â» Rent Value Â» Highest Rent Value</t>
  </si>
  <si>
    <r>
      <rPr>
        <u/>
        <sz val="8"/>
        <color rgb="FF1155CC"/>
        <rFont val="&quot;Helvetica Neue&quot;"/>
      </rPr>
      <t>omnicalculator.com</t>
    </r>
  </si>
  <si>
    <t>Telecommunications and Mobile Tech Â» Mobile Devices and Connected Technology</t>
  </si>
  <si>
    <r>
      <rPr>
        <u/>
        <sz val="8"/>
        <color rgb="FF1155CC"/>
        <rFont val="&quot;Helvetica Neue&quot;"/>
      </rPr>
      <t>realtor.com</t>
    </r>
  </si>
  <si>
    <t>US Â» B2B Â» B2B Decision Maker Responsibilities Â» Advertising Services</t>
  </si>
  <si>
    <r>
      <rPr>
        <u/>
        <sz val="8"/>
        <color rgb="FF1155CC"/>
        <rFont val="&quot;Helvetica Neue&quot;"/>
      </rPr>
      <t>dmv.org</t>
    </r>
  </si>
  <si>
    <t>US Buying Channel Preference Â» Online</t>
  </si>
  <si>
    <r>
      <rPr>
        <u/>
        <sz val="8"/>
        <color rgb="FF1155CC"/>
        <rFont val="&quot;Helvetica Neue&quot;"/>
      </rPr>
      <t>travelerdreams.com</t>
    </r>
  </si>
  <si>
    <t>US Â» AUTO Â» Auto Car Purchase Next Year Â» Yes</t>
  </si>
  <si>
    <r>
      <rPr>
        <u/>
        <sz val="8"/>
        <color rgb="FF1155CC"/>
        <rFont val="&quot;Helvetica Neue&quot;"/>
      </rPr>
      <t>whatismyipaddress.com</t>
    </r>
  </si>
  <si>
    <t>Media and Entertainment Â» Television (TV)</t>
  </si>
  <si>
    <r>
      <rPr>
        <u/>
        <sz val="8"/>
        <color rgb="FF1155CC"/>
        <rFont val="&quot;Helvetica Neue&quot;"/>
      </rPr>
      <t>poshland.com</t>
    </r>
  </si>
  <si>
    <t>US Â» Interest Propensities Â» Activities and Interests Â» Local News</t>
  </si>
  <si>
    <r>
      <rPr>
        <u/>
        <sz val="8"/>
        <color rgb="FF1155CC"/>
        <rFont val="&quot;Helvetica Neue&quot;"/>
      </rPr>
      <t>activebeat.com</t>
    </r>
  </si>
  <si>
    <t>Mobile - US Â» Food Â» Restaurant Â» Brand Â» Krispy Kreme</t>
  </si>
  <si>
    <r>
      <rPr>
        <u/>
        <sz val="8"/>
        <color rgb="FF1155CC"/>
        <rFont val="&quot;Helvetica Neue&quot;"/>
      </rPr>
      <t>usnews.com</t>
    </r>
  </si>
  <si>
    <t>US Â» B2B Â» B2B Decision Maker Responsibilities Â» Purchasing Utilities</t>
  </si>
  <si>
    <r>
      <rPr>
        <u/>
        <sz val="8"/>
        <color rgb="FF1155CC"/>
        <rFont val="&quot;Helvetica Neue&quot;"/>
      </rPr>
      <t>accuweather.com</t>
    </r>
  </si>
  <si>
    <t>Media and Entertainment Â» News and Current Events Â» Online News Websites</t>
  </si>
  <si>
    <r>
      <rPr>
        <u/>
        <sz val="8"/>
        <color rgb="FF1155CC"/>
        <rFont val="&quot;Helvetica Neue&quot;"/>
      </rPr>
      <t>newsharper.com</t>
    </r>
  </si>
  <si>
    <t>OnAudience Â» Interest Â» News</t>
  </si>
  <si>
    <r>
      <rPr>
        <u/>
        <sz val="8"/>
        <color rgb="FF1155CC"/>
        <rFont val="&quot;Helvetica Neue&quot;"/>
      </rPr>
      <t>outlook.live.com</t>
    </r>
  </si>
  <si>
    <t>US Â» Reach Â» Propensity Models Â» Hobbies and Interest Â» Sports Â» NFL Enthusiast</t>
  </si>
  <si>
    <r>
      <rPr>
        <u/>
        <sz val="8"/>
        <color rgb="FF1155CC"/>
        <rFont val="&quot;Helvetica Neue&quot;"/>
      </rPr>
      <t>medicalnewstoday.com</t>
    </r>
  </si>
  <si>
    <t>Online Behavior&gt;United States&gt;Validated Demographic Â» Age&gt;25-44</t>
  </si>
  <si>
    <r>
      <rPr>
        <u/>
        <sz val="8"/>
        <color rgb="FF1155CC"/>
        <rFont val="&quot;Helvetica Neue&quot;"/>
      </rPr>
      <t>cheapoair.com</t>
    </r>
  </si>
  <si>
    <t>Online Behavior&gt;United States&gt;Life Event&gt;Movers</t>
  </si>
  <si>
    <r>
      <rPr>
        <u/>
        <sz val="8"/>
        <color rgb="FF1155CC"/>
        <rFont val="&quot;Helvetica Neue&quot;"/>
      </rPr>
      <t>yahoo.com</t>
    </r>
  </si>
  <si>
    <t>Online Behavior&gt;United States&gt;Intent Â» Auto Buyers Â» Car Make&gt;Audi Q</t>
  </si>
  <si>
    <r>
      <rPr>
        <u/>
        <sz val="8"/>
        <color rgb="FF1155CC"/>
        <rFont val="&quot;Helvetica Neue&quot;"/>
      </rPr>
      <t>accuweather.com</t>
    </r>
  </si>
  <si>
    <t>Online Behavior&gt;United States&gt;Validated Demographic Â» Age&gt;18-64</t>
  </si>
  <si>
    <r>
      <rPr>
        <u/>
        <sz val="8"/>
        <color rgb="FF1155CC"/>
        <rFont val="&quot;Helvetica Neue&quot;"/>
      </rPr>
      <t>cars.com</t>
    </r>
  </si>
  <si>
    <t>Online Behavior&gt;United States&gt;Sports&gt;Individual Sports Â» Bowling</t>
  </si>
  <si>
    <r>
      <rPr>
        <u/>
        <sz val="8"/>
        <color rgb="FF1155CC"/>
        <rFont val="&quot;Helvetica Neue&quot;"/>
      </rPr>
      <t>mail.aol.com</t>
    </r>
  </si>
  <si>
    <t>Smart RTB+ (Smartadserver)</t>
  </si>
  <si>
    <t>Online Behavior&gt;United States&gt;Hobbies and Leisure&gt;Crafts</t>
  </si>
  <si>
    <r>
      <rPr>
        <u/>
        <sz val="8"/>
        <color rgb="FF1155CC"/>
        <rFont val="&quot;Helvetica Neue&quot;"/>
      </rPr>
      <t>news.yahoo.com</t>
    </r>
  </si>
  <si>
    <t>Online Behavior&gt;United States&gt;Home and Garden&gt;Kitchen and Dining</t>
  </si>
  <si>
    <r>
      <rPr>
        <u/>
        <sz val="8"/>
        <color rgb="FF1155CC"/>
        <rFont val="&quot;Helvetica Neue&quot;"/>
      </rPr>
      <t>poshland.com</t>
    </r>
  </si>
  <si>
    <t>Online Behavior&gt;United States&gt;Law and Government&gt;Military</t>
  </si>
  <si>
    <r>
      <rPr>
        <u/>
        <sz val="8"/>
        <color rgb="FF1155CC"/>
        <rFont val="&quot;Helvetica Neue&quot;"/>
      </rPr>
      <t>cars.com</t>
    </r>
  </si>
  <si>
    <t>Online Behavior&gt;United States&gt;The Changing Consumer&gt;DIY</t>
  </si>
  <si>
    <r>
      <rPr>
        <u/>
        <sz val="8"/>
        <color rgb="FF1155CC"/>
        <rFont val="&quot;Helvetica Neue&quot;"/>
      </rPr>
      <t>techradar.com</t>
    </r>
  </si>
  <si>
    <t>US Â» AUTO Â» Primary Vehicle Â» Owned or Leased Â» Company Car</t>
  </si>
  <si>
    <t>Hattiesburg-Laurel, Mississippi</t>
  </si>
  <si>
    <r>
      <rPr>
        <u/>
        <sz val="8"/>
        <color rgb="FF1155CC"/>
        <rFont val="&quot;Helvetica Neue&quot;"/>
      </rPr>
      <t>onechicagocenter.com</t>
    </r>
  </si>
  <si>
    <t>US Â» Interest Propensities Â» Oil &amp; Gas Â» QuickTrip</t>
  </si>
  <si>
    <t>Huntsville-Decatur (Florence), Alabama</t>
  </si>
  <si>
    <r>
      <rPr>
        <u/>
        <sz val="8"/>
        <color rgb="FF1155CC"/>
        <rFont val="&quot;Helvetica Neue&quot;"/>
      </rPr>
      <t>cargurus.com</t>
    </r>
  </si>
  <si>
    <t>Online Behavior&gt;United States&gt;Intent Â» Travel&gt;Luxury Travel</t>
  </si>
  <si>
    <r>
      <rPr>
        <u/>
        <sz val="8"/>
        <color rgb="FF1155CC"/>
        <rFont val="&quot;Helvetica Neue&quot;"/>
      </rPr>
      <t>seedsgames.com</t>
    </r>
  </si>
  <si>
    <t>US Â» Interest Propensities Â» Activities and Interests Â» College Life</t>
  </si>
  <si>
    <t>Jackson, Mississippi</t>
  </si>
  <si>
    <r>
      <rPr>
        <u/>
        <sz val="8"/>
        <color rgb="FF1155CC"/>
        <rFont val="&quot;Helvetica Neue&quot;"/>
      </rPr>
      <t>msn.com</t>
    </r>
  </si>
  <si>
    <t>Purchase Behaviors Â» Q2 Spring Cleaners</t>
  </si>
  <si>
    <r>
      <rPr>
        <u/>
        <sz val="8"/>
        <color rgb="FF1155CC"/>
        <rFont val="&quot;Helvetica Neue&quot;"/>
      </rPr>
      <t>usatoday.com</t>
    </r>
  </si>
  <si>
    <t>Online Behavior&gt;United States&gt;Finance Â» Accounting and Auditing&gt;Bookkeeping</t>
  </si>
  <si>
    <r>
      <rPr>
        <u/>
        <sz val="8"/>
        <color rgb="FF1155CC"/>
        <rFont val="&quot;Helvetica Neue&quot;"/>
      </rPr>
      <t>kbb.com</t>
    </r>
  </si>
  <si>
    <t>Online Behavior&gt;United States&gt;Autos and Vehicles Â» Brands&gt;Saab</t>
  </si>
  <si>
    <r>
      <rPr>
        <u/>
        <sz val="8"/>
        <color rgb="FF1155CC"/>
        <rFont val="&quot;Helvetica Neue&quot;"/>
      </rPr>
      <t>geeksforgeeks.org</t>
    </r>
  </si>
  <si>
    <t>US Â» B2B Â» B2B Decision Maker Responsibilities Â» Marketing or Market Research</t>
  </si>
  <si>
    <t>Jacksonville, Florida</t>
  </si>
  <si>
    <r>
      <rPr>
        <u/>
        <sz val="8"/>
        <color rgb="FF1155CC"/>
        <rFont val="&quot;Helvetica Neue&quot;"/>
      </rPr>
      <t>fortune.com</t>
    </r>
  </si>
  <si>
    <t>OnAudience Â» Interest Â» Technology &amp; Computing Â» Email</t>
  </si>
  <si>
    <r>
      <rPr>
        <u/>
        <sz val="8"/>
        <color rgb="FF1155CC"/>
        <rFont val="&quot;Helvetica Neue&quot;"/>
      </rPr>
      <t>sporcle.com</t>
    </r>
  </si>
  <si>
    <t>Media and Entertainment Â» Movies Â» Enthusiasts</t>
  </si>
  <si>
    <r>
      <rPr>
        <u/>
        <sz val="8"/>
        <color rgb="FF1155CC"/>
        <rFont val="&quot;Helvetica Neue&quot;"/>
      </rPr>
      <t>wsvn.com</t>
    </r>
  </si>
  <si>
    <t>US Â» B2B Â» B2B Decision Maker Responsibilities Â» Real Estate Services</t>
  </si>
  <si>
    <r>
      <rPr>
        <u/>
        <sz val="8"/>
        <color rgb="FF1155CC"/>
        <rFont val="&quot;Helvetica Neue&quot;"/>
      </rPr>
      <t>zillow.com</t>
    </r>
  </si>
  <si>
    <t>Mobile - US Â» Device Ownership Â» Smartphones Â» ZTE</t>
  </si>
  <si>
    <r>
      <rPr>
        <u/>
        <sz val="8"/>
        <color rgb="FF1155CC"/>
        <rFont val="&quot;Helvetica Neue&quot;"/>
      </rPr>
      <t>ebay.com</t>
    </r>
  </si>
  <si>
    <t>US Â» Brand Propensities Â» Automotive Â» Ford Credit Buyer Propensity</t>
  </si>
  <si>
    <r>
      <rPr>
        <u/>
        <sz val="8"/>
        <color rgb="FF1155CC"/>
        <rFont val="&quot;Helvetica Neue&quot;"/>
      </rPr>
      <t>zillow.com</t>
    </r>
  </si>
  <si>
    <t>US Â» Brand Propensities Â» Travel Â» Hotel Tonight Buyer Propensity</t>
  </si>
  <si>
    <r>
      <rPr>
        <u/>
        <sz val="8"/>
        <color rgb="FF1155CC"/>
        <rFont val="&quot;Helvetica Neue&quot;"/>
      </rPr>
      <t>biblegateway.com</t>
    </r>
  </si>
  <si>
    <t>US Â» Brand Propensities Â» Media and Entertainment Â» Regal Cinemas Buyer Propensity</t>
  </si>
  <si>
    <r>
      <rPr>
        <u/>
        <sz val="8"/>
        <color rgb="FF1155CC"/>
        <rFont val="&quot;Helvetica Neue&quot;"/>
      </rPr>
      <t>finance.yahoo.com</t>
    </r>
  </si>
  <si>
    <t>US Â» Home and Garden Interests Â» House and Garden Merchandise Buyers</t>
  </si>
  <si>
    <r>
      <rPr>
        <u/>
        <sz val="8"/>
        <color rgb="FF1155CC"/>
        <rFont val="&quot;Helvetica Neue&quot;"/>
      </rPr>
      <t>mail.aol.com</t>
    </r>
  </si>
  <si>
    <t>Mobile - US Â» Food Â» Restaurant Â» Brand Â» Moes Southwest Grill</t>
  </si>
  <si>
    <r>
      <rPr>
        <u/>
        <sz val="8"/>
        <color rgb="FF1155CC"/>
        <rFont val="&quot;Helvetica Neue&quot;"/>
      </rPr>
      <t>mapquest.com</t>
    </r>
  </si>
  <si>
    <t>Online Behavior&gt;United States&gt;B2B Â» Occupation&gt;SupplyChainManager</t>
  </si>
  <si>
    <r>
      <rPr>
        <u/>
        <sz val="8"/>
        <color rgb="FF1155CC"/>
        <rFont val="&quot;Helvetica Neue&quot;"/>
      </rPr>
      <t>my.earthlink.net</t>
    </r>
  </si>
  <si>
    <t>NI16F</t>
  </si>
  <si>
    <t>Mobile - US Â» Device Ownership Â» Smartphones Â» iOS (Apple) Â» yes</t>
  </si>
  <si>
    <r>
      <rPr>
        <u/>
        <sz val="8"/>
        <color rgb="FF1155CC"/>
        <rFont val="&quot;Helvetica Neue&quot;"/>
      </rPr>
      <t>people.com</t>
    </r>
  </si>
  <si>
    <t>US Â» B2B Â» B2B Decision Maker Responsibilities Â» Television providers Â» services</t>
  </si>
  <si>
    <r>
      <rPr>
        <u/>
        <sz val="8"/>
        <color rgb="FF1155CC"/>
        <rFont val="&quot;Helvetica Neue&quot;"/>
      </rPr>
      <t>streetinsider.com</t>
    </r>
  </si>
  <si>
    <t>Online Behavior&gt;United States&gt;Autos and Vehicles Â» Brands&gt;Bugatti</t>
  </si>
  <si>
    <r>
      <rPr>
        <u/>
        <sz val="8"/>
        <color rgb="FF1155CC"/>
        <rFont val="&quot;Helvetica Neue&quot;"/>
      </rPr>
      <t>mobileposse.com</t>
    </r>
  </si>
  <si>
    <t>US Â» Interest Propensities Â» Music Â» Country</t>
  </si>
  <si>
    <r>
      <rPr>
        <u/>
        <sz val="8"/>
        <color rgb="FF1155CC"/>
        <rFont val="&quot;Helvetica Neue&quot;"/>
      </rPr>
      <t>aol.com</t>
    </r>
  </si>
  <si>
    <t>US Â» B2B Â» B2B Decision Maker Responsibilities Â» Employee Benefits</t>
  </si>
  <si>
    <r>
      <rPr>
        <u/>
        <sz val="8"/>
        <color rgb="FF1155CC"/>
        <rFont val="&quot;Helvetica Neue&quot;"/>
      </rPr>
      <t>classmates.com</t>
    </r>
  </si>
  <si>
    <t>US Â» Entertainment and Pastimes Â» Entertainment and Pastimes</t>
  </si>
  <si>
    <r>
      <rPr>
        <u/>
        <sz val="8"/>
        <color rgb="FF1155CC"/>
        <rFont val="&quot;Helvetica Neue&quot;"/>
      </rPr>
      <t>whatismyipaddress.com</t>
    </r>
  </si>
  <si>
    <t>US Â» Interest Propensities Â» Brands Â» Big Box Retail</t>
  </si>
  <si>
    <r>
      <rPr>
        <u/>
        <sz val="8"/>
        <color rgb="FF1155CC"/>
        <rFont val="&quot;Helvetica Neue&quot;"/>
      </rPr>
      <t>yellowpages.com</t>
    </r>
  </si>
  <si>
    <t>US Â» Sociodemographic Â» ConneXions Lifestage Â» M3 Offline Seniors</t>
  </si>
  <si>
    <r>
      <rPr>
        <u/>
        <sz val="8"/>
        <color rgb="FF1155CC"/>
        <rFont val="&quot;Helvetica Neue&quot;"/>
      </rPr>
      <t>geeksforgeeks.org</t>
    </r>
  </si>
  <si>
    <t>Online Behavior&gt;United States&gt;Validated Demographic Â» Gender and Age Combined&gt;Females 35-44</t>
  </si>
  <si>
    <r>
      <rPr>
        <u/>
        <sz val="8"/>
        <color rgb="FF1155CC"/>
        <rFont val="&quot;Helvetica Neue&quot;"/>
      </rPr>
      <t>espn.com</t>
    </r>
  </si>
  <si>
    <t>Online Behavior&gt;United States&gt;Autos and Vehicles Â» Brands&gt;LandRover</t>
  </si>
  <si>
    <r>
      <rPr>
        <u/>
        <sz val="8"/>
        <color rgb="FF1155CC"/>
        <rFont val="&quot;Helvetica Neue&quot;"/>
      </rPr>
      <t>ebay.com</t>
    </r>
  </si>
  <si>
    <t>Online Behavior&gt;United States&gt;The Changing Consumer&gt;Telehealth</t>
  </si>
  <si>
    <r>
      <rPr>
        <u/>
        <sz val="8"/>
        <color rgb="FF1155CC"/>
        <rFont val="&quot;Helvetica Neue&quot;"/>
      </rPr>
      <t>slickdeals.net</t>
    </r>
  </si>
  <si>
    <t>Online Behavior&gt;United States&gt;Validated Demographic Â» Gender and Age Combined&gt;Males 18-64</t>
  </si>
  <si>
    <r>
      <rPr>
        <u/>
        <sz val="8"/>
        <color rgb="FF1155CC"/>
        <rFont val="&quot;Helvetica Neue&quot;"/>
      </rPr>
      <t>livescience.com</t>
    </r>
  </si>
  <si>
    <t>Online Behavior&gt;United States&gt;Finance Â» Grants, Scholarships and Financial Aid&gt;Government Grants</t>
  </si>
  <si>
    <r>
      <rPr>
        <u/>
        <sz val="8"/>
        <color rgb="FF1155CC"/>
        <rFont val="&quot;Helvetica Neue&quot;"/>
      </rPr>
      <t>signupgenius.com</t>
    </r>
  </si>
  <si>
    <t>Online Behavior&gt;United States&gt;Intent Â» Shopping&gt;Drug Stores</t>
  </si>
  <si>
    <r>
      <rPr>
        <u/>
        <sz val="8"/>
        <color rgb="FF1155CC"/>
        <rFont val="&quot;Helvetica Neue&quot;"/>
      </rPr>
      <t>investopedia.com</t>
    </r>
  </si>
  <si>
    <t>Online Behavior&gt;United States&gt;Sports&gt;Sports League Â» NBA</t>
  </si>
  <si>
    <r>
      <rPr>
        <u/>
        <sz val="8"/>
        <color rgb="FF1155CC"/>
        <rFont val="&quot;Helvetica Neue&quot;"/>
      </rPr>
      <t>biblegateway.com</t>
    </r>
  </si>
  <si>
    <t>Online Behavior&gt;United States&gt;Arts and Entertainment&gt;Music and Audio</t>
  </si>
  <si>
    <r>
      <rPr>
        <u/>
        <sz val="8"/>
        <color rgb="FF1155CC"/>
        <rFont val="&quot;Helvetica Neue&quot;"/>
      </rPr>
      <t>chicagotribune.com</t>
    </r>
  </si>
  <si>
    <t>Online Behavior&gt;United States&gt;Jobs and Education&gt;Jobs</t>
  </si>
  <si>
    <r>
      <rPr>
        <u/>
        <sz val="8"/>
        <color rgb="FF1155CC"/>
        <rFont val="&quot;Helvetica Neue&quot;"/>
      </rPr>
      <t>people.com</t>
    </r>
  </si>
  <si>
    <t>Online Behavior&gt;United States&gt;Online Communities&gt;Blogging Resources and Services</t>
  </si>
  <si>
    <r>
      <rPr>
        <u/>
        <sz val="8"/>
        <color rgb="FF1155CC"/>
        <rFont val="&quot;Helvetica Neue&quot;"/>
      </rPr>
      <t>signin.ebay.com</t>
    </r>
  </si>
  <si>
    <t>Online Behavior&gt;United States&gt;The Changing Consumer&gt;Streaming Services</t>
  </si>
  <si>
    <r>
      <rPr>
        <u/>
        <sz val="8"/>
        <color rgb="FF1155CC"/>
        <rFont val="&quot;Helvetica Neue&quot;"/>
      </rPr>
      <t>sports.yahoo.com</t>
    </r>
  </si>
  <si>
    <t>Online Behavior&gt;United States&gt;The Changing Consumer&gt;Trending TV Shows</t>
  </si>
  <si>
    <r>
      <rPr>
        <u/>
        <sz val="8"/>
        <color rgb="FF1155CC"/>
        <rFont val="&quot;Helvetica Neue&quot;"/>
      </rPr>
      <t>outlook.live.com</t>
    </r>
  </si>
  <si>
    <t>US Â»Price-Driven Traditionalist Audience</t>
  </si>
  <si>
    <t>Knoxville, Tennessee</t>
  </si>
  <si>
    <r>
      <rPr>
        <u/>
        <sz val="8"/>
        <color rgb="FF1155CC"/>
        <rFont val="&quot;Helvetica Neue&quot;"/>
      </rPr>
      <t>screenrant.com</t>
    </r>
  </si>
  <si>
    <t>Lotame Â» Style, Fashion &amp; Clothing Â» Children's Clothing Shoppers</t>
  </si>
  <si>
    <r>
      <rPr>
        <u/>
        <sz val="8"/>
        <color rgb="FF1155CC"/>
        <rFont val="&quot;Helvetica Neue&quot;"/>
      </rPr>
      <t>lensvid.com</t>
    </r>
  </si>
  <si>
    <t>US Â» Interest Propensities Â» Music Â» Hip Hop and Rap</t>
  </si>
  <si>
    <r>
      <rPr>
        <u/>
        <sz val="8"/>
        <color rgb="FF1155CC"/>
        <rFont val="&quot;Helvetica Neue&quot;"/>
      </rPr>
      <t>weather.com</t>
    </r>
  </si>
  <si>
    <t>Mobile - US Â» Device Ownership Â» Tablets Â» yes</t>
  </si>
  <si>
    <r>
      <rPr>
        <u/>
        <sz val="8"/>
        <color rgb="FF1155CC"/>
        <rFont val="&quot;Helvetica Neue&quot;"/>
      </rPr>
      <t>medicalnewstoday.com</t>
    </r>
  </si>
  <si>
    <t>US Â» Reach Â» Propensity Models Â» Hobbies and Interest Â» Sports Â» Fishing</t>
  </si>
  <si>
    <r>
      <rPr>
        <u/>
        <sz val="8"/>
        <color rgb="FF1155CC"/>
        <rFont val="&quot;Helvetica Neue&quot;"/>
      </rPr>
      <t>realtor.com</t>
    </r>
  </si>
  <si>
    <t>US Â» Reach Â» Sociodemographic Â» Homeowner Status Â» Renter</t>
  </si>
  <si>
    <r>
      <rPr>
        <u/>
        <sz val="8"/>
        <color rgb="FF1155CC"/>
        <rFont val="&quot;Helvetica Neue&quot;"/>
      </rPr>
      <t>foxnews.com</t>
    </r>
  </si>
  <si>
    <t>Online Behavior&gt;United States&gt;Arts and Entertainment&gt;Comics and Animation</t>
  </si>
  <si>
    <r>
      <rPr>
        <u/>
        <sz val="8"/>
        <color rgb="FF1155CC"/>
        <rFont val="&quot;Helvetica Neue&quot;"/>
      </rPr>
      <t>fox59.com</t>
    </r>
  </si>
  <si>
    <t>Online Behavior&gt;United States&gt;Validated Demographic Â» Age&gt;18-54</t>
  </si>
  <si>
    <r>
      <rPr>
        <u/>
        <sz val="8"/>
        <color rgb="FF1155CC"/>
        <rFont val="&quot;Helvetica Neue&quot;"/>
      </rPr>
      <t>macrumors.com</t>
    </r>
  </si>
  <si>
    <t>Online Behavior&gt;United States&gt;Food and Drink&gt;Beverages Â» Soft Drinks</t>
  </si>
  <si>
    <r>
      <rPr>
        <u/>
        <sz val="8"/>
        <color rgb="FF1155CC"/>
        <rFont val="&quot;Helvetica Neue&quot;"/>
      </rPr>
      <t>lotterypost.com</t>
    </r>
  </si>
  <si>
    <t>Online Behavior&gt;United States&gt;Sports&gt;Winter Sports Â» Skiing and Snowboarding</t>
  </si>
  <si>
    <r>
      <rPr>
        <u/>
        <sz val="8"/>
        <color rgb="FF1155CC"/>
        <rFont val="&quot;Helvetica Neue&quot;"/>
      </rPr>
      <t>calculator.net</t>
    </r>
  </si>
  <si>
    <t>Online Behavior&gt;United States&gt;Intent Â» Shopping&gt;Consumer Electronics Â» Computers, Laptops</t>
  </si>
  <si>
    <r>
      <rPr>
        <u/>
        <sz val="8"/>
        <color rgb="FF1155CC"/>
        <rFont val="&quot;Helvetica Neue&quot;"/>
      </rPr>
      <t>cargurus.com</t>
    </r>
  </si>
  <si>
    <t>Online Behavior&gt;United States&gt;News&gt;Business News</t>
  </si>
  <si>
    <r>
      <rPr>
        <u/>
        <sz val="8"/>
        <color rgb="FF1155CC"/>
        <rFont val="&quot;Helvetica Neue&quot;"/>
      </rPr>
      <t>finance.yahoo.com</t>
    </r>
  </si>
  <si>
    <t>US Â» Demographic Â» Family Â» Households with 2 Adults</t>
  </si>
  <si>
    <t>Lafayette, Indiana</t>
  </si>
  <si>
    <r>
      <rPr>
        <u/>
        <sz val="8"/>
        <color rgb="FF1155CC"/>
        <rFont val="&quot;Helvetica Neue&quot;"/>
      </rPr>
      <t>yahoo.com</t>
    </r>
  </si>
  <si>
    <t>Travel and Tourism Â» Interest (Affinity) Â» Products Â» Air Travel</t>
  </si>
  <si>
    <r>
      <rPr>
        <u/>
        <sz val="8"/>
        <color rgb="FF1155CC"/>
        <rFont val="&quot;Helvetica Neue&quot;"/>
      </rPr>
      <t>yahoo.com</t>
    </r>
  </si>
  <si>
    <t>Real Estate Â» Sale Activity Â» Just Sold</t>
  </si>
  <si>
    <r>
      <rPr>
        <u/>
        <sz val="8"/>
        <color rgb="FF1155CC"/>
        <rFont val="&quot;Helvetica Neue&quot;"/>
      </rPr>
      <t>forbes.com</t>
    </r>
  </si>
  <si>
    <t>US Â» Sociodemographic Â» PRIZM Premier Social Â» C2 City Centers</t>
  </si>
  <si>
    <t>Lansing, Michigan</t>
  </si>
  <si>
    <r>
      <rPr>
        <u/>
        <sz val="8"/>
        <color rgb="FF1155CC"/>
        <rFont val="&quot;Helvetica Neue&quot;"/>
      </rPr>
      <t>rent.com</t>
    </r>
  </si>
  <si>
    <t>US Â» Reach Â» Propensity Models Â» Hobbies and Interest Â» Sports Â» Avid Runners</t>
  </si>
  <si>
    <r>
      <rPr>
        <u/>
        <sz val="8"/>
        <color rgb="FF1155CC"/>
        <rFont val="&quot;Helvetica Neue&quot;"/>
      </rPr>
      <t>cbsnews.com</t>
    </r>
  </si>
  <si>
    <t>Online Behavior&gt;United States&gt;Internet and Telecom&gt;Web Portals</t>
  </si>
  <si>
    <r>
      <rPr>
        <u/>
        <sz val="8"/>
        <color rgb="FF1155CC"/>
        <rFont val="&quot;Helvetica Neue&quot;"/>
      </rPr>
      <t>weather.com</t>
    </r>
  </si>
  <si>
    <t>Online Behavior&gt;United States&gt;Intent Â» Auto Buyers Â» Car Make&gt;Mercedes</t>
  </si>
  <si>
    <r>
      <rPr>
        <u/>
        <sz val="8"/>
        <color rgb="FF1155CC"/>
        <rFont val="&quot;Helvetica Neue&quot;"/>
      </rPr>
      <t>realtor.com</t>
    </r>
  </si>
  <si>
    <t>Online Behavior&gt;United States&gt;Autos and Vehicles Â» Brands&gt;Citroen</t>
  </si>
  <si>
    <t>Little Rock-Pine Bluff, Arkansas</t>
  </si>
  <si>
    <r>
      <rPr>
        <u/>
        <sz val="8"/>
        <color rgb="FF1155CC"/>
        <rFont val="&quot;Helvetica Neue&quot;"/>
      </rPr>
      <t>reuters.com</t>
    </r>
  </si>
  <si>
    <t>Lotame Â» Offline CPG Purchasers Â» Product Segment Â» Home Supplies</t>
  </si>
  <si>
    <t>Los Angeles, California</t>
  </si>
  <si>
    <r>
      <rPr>
        <u/>
        <sz val="8"/>
        <color rgb="FF1155CC"/>
        <rFont val="&quot;Helvetica Neue&quot;"/>
      </rPr>
      <t>ebay.com</t>
    </r>
  </si>
  <si>
    <t>OnAudience Â» Intent Â» Electronics Â» Video Â» Televisions</t>
  </si>
  <si>
    <r>
      <rPr>
        <u/>
        <sz val="8"/>
        <color rgb="FF1155CC"/>
        <rFont val="&quot;Helvetica Neue&quot;"/>
      </rPr>
      <t>accuweather.com</t>
    </r>
  </si>
  <si>
    <t>Lotame Â» Personal Finance Â» Estate Planning</t>
  </si>
  <si>
    <r>
      <rPr>
        <u/>
        <sz val="8"/>
        <color rgb="FF1155CC"/>
        <rFont val="&quot;Helvetica Neue&quot;"/>
      </rPr>
      <t>businessinsider.com</t>
    </r>
  </si>
  <si>
    <t>Transactional Â» Q2 Graduation Gift Shoppers</t>
  </si>
  <si>
    <r>
      <rPr>
        <u/>
        <sz val="8"/>
        <color rgb="FF1155CC"/>
        <rFont val="&quot;Helvetica Neue&quot;"/>
      </rPr>
      <t>ebay.com</t>
    </r>
  </si>
  <si>
    <t>Media and Entertainment Â» Sports and Recreational Activities Â» Interest (Affinity) Â» Team Sports Â» Baseball</t>
  </si>
  <si>
    <r>
      <rPr>
        <u/>
        <sz val="8"/>
        <color rgb="FF1155CC"/>
        <rFont val="&quot;Helvetica Neue&quot;"/>
      </rPr>
      <t>news.yahoo.com</t>
    </r>
  </si>
  <si>
    <t>Real Estate Â» Rent Amount Â» Sensible  Rentals ($1000-$3000)</t>
  </si>
  <si>
    <r>
      <rPr>
        <u/>
        <sz val="8"/>
        <color rgb="FF1155CC"/>
        <rFont val="&quot;Helvetica Neue&quot;"/>
      </rPr>
      <t>drugs.com</t>
    </r>
  </si>
  <si>
    <t>Mobile - US Â» Device Ownership Â» Smartphones Â» Vivo</t>
  </si>
  <si>
    <r>
      <rPr>
        <u/>
        <sz val="8"/>
        <color rgb="FF1155CC"/>
        <rFont val="&quot;Helvetica Neue&quot;"/>
      </rPr>
      <t>jdpower.com</t>
    </r>
  </si>
  <si>
    <t>Transactional Â» Q3 Home Entertainers</t>
  </si>
  <si>
    <r>
      <rPr>
        <u/>
        <sz val="8"/>
        <color rgb="FF1155CC"/>
        <rFont val="&quot;Helvetica Neue&quot;"/>
      </rPr>
      <t>mail.yahoo.com</t>
    </r>
  </si>
  <si>
    <t>Media Source Â» LBDigital Â» Open For Business B2B</t>
  </si>
  <si>
    <r>
      <rPr>
        <u/>
        <sz val="8"/>
        <color rgb="FF1155CC"/>
        <rFont val="&quot;Helvetica Neue&quot;"/>
      </rPr>
      <t>tomsguide.com</t>
    </r>
  </si>
  <si>
    <t>OnAudience Â» Interest Â» Games</t>
  </si>
  <si>
    <r>
      <rPr>
        <u/>
        <sz val="8"/>
        <color rgb="FF1155CC"/>
        <rFont val="&quot;Helvetica Neue&quot;"/>
      </rPr>
      <t>gamespot.com</t>
    </r>
  </si>
  <si>
    <t>Media and Entertainment Â» Sports and Recreational Activities Â» Interest (Affinity) Â» Combat Sports</t>
  </si>
  <si>
    <r>
      <rPr>
        <u/>
        <sz val="8"/>
        <color rgb="FF1155CC"/>
        <rFont val="&quot;Helvetica Neue&quot;"/>
      </rPr>
      <t>npr.org</t>
    </r>
  </si>
  <si>
    <t>Mobile - US Â» Shopping Â» Brand Â» Old Navy</t>
  </si>
  <si>
    <r>
      <rPr>
        <u/>
        <sz val="8"/>
        <color rgb="FF1155CC"/>
        <rFont val="&quot;Helvetica Neue&quot;"/>
      </rPr>
      <t>autotrader.com</t>
    </r>
  </si>
  <si>
    <t>OnAudience Â» Interest Â» Arts &amp; Entertainment Â» Celebrity Fan Â» Gossip</t>
  </si>
  <si>
    <r>
      <rPr>
        <u/>
        <sz val="8"/>
        <color rgb="FF1155CC"/>
        <rFont val="&quot;Helvetica Neue&quot;"/>
      </rPr>
      <t>ebay.com</t>
    </r>
  </si>
  <si>
    <t>OnAudience Â» Interest Â» Science Â» Weather Forecast</t>
  </si>
  <si>
    <r>
      <rPr>
        <u/>
        <sz val="8"/>
        <color rgb="FF1155CC"/>
        <rFont val="&quot;Helvetica Neue&quot;"/>
      </rPr>
      <t>biblegateway.com</t>
    </r>
  </si>
  <si>
    <t>US Â» Reach Â» Propensity Models Â» Hobbies and Interest Â» Pets Â» Pet Enthusiast</t>
  </si>
  <si>
    <r>
      <rPr>
        <u/>
        <sz val="8"/>
        <color rgb="FF1155CC"/>
        <rFont val="&quot;Helvetica Neue&quot;"/>
      </rPr>
      <t>msn.com</t>
    </r>
  </si>
  <si>
    <t>OnAudience Â» Interest Â» Arts &amp; Entertainment</t>
  </si>
  <si>
    <r>
      <rPr>
        <u/>
        <sz val="8"/>
        <color rgb="FF1155CC"/>
        <rFont val="&quot;Helvetica Neue&quot;"/>
      </rPr>
      <t>redfin.com</t>
    </r>
  </si>
  <si>
    <t>OnAudience Â» Interest Â» News Â» National News</t>
  </si>
  <si>
    <r>
      <rPr>
        <u/>
        <sz val="8"/>
        <color rgb="FF1155CC"/>
        <rFont val="&quot;Helvetica Neue&quot;"/>
      </rPr>
      <t>greedyfinance.com</t>
    </r>
  </si>
  <si>
    <t>Mobile - US Â» Financial Services Â» Digital Payments Â» Chase Pay</t>
  </si>
  <si>
    <r>
      <rPr>
        <u/>
        <sz val="8"/>
        <color rgb="FF1155CC"/>
        <rFont val="&quot;Helvetica Neue&quot;"/>
      </rPr>
      <t>outlook.live.com</t>
    </r>
  </si>
  <si>
    <t>US Â» Brand Propensities Â» Apparel Â» JCPenney Buyer Propensity</t>
  </si>
  <si>
    <r>
      <rPr>
        <u/>
        <sz val="8"/>
        <color rgb="FF1155CC"/>
        <rFont val="&quot;Helvetica Neue&quot;"/>
      </rPr>
      <t>greatschools.org</t>
    </r>
  </si>
  <si>
    <t>OnAudience Â» Interest Â» Hobbies &amp; Interests Â» Art</t>
  </si>
  <si>
    <r>
      <rPr>
        <u/>
        <sz val="8"/>
        <color rgb="FF1155CC"/>
        <rFont val="&quot;Helvetica Neue&quot;"/>
      </rPr>
      <t>timeanddate.com</t>
    </r>
  </si>
  <si>
    <t>US Financial Â» Likely In Market Timing Â» Not At All Likely to Purchase Â» Second House/Residence In The Next Year (Financial)</t>
  </si>
  <si>
    <r>
      <rPr>
        <u/>
        <sz val="8"/>
        <color rgb="FF1155CC"/>
        <rFont val="&quot;Helvetica Neue&quot;"/>
      </rPr>
      <t>healthyrecipesblogs.com</t>
    </r>
  </si>
  <si>
    <t>Travel and Tourism Â» Interest (Affinity) Â» Destinations Â» North America Â» United States</t>
  </si>
  <si>
    <r>
      <rPr>
        <u/>
        <sz val="8"/>
        <color rgb="FF1155CC"/>
        <rFont val="&quot;Helvetica Neue&quot;"/>
      </rPr>
      <t>cars.com</t>
    </r>
  </si>
  <si>
    <t>US Â» Interest Propensities Â» Social Â» Premium User Generated Content</t>
  </si>
  <si>
    <r>
      <rPr>
        <u/>
        <sz val="8"/>
        <color rgb="FF1155CC"/>
        <rFont val="&quot;Helvetica Neue&quot;"/>
      </rPr>
      <t>cnn.com</t>
    </r>
  </si>
  <si>
    <t>US Â» Interest Propensities Â» TV and Movies Â» Drama</t>
  </si>
  <si>
    <r>
      <rPr>
        <u/>
        <sz val="8"/>
        <color rgb="FF1155CC"/>
        <rFont val="&quot;Helvetica Neue&quot;"/>
      </rPr>
      <t>yahoo.com</t>
    </r>
  </si>
  <si>
    <t>US Â» Brand Propensities Â» Electronics Â» Crutchfield Buyer Propensity</t>
  </si>
  <si>
    <r>
      <rPr>
        <u/>
        <sz val="8"/>
        <color rgb="FF1155CC"/>
        <rFont val="&quot;Helvetica Neue&quot;"/>
      </rPr>
      <t>signin.ebay.com</t>
    </r>
  </si>
  <si>
    <t>Mobile - US Â» Demographics Â» Education Â» High Education Achievement</t>
  </si>
  <si>
    <r>
      <rPr>
        <u/>
        <sz val="8"/>
        <color rgb="FF1155CC"/>
        <rFont val="&quot;Helvetica Neue&quot;"/>
      </rPr>
      <t>yahoo.com</t>
    </r>
  </si>
  <si>
    <t>US Â» Interest Propensities Â» Activities and Interests Â» Financial Aid</t>
  </si>
  <si>
    <r>
      <rPr>
        <u/>
        <sz val="8"/>
        <color rgb="FF1155CC"/>
        <rFont val="&quot;Helvetica Neue&quot;"/>
      </rPr>
      <t>apnews.com</t>
    </r>
  </si>
  <si>
    <t>US Â» Automotive Â» Auto Loyalists and Defectors Â» Auto Make Defectors</t>
  </si>
  <si>
    <r>
      <rPr>
        <u/>
        <sz val="8"/>
        <color rgb="FF1155CC"/>
        <rFont val="&quot;Helvetica Neue&quot;"/>
      </rPr>
      <t>si.com</t>
    </r>
  </si>
  <si>
    <t>US Â» Reach Â» Propensity Models Â» Online Â» Pets</t>
  </si>
  <si>
    <r>
      <rPr>
        <u/>
        <sz val="8"/>
        <color rgb="FF1155CC"/>
        <rFont val="&quot;Helvetica Neue&quot;"/>
      </rPr>
      <t>weather.com</t>
    </r>
  </si>
  <si>
    <t>US Â» Reach Â» Propensity Models Â» Hobbies and Interest Â» Pets Â» Cat Owners</t>
  </si>
  <si>
    <r>
      <rPr>
        <u/>
        <sz val="8"/>
        <color rgb="FF1155CC"/>
        <rFont val="&quot;Helvetica Neue&quot;"/>
      </rPr>
      <t>ebay.com</t>
    </r>
  </si>
  <si>
    <t>US Â» B2B Â» B2B Decision Maker Responsibilities Â» Computer Software</t>
  </si>
  <si>
    <r>
      <rPr>
        <u/>
        <sz val="8"/>
        <color rgb="FF1155CC"/>
        <rFont val="&quot;Helvetica Neue&quot;"/>
      </rPr>
      <t>mail.aol.com</t>
    </r>
  </si>
  <si>
    <t>US Â» Interest Propensities Â» TV and Movies Â» Sports TV</t>
  </si>
  <si>
    <r>
      <rPr>
        <u/>
        <sz val="8"/>
        <color rgb="FF1155CC"/>
        <rFont val="&quot;Helvetica Neue&quot;"/>
      </rPr>
      <t>accuweather.com</t>
    </r>
  </si>
  <si>
    <t>US Â» B2B Â» B2B Decision Maker Responsibilities Â» Office Supplies or Equipment</t>
  </si>
  <si>
    <r>
      <rPr>
        <u/>
        <sz val="8"/>
        <color rgb="FF1155CC"/>
        <rFont val="&quot;Helvetica Neue&quot;"/>
      </rPr>
      <t>ebay.com</t>
    </r>
  </si>
  <si>
    <t>US Â» B2B Â» B2B Decision Maker Responsibilities Â» HR or Personnel Services</t>
  </si>
  <si>
    <r>
      <rPr>
        <u/>
        <sz val="8"/>
        <color rgb="FF1155CC"/>
        <rFont val="&quot;Helvetica Neue&quot;"/>
      </rPr>
      <t>foxnews.com</t>
    </r>
  </si>
  <si>
    <t>US Â» B2B Â» Purchase DM Â» Technology Services, Hardware and Â» or Software Â» I have no input into the final decision</t>
  </si>
  <si>
    <r>
      <rPr>
        <u/>
        <sz val="8"/>
        <color rgb="FF1155CC"/>
        <rFont val="&quot;Helvetica Neue&quot;"/>
      </rPr>
      <t>biblegateway.com</t>
    </r>
  </si>
  <si>
    <t>US Â» B2B Â» B2B Decision Maker Responsibilities Â» Internet Services</t>
  </si>
  <si>
    <r>
      <rPr>
        <u/>
        <sz val="8"/>
        <color rgb="FF1155CC"/>
        <rFont val="&quot;Helvetica Neue&quot;"/>
      </rPr>
      <t>people.com</t>
    </r>
  </si>
  <si>
    <t>Media and Entertainment Â» News and Current Events</t>
  </si>
  <si>
    <r>
      <rPr>
        <u/>
        <sz val="8"/>
        <color rgb="FF1155CC"/>
        <rFont val="&quot;Helvetica Neue&quot;"/>
      </rPr>
      <t>nbcnews.com</t>
    </r>
  </si>
  <si>
    <t>US Â» Reach Â» Propensity Models Â» Hobbies and Interest Â» Photography</t>
  </si>
  <si>
    <r>
      <rPr>
        <u/>
        <sz val="8"/>
        <color rgb="FF1155CC"/>
        <rFont val="&quot;Helvetica Neue&quot;"/>
      </rPr>
      <t>boattrader.com</t>
    </r>
  </si>
  <si>
    <t>US Â» AUTO Â» Primary Vehicle Â» New or Used Â» New</t>
  </si>
  <si>
    <r>
      <rPr>
        <u/>
        <sz val="8"/>
        <color rgb="FF1155CC"/>
        <rFont val="&quot;Helvetica Neue&quot;"/>
      </rPr>
      <t>dinneratthezoo.com</t>
    </r>
  </si>
  <si>
    <t>Online Behavior&gt;United States&gt;Finance Â» Banking&gt;ATMs and Branch Locations</t>
  </si>
  <si>
    <r>
      <rPr>
        <u/>
        <sz val="8"/>
        <color rgb="FF1155CC"/>
        <rFont val="&quot;Helvetica Neue&quot;"/>
      </rPr>
      <t>dailyhodl.com</t>
    </r>
  </si>
  <si>
    <t>US Â» Reach Â» Propensity Models Â» Hobbies and Interest Â» Sports Â» Hunting Enthusiasts</t>
  </si>
  <si>
    <r>
      <rPr>
        <u/>
        <sz val="8"/>
        <color rgb="FF1155CC"/>
        <rFont val="&quot;Helvetica Neue&quot;"/>
      </rPr>
      <t>ranker.com</t>
    </r>
  </si>
  <si>
    <t>Online Behavior&gt;United States&gt;Arts and Entertainment&gt;Events and Listings Â» Food and Beverage Events</t>
  </si>
  <si>
    <r>
      <rPr>
        <u/>
        <sz val="8"/>
        <color rgb="FF1155CC"/>
        <rFont val="&quot;Helvetica Neue&quot;"/>
      </rPr>
      <t>mail.aol.com</t>
    </r>
  </si>
  <si>
    <t>Online Behavior&gt;United States&gt;Validated Demographic Â» Gender and Age Combined&gt;Females 45-54</t>
  </si>
  <si>
    <r>
      <rPr>
        <u/>
        <sz val="8"/>
        <color rgb="FF1155CC"/>
        <rFont val="&quot;Helvetica Neue&quot;"/>
      </rPr>
      <t>cbsnews.com</t>
    </r>
  </si>
  <si>
    <t>Online Behavior&gt;United States&gt;Hobbies and Leisure&gt;Contests, Awards and Prizes</t>
  </si>
  <si>
    <r>
      <rPr>
        <u/>
        <sz val="8"/>
        <color rgb="FF1155CC"/>
        <rFont val="&quot;Helvetica Neue&quot;"/>
      </rPr>
      <t>geeksforgeeks.org</t>
    </r>
  </si>
  <si>
    <t>Online Behavior&gt;United States&gt;Validated Demographic Â» Gender and Age Combined&gt;Females 25-34</t>
  </si>
  <si>
    <r>
      <rPr>
        <u/>
        <sz val="8"/>
        <color rgb="FF1155CC"/>
        <rFont val="&quot;Helvetica Neue&quot;"/>
      </rPr>
      <t>ign.com</t>
    </r>
  </si>
  <si>
    <t>Online Behavior&gt;United States&gt;Intent Â» Auto Buyers Â» Car Make&gt;Toyota</t>
  </si>
  <si>
    <r>
      <rPr>
        <u/>
        <sz val="8"/>
        <color rgb="FF1155CC"/>
        <rFont val="&quot;Helvetica Neue&quot;"/>
      </rPr>
      <t>cnn.com</t>
    </r>
  </si>
  <si>
    <t>Online Behavior&gt;United States&gt;Games&gt;Family-Oriented Games and Activities</t>
  </si>
  <si>
    <r>
      <rPr>
        <u/>
        <sz val="8"/>
        <color rgb="FF1155CC"/>
        <rFont val="&quot;Helvetica Neue&quot;"/>
      </rPr>
      <t>findagrave.com</t>
    </r>
  </si>
  <si>
    <t>Online Behavior&gt;United States&gt;Sports&gt;Sports League Â» NFL</t>
  </si>
  <si>
    <r>
      <rPr>
        <u/>
        <sz val="8"/>
        <color rgb="FF1155CC"/>
        <rFont val="&quot;Helvetica Neue&quot;"/>
      </rPr>
      <t>alotfinance.com</t>
    </r>
  </si>
  <si>
    <t>Online Behavior&gt;United States&gt;Food and Drink&gt;Restaurants</t>
  </si>
  <si>
    <r>
      <rPr>
        <u/>
        <sz val="8"/>
        <color rgb="FF1155CC"/>
        <rFont val="&quot;Helvetica Neue&quot;"/>
      </rPr>
      <t>mail.yahoo.com</t>
    </r>
  </si>
  <si>
    <t>Online Behavior&gt;United States&gt;Validated Demographic Â» Gender and Age Combined&gt;Females 55-64</t>
  </si>
  <si>
    <r>
      <rPr>
        <u/>
        <sz val="8"/>
        <color rgb="FF1155CC"/>
        <rFont val="&quot;Helvetica Neue&quot;"/>
      </rPr>
      <t>news.yahoo.com</t>
    </r>
  </si>
  <si>
    <t>Online Behavior&gt;United States&gt;The Changing Consumer&gt;Delivery Services and Quick Service Restaurants</t>
  </si>
  <si>
    <r>
      <rPr>
        <u/>
        <sz val="8"/>
        <color rgb="FF1155CC"/>
        <rFont val="&quot;Helvetica Neue&quot;"/>
      </rPr>
      <t>mail.aol.com</t>
    </r>
  </si>
  <si>
    <t>Online Behavior&gt;United States&gt;Home and Garden&gt;Homemaking and Interior Decor</t>
  </si>
  <si>
    <r>
      <rPr>
        <u/>
        <sz val="8"/>
        <color rgb="FF1155CC"/>
        <rFont val="&quot;Helvetica Neue&quot;"/>
      </rPr>
      <t>dailymail.co.uk/news</t>
    </r>
  </si>
  <si>
    <t>Online Behavior&gt;United States&gt;Arts and Entertainment&gt;Events and Listings Â» Expos and Conventions</t>
  </si>
  <si>
    <r>
      <rPr>
        <u/>
        <sz val="8"/>
        <color rgb="FF1155CC"/>
        <rFont val="&quot;Helvetica Neue&quot;"/>
      </rPr>
      <t>zillow.com</t>
    </r>
  </si>
  <si>
    <t>Online Behavior&gt;United States&gt;Autos and Vehicles Â» Brands&gt;Jeep</t>
  </si>
  <si>
    <r>
      <rPr>
        <u/>
        <sz val="8"/>
        <color rgb="FF1155CC"/>
        <rFont val="&quot;Helvetica Neue&quot;"/>
      </rPr>
      <t>accuweather.com</t>
    </r>
  </si>
  <si>
    <t>Online Behavior&gt;United States&gt;Travel&gt;Cruises and Charters</t>
  </si>
  <si>
    <r>
      <rPr>
        <u/>
        <sz val="8"/>
        <color rgb="FF1155CC"/>
        <rFont val="&quot;Helvetica Neue&quot;"/>
      </rPr>
      <t>ebay.com</t>
    </r>
  </si>
  <si>
    <t>Online Behavior&gt;United States&gt;Autos and Vehicles Â» Brands&gt;Vauxhall-Opel</t>
  </si>
  <si>
    <r>
      <rPr>
        <u/>
        <sz val="8"/>
        <color rgb="FF1155CC"/>
        <rFont val="&quot;Helvetica Neue&quot;"/>
      </rPr>
      <t>wsmv.com</t>
    </r>
  </si>
  <si>
    <t>Online Behavior&gt;United States&gt;Arts and Entertainment&gt;Events and Listings Â» Film Festivals</t>
  </si>
  <si>
    <r>
      <rPr>
        <u/>
        <sz val="8"/>
        <color rgb="FF1155CC"/>
        <rFont val="&quot;Helvetica Neue&quot;"/>
      </rPr>
      <t>ebay.com</t>
    </r>
  </si>
  <si>
    <t>Online Behavior&gt;United States&gt;Travel&gt;Specialty Travel Â» Agritourism</t>
  </si>
  <si>
    <r>
      <rPr>
        <u/>
        <sz val="8"/>
        <color rgb="FF1155CC"/>
        <rFont val="&quot;Helvetica Neue&quot;"/>
      </rPr>
      <t>mail.yahoo.com</t>
    </r>
  </si>
  <si>
    <t>Online Behavior&gt;United States&gt;Food and Drink&gt;Beverages Â» Juice</t>
  </si>
  <si>
    <r>
      <rPr>
        <u/>
        <sz val="8"/>
        <color rgb="FF1155CC"/>
        <rFont val="&quot;Helvetica Neue&quot;"/>
      </rPr>
      <t>realtor.com</t>
    </r>
  </si>
  <si>
    <t>Online Behavior&gt;United States&gt;Validated Demographic Â» Gender and Age Combined&gt;Females 25 or older</t>
  </si>
  <si>
    <r>
      <rPr>
        <u/>
        <sz val="8"/>
        <color rgb="FF1155CC"/>
        <rFont val="&quot;Helvetica Neue&quot;"/>
      </rPr>
      <t>abcnews.go.com</t>
    </r>
  </si>
  <si>
    <t>Online Behavior&gt;United States&gt;Intent Â» Auto Buyers Â» Type&gt;Luxury</t>
  </si>
  <si>
    <r>
      <rPr>
        <u/>
        <sz val="8"/>
        <color rgb="FF1155CC"/>
        <rFont val="&quot;Helvetica Neue&quot;"/>
      </rPr>
      <t>al.com</t>
    </r>
  </si>
  <si>
    <t>Online Behavior&gt;United States&gt;Intent Â» Auto Buyers Â» Category&gt;Motorcycle</t>
  </si>
  <si>
    <r>
      <rPr>
        <u/>
        <sz val="8"/>
        <color rgb="FF1155CC"/>
        <rFont val="&quot;Helvetica Neue&quot;"/>
      </rPr>
      <t>fandom.com</t>
    </r>
  </si>
  <si>
    <t>Online Behavior&gt;United States&gt;Intent Â» Travel&gt;Budget Travel</t>
  </si>
  <si>
    <r>
      <rPr>
        <u/>
        <sz val="8"/>
        <color rgb="FF1155CC"/>
        <rFont val="&quot;Helvetica Neue&quot;"/>
      </rPr>
      <t>yachtworld.com</t>
    </r>
  </si>
  <si>
    <t>Online Behavior&gt;United States&gt;Intent Â» Auto Buyers&gt;New</t>
  </si>
  <si>
    <r>
      <rPr>
        <u/>
        <sz val="8"/>
        <color rgb="FF1155CC"/>
        <rFont val="&quot;Helvetica Neue&quot;"/>
      </rPr>
      <t>whatismyipaddress.com</t>
    </r>
  </si>
  <si>
    <t>Online Behavior&gt;United States&gt;Intent Â» Auto Buyers Â» Car Make&gt;Subaru</t>
  </si>
  <si>
    <r>
      <rPr>
        <u/>
        <sz val="8"/>
        <color rgb="FF1155CC"/>
        <rFont val="&quot;Helvetica Neue&quot;"/>
      </rPr>
      <t>signupgenius.com</t>
    </r>
  </si>
  <si>
    <t>Online Behavior&gt;United States&gt;Intent Â» Shopping&gt;Wireless Providers</t>
  </si>
  <si>
    <r>
      <rPr>
        <u/>
        <sz val="8"/>
        <color rgb="FF1155CC"/>
        <rFont val="&quot;Helvetica Neue&quot;"/>
      </rPr>
      <t>milb.com</t>
    </r>
  </si>
  <si>
    <t>Online Behavior&gt;United States&gt;Finance Â» Insurance&gt;Life Insurance</t>
  </si>
  <si>
    <r>
      <rPr>
        <u/>
        <sz val="8"/>
        <color rgb="FF1155CC"/>
        <rFont val="&quot;Helvetica Neue&quot;"/>
      </rPr>
      <t>drugs.com</t>
    </r>
  </si>
  <si>
    <t>Online Behavior&gt;United States&gt;Intent Â» Shopping&gt;Fashion</t>
  </si>
  <si>
    <r>
      <rPr>
        <u/>
        <sz val="8"/>
        <color rgb="FF1155CC"/>
        <rFont val="&quot;Helvetica Neue&quot;"/>
      </rPr>
      <t>outlook.live.com</t>
    </r>
  </si>
  <si>
    <t>Online Behavior&gt;United States&gt;Travel&gt;Tourist Destinations Â» Regional Parks and Gardens</t>
  </si>
  <si>
    <r>
      <rPr>
        <u/>
        <sz val="8"/>
        <color rgb="FF1155CC"/>
        <rFont val="&quot;Helvetica Neue&quot;"/>
      </rPr>
      <t>cbsnews.com</t>
    </r>
  </si>
  <si>
    <t>Online Behavior&gt;United States&gt;Travel&gt;Car Rental and Taxi Services</t>
  </si>
  <si>
    <r>
      <rPr>
        <u/>
        <sz val="8"/>
        <color rgb="FF1155CC"/>
        <rFont val="&quot;Helvetica Neue&quot;"/>
      </rPr>
      <t>dictionary.com</t>
    </r>
  </si>
  <si>
    <t>Online Behavior&gt;United States&gt;Home and Garden&gt;Bed and Bath</t>
  </si>
  <si>
    <r>
      <rPr>
        <u/>
        <sz val="8"/>
        <color rgb="FF1155CC"/>
        <rFont val="&quot;Helvetica Neue&quot;"/>
      </rPr>
      <t>streetinsider.com</t>
    </r>
  </si>
  <si>
    <t>Online Behavior&gt;United States&gt;Home and Garden&gt;Yard and Patio</t>
  </si>
  <si>
    <r>
      <rPr>
        <u/>
        <sz val="8"/>
        <color rgb="FF1155CC"/>
        <rFont val="&quot;Helvetica Neue&quot;"/>
      </rPr>
      <t>w3schools.com</t>
    </r>
  </si>
  <si>
    <t>Online Behavior&gt;United States&gt;Beauty and Fitness&gt;Face and Body Care Â» Skin and Nail Care</t>
  </si>
  <si>
    <r>
      <rPr>
        <u/>
        <sz val="8"/>
        <color rgb="FF1155CC"/>
        <rFont val="&quot;Helvetica Neue&quot;"/>
      </rPr>
      <t>apnews.com</t>
    </r>
  </si>
  <si>
    <t>Online Behavior&gt;United States&gt;Finance Â» Investing&gt;Commodities and Futures Trading</t>
  </si>
  <si>
    <r>
      <rPr>
        <u/>
        <sz val="8"/>
        <color rgb="FF1155CC"/>
        <rFont val="&quot;Helvetica Neue&quot;"/>
      </rPr>
      <t>nbcmiami.com</t>
    </r>
  </si>
  <si>
    <t>Online Behavior&gt;United States&gt;Sports&gt;College Sports</t>
  </si>
  <si>
    <r>
      <rPr>
        <u/>
        <sz val="8"/>
        <color rgb="FF1155CC"/>
        <rFont val="&quot;Helvetica Neue&quot;"/>
      </rPr>
      <t>weather.com</t>
    </r>
  </si>
  <si>
    <t>Online Behavior&gt;United States&gt;The Changing Consumer&gt;Happy at Home</t>
  </si>
  <si>
    <r>
      <rPr>
        <u/>
        <sz val="8"/>
        <color rgb="FF1155CC"/>
        <rFont val="&quot;Helvetica Neue&quot;"/>
      </rPr>
      <t>msn.com</t>
    </r>
  </si>
  <si>
    <t>Online Behavior&gt;United States&gt;Life Event&gt;College Graduation</t>
  </si>
  <si>
    <r>
      <rPr>
        <u/>
        <sz val="8"/>
        <color rgb="FF1155CC"/>
        <rFont val="&quot;Helvetica Neue&quot;"/>
      </rPr>
      <t>msn.com</t>
    </r>
  </si>
  <si>
    <t>Online Behavior&gt;United States&gt;Travel&gt;Tourist Destinations Â» Theme Parks</t>
  </si>
  <si>
    <r>
      <rPr>
        <u/>
        <sz val="8"/>
        <color rgb="FF1155CC"/>
        <rFont val="&quot;Helvetica Neue&quot;"/>
      </rPr>
      <t>zillow.com</t>
    </r>
  </si>
  <si>
    <t>Online Behavior&gt;United States&gt;Finance Â» Banking&gt;Banking</t>
  </si>
  <si>
    <r>
      <rPr>
        <u/>
        <sz val="8"/>
        <color rgb="FF1155CC"/>
        <rFont val="&quot;Helvetica Neue&quot;"/>
      </rPr>
      <t>msn.com</t>
    </r>
  </si>
  <si>
    <t>US Â» Reach Â» Propensity Models Â» Household Consumer Expenditures Â» Furniture</t>
  </si>
  <si>
    <t>Louisville, Kentucky</t>
  </si>
  <si>
    <r>
      <rPr>
        <u/>
        <sz val="8"/>
        <color rgb="FF1155CC"/>
        <rFont val="&quot;Helvetica Neue&quot;"/>
      </rPr>
      <t>microsoftcasualgames.com</t>
    </r>
  </si>
  <si>
    <t>OnAudience Â» Interest Â» Shopping Â» Shopping Mall Buyers</t>
  </si>
  <si>
    <t>Memphis, Tennessee</t>
  </si>
  <si>
    <r>
      <rPr>
        <u/>
        <sz val="8"/>
        <color rgb="FF1155CC"/>
        <rFont val="&quot;Helvetica Neue&quot;"/>
      </rPr>
      <t>cargurus.com</t>
    </r>
  </si>
  <si>
    <t>US Â» Interest Propensities Â» Activities and Interests Â» B2B Job Search</t>
  </si>
  <si>
    <r>
      <rPr>
        <u/>
        <sz val="8"/>
        <color rgb="FF1155CC"/>
        <rFont val="&quot;Helvetica Neue&quot;"/>
      </rPr>
      <t>mlb.com</t>
    </r>
  </si>
  <si>
    <t>OnAudience Â» Intent Â» Baby &amp; Toddler</t>
  </si>
  <si>
    <r>
      <rPr>
        <u/>
        <sz val="8"/>
        <color rgb="FF1155CC"/>
        <rFont val="&quot;Helvetica Neue&quot;"/>
      </rPr>
      <t>topclassactions.com</t>
    </r>
  </si>
  <si>
    <t>US Financial Â» Likely Credit Card Â» Behavior Â» Used for Personal Purposes</t>
  </si>
  <si>
    <r>
      <rPr>
        <u/>
        <sz val="8"/>
        <color rgb="FF1155CC"/>
        <rFont val="&quot;Helvetica Neue&quot;"/>
      </rPr>
      <t>slickdeals.net</t>
    </r>
  </si>
  <si>
    <t>US Â» Sociodemographic Â» ConneXions Lifestage Â» Y2 Emerging Techies</t>
  </si>
  <si>
    <r>
      <rPr>
        <u/>
        <sz val="8"/>
        <color rgb="FF1155CC"/>
        <rFont val="&quot;Helvetica Neue&quot;"/>
      </rPr>
      <t>shareably.net</t>
    </r>
  </si>
  <si>
    <t>US Â» Reach Â» Propensity Models Â» Luxury Store Shoppers</t>
  </si>
  <si>
    <r>
      <rPr>
        <u/>
        <sz val="8"/>
        <color rgb="FF1155CC"/>
        <rFont val="&quot;Helvetica Neue&quot;"/>
      </rPr>
      <t>newsmemory.com</t>
    </r>
  </si>
  <si>
    <t>Online Behavior&gt;United States&gt;Sports&gt;Individual Sports Â» Cycling</t>
  </si>
  <si>
    <r>
      <rPr>
        <u/>
        <sz val="8"/>
        <color rgb="FF1155CC"/>
        <rFont val="&quot;Helvetica Neue&quot;"/>
      </rPr>
      <t>msn.com</t>
    </r>
  </si>
  <si>
    <t>Online Behavior&gt;United States&gt;Intent Â» Services&gt;Pets</t>
  </si>
  <si>
    <r>
      <rPr>
        <u/>
        <sz val="8"/>
        <color rgb="FF1155CC"/>
        <rFont val="&quot;Helvetica Neue&quot;"/>
      </rPr>
      <t>yahoo.com</t>
    </r>
  </si>
  <si>
    <t>Online Behavior&gt;United States&gt;News&gt;Local News</t>
  </si>
  <si>
    <r>
      <rPr>
        <u/>
        <sz val="8"/>
        <color rgb="FF1155CC"/>
        <rFont val="&quot;Helvetica Neue&quot;"/>
      </rPr>
      <t>realtor.com</t>
    </r>
  </si>
  <si>
    <t>Online Behavior&gt;United States&gt;Finance Â» Investing&gt;Brokerages and Day Trading</t>
  </si>
  <si>
    <r>
      <rPr>
        <u/>
        <sz val="8"/>
        <color rgb="FF1155CC"/>
        <rFont val="&quot;Helvetica Neue&quot;"/>
      </rPr>
      <t>newsmemory.com</t>
    </r>
  </si>
  <si>
    <t>US Â» Reach Â» Propensity Models Â» Hobbies and Interest Â» Food and Drinks Â» Coffee Connoisseurs</t>
  </si>
  <si>
    <t>Miami-Ft. Lauderdale, Florida</t>
  </si>
  <si>
    <r>
      <rPr>
        <u/>
        <sz val="8"/>
        <color rgb="FF1155CC"/>
        <rFont val="&quot;Helvetica Neue&quot;"/>
      </rPr>
      <t>yahoo.com</t>
    </r>
  </si>
  <si>
    <t>Travel and Tourism Â» Interest (Affinity) Â» Products Â» Hotels and Lodging</t>
  </si>
  <si>
    <r>
      <rPr>
        <u/>
        <sz val="8"/>
        <color rgb="FF1155CC"/>
        <rFont val="&quot;Helvetica Neue&quot;"/>
      </rPr>
      <t>mail.yahoo.com</t>
    </r>
  </si>
  <si>
    <t>Travel and Tourism Â» Interest (Affinity) Â» Destinations Â» Africa</t>
  </si>
  <si>
    <r>
      <rPr>
        <u/>
        <sz val="8"/>
        <color rgb="FF1155CC"/>
        <rFont val="&quot;Helvetica Neue&quot;"/>
      </rPr>
      <t>weather.com</t>
    </r>
  </si>
  <si>
    <t>OnAudience Â» Intent Â» Software</t>
  </si>
  <si>
    <r>
      <rPr>
        <u/>
        <sz val="8"/>
        <color rgb="FF1155CC"/>
        <rFont val="&quot;Helvetica Neue&quot;"/>
      </rPr>
      <t>politico.com</t>
    </r>
  </si>
  <si>
    <t>US Â» Demographic Â» Family Â» Male Head of Household</t>
  </si>
  <si>
    <r>
      <rPr>
        <u/>
        <sz val="8"/>
        <color rgb="FF1155CC"/>
        <rFont val="&quot;Helvetica Neue&quot;"/>
      </rPr>
      <t>slickdeals.net</t>
    </r>
  </si>
  <si>
    <t>US Â» Brand Propensities Â» Big Box Dollar Tree Buyer Propensity</t>
  </si>
  <si>
    <r>
      <rPr>
        <u/>
        <sz val="8"/>
        <color rgb="FF1155CC"/>
        <rFont val="&quot;Helvetica Neue&quot;"/>
      </rPr>
      <t>outlook.live.com</t>
    </r>
  </si>
  <si>
    <t>Online Behavior&gt;United States&gt;People and Society&gt;Millennials</t>
  </si>
  <si>
    <r>
      <rPr>
        <u/>
        <sz val="8"/>
        <color rgb="FF1155CC"/>
        <rFont val="&quot;Helvetica Neue&quot;"/>
      </rPr>
      <t>accuweather.com</t>
    </r>
  </si>
  <si>
    <t>US Â» Multibuyer Behaviors Â» Club Â» Continuity Buyers</t>
  </si>
  <si>
    <r>
      <rPr>
        <u/>
        <sz val="8"/>
        <color rgb="FF1155CC"/>
        <rFont val="&quot;Helvetica Neue&quot;"/>
      </rPr>
      <t>zdnet.com</t>
    </r>
  </si>
  <si>
    <t>US Â» Brand Propensities Â» Restaurants and Dining Â» Seamless Buyer Propensity</t>
  </si>
  <si>
    <r>
      <rPr>
        <u/>
        <sz val="8"/>
        <color rgb="FF1155CC"/>
        <rFont val="&quot;Helvetica Neue&quot;"/>
      </rPr>
      <t>yahoo.com</t>
    </r>
  </si>
  <si>
    <t>US Â» AUTO Â» Primary Vehicle Â» New or Used Â» Pre-owned</t>
  </si>
  <si>
    <r>
      <rPr>
        <u/>
        <sz val="8"/>
        <color rgb="FF1155CC"/>
        <rFont val="&quot;Helvetica Neue&quot;"/>
      </rPr>
      <t>billboard.com</t>
    </r>
  </si>
  <si>
    <t>Mobile Audience Â» Lifestyle Â» Arts Enthusiasts</t>
  </si>
  <si>
    <r>
      <rPr>
        <u/>
        <sz val="8"/>
        <color rgb="FF1155CC"/>
        <rFont val="&quot;Helvetica Neue&quot;"/>
      </rPr>
      <t>weather.com</t>
    </r>
  </si>
  <si>
    <t>Mobile - US Â» Demographics Â» Education Â» Lowest Education Achievement</t>
  </si>
  <si>
    <r>
      <rPr>
        <u/>
        <sz val="8"/>
        <color rgb="FF1155CC"/>
        <rFont val="&quot;Helvetica Neue&quot;"/>
      </rPr>
      <t>essentiallysports.com</t>
    </r>
  </si>
  <si>
    <r>
      <t xml:space="preserve">US Â» Brand Propensities Â» Travel Â» </t>
    </r>
    <r>
      <rPr>
        <b/>
        <u/>
        <sz val="8"/>
        <color rgb="FF1155CC"/>
        <rFont val="&quot;Helvetica Neue&quot;"/>
      </rPr>
      <t>Booking.com</t>
    </r>
    <r>
      <rPr>
        <b/>
        <sz val="8"/>
        <rFont val="&quot;Helvetica Neue&quot;"/>
      </rPr>
      <t xml:space="preserve"> Buyer Propensity</t>
    </r>
  </si>
  <si>
    <r>
      <rPr>
        <u/>
        <sz val="8"/>
        <color rgb="FF1155CC"/>
        <rFont val="&quot;Helvetica Neue&quot;"/>
      </rPr>
      <t>fandom.com</t>
    </r>
  </si>
  <si>
    <r>
      <rPr>
        <u/>
        <sz val="8"/>
        <color rgb="FF1155CC"/>
        <rFont val="&quot;Helvetica Neue&quot;"/>
      </rPr>
      <t>whatismyipaddress.com</t>
    </r>
  </si>
  <si>
    <t>US Â» Interest Propensities Â» Activities and Interests Â» Buying and Selling Homes Â» Real Estate</t>
  </si>
  <si>
    <r>
      <rPr>
        <u/>
        <sz val="8"/>
        <color rgb="FF1155CC"/>
        <rFont val="&quot;Helvetica Neue&quot;"/>
      </rPr>
      <t>the-sun.com</t>
    </r>
  </si>
  <si>
    <t>Online Behavior&gt;United States&gt;Beauty and Fitness&gt;Fashion and Style</t>
  </si>
  <si>
    <r>
      <rPr>
        <u/>
        <sz val="8"/>
        <color rgb="FF1155CC"/>
        <rFont val="&quot;Helvetica Neue&quot;"/>
      </rPr>
      <t>miamiherald.com</t>
    </r>
  </si>
  <si>
    <t>OnAudience Â» Interest Â» Education</t>
  </si>
  <si>
    <r>
      <rPr>
        <u/>
        <sz val="8"/>
        <color rgb="FF1155CC"/>
        <rFont val="&quot;Helvetica Neue&quot;"/>
      </rPr>
      <t>politico.com</t>
    </r>
  </si>
  <si>
    <r>
      <rPr>
        <u/>
        <sz val="8"/>
        <color rgb="FF1155CC"/>
        <rFont val="&quot;Helvetica Neue&quot;"/>
      </rPr>
      <t>nypost.com</t>
    </r>
  </si>
  <si>
    <t>US Â»Green Consumer Audience</t>
  </si>
  <si>
    <r>
      <rPr>
        <u/>
        <sz val="8"/>
        <color rgb="FF1155CC"/>
        <rFont val="&quot;Helvetica Neue&quot;"/>
      </rPr>
      <t>cbsnews.com</t>
    </r>
  </si>
  <si>
    <t>US Â» Reach Â» Propensity Models Â» Real Estate Â» Monthly Mortgage Payment Â» $800-$999</t>
  </si>
  <si>
    <r>
      <rPr>
        <u/>
        <sz val="8"/>
        <color rgb="FF1155CC"/>
        <rFont val="&quot;Helvetica Neue&quot;"/>
      </rPr>
      <t>cbsnews.com</t>
    </r>
  </si>
  <si>
    <t>US Â» Interest Propensities Â» TV and Movies Â» Network TV</t>
  </si>
  <si>
    <r>
      <rPr>
        <u/>
        <sz val="8"/>
        <color rgb="FF1155CC"/>
        <rFont val="&quot;Helvetica Neue&quot;"/>
      </rPr>
      <t>realtor.com</t>
    </r>
  </si>
  <si>
    <t>Mobile - US Â» Travel Â» Activity Â» Ski Travelers</t>
  </si>
  <si>
    <r>
      <rPr>
        <u/>
        <sz val="8"/>
        <color rgb="FF1155CC"/>
        <rFont val="&quot;Helvetica Neue&quot;"/>
      </rPr>
      <t>hindustantimes.com</t>
    </r>
  </si>
  <si>
    <t>US Â» Sociodemographic Â» P$YCLE Premier Lifestage Â» M3 Upscale Empty Nests</t>
  </si>
  <si>
    <r>
      <rPr>
        <u/>
        <sz val="8"/>
        <color rgb="FF1155CC"/>
        <rFont val="&quot;Helvetica Neue&quot;"/>
      </rPr>
      <t>historyallday.com</t>
    </r>
  </si>
  <si>
    <t>US Â» B2B Â» B2B Decision Maker Responsibilities Â» Accounting or Tax Services</t>
  </si>
  <si>
    <r>
      <rPr>
        <u/>
        <sz val="8"/>
        <color rgb="FF1155CC"/>
        <rFont val="&quot;Helvetica Neue&quot;"/>
      </rPr>
      <t>doodle.com</t>
    </r>
  </si>
  <si>
    <t>US Â» Brand Propensities Â» Travel Â» Sandals Resorts Buyer Propensity</t>
  </si>
  <si>
    <r>
      <rPr>
        <u/>
        <sz val="8"/>
        <color rgb="FF1155CC"/>
        <rFont val="&quot;Helvetica Neue&quot;"/>
      </rPr>
      <t>autotrader.com</t>
    </r>
  </si>
  <si>
    <t>US Â» Brand Propensities Â» Home and Household Goods Â» Pottery Barn Kids Buyer Propensity</t>
  </si>
  <si>
    <r>
      <rPr>
        <u/>
        <sz val="8"/>
        <color rgb="FF1155CC"/>
        <rFont val="&quot;Helvetica Neue&quot;"/>
      </rPr>
      <t>investmentguru.com</t>
    </r>
  </si>
  <si>
    <t>US Â» B2B Â» B2B Decision Maker Responsibilities Â» Company Liability or Insurance</t>
  </si>
  <si>
    <r>
      <rPr>
        <u/>
        <sz val="8"/>
        <color rgb="FF1155CC"/>
        <rFont val="&quot;Helvetica Neue&quot;"/>
      </rPr>
      <t>citationmachine.net</t>
    </r>
  </si>
  <si>
    <t>US Â» Reach Â» Propensity Models Â» Hobbies and Interest Â» Sports Â» NASCAR Enthusiast</t>
  </si>
  <si>
    <r>
      <rPr>
        <u/>
        <sz val="8"/>
        <color rgb="FF1155CC"/>
        <rFont val="&quot;Helvetica Neue&quot;"/>
      </rPr>
      <t>mail.yahoo.com</t>
    </r>
  </si>
  <si>
    <t>Online Behavior&gt;United States&gt;Autos and Vehicles Â» Brands&gt;Maybach</t>
  </si>
  <si>
    <r>
      <rPr>
        <u/>
        <sz val="8"/>
        <color rgb="FF1155CC"/>
        <rFont val="&quot;Helvetica Neue&quot;"/>
      </rPr>
      <t>insidethemagic.net</t>
    </r>
  </si>
  <si>
    <t>Online Behavior&gt;United States&gt;B2B Â» Occupation&gt;OfficeManager</t>
  </si>
  <si>
    <r>
      <rPr>
        <u/>
        <sz val="8"/>
        <color rgb="FF1155CC"/>
        <rFont val="&quot;Helvetica Neue&quot;"/>
      </rPr>
      <t>dafont.com</t>
    </r>
  </si>
  <si>
    <t>IW60U</t>
  </si>
  <si>
    <t>Online Behavior&gt;United States&gt;B2B Â» Occupation&gt;Architect</t>
  </si>
  <si>
    <r>
      <rPr>
        <u/>
        <sz val="8"/>
        <color rgb="FF1155CC"/>
        <rFont val="&quot;Helvetica Neue&quot;"/>
      </rPr>
      <t>yourdailysportfix.com</t>
    </r>
  </si>
  <si>
    <t>Online Behavior&gt;United States&gt;The Changing Consumer&gt;Virtual Events</t>
  </si>
  <si>
    <r>
      <rPr>
        <u/>
        <sz val="8"/>
        <color rgb="FF1155CC"/>
        <rFont val="&quot;Helvetica Neue&quot;"/>
      </rPr>
      <t>yahoo.com</t>
    </r>
  </si>
  <si>
    <t>Online Behavior&gt;United States&gt;Validated Demographic Â» Gender and Age Combined&gt;Females 25-44</t>
  </si>
  <si>
    <r>
      <rPr>
        <u/>
        <sz val="8"/>
        <color rgb="FF1155CC"/>
        <rFont val="&quot;Helvetica Neue&quot;"/>
      </rPr>
      <t>outlook.live.com</t>
    </r>
  </si>
  <si>
    <t>Online Behavior&gt;United States&gt;Autos and Vehicles Â» Brands&gt;Ferrari</t>
  </si>
  <si>
    <r>
      <rPr>
        <u/>
        <sz val="8"/>
        <color rgb="FF1155CC"/>
        <rFont val="&quot;Helvetica Neue&quot;"/>
      </rPr>
      <t>biblegateway.com</t>
    </r>
  </si>
  <si>
    <t>Online Behavior&gt;United States&gt;Sports&gt;Extreme Sports</t>
  </si>
  <si>
    <r>
      <rPr>
        <u/>
        <sz val="8"/>
        <color rgb="FF1155CC"/>
        <rFont val="&quot;Helvetica Neue&quot;"/>
      </rPr>
      <t>webmd.com</t>
    </r>
  </si>
  <si>
    <t>Online Behavior&gt;United States&gt;Autos and Vehicles&gt;Vehicle Parts and Accessories</t>
  </si>
  <si>
    <r>
      <rPr>
        <u/>
        <sz val="8"/>
        <color rgb="FF1155CC"/>
        <rFont val="&quot;Helvetica Neue&quot;"/>
      </rPr>
      <t>pandora.com</t>
    </r>
  </si>
  <si>
    <t>Online Behavior&gt;United States&gt;Intent Â» Auto Buyers Â» Car Make&gt;Mazda</t>
  </si>
  <si>
    <r>
      <rPr>
        <u/>
        <sz val="8"/>
        <color rgb="FF1155CC"/>
        <rFont val="&quot;Helvetica Neue&quot;"/>
      </rPr>
      <t>iflscience.com</t>
    </r>
  </si>
  <si>
    <t>Online Behavior&gt;United States&gt;Internet and Telecom&gt;Web Services</t>
  </si>
  <si>
    <r>
      <rPr>
        <u/>
        <sz val="8"/>
        <color rgb="FF1155CC"/>
        <rFont val="&quot;Helvetica Neue&quot;"/>
      </rPr>
      <t>realtor.com</t>
    </r>
  </si>
  <si>
    <t>Online Behavior&gt;United States&gt;Travel&gt;Carpooling and Vehicle Sharing</t>
  </si>
  <si>
    <r>
      <rPr>
        <u/>
        <sz val="8"/>
        <color rgb="FF1155CC"/>
        <rFont val="&quot;Helvetica Neue&quot;"/>
      </rPr>
      <t>slickdeals.net</t>
    </r>
  </si>
  <si>
    <t>Online Behavior&gt;United States&gt;Validated Demographic Â» Gender&gt;Female</t>
  </si>
  <si>
    <r>
      <rPr>
        <u/>
        <sz val="8"/>
        <color rgb="FF1155CC"/>
        <rFont val="&quot;Helvetica Neue&quot;"/>
      </rPr>
      <t>yourroyals.com</t>
    </r>
  </si>
  <si>
    <t>Online Behavior&gt;United States&gt;Intent Â» Auto Buyers Â» Car Make&gt;Nissan</t>
  </si>
  <si>
    <r>
      <rPr>
        <u/>
        <sz val="8"/>
        <color rgb="FF1155CC"/>
        <rFont val="&quot;Helvetica Neue&quot;"/>
      </rPr>
      <t>britannica.com</t>
    </r>
  </si>
  <si>
    <t>Online Behavior&gt;United States&gt;Intent Â» Travel&gt;Flights</t>
  </si>
  <si>
    <r>
      <rPr>
        <u/>
        <sz val="8"/>
        <color rgb="FF1155CC"/>
        <rFont val="&quot;Helvetica Neue&quot;"/>
      </rPr>
      <t>nypost.com</t>
    </r>
  </si>
  <si>
    <t>Online Behavior&gt;United States&gt;Intent Â» Auto Buyers Â» Category&gt;Caravan</t>
  </si>
  <si>
    <r>
      <rPr>
        <u/>
        <sz val="8"/>
        <color rgb="FF1155CC"/>
        <rFont val="&quot;Helvetica Neue&quot;"/>
      </rPr>
      <t>ranker.com</t>
    </r>
  </si>
  <si>
    <t>Online Behavior&gt;United States&gt;Sports&gt;Individual Sports Â» Golf</t>
  </si>
  <si>
    <r>
      <rPr>
        <u/>
        <sz val="8"/>
        <color rgb="FF1155CC"/>
        <rFont val="&quot;Helvetica Neue&quot;"/>
      </rPr>
      <t>realtor.com</t>
    </r>
  </si>
  <si>
    <t>Online Behavior&gt;United States&gt;Life Event&gt;Engagement</t>
  </si>
  <si>
    <r>
      <rPr>
        <u/>
        <sz val="8"/>
        <color rgb="FF1155CC"/>
        <rFont val="&quot;Helvetica Neue&quot;"/>
      </rPr>
      <t>businessinsider.com</t>
    </r>
  </si>
  <si>
    <t>Online Behavior&gt;United States&gt;Games&gt;Educational Games</t>
  </si>
  <si>
    <r>
      <rPr>
        <u/>
        <sz val="8"/>
        <color rgb="FF1155CC"/>
        <rFont val="&quot;Helvetica Neue&quot;"/>
      </rPr>
      <t>forbes.com</t>
    </r>
  </si>
  <si>
    <t>Online Behavior&gt;United States&gt;Validated Demographic Â» Age&gt;18 or older</t>
  </si>
  <si>
    <r>
      <rPr>
        <u/>
        <sz val="8"/>
        <color rgb="FF1155CC"/>
        <rFont val="&quot;Helvetica Neue&quot;"/>
      </rPr>
      <t>reference.com</t>
    </r>
  </si>
  <si>
    <t>Online Behavior&gt;United States&gt;News&gt;Technology News</t>
  </si>
  <si>
    <r>
      <rPr>
        <u/>
        <sz val="8"/>
        <color rgb="FF1155CC"/>
        <rFont val="&quot;Helvetica Neue&quot;"/>
      </rPr>
      <t>femanin.com</t>
    </r>
  </si>
  <si>
    <t>Online Behavior&gt;United States&gt;Internet and Telecom&gt;Email and Messaging</t>
  </si>
  <si>
    <r>
      <rPr>
        <u/>
        <sz val="8"/>
        <color rgb="FF1155CC"/>
        <rFont val="&quot;Helvetica Neue&quot;"/>
      </rPr>
      <t>dexerto.com</t>
    </r>
  </si>
  <si>
    <t>Online Behavior&gt;United States&gt;Online Communities&gt;Online Goodies</t>
  </si>
  <si>
    <r>
      <rPr>
        <u/>
        <sz val="8"/>
        <color rgb="FF1155CC"/>
        <rFont val="&quot;Helvetica Neue&quot;"/>
      </rPr>
      <t>people.com</t>
    </r>
  </si>
  <si>
    <t>Online Behavior&gt;United States&gt;Travel&gt;Air Travel Â» Airport Parking and Transportation</t>
  </si>
  <si>
    <r>
      <rPr>
        <u/>
        <sz val="8"/>
        <color rgb="FF1155CC"/>
        <rFont val="&quot;Helvetica Neue&quot;"/>
      </rPr>
      <t>mail.aol.com</t>
    </r>
  </si>
  <si>
    <t>Online Behavior&gt;United States&gt;Beauty and Fitness&gt;Fashion and Style Â» Fashion Designers and Collections</t>
  </si>
  <si>
    <r>
      <rPr>
        <u/>
        <sz val="8"/>
        <color rgb="FF1155CC"/>
        <rFont val="&quot;Helvetica Neue&quot;"/>
      </rPr>
      <t>mail.yahoo.com</t>
    </r>
  </si>
  <si>
    <t>Online Behavior&gt;United States&gt;Finance Â» Investing&gt;Stocks and Bonds</t>
  </si>
  <si>
    <r>
      <rPr>
        <u/>
        <sz val="8"/>
        <color rgb="FF1155CC"/>
        <rFont val="&quot;Helvetica Neue&quot;"/>
      </rPr>
      <t>ebay.com</t>
    </r>
  </si>
  <si>
    <t>Online Behavior&gt;United States&gt;Finance Â» Investing&gt;Investing</t>
  </si>
  <si>
    <r>
      <rPr>
        <u/>
        <sz val="8"/>
        <color rgb="FF1155CC"/>
        <rFont val="&quot;Helvetica Neue&quot;"/>
      </rPr>
      <t>msn.com</t>
    </r>
  </si>
  <si>
    <t>US Â» Brand Propensities Â» Food and Drug Â» Postmates Buyer Propensity</t>
  </si>
  <si>
    <t>Mobile, Alabama-Pensacola, Florida</t>
  </si>
  <si>
    <r>
      <rPr>
        <u/>
        <sz val="8"/>
        <color rgb="FF1155CC"/>
        <rFont val="&quot;Helvetica Neue&quot;"/>
      </rPr>
      <t>pandora.com</t>
    </r>
  </si>
  <si>
    <t>US Â» Reach Â» Propensity Models Â» Household Consumer Expenditures Â» Home Office</t>
  </si>
  <si>
    <r>
      <rPr>
        <u/>
        <sz val="8"/>
        <color rgb="FF1155CC"/>
        <rFont val="&quot;Helvetica Neue&quot;"/>
      </rPr>
      <t>calculator.net</t>
    </r>
  </si>
  <si>
    <t>Media and Entertainment Â» Sports and Recreational Activities Â» Interest (Affinity) Â» Motorsports</t>
  </si>
  <si>
    <t>Nashville, Tennessee</t>
  </si>
  <si>
    <r>
      <rPr>
        <u/>
        <sz val="8"/>
        <color rgb="FF1155CC"/>
        <rFont val="&quot;Helvetica Neue&quot;"/>
      </rPr>
      <t>biblegateway.com</t>
    </r>
  </si>
  <si>
    <t>US Â» Demographic Â» Family Â» Female Head of Household</t>
  </si>
  <si>
    <r>
      <rPr>
        <u/>
        <sz val="8"/>
        <color rgb="FF1155CC"/>
        <rFont val="&quot;Helvetica Neue&quot;"/>
      </rPr>
      <t>att.yahoo.com</t>
    </r>
  </si>
  <si>
    <t>Mobile - US Â» Automotive Â» Vehicle Ownership Â» Brand Â» BMW</t>
  </si>
  <si>
    <r>
      <rPr>
        <u/>
        <sz val="8"/>
        <color rgb="FF1155CC"/>
        <rFont val="&quot;Helvetica Neue&quot;"/>
      </rPr>
      <t>uscellular.com</t>
    </r>
  </si>
  <si>
    <t>Lotame Â» Style, Fashion &amp; Clothing Â» Clothing Shoppers</t>
  </si>
  <si>
    <r>
      <rPr>
        <u/>
        <sz val="8"/>
        <color rgb="FF1155CC"/>
        <rFont val="&quot;Helvetica Neue&quot;"/>
      </rPr>
      <t>mail.yahoo.com</t>
    </r>
  </si>
  <si>
    <t>US Â» Brand Propensities Â» Health Â» Beauty and Cosmetics Â» SkinCareRx Buyer Propensity</t>
  </si>
  <si>
    <r>
      <rPr>
        <u/>
        <sz val="8"/>
        <color rgb="FF1155CC"/>
        <rFont val="&quot;Helvetica Neue&quot;"/>
      </rPr>
      <t>ebay.com</t>
    </r>
  </si>
  <si>
    <t>Media and Entertainment Â» Sports and Recreational Activities Â» Interest (Affinity) Â» Team Sports Â» Soccer (Football)</t>
  </si>
  <si>
    <r>
      <rPr>
        <u/>
        <sz val="8"/>
        <color rgb="FF1155CC"/>
        <rFont val="&quot;Helvetica Neue&quot;"/>
      </rPr>
      <t>merriam-webster.com/dictionary</t>
    </r>
  </si>
  <si>
    <t>US Demographic Â» Preferred Language Â» Non-Hispanic</t>
  </si>
  <si>
    <r>
      <rPr>
        <u/>
        <sz val="8"/>
        <color rgb="FF1155CC"/>
        <rFont val="&quot;Helvetica Neue&quot;"/>
      </rPr>
      <t>wikihow.com</t>
    </r>
  </si>
  <si>
    <r>
      <t xml:space="preserve">US Â» Brand Propensities Â» Automotive Â» </t>
    </r>
    <r>
      <rPr>
        <b/>
        <u/>
        <sz val="8"/>
        <color rgb="FF1155CC"/>
        <rFont val="&quot;Helvetica Neue&quot;"/>
      </rPr>
      <t>Tirerack.com</t>
    </r>
    <r>
      <rPr>
        <b/>
        <sz val="8"/>
        <rFont val="&quot;Helvetica Neue&quot;"/>
      </rPr>
      <t xml:space="preserve"> Buyer Propensity</t>
    </r>
  </si>
  <si>
    <r>
      <rPr>
        <u/>
        <sz val="8"/>
        <color rgb="FF1155CC"/>
        <rFont val="&quot;Helvetica Neue&quot;"/>
      </rPr>
      <t>mail.yahoo.com</t>
    </r>
  </si>
  <si>
    <t>US Â» B2B Â» B2B Decision Maker Responsibilities Â» Office Services or Moving</t>
  </si>
  <si>
    <r>
      <rPr>
        <u/>
        <sz val="8"/>
        <color rgb="FF1155CC"/>
        <rFont val="&quot;Helvetica Neue&quot;"/>
      </rPr>
      <t>realtor.com</t>
    </r>
  </si>
  <si>
    <t>US Â» Brand Propensities Â» Electronics Â» RadioShack Buyer Propensity</t>
  </si>
  <si>
    <r>
      <rPr>
        <u/>
        <sz val="8"/>
        <color rgb="FF1155CC"/>
        <rFont val="&quot;Helvetica Neue&quot;"/>
      </rPr>
      <t>msn.com</t>
    </r>
  </si>
  <si>
    <t>US Â» Interest Propensities Â» Insurance Â» Aetna Group</t>
  </si>
  <si>
    <r>
      <rPr>
        <u/>
        <sz val="8"/>
        <color rgb="FF1155CC"/>
        <rFont val="&quot;Helvetica Neue&quot;"/>
      </rPr>
      <t>foxbusiness.com</t>
    </r>
  </si>
  <si>
    <t>US Financial Â» Estimated Discretionary Spending (Financial) Â» Greater than $2,499</t>
  </si>
  <si>
    <r>
      <rPr>
        <u/>
        <sz val="8"/>
        <color rgb="FF1155CC"/>
        <rFont val="&quot;Helvetica Neue&quot;"/>
      </rPr>
      <t>biblestudytools.com</t>
    </r>
  </si>
  <si>
    <r>
      <rPr>
        <u/>
        <sz val="8"/>
        <color rgb="FF1155CC"/>
        <rFont val="&quot;Helvetica Neue&quot;"/>
      </rPr>
      <t>timeanddate.com</t>
    </r>
  </si>
  <si>
    <t>US Â» Demographic Â» Household Income $50k+</t>
  </si>
  <si>
    <r>
      <rPr>
        <u/>
        <sz val="8"/>
        <color rgb="FF1155CC"/>
        <rFont val="&quot;Helvetica Neue&quot;"/>
      </rPr>
      <t>thesaurus.com</t>
    </r>
  </si>
  <si>
    <t>Purchase Behaviors Â» Q2 Environmentally Concerned Shoppers</t>
  </si>
  <si>
    <r>
      <rPr>
        <u/>
        <sz val="8"/>
        <color rgb="FF1155CC"/>
        <rFont val="&quot;Helvetica Neue&quot;"/>
      </rPr>
      <t>cars.com</t>
    </r>
  </si>
  <si>
    <t>US Â» Reach Â» Propensity Models Â» Online Â» Home Office</t>
  </si>
  <si>
    <r>
      <rPr>
        <u/>
        <sz val="8"/>
        <color rgb="FF1155CC"/>
        <rFont val="&quot;Helvetica Neue&quot;"/>
      </rPr>
      <t>outlook.live.com</t>
    </r>
  </si>
  <si>
    <t>US Â» Reach Â» Propensity Models Â» Hobbies and Interest Â» Food and Drinks Â» Wine Lovers</t>
  </si>
  <si>
    <r>
      <rPr>
        <u/>
        <sz val="8"/>
        <color rgb="FF1155CC"/>
        <rFont val="&quot;Helvetica Neue&quot;"/>
      </rPr>
      <t>biblegateway.com</t>
    </r>
  </si>
  <si>
    <t>US Â» B2B Â» B2B Decision Maker Responsibilities Â» Security Services</t>
  </si>
  <si>
    <r>
      <rPr>
        <u/>
        <sz val="8"/>
        <color rgb="FF1155CC"/>
        <rFont val="&quot;Helvetica Neue&quot;"/>
      </rPr>
      <t>slickdeals.net</t>
    </r>
  </si>
  <si>
    <t>US Â»Quality-First Shopper Audience</t>
  </si>
  <si>
    <r>
      <rPr>
        <u/>
        <sz val="8"/>
        <color rgb="FF1155CC"/>
        <rFont val="&quot;Helvetica Neue&quot;"/>
      </rPr>
      <t>wikihow.com</t>
    </r>
  </si>
  <si>
    <t>US Â» Demo Â» Age Â» 65+</t>
  </si>
  <si>
    <r>
      <rPr>
        <u/>
        <sz val="8"/>
        <color rgb="FF1155CC"/>
        <rFont val="&quot;Helvetica Neue&quot;"/>
      </rPr>
      <t>msn.com</t>
    </r>
  </si>
  <si>
    <t>Online Behavior&gt;United States&gt;Validated Demographic Â» Age&gt;65 or older</t>
  </si>
  <si>
    <r>
      <rPr>
        <u/>
        <sz val="8"/>
        <color rgb="FF1155CC"/>
        <rFont val="&quot;Helvetica Neue&quot;"/>
      </rPr>
      <t>tripadvisor.com</t>
    </r>
  </si>
  <si>
    <t>US Â» Reach Â» Sociodemographic Â» Age Â» 45-49</t>
  </si>
  <si>
    <r>
      <rPr>
        <u/>
        <sz val="8"/>
        <color rgb="FF1155CC"/>
        <rFont val="&quot;Helvetica Neue&quot;"/>
      </rPr>
      <t>forbes.com</t>
    </r>
  </si>
  <si>
    <t>Online Behavior&gt;United States&gt;Sports&gt;Water Sports Â» Surfing</t>
  </si>
  <si>
    <r>
      <rPr>
        <u/>
        <sz val="8"/>
        <color rgb="FF1155CC"/>
        <rFont val="&quot;Helvetica Neue&quot;"/>
      </rPr>
      <t>ebay.com</t>
    </r>
  </si>
  <si>
    <t>EV96P</t>
  </si>
  <si>
    <t>Online Behavior&gt;United States&gt;Validated Demographic Â» Gender and Age Combined&gt;Males 25-44</t>
  </si>
  <si>
    <r>
      <rPr>
        <u/>
        <sz val="8"/>
        <color rgb="FF1155CC"/>
        <rFont val="&quot;Helvetica Neue&quot;"/>
      </rPr>
      <t>cars.com</t>
    </r>
  </si>
  <si>
    <t>Online Behavior&gt;United States&gt;Arts and Entertainment&gt;Movies</t>
  </si>
  <si>
    <r>
      <rPr>
        <u/>
        <sz val="8"/>
        <color rgb="FF1155CC"/>
        <rFont val="&quot;Helvetica Neue&quot;"/>
      </rPr>
      <t>funnyand.com</t>
    </r>
  </si>
  <si>
    <t>Online Behavior&gt;United States&gt;Finance Â» Insurance&gt;Travel Insurance</t>
  </si>
  <si>
    <r>
      <rPr>
        <u/>
        <sz val="8"/>
        <color rgb="FF1155CC"/>
        <rFont val="&quot;Helvetica Neue&quot;"/>
      </rPr>
      <t>weather.com</t>
    </r>
  </si>
  <si>
    <t>Online Behavior&gt;United States&gt;Validated Demographic Â» Gender and Age Combined&gt;Males 18-54</t>
  </si>
  <si>
    <r>
      <rPr>
        <u/>
        <sz val="8"/>
        <color rgb="FF1155CC"/>
        <rFont val="&quot;Helvetica Neue&quot;"/>
      </rPr>
      <t>accuweather.com</t>
    </r>
  </si>
  <si>
    <t>Online Behavior&gt;United States&gt;Intent Â» Shopping&gt;Consumer Electronics Â» Tablets</t>
  </si>
  <si>
    <r>
      <rPr>
        <u/>
        <sz val="8"/>
        <color rgb="FF1155CC"/>
        <rFont val="&quot;Helvetica Neue&quot;"/>
      </rPr>
      <t>finviz.com</t>
    </r>
  </si>
  <si>
    <t>Online Behavior&gt;United States&gt;Autos and Vehicles Â» Brands&gt;Mercedes-Benz</t>
  </si>
  <si>
    <r>
      <rPr>
        <u/>
        <sz val="8"/>
        <color rgb="FF1155CC"/>
        <rFont val="&quot;Helvetica Neue&quot;"/>
      </rPr>
      <t>accuweather.com</t>
    </r>
  </si>
  <si>
    <t>Online Behavior&gt;United States&gt;Intent Â» Auto Buyers Â» Car Make&gt;Ford</t>
  </si>
  <si>
    <r>
      <rPr>
        <u/>
        <sz val="8"/>
        <color rgb="FF1155CC"/>
        <rFont val="&quot;Helvetica Neue&quot;"/>
      </rPr>
      <t>foxnews.com</t>
    </r>
  </si>
  <si>
    <t>Online Behavior&gt;United States&gt;Intent Â» Auto Buyers Â» Car Make&gt;Honda</t>
  </si>
  <si>
    <r>
      <rPr>
        <u/>
        <sz val="8"/>
        <color rgb="FF1155CC"/>
        <rFont val="&quot;Helvetica Neue&quot;"/>
      </rPr>
      <t>npr.org</t>
    </r>
  </si>
  <si>
    <t>Online Behavior&gt;United States&gt;Intent Â» Travel&gt;Accommodation Â» Hotels</t>
  </si>
  <si>
    <r>
      <rPr>
        <u/>
        <sz val="8"/>
        <color rgb="FF1155CC"/>
        <rFont val="&quot;Helvetica Neue&quot;"/>
      </rPr>
      <t>dailymail.co.uk/news</t>
    </r>
  </si>
  <si>
    <t>Online Behavior&gt;United States&gt;Life Event&gt;Bride</t>
  </si>
  <si>
    <r>
      <rPr>
        <u/>
        <sz val="8"/>
        <color rgb="FF1155CC"/>
        <rFont val="&quot;Helvetica Neue&quot;"/>
      </rPr>
      <t>businessinsider.com</t>
    </r>
  </si>
  <si>
    <t>Online Behavior&gt;United States&gt;Online Communities&gt;Dating and Personals</t>
  </si>
  <si>
    <r>
      <rPr>
        <u/>
        <sz val="8"/>
        <color rgb="FF1155CC"/>
        <rFont val="&quot;Helvetica Neue&quot;"/>
      </rPr>
      <t>weather.com</t>
    </r>
  </si>
  <si>
    <t>Online Behavior&gt;United States&gt;Arts and Entertainment&gt;Events and Listings Â» Event Ticket Sales</t>
  </si>
  <si>
    <r>
      <rPr>
        <u/>
        <sz val="8"/>
        <color rgb="FF1155CC"/>
        <rFont val="&quot;Helvetica Neue&quot;"/>
      </rPr>
      <t>wikihow.com</t>
    </r>
  </si>
  <si>
    <t>Online Behavior&gt;United States&gt;Sports&gt;Sporting Goods</t>
  </si>
  <si>
    <r>
      <rPr>
        <u/>
        <sz val="8"/>
        <color rgb="FF1155CC"/>
        <rFont val="&quot;Helvetica Neue&quot;"/>
      </rPr>
      <t>calculator.net</t>
    </r>
  </si>
  <si>
    <t>Online Behavior&gt;United States&gt;Sports&gt;Individual Sports Â» Running and Walking</t>
  </si>
  <si>
    <r>
      <rPr>
        <u/>
        <sz val="8"/>
        <color rgb="FF1155CC"/>
        <rFont val="&quot;Helvetica Neue&quot;"/>
      </rPr>
      <t>cbsnews.com</t>
    </r>
  </si>
  <si>
    <t>Online Behavior&gt;United States&gt;Sports&gt;Team Sports Â» Volleyball</t>
  </si>
  <si>
    <r>
      <rPr>
        <u/>
        <sz val="8"/>
        <color rgb="FF1155CC"/>
        <rFont val="&quot;Helvetica Neue&quot;"/>
      </rPr>
      <t>buzzfeed.com</t>
    </r>
  </si>
  <si>
    <t>Online Behavior&gt;United States&gt;Internet and Telecom&gt;Mobile and Wireless</t>
  </si>
  <si>
    <r>
      <rPr>
        <u/>
        <sz val="8"/>
        <color rgb="FF1155CC"/>
        <rFont val="&quot;Helvetica Neue&quot;"/>
      </rPr>
      <t>forbes.com</t>
    </r>
  </si>
  <si>
    <t>Online Behavior&gt;United States&gt;Life Event&gt;New Parent</t>
  </si>
  <si>
    <r>
      <rPr>
        <u/>
        <sz val="8"/>
        <color rgb="FF1155CC"/>
        <rFont val="&quot;Helvetica Neue&quot;"/>
      </rPr>
      <t>ebay.com</t>
    </r>
  </si>
  <si>
    <t>Online Behavior&gt;United States&gt;Beauty and Fitness&gt;Body Art</t>
  </si>
  <si>
    <r>
      <rPr>
        <u/>
        <sz val="8"/>
        <color rgb="FF1155CC"/>
        <rFont val="&quot;Helvetica Neue&quot;"/>
      </rPr>
      <t>finance.yahoo.com</t>
    </r>
  </si>
  <si>
    <t>Online Behavior&gt;United States&gt;The Changing Consumer&gt;CPG</t>
  </si>
  <si>
    <r>
      <rPr>
        <u/>
        <sz val="8"/>
        <color rgb="FF1155CC"/>
        <rFont val="&quot;Helvetica Neue&quot;"/>
      </rPr>
      <t>realtor.com</t>
    </r>
  </si>
  <si>
    <t>Online Behavior&gt;United States&gt;Sports&gt;Team Sports Â» American Football</t>
  </si>
  <si>
    <r>
      <rPr>
        <u/>
        <sz val="8"/>
        <color rgb="FF1155CC"/>
        <rFont val="&quot;Helvetica Neue&quot;"/>
      </rPr>
      <t>msn.com</t>
    </r>
  </si>
  <si>
    <t>Online Behavior&gt;United States&gt;Finance Â» Credit and Lending&gt;Credit Cards</t>
  </si>
  <si>
    <r>
      <rPr>
        <u/>
        <sz val="8"/>
        <color rgb="FF1155CC"/>
        <rFont val="&quot;Helvetica Neue&quot;"/>
      </rPr>
      <t>outlook.live.com</t>
    </r>
  </si>
  <si>
    <t>Online Behavior&gt;United States&gt;News&gt;Weather</t>
  </si>
  <si>
    <t>New York City, New York</t>
  </si>
  <si>
    <r>
      <rPr>
        <u/>
        <sz val="8"/>
        <color rgb="FF1155CC"/>
        <rFont val="&quot;Helvetica Neue&quot;"/>
      </rPr>
      <t>wikihow.com</t>
    </r>
  </si>
  <si>
    <t>Lotame Â» Personal Finance Â» Stocks</t>
  </si>
  <si>
    <r>
      <rPr>
        <u/>
        <sz val="8"/>
        <color rgb="FF1155CC"/>
        <rFont val="&quot;Helvetica Neue&quot;"/>
      </rPr>
      <t>repairlinkshop.com</t>
    </r>
  </si>
  <si>
    <t>Mobile - US Â» Travel Â» Destination Â» International Travelers Â» Frequent Travelers</t>
  </si>
  <si>
    <r>
      <rPr>
        <u/>
        <sz val="8"/>
        <color rgb="FF1155CC"/>
        <rFont val="&quot;Helvetica Neue&quot;"/>
      </rPr>
      <t>biblegateway.com</t>
    </r>
  </si>
  <si>
    <t>Mobile - US Â» Sports Â» Water Sports Â» Boating</t>
  </si>
  <si>
    <r>
      <rPr>
        <u/>
        <sz val="8"/>
        <color rgb="FF1155CC"/>
        <rFont val="&quot;Helvetica Neue&quot;"/>
      </rPr>
      <t>heraldweekly.com</t>
    </r>
  </si>
  <si>
    <t>US Â» Sociodemographic Â» PRIZM Premier Social Â» T2 Country Comfort</t>
  </si>
  <si>
    <r>
      <rPr>
        <u/>
        <sz val="8"/>
        <color rgb="FF1155CC"/>
        <rFont val="&quot;Helvetica Neue&quot;"/>
      </rPr>
      <t>foxnews.com</t>
    </r>
  </si>
  <si>
    <t>US Â»Rural Improvement Fanatic</t>
  </si>
  <si>
    <r>
      <rPr>
        <u/>
        <sz val="8"/>
        <color rgb="FF1155CC"/>
        <rFont val="&quot;Helvetica Neue&quot;"/>
      </rPr>
      <t>cnbc.com</t>
    </r>
  </si>
  <si>
    <t>Mobile - US Â» Device Ownership Â» Smartphones Â» iOS (Apple) Â» iPhone 11</t>
  </si>
  <si>
    <r>
      <rPr>
        <u/>
        <sz val="8"/>
        <color rgb="FF1155CC"/>
        <rFont val="&quot;Helvetica Neue&quot;"/>
      </rPr>
      <t>finance.yahoo.com</t>
    </r>
  </si>
  <si>
    <t>OnAudience Â» Intent Â» Animals &amp; Pet</t>
  </si>
  <si>
    <r>
      <rPr>
        <u/>
        <sz val="8"/>
        <color rgb="FF1155CC"/>
        <rFont val="&quot;Helvetica Neue&quot;"/>
      </rPr>
      <t>a-z-animals.com</t>
    </r>
  </si>
  <si>
    <t>US Â» Brand Propensities Â» Travel Â» MGM Resorts International Buyer Propensity</t>
  </si>
  <si>
    <r>
      <rPr>
        <u/>
        <sz val="8"/>
        <color rgb="FF1155CC"/>
        <rFont val="&quot;Helvetica Neue&quot;"/>
      </rPr>
      <t>w3schools.com</t>
    </r>
  </si>
  <si>
    <t>US Â» Interest Propensities Â» Insurance Â» Unitedhealth Group</t>
  </si>
  <si>
    <r>
      <rPr>
        <u/>
        <sz val="8"/>
        <color rgb="FF1155CC"/>
        <rFont val="&quot;Helvetica Neue&quot;"/>
      </rPr>
      <t>forbes.com</t>
    </r>
  </si>
  <si>
    <t>US Technology Â» Social Media Â» Likely Behavior Â» Heavy Facebook User</t>
  </si>
  <si>
    <r>
      <rPr>
        <u/>
        <sz val="8"/>
        <color rgb="FF1155CC"/>
        <rFont val="&quot;Helvetica Neue&quot;"/>
      </rPr>
      <t>zillow.com</t>
    </r>
  </si>
  <si>
    <t>US Home Â» Property Type Â» Single</t>
  </si>
  <si>
    <r>
      <rPr>
        <u/>
        <sz val="8"/>
        <color rgb="FF1155CC"/>
        <rFont val="&quot;Helvetica Neue&quot;"/>
      </rPr>
      <t>realtor.com</t>
    </r>
  </si>
  <si>
    <t>Mobile - US Â» Food Â» Restaurant Â» Style Â» Desserts</t>
  </si>
  <si>
    <r>
      <rPr>
        <u/>
        <sz val="8"/>
        <color rgb="FF1155CC"/>
        <rFont val="&quot;Helvetica Neue&quot;"/>
      </rPr>
      <t>dictionary.com</t>
    </r>
  </si>
  <si>
    <t>Lotame Â» Offline CPG Purchasers Â» Product Segment</t>
  </si>
  <si>
    <r>
      <rPr>
        <u/>
        <sz val="8"/>
        <color rgb="FF1155CC"/>
        <rFont val="&quot;Helvetica Neue&quot;"/>
      </rPr>
      <t>mail.aol.com</t>
    </r>
  </si>
  <si>
    <t>Media and Entertainment Â» Consumer Entertainment Technology</t>
  </si>
  <si>
    <r>
      <rPr>
        <u/>
        <sz val="8"/>
        <color rgb="FF1155CC"/>
        <rFont val="&quot;Helvetica Neue&quot;"/>
      </rPr>
      <t>editorsnation.com</t>
    </r>
  </si>
  <si>
    <t>US Â» Reach Â» Propensity Models Â» Household Consumer Expenditures Â» Lawn and Garden</t>
  </si>
  <si>
    <r>
      <rPr>
        <u/>
        <sz val="8"/>
        <color rgb="FF1155CC"/>
        <rFont val="&quot;Helvetica Neue&quot;"/>
      </rPr>
      <t>cbsnews.com</t>
    </r>
  </si>
  <si>
    <r>
      <rPr>
        <u/>
        <sz val="8"/>
        <color rgb="FF1155CC"/>
        <rFont val="&quot;Helvetica Neue&quot;"/>
      </rPr>
      <t>weather.com</t>
    </r>
  </si>
  <si>
    <t>US Interest Â» Consumer Electronics</t>
  </si>
  <si>
    <r>
      <rPr>
        <u/>
        <sz val="8"/>
        <color rgb="FF1155CC"/>
        <rFont val="&quot;Helvetica Neue&quot;"/>
      </rPr>
      <t>forbes.com</t>
    </r>
  </si>
  <si>
    <t>US Â» Brand Propensities Â» Apparel Â» TOMS Buyer Propensity</t>
  </si>
  <si>
    <r>
      <rPr>
        <u/>
        <sz val="8"/>
        <color rgb="FF1155CC"/>
        <rFont val="&quot;Helvetica Neue&quot;"/>
      </rPr>
      <t>outlook.live.com</t>
    </r>
  </si>
  <si>
    <t>US Financial Â» Likely Attitude and Behavior Â» Completely Disagree Â» When I Find A Financial Product/Service I Like I Typically Recommend It To People I Know (Financial)</t>
  </si>
  <si>
    <r>
      <rPr>
        <u/>
        <sz val="8"/>
        <color rgb="FF1155CC"/>
        <rFont val="&quot;Helvetica Neue&quot;"/>
      </rPr>
      <t>webmd.com</t>
    </r>
  </si>
  <si>
    <t>US Â» Sociodemographic Â» ConneXions Lifestage Â» F1 Early Adopting Elite</t>
  </si>
  <si>
    <r>
      <rPr>
        <u/>
        <sz val="8"/>
        <color rgb="FF1155CC"/>
        <rFont val="&quot;Helvetica Neue&quot;"/>
      </rPr>
      <t>forbes.com</t>
    </r>
  </si>
  <si>
    <t>US Â» Sociodemographic Â» PRIZM Premier Lifestage Â» F2 Young Accumulators</t>
  </si>
  <si>
    <r>
      <rPr>
        <u/>
        <sz val="8"/>
        <color rgb="FF1155CC"/>
        <rFont val="&quot;Helvetica Neue&quot;"/>
      </rPr>
      <t>w3schools.com</t>
    </r>
  </si>
  <si>
    <t>OnAudience Â» Interest Â» Travel</t>
  </si>
  <si>
    <r>
      <rPr>
        <u/>
        <sz val="8"/>
        <color rgb="FF1155CC"/>
        <rFont val="&quot;Helvetica Neue&quot;"/>
      </rPr>
      <t>mail.yahoo.com</t>
    </r>
  </si>
  <si>
    <t>US Â» Brand Propensities Â» Kids Products Â» Disney Buyer Propensity</t>
  </si>
  <si>
    <r>
      <rPr>
        <u/>
        <sz val="8"/>
        <color rgb="FF1155CC"/>
        <rFont val="&quot;Helvetica Neue&quot;"/>
      </rPr>
      <t>nbcchicago.com</t>
    </r>
  </si>
  <si>
    <t>US Â» Interest Propensities Â» Activities and Interests Â» National News</t>
  </si>
  <si>
    <r>
      <rPr>
        <u/>
        <sz val="8"/>
        <color rgb="FF1155CC"/>
        <rFont val="&quot;Helvetica Neue&quot;"/>
      </rPr>
      <t>nbcnews.com</t>
    </r>
  </si>
  <si>
    <t>US Demographic Â» Preferred Language Â» Individual Â» Non-Hispanic</t>
  </si>
  <si>
    <r>
      <rPr>
        <u/>
        <sz val="8"/>
        <color rgb="FF1155CC"/>
        <rFont val="&quot;Helvetica Neue&quot;"/>
      </rPr>
      <t>houseplans.net</t>
    </r>
  </si>
  <si>
    <t>Mobile - US Â» Sports Â» Basketball Â» NCAA College Basketball</t>
  </si>
  <si>
    <r>
      <rPr>
        <u/>
        <sz val="8"/>
        <color rgb="FF1155CC"/>
        <rFont val="&quot;Helvetica Neue&quot;"/>
      </rPr>
      <t>wizofawes.com</t>
    </r>
  </si>
  <si>
    <t>OnAudience Â» Interest Â» Social life</t>
  </si>
  <si>
    <r>
      <rPr>
        <u/>
        <sz val="8"/>
        <color rgb="FF1155CC"/>
        <rFont val="&quot;Helvetica Neue&quot;"/>
      </rPr>
      <t>screenrant.com</t>
    </r>
  </si>
  <si>
    <t>Real Estate Â» Lot Size Â» Cozy Outdoor Living Space (Less than  an Acre)</t>
  </si>
  <si>
    <r>
      <rPr>
        <u/>
        <sz val="8"/>
        <color rgb="FF1155CC"/>
        <rFont val="&quot;Helvetica Neue&quot;"/>
      </rPr>
      <t>weather.com</t>
    </r>
  </si>
  <si>
    <t>US Â» Interest Propensities Â» Celebrities Â» Celebrity Fan Gossip</t>
  </si>
  <si>
    <r>
      <rPr>
        <u/>
        <sz val="8"/>
        <color rgb="FF1155CC"/>
        <rFont val="&quot;Helvetica Neue&quot;"/>
      </rPr>
      <t>mlb.com</t>
    </r>
  </si>
  <si>
    <t>US Â» Brand Propensities Â» Travel Â» American Airlines Buyer Propensity</t>
  </si>
  <si>
    <r>
      <rPr>
        <u/>
        <sz val="8"/>
        <color rgb="FF1155CC"/>
        <rFont val="&quot;Helvetica Neue&quot;"/>
      </rPr>
      <t>classmates.com</t>
    </r>
  </si>
  <si>
    <t>US Â» Interest Propensities Â» Insurance Â» Lincoln Heritage</t>
  </si>
  <si>
    <r>
      <rPr>
        <u/>
        <sz val="8"/>
        <color rgb="FF1155CC"/>
        <rFont val="&quot;Helvetica Neue&quot;"/>
      </rPr>
      <t>weather.com</t>
    </r>
  </si>
  <si>
    <t>US Â»Made In America Audience</t>
  </si>
  <si>
    <r>
      <rPr>
        <u/>
        <sz val="8"/>
        <color rgb="FF1155CC"/>
        <rFont val="&quot;Helvetica Neue&quot;"/>
      </rPr>
      <t>upworthy.com</t>
    </r>
  </si>
  <si>
    <t>US Â» Interest Propensities Â» Activities and Interests Â» Ecommerce</t>
  </si>
  <si>
    <r>
      <rPr>
        <u/>
        <sz val="8"/>
        <color rgb="FF1155CC"/>
        <rFont val="&quot;Helvetica Neue&quot;"/>
      </rPr>
      <t>wsj.com</t>
    </r>
  </si>
  <si>
    <t>US Â» Interest Propensities Â» Insurance Â» MassMutual</t>
  </si>
  <si>
    <r>
      <rPr>
        <u/>
        <sz val="8"/>
        <color rgb="FF1155CC"/>
        <rFont val="&quot;Helvetica Neue&quot;"/>
      </rPr>
      <t>bbc.com</t>
    </r>
  </si>
  <si>
    <t>Media and Entertainment Â» Television (TV) Â» Viewership</t>
  </si>
  <si>
    <r>
      <rPr>
        <u/>
        <sz val="8"/>
        <color rgb="FF1155CC"/>
        <rFont val="&quot;Helvetica Neue&quot;"/>
      </rPr>
      <t>womenshealthmag.com</t>
    </r>
  </si>
  <si>
    <t>US Â» Multibuyer Behaviors Â» Paid with Credit Card</t>
  </si>
  <si>
    <r>
      <rPr>
        <u/>
        <sz val="8"/>
        <color rgb="FF1155CC"/>
        <rFont val="&quot;Helvetica Neue&quot;"/>
      </rPr>
      <t>baseball.fantasysports.yahoo.com</t>
    </r>
  </si>
  <si>
    <t>Media and Entertainment Â» Music</t>
  </si>
  <si>
    <r>
      <rPr>
        <u/>
        <sz val="8"/>
        <color rgb="FF1155CC"/>
        <rFont val="&quot;Helvetica Neue&quot;"/>
      </rPr>
      <t>cnn.com</t>
    </r>
  </si>
  <si>
    <t>OnAudience Â» Interest</t>
  </si>
  <si>
    <r>
      <rPr>
        <u/>
        <sz val="8"/>
        <color rgb="FF1155CC"/>
        <rFont val="&quot;Helvetica Neue&quot;"/>
      </rPr>
      <t>tomsguide.com</t>
    </r>
  </si>
  <si>
    <t>US Â» Financially in Charge Â» Performance Score: Top 50%</t>
  </si>
  <si>
    <r>
      <rPr>
        <u/>
        <sz val="8"/>
        <color rgb="FF1155CC"/>
        <rFont val="&quot;Helvetica Neue&quot;"/>
      </rPr>
      <t>weather.com</t>
    </r>
  </si>
  <si>
    <t>US Â» Reach Â» Propensity Models Â» Hobbies and Interest Â» Sports Â» PGA Tour Enthusiast</t>
  </si>
  <si>
    <r>
      <rPr>
        <u/>
        <sz val="8"/>
        <color rgb="FF1155CC"/>
        <rFont val="&quot;Helvetica Neue&quot;"/>
      </rPr>
      <t>mail.yahoo.com</t>
    </r>
  </si>
  <si>
    <t>US Â» AUTO Â» Decision Maker for Auto Purchase Â» I was the sole decision-maker</t>
  </si>
  <si>
    <r>
      <rPr>
        <u/>
        <sz val="8"/>
        <color rgb="FF1155CC"/>
        <rFont val="&quot;Helvetica Neue&quot;"/>
      </rPr>
      <t>yahoo.com</t>
    </r>
  </si>
  <si>
    <t>US Â» Reach Â» Propensity Models Â» Young Adult Clothing Shoppers</t>
  </si>
  <si>
    <r>
      <rPr>
        <u/>
        <sz val="8"/>
        <color rgb="FF1155CC"/>
        <rFont val="&quot;Helvetica Neue&quot;"/>
      </rPr>
      <t>sciencesensei.com</t>
    </r>
  </si>
  <si>
    <t>US Â» B2B Â» B2B Decision Maker Responsibilities Â» Financial Services</t>
  </si>
  <si>
    <r>
      <rPr>
        <u/>
        <sz val="8"/>
        <color rgb="FF1155CC"/>
        <rFont val="&quot;Helvetica Neue&quot;"/>
      </rPr>
      <t>androidpolice.com</t>
    </r>
  </si>
  <si>
    <t>US Â» Reach Â» Propensity Models Â» Hobbies and Interest Â» Sports Â» NHL Enthusiast</t>
  </si>
  <si>
    <r>
      <rPr>
        <u/>
        <sz val="8"/>
        <color rgb="FF1155CC"/>
        <rFont val="&quot;Helvetica Neue&quot;"/>
      </rPr>
      <t>realtor.com</t>
    </r>
  </si>
  <si>
    <t>US Â» Reach Â» Propensity Models Â» Hobbies and Interest Â» Food and Drinks Â» Eats at Fast Food Restaurants</t>
  </si>
  <si>
    <r>
      <rPr>
        <u/>
        <sz val="8"/>
        <color rgb="FF1155CC"/>
        <rFont val="&quot;Helvetica Neue&quot;"/>
      </rPr>
      <t>bestbuy.com</t>
    </r>
  </si>
  <si>
    <r>
      <rPr>
        <u/>
        <sz val="8"/>
        <color rgb="FF1155CC"/>
        <rFont val="&quot;Helvetica Neue&quot;"/>
      </rPr>
      <t>weather.com</t>
    </r>
  </si>
  <si>
    <t>US Â» Reach Â» Propensity Models Â» Lifestyle Â» Loyalty Programs Â» Loyalty Card User</t>
  </si>
  <si>
    <r>
      <rPr>
        <u/>
        <sz val="8"/>
        <color rgb="FF1155CC"/>
        <rFont val="&quot;Helvetica Neue&quot;"/>
      </rPr>
      <t>findagrave.com</t>
    </r>
  </si>
  <si>
    <t>US Â» Reach Â» Propensity Models Â» Travel Â» High Frequency Travel Â» Foreign Vacationer</t>
  </si>
  <si>
    <r>
      <rPr>
        <u/>
        <sz val="8"/>
        <color rgb="FF1155CC"/>
        <rFont val="&quot;Helvetica Neue&quot;"/>
      </rPr>
      <t>nsfas-applications.co.za</t>
    </r>
  </si>
  <si>
    <t>US Â» Reach Â» Propensity Models Â» Hobbies and Interest Â» Sports Â» NBA Enthusiast</t>
  </si>
  <si>
    <r>
      <rPr>
        <u/>
        <sz val="8"/>
        <color rgb="FF1155CC"/>
        <rFont val="&quot;Helvetica Neue&quot;"/>
      </rPr>
      <t>jdpower.com</t>
    </r>
  </si>
  <si>
    <t>US Â» Reach Â» Propensity Models Â» Hobbies and Interest Â» Sports Â» Plays Tennis</t>
  </si>
  <si>
    <r>
      <rPr>
        <u/>
        <sz val="8"/>
        <color rgb="FF1155CC"/>
        <rFont val="&quot;Helvetica Neue&quot;"/>
      </rPr>
      <t>rollingstone.com</t>
    </r>
  </si>
  <si>
    <t>Online Behavior&gt;United States&gt;Beauty and Fitness&gt;Cosmetology and Beauty Professionals</t>
  </si>
  <si>
    <r>
      <rPr>
        <u/>
        <sz val="8"/>
        <color rgb="FF1155CC"/>
        <rFont val="&quot;Helvetica Neue&quot;"/>
      </rPr>
      <t>dotesports.com</t>
    </r>
  </si>
  <si>
    <t>Online Behavior&gt;United States&gt;The Changing Consumer&gt;B2B Work from Home</t>
  </si>
  <si>
    <r>
      <rPr>
        <u/>
        <sz val="8"/>
        <color rgb="FF1155CC"/>
        <rFont val="&quot;Helvetica Neue&quot;"/>
      </rPr>
      <t>geeksforgeeks.org</t>
    </r>
  </si>
  <si>
    <t>Online Behavior&gt;United States&gt;Intent Â» Auto Buyers Â» Car Make&gt;Peugeot</t>
  </si>
  <si>
    <r>
      <rPr>
        <u/>
        <sz val="8"/>
        <color rgb="FF1155CC"/>
        <rFont val="&quot;Helvetica Neue&quot;"/>
      </rPr>
      <t>usatoday.com</t>
    </r>
  </si>
  <si>
    <t>Online Behavior&gt;United States&gt;Intent Â» Shopping&gt;Sports and Outdoors</t>
  </si>
  <si>
    <r>
      <rPr>
        <u/>
        <sz val="8"/>
        <color rgb="FF1155CC"/>
        <rFont val="&quot;Helvetica Neue&quot;"/>
      </rPr>
      <t>findagrave.com</t>
    </r>
  </si>
  <si>
    <t>Online Behavior&gt;United States&gt;The Changing Consumer&gt;Home Cooking</t>
  </si>
  <si>
    <r>
      <rPr>
        <u/>
        <sz val="8"/>
        <color rgb="FF1155CC"/>
        <rFont val="&quot;Helvetica Neue&quot;"/>
      </rPr>
      <t>kbb.com</t>
    </r>
  </si>
  <si>
    <t>Online Behavior&gt;United States&gt;Arts and Entertainment&gt;TV and Video</t>
  </si>
  <si>
    <r>
      <rPr>
        <u/>
        <sz val="8"/>
        <color rgb="FF1155CC"/>
        <rFont val="&quot;Helvetica Neue&quot;"/>
      </rPr>
      <t>msn.com</t>
    </r>
  </si>
  <si>
    <t>Online Behavior&gt;United States&gt;Intent Â» Shopping&gt;CPG» Grocery</t>
  </si>
  <si>
    <r>
      <rPr>
        <u/>
        <sz val="8"/>
        <color rgb="FF1155CC"/>
        <rFont val="&quot;Helvetica Neue&quot;"/>
      </rPr>
      <t>dailybee.com</t>
    </r>
  </si>
  <si>
    <t>VA15Z</t>
  </si>
  <si>
    <t>Online Behavior&gt;United States&gt;Validated Demographic Â» Gender and Age Combined&gt;Males 55-64</t>
  </si>
  <si>
    <r>
      <rPr>
        <u/>
        <sz val="8"/>
        <color rgb="FF1155CC"/>
        <rFont val="&quot;Helvetica Neue&quot;"/>
      </rPr>
      <t>timeanddate.com</t>
    </r>
  </si>
  <si>
    <t>Online Behavior&gt;United States&gt;Food and Drink&gt;Beverages Â» Bottled Water</t>
  </si>
  <si>
    <r>
      <rPr>
        <u/>
        <sz val="8"/>
        <color rgb="FF1155CC"/>
        <rFont val="&quot;Helvetica Neue&quot;"/>
      </rPr>
      <t>forbes.com</t>
    </r>
  </si>
  <si>
    <t>Online Behavior&gt;United States&gt;Hobbies and Leisure&gt;Special Occasions Â» Holidays and Seasonal Events</t>
  </si>
  <si>
    <r>
      <rPr>
        <u/>
        <sz val="8"/>
        <color rgb="FF1155CC"/>
        <rFont val="&quot;Helvetica Neue&quot;"/>
      </rPr>
      <t>yahoo.com</t>
    </r>
  </si>
  <si>
    <t>Online Behavior&gt;United States&gt;Intent Â» Travel&gt;Business Travel</t>
  </si>
  <si>
    <r>
      <rPr>
        <u/>
        <sz val="8"/>
        <color rgb="FF1155CC"/>
        <rFont val="&quot;Helvetica Neue&quot;"/>
      </rPr>
      <t>gamerant.com</t>
    </r>
  </si>
  <si>
    <t>Online Behavior&gt;United States&gt;Validated Demographic Â» Age&gt;25-54</t>
  </si>
  <si>
    <r>
      <rPr>
        <u/>
        <sz val="8"/>
        <color rgb="FF1155CC"/>
        <rFont val="&quot;Helvetica Neue&quot;"/>
      </rPr>
      <t>weather.com</t>
    </r>
  </si>
  <si>
    <t>Online Behavior&gt;United States&gt;Beauty and Fitness&gt;Fitness Â» Yoga and Pilates</t>
  </si>
  <si>
    <r>
      <rPr>
        <u/>
        <sz val="8"/>
        <color rgb="FF1155CC"/>
        <rFont val="&quot;Helvetica Neue&quot;"/>
      </rPr>
      <t>fandomwire.com</t>
    </r>
  </si>
  <si>
    <t>Online Behavior&gt;United States&gt;Beauty and Fitness&gt;Fitness Â» Gyms and Health Clubs</t>
  </si>
  <si>
    <r>
      <rPr>
        <u/>
        <sz val="8"/>
        <color rgb="FF1155CC"/>
        <rFont val="&quot;Helvetica Neue&quot;"/>
      </rPr>
      <t>rollingstone.com</t>
    </r>
  </si>
  <si>
    <t>Online Behavior&gt;United States&gt;Real Estate&gt;Apartments and Residential Rentals</t>
  </si>
  <si>
    <r>
      <rPr>
        <u/>
        <sz val="8"/>
        <color rgb="FF1155CC"/>
        <rFont val="&quot;Helvetica Neue&quot;"/>
      </rPr>
      <t>cbssports.com</t>
    </r>
  </si>
  <si>
    <t>Online Behavior&gt;United States&gt;Autos and Vehicles Â» Brands&gt;Acura</t>
  </si>
  <si>
    <r>
      <rPr>
        <u/>
        <sz val="8"/>
        <color rgb="FF1155CC"/>
        <rFont val="&quot;Helvetica Neue&quot;"/>
      </rPr>
      <t>mail.aol.com</t>
    </r>
  </si>
  <si>
    <t>Online Behavior&gt;United States&gt;Real Estate&gt;Homeowner</t>
  </si>
  <si>
    <r>
      <rPr>
        <u/>
        <sz val="8"/>
        <color rgb="FF1155CC"/>
        <rFont val="&quot;Helvetica Neue&quot;"/>
      </rPr>
      <t>ebay.com</t>
    </r>
  </si>
  <si>
    <t>Online Behavior&gt;United States&gt;Autos and Vehicles Â» Brands&gt;Mazda</t>
  </si>
  <si>
    <r>
      <rPr>
        <u/>
        <sz val="8"/>
        <color rgb="FF1155CC"/>
        <rFont val="&quot;Helvetica Neue&quot;"/>
      </rPr>
      <t>cbsnews.com</t>
    </r>
  </si>
  <si>
    <t>Online Behavior&gt;United States&gt;Intent Â» Auto Buyers Â» Car Make&gt;Hyundai</t>
  </si>
  <si>
    <r>
      <rPr>
        <u/>
        <sz val="8"/>
        <color rgb="FF1155CC"/>
        <rFont val="&quot;Helvetica Neue&quot;"/>
      </rPr>
      <t>daily-choices.com</t>
    </r>
  </si>
  <si>
    <t>Online Behavior&gt;United States&gt;Autos and Vehicles Â» Brands&gt;Volvo</t>
  </si>
  <si>
    <r>
      <rPr>
        <u/>
        <sz val="8"/>
        <color rgb="FF1155CC"/>
        <rFont val="&quot;Helvetica Neue&quot;"/>
      </rPr>
      <t>chocolatecoveredkatie.com</t>
    </r>
  </si>
  <si>
    <t>Online Behavior&gt;United States&gt;Intent Â» Auto Buyers Â» Type&gt;SUV</t>
  </si>
  <si>
    <r>
      <rPr>
        <u/>
        <sz val="8"/>
        <color rgb="FF1155CC"/>
        <rFont val="&quot;Helvetica Neue&quot;"/>
      </rPr>
      <t>homeaddict.io</t>
    </r>
  </si>
  <si>
    <t>Online Behavior&gt;United States&gt;Food and Drink&gt;Restaurants Â» Fine Dining</t>
  </si>
  <si>
    <r>
      <rPr>
        <u/>
        <sz val="8"/>
        <color rgb="FF1155CC"/>
        <rFont val="&quot;Helvetica Neue&quot;"/>
      </rPr>
      <t>thesaurus.com</t>
    </r>
  </si>
  <si>
    <t>Online Behavior&gt;United States&gt;Intent Â» Auto Buyers Â» Car Make&gt;Jeep</t>
  </si>
  <si>
    <r>
      <rPr>
        <u/>
        <sz val="8"/>
        <color rgb="FF1155CC"/>
        <rFont val="&quot;Helvetica Neue&quot;"/>
      </rPr>
      <t>weather.com</t>
    </r>
  </si>
  <si>
    <t>Online Behavior&gt;United States&gt;Intent Â» Shopping&gt;Drug Stores Â» Walgreens</t>
  </si>
  <si>
    <r>
      <rPr>
        <u/>
        <sz val="8"/>
        <color rgb="FF1155CC"/>
        <rFont val="&quot;Helvetica Neue&quot;"/>
      </rPr>
      <t>usatoday.com</t>
    </r>
  </si>
  <si>
    <t>Online Behavior&gt;United States&gt;Autos and Vehicles Â» Brands&gt;Ford</t>
  </si>
  <si>
    <r>
      <rPr>
        <u/>
        <sz val="8"/>
        <color rgb="FF1155CC"/>
        <rFont val="&quot;Helvetica Neue&quot;"/>
      </rPr>
      <t>insider.com</t>
    </r>
  </si>
  <si>
    <t>Online Behavior&gt;United States&gt;Intent Â» Auto Buyers Â» Car Make&gt;Opel</t>
  </si>
  <si>
    <r>
      <rPr>
        <u/>
        <sz val="8"/>
        <color rgb="FF1155CC"/>
        <rFont val="&quot;Helvetica Neue&quot;"/>
      </rPr>
      <t>finance.yahoo.com</t>
    </r>
  </si>
  <si>
    <t>Online Behavior&gt;United States&gt;Travel&gt;Bus and Rail</t>
  </si>
  <si>
    <r>
      <rPr>
        <u/>
        <sz val="8"/>
        <color rgb="FF1155CC"/>
        <rFont val="&quot;Helvetica Neue&quot;"/>
      </rPr>
      <t>cars.com</t>
    </r>
  </si>
  <si>
    <t>Online Behavior&gt;United States&gt;Intent Â» Shopping&gt;Entertainment</t>
  </si>
  <si>
    <r>
      <rPr>
        <u/>
        <sz val="8"/>
        <color rgb="FF1155CC"/>
        <rFont val="&quot;Helvetica Neue&quot;"/>
      </rPr>
      <t>mapquest.com</t>
    </r>
  </si>
  <si>
    <t>Online Behavior&gt;United States&gt;Intent Â» Travel&gt;Travel</t>
  </si>
  <si>
    <r>
      <rPr>
        <u/>
        <sz val="8"/>
        <color rgb="FF1155CC"/>
        <rFont val="&quot;Helvetica Neue&quot;"/>
      </rPr>
      <t>wikihow.com</t>
    </r>
  </si>
  <si>
    <t>Online Behavior&gt;United States&gt;Life Event&gt;Job Search</t>
  </si>
  <si>
    <r>
      <rPr>
        <u/>
        <sz val="8"/>
        <color rgb="FF1155CC"/>
        <rFont val="&quot;Helvetica Neue&quot;"/>
      </rPr>
      <t>thesaurus.com</t>
    </r>
  </si>
  <si>
    <t>Online Behavior&gt;United States&gt;Beauty and Fitness&gt;Face and Body Care Â» Unwanted Body and Facial Hair Removal</t>
  </si>
  <si>
    <r>
      <rPr>
        <u/>
        <sz val="8"/>
        <color rgb="FF1155CC"/>
        <rFont val="&quot;Helvetica Neue&quot;"/>
      </rPr>
      <t>cnn.com</t>
    </r>
  </si>
  <si>
    <t>Online Behavior&gt;United States&gt;Intent Â» Shopping&gt;Office Supplies</t>
  </si>
  <si>
    <r>
      <rPr>
        <u/>
        <sz val="8"/>
        <color rgb="FF1155CC"/>
        <rFont val="&quot;Helvetica Neue&quot;"/>
      </rPr>
      <t>kbb.com</t>
    </r>
  </si>
  <si>
    <t>Online Behavior&gt;United States&gt;Sports&gt;Sports League Â» MLB</t>
  </si>
  <si>
    <r>
      <rPr>
        <u/>
        <sz val="8"/>
        <color rgb="FF1155CC"/>
        <rFont val="&quot;Helvetica Neue&quot;"/>
      </rPr>
      <t>autotrader.com</t>
    </r>
  </si>
  <si>
    <t>Online Behavior&gt;United States&gt;Autos and Vehicles&gt;Vehicle Shopping Â» Fuel Economy and Gas Prices</t>
  </si>
  <si>
    <r>
      <rPr>
        <u/>
        <sz val="8"/>
        <color rgb="FF1155CC"/>
        <rFont val="&quot;Helvetica Neue&quot;"/>
      </rPr>
      <t>nbcnews.com</t>
    </r>
  </si>
  <si>
    <t>Online Behavior&gt;United States&gt;News&gt;Newspapers</t>
  </si>
  <si>
    <r>
      <rPr>
        <u/>
        <sz val="8"/>
        <color rgb="FF1155CC"/>
        <rFont val="&quot;Helvetica Neue&quot;"/>
      </rPr>
      <t>calculator.net</t>
    </r>
  </si>
  <si>
    <t>Online Behavior&gt;United States&gt;Autos and Vehicles&gt;Hybrid and Alternative Vehicles</t>
  </si>
  <si>
    <r>
      <rPr>
        <u/>
        <sz val="8"/>
        <color rgb="FF1155CC"/>
        <rFont val="&quot;Helvetica Neue&quot;"/>
      </rPr>
      <t>hindustantimes.com</t>
    </r>
  </si>
  <si>
    <t>Online Behavior&gt;United States&gt;Hobbies and Leisure&gt;Outdoors Â» Fishing</t>
  </si>
  <si>
    <r>
      <rPr>
        <u/>
        <sz val="8"/>
        <color rgb="FF1155CC"/>
        <rFont val="&quot;Helvetica Neue&quot;"/>
      </rPr>
      <t>mlb.com</t>
    </r>
  </si>
  <si>
    <t>Online Behavior&gt;United States&gt;Internet and Telecom&gt;Web Apps and Online Tools</t>
  </si>
  <si>
    <r>
      <rPr>
        <u/>
        <sz val="8"/>
        <color rgb="FF1155CC"/>
        <rFont val="&quot;Helvetica Neue&quot;"/>
      </rPr>
      <t>realtor.com</t>
    </r>
  </si>
  <si>
    <t>Online Behavior&gt;United States&gt;Home and Garden&gt;Home Improvement</t>
  </si>
  <si>
    <r>
      <rPr>
        <u/>
        <sz val="8"/>
        <color rgb="FF1155CC"/>
        <rFont val="&quot;Helvetica Neue&quot;"/>
      </rPr>
      <t>finance.yahoo.com</t>
    </r>
  </si>
  <si>
    <t>Online Behavior&gt;United States&gt;Travel&gt;Travel Agencies and Services</t>
  </si>
  <si>
    <r>
      <rPr>
        <u/>
        <sz val="8"/>
        <color rgb="FF1155CC"/>
        <rFont val="&quot;Helvetica Neue&quot;"/>
      </rPr>
      <t>mail.yahoo.com</t>
    </r>
  </si>
  <si>
    <t>Online Behavior&gt;United States&gt;Sports&gt;Team Sports Â» Baseball</t>
  </si>
  <si>
    <r>
      <rPr>
        <u/>
        <sz val="8"/>
        <color rgb="FF1155CC"/>
        <rFont val="&quot;Helvetica Neue&quot;"/>
      </rPr>
      <t>rollingstone.com</t>
    </r>
  </si>
  <si>
    <t>Online Behavior&gt;United States&gt;Sports&gt;Team Sports Â» Basketball</t>
  </si>
  <si>
    <r>
      <rPr>
        <u/>
        <sz val="8"/>
        <color rgb="FF1155CC"/>
        <rFont val="&quot;Helvetica Neue&quot;"/>
      </rPr>
      <t>aol.com</t>
    </r>
  </si>
  <si>
    <t>Online Behavior&gt;United States&gt;Life Event&gt;Home Buying</t>
  </si>
  <si>
    <r>
      <rPr>
        <u/>
        <sz val="8"/>
        <color rgb="FF1155CC"/>
        <rFont val="&quot;Helvetica Neue&quot;"/>
      </rPr>
      <t>topclassactions.com</t>
    </r>
  </si>
  <si>
    <t>Online Behavior&gt;United States&gt;Life Event&gt;University Graduation</t>
  </si>
  <si>
    <r>
      <rPr>
        <u/>
        <sz val="8"/>
        <color rgb="FF1155CC"/>
        <rFont val="&quot;Helvetica Neue&quot;"/>
      </rPr>
      <t>yahoo.com</t>
    </r>
  </si>
  <si>
    <t>Online Behavior&gt;United States&gt;Sports&gt;Team Sports Â» Rugby</t>
  </si>
  <si>
    <r>
      <rPr>
        <u/>
        <sz val="8"/>
        <color rgb="FF1155CC"/>
        <rFont val="&quot;Helvetica Neue&quot;"/>
      </rPr>
      <t>mail.yahoo.com</t>
    </r>
  </si>
  <si>
    <t>Online Behavior&gt;United States&gt;The Changing Consumer&gt;Data For Good Â» Current Affairs - Social Justice</t>
  </si>
  <si>
    <r>
      <rPr>
        <u/>
        <sz val="8"/>
        <color rgb="FF1155CC"/>
        <rFont val="&quot;Helvetica Neue&quot;"/>
      </rPr>
      <t>mail.yahoo.com</t>
    </r>
  </si>
  <si>
    <t>Online Behavior&gt;United States&gt;Travel&gt;Tourist Destinations</t>
  </si>
  <si>
    <r>
      <rPr>
        <u/>
        <sz val="8"/>
        <color rgb="FF1155CC"/>
        <rFont val="&quot;Helvetica Neue&quot;"/>
      </rPr>
      <t>ebay.com</t>
    </r>
  </si>
  <si>
    <t>Online Behavior&gt;United States&gt;Finance Â» Banking&gt;Money Transfer and Wire Services</t>
  </si>
  <si>
    <r>
      <rPr>
        <u/>
        <sz val="8"/>
        <color rgb="FF1155CC"/>
        <rFont val="&quot;Helvetica Neue&quot;"/>
      </rPr>
      <t>ebay.com</t>
    </r>
  </si>
  <si>
    <t>Online Behavior&gt;United States&gt;News&gt;Politics</t>
  </si>
  <si>
    <r>
      <rPr>
        <u/>
        <sz val="8"/>
        <color rgb="FF1155CC"/>
        <rFont val="&quot;Helvetica Neue&quot;"/>
      </rPr>
      <t>thesaurus.com</t>
    </r>
  </si>
  <si>
    <t>Online Behavior&gt;United States&gt;Travel&gt;Travel</t>
  </si>
  <si>
    <r>
      <rPr>
        <u/>
        <sz val="8"/>
        <color rgb="FF1155CC"/>
        <rFont val="&quot;Helvetica Neue&quot;"/>
      </rPr>
      <t>cnn.com</t>
    </r>
  </si>
  <si>
    <t>Online Behavior&gt;United States&gt;Arts and Entertainment&gt;Arts and Entertainment</t>
  </si>
  <si>
    <t>Orlando-Daytona Beach, Florida</t>
  </si>
  <si>
    <r>
      <rPr>
        <u/>
        <sz val="8"/>
        <color rgb="FF1155CC"/>
        <rFont val="&quot;Helvetica Neue&quot;"/>
      </rPr>
      <t>nbcchicago.com</t>
    </r>
  </si>
  <si>
    <t>Travel and Tourism Â» Interest (Affinity) Â» Destinations Â» Europe</t>
  </si>
  <si>
    <r>
      <rPr>
        <u/>
        <sz val="8"/>
        <color rgb="FF1155CC"/>
        <rFont val="&quot;Helvetica Neue&quot;"/>
      </rPr>
      <t>mail.aol.com</t>
    </r>
  </si>
  <si>
    <t>Travel and Tourism Â» Interest (Affinity) Â» Destinations Â» Latin America</t>
  </si>
  <si>
    <r>
      <rPr>
        <u/>
        <sz val="8"/>
        <color rgb="FF1155CC"/>
        <rFont val="&quot;Helvetica Neue&quot;"/>
      </rPr>
      <t>factable.com</t>
    </r>
  </si>
  <si>
    <t>Lotame Â» Style, Fashion &amp; Clothing Â» Women's Clothing Shoppers</t>
  </si>
  <si>
    <r>
      <rPr>
        <u/>
        <sz val="8"/>
        <color rgb="FF1155CC"/>
        <rFont val="&quot;Helvetica Neue&quot;"/>
      </rPr>
      <t>jdpower.com</t>
    </r>
  </si>
  <si>
    <t>US Financial Â» Likely Attitude and Behavior Â» Bank Selection Â» Customer Service Very Important (Financial)</t>
  </si>
  <si>
    <r>
      <rPr>
        <u/>
        <sz val="8"/>
        <color rgb="FF1155CC"/>
        <rFont val="&quot;Helvetica Neue&quot;"/>
      </rPr>
      <t>carscoops.com</t>
    </r>
  </si>
  <si>
    <t>Mobile - US Â» Device Ownership Â» Smartphones Â» iOS (Apple) Â» iPhone X</t>
  </si>
  <si>
    <r>
      <rPr>
        <u/>
        <sz val="8"/>
        <color rgb="FF1155CC"/>
        <rFont val="&quot;Helvetica Neue&quot;"/>
      </rPr>
      <t>finance.yahoo.com</t>
    </r>
  </si>
  <si>
    <t>Media and Entertainment Â» Sports and Recreational Activities Â» Interest (Affinity) Â» Individual Sports Â» Tennis and Racquet Sports</t>
  </si>
  <si>
    <r>
      <rPr>
        <u/>
        <sz val="8"/>
        <color rgb="FF1155CC"/>
        <rFont val="&quot;Helvetica Neue&quot;"/>
      </rPr>
      <t>investopedia.com</t>
    </r>
  </si>
  <si>
    <t>OnAudience Â» Interest Â» Technology &amp; Computing Â» Entertainment</t>
  </si>
  <si>
    <r>
      <rPr>
        <u/>
        <sz val="8"/>
        <color rgb="FF1155CC"/>
        <rFont val="&quot;Helvetica Neue&quot;"/>
      </rPr>
      <t>yahoo.com</t>
    </r>
  </si>
  <si>
    <t>OnAudience Â» Interest Â» Science Â» Weather</t>
  </si>
  <si>
    <r>
      <rPr>
        <u/>
        <sz val="8"/>
        <color rgb="FF1155CC"/>
        <rFont val="&quot;Helvetica Neue&quot;"/>
      </rPr>
      <t>omnicalculator.com</t>
    </r>
  </si>
  <si>
    <t>Media and Entertainment Â» Television (TV) Â» Viewership Â» TV Genres Â» Drama</t>
  </si>
  <si>
    <r>
      <rPr>
        <u/>
        <sz val="8"/>
        <color rgb="FF1155CC"/>
        <rFont val="&quot;Helvetica Neue&quot;"/>
      </rPr>
      <t>semana.com</t>
    </r>
  </si>
  <si>
    <t>US Â» Multibuyer Behaviors Â» Entertainment Â» Pastimes Multibuyer</t>
  </si>
  <si>
    <r>
      <rPr>
        <u/>
        <sz val="8"/>
        <color rgb="FF1155CC"/>
        <rFont val="&quot;Helvetica Neue&quot;"/>
      </rPr>
      <t>rent.com</t>
    </r>
  </si>
  <si>
    <t>Media and Entertainment Â» Audio and Video Streaming Â» Streaming Video Â» Interest (Affinity) Â» Streaming Services</t>
  </si>
  <si>
    <r>
      <rPr>
        <u/>
        <sz val="8"/>
        <color rgb="FF1155CC"/>
        <rFont val="&quot;Helvetica Neue&quot;"/>
      </rPr>
      <t>yahoo.com</t>
    </r>
  </si>
  <si>
    <t>Online Behavior&gt;United States&gt;B2B Â» Occupation&gt;MechanicalEngineer</t>
  </si>
  <si>
    <r>
      <rPr>
        <u/>
        <sz val="8"/>
        <color rgb="FF1155CC"/>
        <rFont val="&quot;Helvetica Neue&quot;"/>
      </rPr>
      <t>bbc.com</t>
    </r>
  </si>
  <si>
    <t>US Â» Reach Â» Propensity Models Â» Online Â» Electronics and Gadgets</t>
  </si>
  <si>
    <r>
      <rPr>
        <u/>
        <sz val="8"/>
        <color rgb="FF1155CC"/>
        <rFont val="&quot;Helvetica Neue&quot;"/>
      </rPr>
      <t>screenrant.com</t>
    </r>
  </si>
  <si>
    <t>Online Behavior&gt;United States&gt;Autos and Vehicles Â» Brands&gt;Aston Martin</t>
  </si>
  <si>
    <r>
      <rPr>
        <u/>
        <sz val="8"/>
        <color rgb="FF1155CC"/>
        <rFont val="&quot;Helvetica Neue&quot;"/>
      </rPr>
      <t>yahoo.com</t>
    </r>
  </si>
  <si>
    <t>Online Behavior&gt;United States&gt;Finance Â» Grants, Scholarships and Financial Aid&gt;Study Grants and Scholarships</t>
  </si>
  <si>
    <r>
      <rPr>
        <u/>
        <sz val="8"/>
        <color rgb="FF1155CC"/>
        <rFont val="&quot;Helvetica Neue&quot;"/>
      </rPr>
      <t>mail.aol.com</t>
    </r>
  </si>
  <si>
    <t>Online Behavior&gt;United States&gt;Beauty and Fitness&gt;Fitness Â» Home Exercise</t>
  </si>
  <si>
    <r>
      <rPr>
        <u/>
        <sz val="8"/>
        <color rgb="FF1155CC"/>
        <rFont val="&quot;Helvetica Neue&quot;"/>
      </rPr>
      <t>nbcnews.com</t>
    </r>
  </si>
  <si>
    <t>Online Behavior&gt;United States&gt;Arts and Entertainment&gt;Celebrities and Entertainment News</t>
  </si>
  <si>
    <r>
      <rPr>
        <u/>
        <sz val="8"/>
        <color rgb="FF1155CC"/>
        <rFont val="&quot;Helvetica Neue&quot;"/>
      </rPr>
      <t>icy-veins.com</t>
    </r>
  </si>
  <si>
    <t>Online Behavior&gt;United States&gt;Intent Â» Shopping&gt;Home Improvement</t>
  </si>
  <si>
    <r>
      <rPr>
        <u/>
        <sz val="8"/>
        <color rgb="FF1155CC"/>
        <rFont val="&quot;Helvetica Neue&quot;"/>
      </rPr>
      <t>wordunscrambler.me</t>
    </r>
  </si>
  <si>
    <t>Online Behavior&gt;United States&gt;Finance Â» Financial Planning and Management&gt;Retirement and Pension</t>
  </si>
  <si>
    <r>
      <rPr>
        <u/>
        <sz val="8"/>
        <color rgb="FF1155CC"/>
        <rFont val="&quot;Helvetica Neue&quot;"/>
      </rPr>
      <t>accuweather.com</t>
    </r>
  </si>
  <si>
    <t>OnAudience Â» Interest Â» Technology &amp; Computing Â» Internet Technology</t>
  </si>
  <si>
    <t>Panama City, Florida</t>
  </si>
  <si>
    <r>
      <rPr>
        <u/>
        <sz val="8"/>
        <color rgb="FF1155CC"/>
        <rFont val="&quot;Helvetica Neue&quot;"/>
      </rPr>
      <t>ign.com</t>
    </r>
  </si>
  <si>
    <t>Media and Entertainment Â» Sports and Recreational Activities Â» Interest (Affinity) Â» Olympics</t>
  </si>
  <si>
    <r>
      <rPr>
        <u/>
        <sz val="8"/>
        <color rgb="FF1155CC"/>
        <rFont val="&quot;Helvetica Neue&quot;"/>
      </rPr>
      <t>nba.com</t>
    </r>
  </si>
  <si>
    <t>Online Behavior&gt;United States&gt;Validated Demographic Â» Age&gt;25-34</t>
  </si>
  <si>
    <r>
      <rPr>
        <u/>
        <sz val="8"/>
        <color rgb="FF1155CC"/>
        <rFont val="&quot;Helvetica Neue&quot;"/>
      </rPr>
      <t>lotterypost.com</t>
    </r>
  </si>
  <si>
    <t>Mobile - US Â» Sports Â» UFC Fans</t>
  </si>
  <si>
    <t>Peoria-Bloomington, Illinois</t>
  </si>
  <si>
    <r>
      <rPr>
        <u/>
        <sz val="8"/>
        <color rgb="FF1155CC"/>
        <rFont val="&quot;Helvetica Neue&quot;"/>
      </rPr>
      <t>ign.com</t>
    </r>
  </si>
  <si>
    <t>US Financial Â» Estimated Disposable Income Â» $0 - $99,999</t>
  </si>
  <si>
    <r>
      <rPr>
        <u/>
        <sz val="8"/>
        <color rgb="FF1155CC"/>
        <rFont val="&quot;Helvetica Neue&quot;"/>
      </rPr>
      <t>fandom.com</t>
    </r>
  </si>
  <si>
    <t>Real Estate Â» Property Type&gt; Residential</t>
  </si>
  <si>
    <r>
      <rPr>
        <u/>
        <sz val="8"/>
        <color rgb="FF1155CC"/>
        <rFont val="&quot;Helvetica Neue&quot;"/>
      </rPr>
      <t>tomsguide.com</t>
    </r>
  </si>
  <si>
    <t>US Â» Reach Â» Propensity Models Â» Hobbies and Interest Â» Cultural Arts</t>
  </si>
  <si>
    <r>
      <rPr>
        <u/>
        <sz val="8"/>
        <color rgb="FF1155CC"/>
        <rFont val="&quot;Helvetica Neue&quot;"/>
      </rPr>
      <t>people.com</t>
    </r>
  </si>
  <si>
    <t>US Â» Reach Â» Propensity Models Â» Lifestyle Â» Healthy Living</t>
  </si>
  <si>
    <r>
      <rPr>
        <u/>
        <sz val="8"/>
        <color rgb="FF1155CC"/>
        <rFont val="&quot;Helvetica Neue&quot;"/>
      </rPr>
      <t>realtor.com</t>
    </r>
  </si>
  <si>
    <t>Online Behavior&gt;United States&gt;Autos and Vehicles Â» Brands&gt;Honda</t>
  </si>
  <si>
    <r>
      <rPr>
        <u/>
        <sz val="8"/>
        <color rgb="FF1155CC"/>
        <rFont val="&quot;Helvetica Neue&quot;"/>
      </rPr>
      <t>microsoftcasualgames.com</t>
    </r>
  </si>
  <si>
    <t>US Â» Interest Propensities Â» Activities and Interests Â» International News</t>
  </si>
  <si>
    <t>Rockford, Illinois</t>
  </si>
  <si>
    <r>
      <rPr>
        <u/>
        <sz val="8"/>
        <color rgb="FF1155CC"/>
        <rFont val="&quot;Helvetica Neue&quot;"/>
      </rPr>
      <t>bridesblush.com</t>
    </r>
  </si>
  <si>
    <t>Mobile - US Â» Gamers Â» Online Â» Users</t>
  </si>
  <si>
    <r>
      <rPr>
        <u/>
        <sz val="8"/>
        <color rgb="FF1155CC"/>
        <rFont val="&quot;Helvetica Neue&quot;"/>
      </rPr>
      <t>the-sun.com</t>
    </r>
  </si>
  <si>
    <t>Online Behavior&gt;United States&gt;Autos and Vehicles Â» Brands&gt;GM-Daewoo</t>
  </si>
  <si>
    <r>
      <rPr>
        <u/>
        <sz val="8"/>
        <color rgb="FF1155CC"/>
        <rFont val="&quot;Helvetica Neue&quot;"/>
      </rPr>
      <t>msn.com</t>
    </r>
  </si>
  <si>
    <t>Mobile - US Â» Automotive Â» Repair &amp; Oil Change Â» Intend</t>
  </si>
  <si>
    <t>San Francisco, California</t>
  </si>
  <si>
    <r>
      <rPr>
        <u/>
        <sz val="8"/>
        <color rgb="FF1155CC"/>
        <rFont val="&quot;Helvetica Neue&quot;"/>
      </rPr>
      <t>therighthairstyles.com</t>
    </r>
  </si>
  <si>
    <t>Lotame Â» Travel Â» Winter Holiday Travel</t>
  </si>
  <si>
    <r>
      <rPr>
        <u/>
        <sz val="8"/>
        <color rgb="FF1155CC"/>
        <rFont val="&quot;Helvetica Neue&quot;"/>
      </rPr>
      <t>investing.com</t>
    </r>
  </si>
  <si>
    <t>Lotame Â» Travel Â» International Travel</t>
  </si>
  <si>
    <r>
      <rPr>
        <u/>
        <sz val="8"/>
        <color rgb="FF1155CC"/>
        <rFont val="&quot;Helvetica Neue&quot;"/>
      </rPr>
      <t>eonline.com</t>
    </r>
  </si>
  <si>
    <t>US Â» Demographic Â» Family Â» Households with 3 Adults</t>
  </si>
  <si>
    <r>
      <rPr>
        <u/>
        <sz val="8"/>
        <color rgb="FF1155CC"/>
        <rFont val="&quot;Helvetica Neue&quot;"/>
      </rPr>
      <t>mail.yahoo.com</t>
    </r>
  </si>
  <si>
    <t>US Financial Â» Method of Payment Â» Other</t>
  </si>
  <si>
    <r>
      <rPr>
        <u/>
        <sz val="8"/>
        <color rgb="FF1155CC"/>
        <rFont val="&quot;Helvetica Neue&quot;"/>
      </rPr>
      <t>whatismyipaddress.com</t>
    </r>
  </si>
  <si>
    <t>US Â» Composite Segment Â» Women Born to Shop</t>
  </si>
  <si>
    <r>
      <rPr>
        <u/>
        <sz val="8"/>
        <color rgb="FF1155CC"/>
        <rFont val="&quot;Helvetica Neue&quot;"/>
      </rPr>
      <t>drugs.com</t>
    </r>
  </si>
  <si>
    <t>Media and Entertainment Â» Gaming Â» In-Market</t>
  </si>
  <si>
    <r>
      <rPr>
        <u/>
        <sz val="8"/>
        <color rgb="FF1155CC"/>
        <rFont val="&quot;Helvetica Neue&quot;"/>
      </rPr>
      <t>moneyppl.com</t>
    </r>
  </si>
  <si>
    <t>Mobile - US Â» Food Â» Restaurant Â» Brand Â» Chilis</t>
  </si>
  <si>
    <r>
      <rPr>
        <u/>
        <sz val="8"/>
        <color rgb="FF1155CC"/>
        <rFont val="&quot;Helvetica Neue&quot;"/>
      </rPr>
      <t>outlook.live.com</t>
    </r>
  </si>
  <si>
    <t>US Â» Sociodemographic Â» ConneXions Lifestage Â» F2 Suburban Spenders</t>
  </si>
  <si>
    <r>
      <rPr>
        <u/>
        <sz val="8"/>
        <color rgb="FF1155CC"/>
        <rFont val="&quot;Helvetica Neue&quot;"/>
      </rPr>
      <t>weather.com</t>
    </r>
  </si>
  <si>
    <t>US Health and Fitness Â» Interest Â» Exercise Â» Health</t>
  </si>
  <si>
    <r>
      <rPr>
        <u/>
        <sz val="8"/>
        <color rgb="FF1155CC"/>
        <rFont val="&quot;Helvetica Neue&quot;"/>
      </rPr>
      <t>realtor.com</t>
    </r>
  </si>
  <si>
    <t>Mobile - US Â» Travel Â» Destination Â» International Travelers Â» yes</t>
  </si>
  <si>
    <r>
      <rPr>
        <u/>
        <sz val="8"/>
        <color rgb="FF1155CC"/>
        <rFont val="&quot;Helvetica Neue&quot;"/>
      </rPr>
      <t>mail.aol.com</t>
    </r>
  </si>
  <si>
    <t>OnAudience Â» Intent Â» Software Â» Video Game Software</t>
  </si>
  <si>
    <r>
      <rPr>
        <u/>
        <sz val="8"/>
        <color rgb="FF1155CC"/>
        <rFont val="&quot;Helvetica Neue&quot;"/>
      </rPr>
      <t>activebeat.com</t>
    </r>
  </si>
  <si>
    <t>Transactional Â» Q3 Gardening Shoppers</t>
  </si>
  <si>
    <r>
      <rPr>
        <u/>
        <sz val="8"/>
        <color rgb="FF1155CC"/>
        <rFont val="&quot;Helvetica Neue&quot;"/>
      </rPr>
      <t>signupgenius.com</t>
    </r>
  </si>
  <si>
    <t>US Â» Brand Propensities Â» Apparel Â» Bare Necessities Buyer Propensity</t>
  </si>
  <si>
    <r>
      <rPr>
        <u/>
        <sz val="8"/>
        <color rgb="FF1155CC"/>
        <rFont val="&quot;Helvetica Neue&quot;"/>
      </rPr>
      <t>mail.aol.com</t>
    </r>
  </si>
  <si>
    <t>Transactional Â» Q3 Casual Dining Restaurant Goers</t>
  </si>
  <si>
    <r>
      <rPr>
        <u/>
        <sz val="8"/>
        <color rgb="FF1155CC"/>
        <rFont val="&quot;Helvetica Neue&quot;"/>
      </rPr>
      <t>outlook.live.com</t>
    </r>
  </si>
  <si>
    <t>US Â» Reach Â» Sociodemographic Â» Dwelling Type Â» Multi-family Dwelling Unit</t>
  </si>
  <si>
    <r>
      <rPr>
        <u/>
        <sz val="8"/>
        <color rgb="FF1155CC"/>
        <rFont val="&quot;Helvetica Neue&quot;"/>
      </rPr>
      <t>activebeat.com</t>
    </r>
  </si>
  <si>
    <t>Mobile - US Â» Food Â» Restaurant Â» Brand Â» Buffalo Wild Wings</t>
  </si>
  <si>
    <r>
      <rPr>
        <u/>
        <sz val="8"/>
        <color rgb="FF1155CC"/>
        <rFont val="&quot;Helvetica Neue&quot;"/>
      </rPr>
      <t>evite.com</t>
    </r>
  </si>
  <si>
    <t>US Â» B2B Â» B2B Decision Maker Responsibilities Â» Print, Copy or Photo Services</t>
  </si>
  <si>
    <r>
      <rPr>
        <u/>
        <sz val="8"/>
        <color rgb="FF1155CC"/>
        <rFont val="&quot;Helvetica Neue&quot;"/>
      </rPr>
      <t>thesaurus.com</t>
    </r>
  </si>
  <si>
    <t>US Â» Sociodemographic Â» P$YCLE Premier Lifestage Â» M2 Wealthy Achievers</t>
  </si>
  <si>
    <r>
      <rPr>
        <u/>
        <sz val="8"/>
        <color rgb="FF1155CC"/>
        <rFont val="&quot;Helvetica Neue&quot;"/>
      </rPr>
      <t>dailymail.co.uk/tvshowbiz</t>
    </r>
  </si>
  <si>
    <t>US Financial Â» Likely Credit Card Â» Card in Own Name Â» Any major Credit/Debit Card (Financial)</t>
  </si>
  <si>
    <r>
      <rPr>
        <u/>
        <sz val="8"/>
        <color rgb="FF1155CC"/>
        <rFont val="&quot;Helvetica Neue&quot;"/>
      </rPr>
      <t>accuweather.com</t>
    </r>
  </si>
  <si>
    <t>US Â» Brand Propensities Â» Media and Entertainment Â» Steam Community Buyer Propensity</t>
  </si>
  <si>
    <r>
      <rPr>
        <u/>
        <sz val="8"/>
        <color rgb="FF1155CC"/>
        <rFont val="&quot;Helvetica Neue&quot;"/>
      </rPr>
      <t>mail.yahoo.com</t>
    </r>
  </si>
  <si>
    <t>US Â» Sociodemographic Â» P$YCLE Premier Lifestage Â» F4 Working-Class USA</t>
  </si>
  <si>
    <r>
      <rPr>
        <u/>
        <sz val="8"/>
        <color rgb="FF1155CC"/>
        <rFont val="&quot;Helvetica Neue&quot;"/>
      </rPr>
      <t>realtor.com</t>
    </r>
  </si>
  <si>
    <t>US Â» Reach Â» Propensity Models Â» Hobbies and Interest Â» Music Â» Listens to Country Music</t>
  </si>
  <si>
    <r>
      <rPr>
        <u/>
        <sz val="8"/>
        <color rgb="FF1155CC"/>
        <rFont val="&quot;Helvetica Neue&quot;"/>
      </rPr>
      <t>microsoftcasualgames.com</t>
    </r>
  </si>
  <si>
    <t>Lotame Â» Technology</t>
  </si>
  <si>
    <r>
      <rPr>
        <u/>
        <sz val="8"/>
        <color rgb="FF1155CC"/>
        <rFont val="&quot;Helvetica Neue&quot;"/>
      </rPr>
      <t>m.timesofindia.com</t>
    </r>
  </si>
  <si>
    <t>Travel and Tourism Â» Interest (Affinity)</t>
  </si>
  <si>
    <r>
      <rPr>
        <u/>
        <sz val="8"/>
        <color rgb="FF1155CC"/>
        <rFont val="&quot;Helvetica Neue&quot;"/>
      </rPr>
      <t>yellowpages.com</t>
    </r>
  </si>
  <si>
    <t>OnAudience Â» Interest Â» Business</t>
  </si>
  <si>
    <r>
      <rPr>
        <u/>
        <sz val="8"/>
        <color rgb="FF1155CC"/>
        <rFont val="&quot;Helvetica Neue&quot;"/>
      </rPr>
      <t>cbsnews.com</t>
    </r>
  </si>
  <si>
    <r>
      <rPr>
        <u/>
        <sz val="8"/>
        <color rgb="FF1155CC"/>
        <rFont val="&quot;Helvetica Neue&quot;"/>
      </rPr>
      <t>clutchpoints.com</t>
    </r>
  </si>
  <si>
    <t>US Â» B2B Â» B2B Decision Maker Responsibilities Â» Computer Hardware</t>
  </si>
  <si>
    <r>
      <rPr>
        <u/>
        <sz val="8"/>
        <color rgb="FF1155CC"/>
        <rFont val="&quot;Helvetica Neue&quot;"/>
      </rPr>
      <t>finance.yahoo.com</t>
    </r>
  </si>
  <si>
    <t>US Â» Reach Â» Propensity Models Â» Hobbies and Interest Â» Sports Â» Canoeing Â» Kayaking</t>
  </si>
  <si>
    <r>
      <rPr>
        <u/>
        <sz val="8"/>
        <color rgb="FF1155CC"/>
        <rFont val="&quot;Helvetica Neue&quot;"/>
      </rPr>
      <t>thebigmansworld.com</t>
    </r>
  </si>
  <si>
    <t>Online Behavior&gt;United States&gt;Validated Demographic Â» Age&gt;35-44</t>
  </si>
  <si>
    <r>
      <rPr>
        <u/>
        <sz val="8"/>
        <color rgb="FF1155CC"/>
        <rFont val="&quot;Helvetica Neue&quot;"/>
      </rPr>
      <t>homehacks.co</t>
    </r>
  </si>
  <si>
    <t>US Â» Reach Â» Propensity Models Â» Household Consumer Expenditures Â» Kitchen</t>
  </si>
  <si>
    <r>
      <rPr>
        <u/>
        <sz val="8"/>
        <color rgb="FF1155CC"/>
        <rFont val="&quot;Helvetica Neue&quot;"/>
      </rPr>
      <t>culinaryhill.com</t>
    </r>
  </si>
  <si>
    <t>US Â» Reach Â» Propensity Models Â» Luxury Home Goods Store Shopper</t>
  </si>
  <si>
    <r>
      <rPr>
        <u/>
        <sz val="8"/>
        <color rgb="FF1155CC"/>
        <rFont val="&quot;Helvetica Neue&quot;"/>
      </rPr>
      <t>classmates.com</t>
    </r>
  </si>
  <si>
    <t>US Â» Reach Â» Propensity Models Â» Hobbies and Interest Â» Music Â» Listens to Pop Music</t>
  </si>
  <si>
    <r>
      <rPr>
        <u/>
        <sz val="8"/>
        <color rgb="FF1155CC"/>
        <rFont val="&quot;Helvetica Neue&quot;"/>
      </rPr>
      <t>merriam-webster.com/dictionary</t>
    </r>
  </si>
  <si>
    <t>Online Behavior&gt;United States&gt;Travel&gt;Travel Guides and Travelogues</t>
  </si>
  <si>
    <r>
      <rPr>
        <u/>
        <sz val="8"/>
        <color rgb="FF1155CC"/>
        <rFont val="&quot;Helvetica Neue&quot;"/>
      </rPr>
      <t>weather.com</t>
    </r>
  </si>
  <si>
    <t>US Â» Reach Â» Propensity Models Â» Lifestyle Â» Charities Â» Contributes by Volunteering</t>
  </si>
  <si>
    <r>
      <rPr>
        <u/>
        <sz val="8"/>
        <color rgb="FF1155CC"/>
        <rFont val="&quot;Helvetica Neue&quot;"/>
      </rPr>
      <t>sneakertoast.com</t>
    </r>
  </si>
  <si>
    <t>Online Behavior&gt;United States&gt;Autos and Vehicles Â» Brands&gt;Mitsubishi</t>
  </si>
  <si>
    <r>
      <rPr>
        <u/>
        <sz val="8"/>
        <color rgb="FF1155CC"/>
        <rFont val="&quot;Helvetica Neue&quot;"/>
      </rPr>
      <t>msn.com</t>
    </r>
  </si>
  <si>
    <t>US Â» Reach Â» Sociodemographic Â» Dwelling Size Â» 1 Unit</t>
  </si>
  <si>
    <r>
      <rPr>
        <u/>
        <sz val="8"/>
        <color rgb="FF1155CC"/>
        <rFont val="&quot;Helvetica Neue&quot;"/>
      </rPr>
      <t>bbc.com</t>
    </r>
  </si>
  <si>
    <t>Online Behavior&gt;United States&gt;Validated Demographic Â» Gender and Age Combined&gt;Males 18-34</t>
  </si>
  <si>
    <r>
      <rPr>
        <u/>
        <sz val="8"/>
        <color rgb="FF1155CC"/>
        <rFont val="&quot;Helvetica Neue&quot;"/>
      </rPr>
      <t>nbcdfw.com</t>
    </r>
  </si>
  <si>
    <t>Online Behavior&gt;United States&gt;Intent Â» Services&gt;Restaurants</t>
  </si>
  <si>
    <r>
      <rPr>
        <u/>
        <sz val="8"/>
        <color rgb="FF1155CC"/>
        <rFont val="&quot;Helvetica Neue&quot;"/>
      </rPr>
      <t>weather.com</t>
    </r>
  </si>
  <si>
    <t>Online Behavior&gt;United States&gt;Beauty and Fitness&gt;Spas and Beauty Services Â» Massage Therapy</t>
  </si>
  <si>
    <r>
      <rPr>
        <u/>
        <sz val="8"/>
        <color rgb="FF1155CC"/>
        <rFont val="&quot;Helvetica Neue&quot;"/>
      </rPr>
      <t>msn.com</t>
    </r>
  </si>
  <si>
    <t>Online Behavior&gt;United States&gt;Hobbies and Leisure&gt;Special Occasions Â» Party Planning</t>
  </si>
  <si>
    <r>
      <rPr>
        <u/>
        <sz val="8"/>
        <color rgb="FF1155CC"/>
        <rFont val="&quot;Helvetica Neue&quot;"/>
      </rPr>
      <t>mayoclinic.org</t>
    </r>
  </si>
  <si>
    <t>Online Behavior&gt;United States&gt;Intent Â» Shopping&gt;Drug Stores Â» CVS</t>
  </si>
  <si>
    <r>
      <rPr>
        <u/>
        <sz val="8"/>
        <color rgb="FF1155CC"/>
        <rFont val="&quot;Helvetica Neue&quot;"/>
      </rPr>
      <t>drugs.com</t>
    </r>
  </si>
  <si>
    <t>Online Behavior&gt;United States&gt;Online Communities&gt;File Sharing and Hosting</t>
  </si>
  <si>
    <r>
      <rPr>
        <u/>
        <sz val="8"/>
        <color rgb="FF1155CC"/>
        <rFont val="&quot;Helvetica Neue&quot;"/>
      </rPr>
      <t>ebay.com</t>
    </r>
  </si>
  <si>
    <t>Online Behavior&gt;United States&gt;Autos and Vehicles Â» Brands&gt;Pontiac</t>
  </si>
  <si>
    <r>
      <rPr>
        <u/>
        <sz val="8"/>
        <color rgb="FF1155CC"/>
        <rFont val="&quot;Helvetica Neue&quot;"/>
      </rPr>
      <t>sports.yahoo.com</t>
    </r>
  </si>
  <si>
    <t>Online Behavior&gt;United States&gt;B2B Â» Occupation&gt;Student</t>
  </si>
  <si>
    <r>
      <rPr>
        <u/>
        <sz val="8"/>
        <color rgb="FF1155CC"/>
        <rFont val="&quot;Helvetica Neue&quot;"/>
      </rPr>
      <t>ebay.com</t>
    </r>
  </si>
  <si>
    <t>Online Behavior&gt;United States&gt;Validated Demographic Â» Gender&gt;Male</t>
  </si>
  <si>
    <r>
      <rPr>
        <u/>
        <sz val="8"/>
        <color rgb="FF1155CC"/>
        <rFont val="&quot;Helvetica Neue&quot;"/>
      </rPr>
      <t>kbb.com</t>
    </r>
  </si>
  <si>
    <t>Online Behavior&gt;United States&gt;The Changing Consumer&gt;Active Facebook Users</t>
  </si>
  <si>
    <r>
      <rPr>
        <u/>
        <sz val="8"/>
        <color rgb="FF1155CC"/>
        <rFont val="&quot;Helvetica Neue&quot;"/>
      </rPr>
      <t>finance.yahoo.com</t>
    </r>
  </si>
  <si>
    <t>Online Behavior&gt;United States&gt;Autos and Vehicles Â» Brands&gt;Kia</t>
  </si>
  <si>
    <r>
      <rPr>
        <u/>
        <sz val="8"/>
        <color rgb="FF1155CC"/>
        <rFont val="&quot;Helvetica Neue&quot;"/>
      </rPr>
      <t>weather.com</t>
    </r>
  </si>
  <si>
    <t>Online Behavior&gt;United States&gt;Intent Â» Auto Buyers Â» Car Make&gt;Vauxhall</t>
  </si>
  <si>
    <r>
      <rPr>
        <u/>
        <sz val="8"/>
        <color rgb="FF1155CC"/>
        <rFont val="&quot;Helvetica Neue&quot;"/>
      </rPr>
      <t>nypost.com</t>
    </r>
  </si>
  <si>
    <t>Online Behavior&gt;United States&gt;Intent Â» Travel&gt;Cruises</t>
  </si>
  <si>
    <r>
      <rPr>
        <u/>
        <sz val="8"/>
        <color rgb="FF1155CC"/>
        <rFont val="&quot;Helvetica Neue&quot;"/>
      </rPr>
      <t>doctoreport.com</t>
    </r>
  </si>
  <si>
    <t>Online Behavior&gt;United States&gt;Travel&gt;Tourist Destinations Â» Historical Sites and Buildings</t>
  </si>
  <si>
    <r>
      <rPr>
        <u/>
        <sz val="8"/>
        <color rgb="FF1155CC"/>
        <rFont val="&quot;Helvetica Neue&quot;"/>
      </rPr>
      <t>slickdeals.net</t>
    </r>
  </si>
  <si>
    <t>Online Behavior&gt;United States&gt;Hobbies and Leisure&gt;Outdoors Â» Equestrian</t>
  </si>
  <si>
    <r>
      <rPr>
        <u/>
        <sz val="8"/>
        <color rgb="FF1155CC"/>
        <rFont val="&quot;Helvetica Neue&quot;"/>
      </rPr>
      <t>accuweather.com</t>
    </r>
  </si>
  <si>
    <t>Online Behavior&gt;United States&gt;Intent Â» Financial Intent&gt;Banking</t>
  </si>
  <si>
    <r>
      <rPr>
        <u/>
        <sz val="8"/>
        <color rgb="FF1155CC"/>
        <rFont val="&quot;Helvetica Neue&quot;"/>
      </rPr>
      <t>mydailymagazine.com</t>
    </r>
  </si>
  <si>
    <t>Online Behavior&gt;United States&gt;Autos and Vehicles&gt;Electric and Plug-In Vehicles</t>
  </si>
  <si>
    <r>
      <rPr>
        <u/>
        <sz val="8"/>
        <color rgb="FF1155CC"/>
        <rFont val="&quot;Helvetica Neue&quot;"/>
      </rPr>
      <t>msn.com</t>
    </r>
  </si>
  <si>
    <t>Online Behavior&gt;United States&gt;Games&gt;Card Games</t>
  </si>
  <si>
    <r>
      <rPr>
        <u/>
        <sz val="8"/>
        <color rgb="FF1155CC"/>
        <rFont val="&quot;Helvetica Neue&quot;"/>
      </rPr>
      <t>boattrader.com</t>
    </r>
  </si>
  <si>
    <t>Online Behavior&gt;United States&gt;Beauty and Fitness&gt;Face and Body Care Â» Make-Up and Cosmetics</t>
  </si>
  <si>
    <r>
      <rPr>
        <u/>
        <sz val="8"/>
        <color rgb="FF1155CC"/>
        <rFont val="&quot;Helvetica Neue&quot;"/>
      </rPr>
      <t>zdnet.com</t>
    </r>
  </si>
  <si>
    <t>Online Behavior&gt;United States&gt;Finance Â» Insurance&gt;Health Insurance</t>
  </si>
  <si>
    <r>
      <rPr>
        <u/>
        <sz val="8"/>
        <color rgb="FF1155CC"/>
        <rFont val="&quot;Helvetica Neue&quot;"/>
      </rPr>
      <t>myfitnesspal.com</t>
    </r>
  </si>
  <si>
    <t>Online Behavior&gt;United States&gt;Travel&gt;Hotels and Accommodations</t>
  </si>
  <si>
    <r>
      <rPr>
        <u/>
        <sz val="8"/>
        <color rgb="FF1155CC"/>
        <rFont val="&quot;Helvetica Neue&quot;"/>
      </rPr>
      <t>outlook.live.com</t>
    </r>
  </si>
  <si>
    <t>Online Behavior&gt;United States&gt;B2B Â» Occupation&gt;Entrepreneur</t>
  </si>
  <si>
    <r>
      <rPr>
        <u/>
        <sz val="8"/>
        <color rgb="FF1155CC"/>
        <rFont val="&quot;Helvetica Neue&quot;"/>
      </rPr>
      <t>weather.com</t>
    </r>
  </si>
  <si>
    <t>Online Behavior&gt;United States&gt;Beauty and Fitness&gt;Hair Care</t>
  </si>
  <si>
    <r>
      <rPr>
        <u/>
        <sz val="8"/>
        <color rgb="FF1155CC"/>
        <rFont val="&quot;Helvetica Neue&quot;"/>
      </rPr>
      <t>msn.com</t>
    </r>
  </si>
  <si>
    <t>US Financial Â» Credit Card Type Â» Credit Card Holder - Unknown Type</t>
  </si>
  <si>
    <t>Savannah, Georgia</t>
  </si>
  <si>
    <r>
      <rPr>
        <u/>
        <sz val="8"/>
        <color rgb="FF1155CC"/>
        <rFont val="&quot;Helvetica Neue&quot;"/>
      </rPr>
      <t>fandom.com</t>
    </r>
  </si>
  <si>
    <t>US Â» Reach Â» Propensity Models Â» Hobbies and Interest Â» Sports Â» Plays Soccer</t>
  </si>
  <si>
    <r>
      <rPr>
        <u/>
        <sz val="8"/>
        <color rgb="FF1155CC"/>
        <rFont val="&quot;Helvetica Neue&quot;"/>
      </rPr>
      <t>health.usnews.com</t>
    </r>
  </si>
  <si>
    <t>Online Behavior&gt;United States&gt;Validated Demographic Â» Age&gt;25-64</t>
  </si>
  <si>
    <r>
      <rPr>
        <u/>
        <sz val="8"/>
        <color rgb="FF1155CC"/>
        <rFont val="&quot;Helvetica Neue&quot;"/>
      </rPr>
      <t>microsoftcasualgames.com</t>
    </r>
  </si>
  <si>
    <t>Online Behavior&gt;United States&gt;Intent Â» Financial Intent&gt;Loans and Credit</t>
  </si>
  <si>
    <r>
      <rPr>
        <u/>
        <sz val="8"/>
        <color rgb="FF1155CC"/>
        <rFont val="&quot;Helvetica Neue&quot;"/>
      </rPr>
      <t>ebay.com</t>
    </r>
  </si>
  <si>
    <t>US Financial Â» Likely Bank Account and Services Â» Saving Account Â» Personal or Join (Financial)</t>
  </si>
  <si>
    <t>Shreveport, Louisiana</t>
  </si>
  <si>
    <r>
      <rPr>
        <u/>
        <sz val="8"/>
        <color rgb="FF1155CC"/>
        <rFont val="&quot;Helvetica Neue&quot;"/>
      </rPr>
      <t>msn.com</t>
    </r>
  </si>
  <si>
    <t>US Â» Brand Propensities Â» Apparel Â» Lady Foot Locker Buyer Propensity</t>
  </si>
  <si>
    <r>
      <rPr>
        <u/>
        <sz val="8"/>
        <color rgb="FF1155CC"/>
        <rFont val="&quot;Helvetica Neue&quot;"/>
      </rPr>
      <t>thesaurus.com</t>
    </r>
  </si>
  <si>
    <t>OnAudience Â» Interest Â» Business Â» Economy</t>
  </si>
  <si>
    <t>South Bend-Elkhart, Indiana</t>
  </si>
  <si>
    <r>
      <rPr>
        <u/>
        <sz val="8"/>
        <color rgb="FF1155CC"/>
        <rFont val="&quot;Helvetica Neue&quot;"/>
      </rPr>
      <t>cnn.com</t>
    </r>
  </si>
  <si>
    <t>Travel and Tourism Â» Interest (Affinity) Â» Destinations Â» North America</t>
  </si>
  <si>
    <r>
      <rPr>
        <u/>
        <sz val="8"/>
        <color rgb="FF1155CC"/>
        <rFont val="&quot;Helvetica Neue&quot;"/>
      </rPr>
      <t>boattrader.com</t>
    </r>
  </si>
  <si>
    <r>
      <rPr>
        <u/>
        <sz val="8"/>
        <color rgb="FF1155CC"/>
        <rFont val="&quot;Helvetica Neue&quot;"/>
      </rPr>
      <t>weather.com</t>
    </r>
  </si>
  <si>
    <t>US Â» Reach Â» Sociodemographic Â» Household Income Â» $50,000-$74,999</t>
  </si>
  <si>
    <r>
      <rPr>
        <u/>
        <sz val="8"/>
        <color rgb="FF1155CC"/>
        <rFont val="&quot;Helvetica Neue&quot;"/>
      </rPr>
      <t>zillow.com</t>
    </r>
  </si>
  <si>
    <t>Online Behavior&gt;United States&gt;Autos and Vehicles Â» Brands&gt;Buick</t>
  </si>
  <si>
    <r>
      <rPr>
        <u/>
        <sz val="8"/>
        <color rgb="FF1155CC"/>
        <rFont val="&quot;Helvetica Neue&quot;"/>
      </rPr>
      <t>signupgenius.com</t>
    </r>
  </si>
  <si>
    <t>Online Behavior&gt;United States&gt;Autos and Vehicles Â» Brands&gt;Cadillac</t>
  </si>
  <si>
    <r>
      <rPr>
        <u/>
        <sz val="8"/>
        <color rgb="FF1155CC"/>
        <rFont val="&quot;Helvetica Neue&quot;"/>
      </rPr>
      <t>eenadu.net</t>
    </r>
  </si>
  <si>
    <t>Online Behavior&gt;United States&gt;Sports&gt;Motor Sports</t>
  </si>
  <si>
    <r>
      <rPr>
        <u/>
        <sz val="8"/>
        <color rgb="FF1155CC"/>
        <rFont val="&quot;Helvetica Neue&quot;"/>
      </rPr>
      <t>forbes.com</t>
    </r>
  </si>
  <si>
    <t>Media and Entertainment Â» Sports and Recreational Activities Â» Interest (Affinity) Â» Team Sports Â» Football (American)</t>
  </si>
  <si>
    <t>Tallahassee, Florida-Thomasville, Georgia</t>
  </si>
  <si>
    <r>
      <rPr>
        <u/>
        <sz val="8"/>
        <color rgb="FF1155CC"/>
        <rFont val="&quot;Helvetica Neue&quot;"/>
      </rPr>
      <t>msn.com</t>
    </r>
  </si>
  <si>
    <t>OnAudience Â» Interest Â» News Â» International News</t>
  </si>
  <si>
    <r>
      <rPr>
        <u/>
        <sz val="8"/>
        <color rgb="FF1155CC"/>
        <rFont val="&quot;Helvetica Neue&quot;"/>
      </rPr>
      <t>weather.com</t>
    </r>
  </si>
  <si>
    <t>OnAudience Â» Interest Â» Life Stage</t>
  </si>
  <si>
    <r>
      <rPr>
        <u/>
        <sz val="8"/>
        <color rgb="FF1155CC"/>
        <rFont val="&quot;Helvetica Neue&quot;"/>
      </rPr>
      <t>ebay.com</t>
    </r>
  </si>
  <si>
    <t>Media and Entertainment Â» Gaming Â» Interest (Affinity) Â» Video Games</t>
  </si>
  <si>
    <r>
      <rPr>
        <u/>
        <sz val="8"/>
        <color rgb="FF1155CC"/>
        <rFont val="&quot;Helvetica Neue&quot;"/>
      </rPr>
      <t>bleacherbreaker.com</t>
    </r>
  </si>
  <si>
    <t>Telecommunications (Telco) Â» Subscribers</t>
  </si>
  <si>
    <r>
      <rPr>
        <u/>
        <sz val="8"/>
        <color rgb="FF1155CC"/>
        <rFont val="&quot;Helvetica Neue&quot;"/>
      </rPr>
      <t>dailydot.com</t>
    </r>
  </si>
  <si>
    <t>Online Behavior&gt;United States&gt;Sports&gt;Fantasy Sports</t>
  </si>
  <si>
    <r>
      <rPr>
        <u/>
        <sz val="8"/>
        <color rgb="FF1155CC"/>
        <rFont val="&quot;Helvetica Neue&quot;"/>
      </rPr>
      <t>cargurus.com</t>
    </r>
  </si>
  <si>
    <t>Online Behavior&gt;United States&gt;Intent Â» Financial Intent&gt;Insurance Â» Auto</t>
  </si>
  <si>
    <r>
      <rPr>
        <u/>
        <sz val="8"/>
        <color rgb="FF1155CC"/>
        <rFont val="&quot;Helvetica Neue&quot;"/>
      </rPr>
      <t>weather.com</t>
    </r>
  </si>
  <si>
    <t>Mobile - US Â» Device Ownership Â» Smartphones Â» Huawei</t>
  </si>
  <si>
    <t>Tampa-St Petersburg (Sarasota), Florida</t>
  </si>
  <si>
    <r>
      <rPr>
        <u/>
        <sz val="8"/>
        <color rgb="FF1155CC"/>
        <rFont val="&quot;Helvetica Neue&quot;"/>
      </rPr>
      <t>dailymail.co.uk/tvshowbiz</t>
    </r>
  </si>
  <si>
    <t>XX77N</t>
  </si>
  <si>
    <t>Lotame Â» Travel Â» Summer Travel</t>
  </si>
  <si>
    <r>
      <rPr>
        <u/>
        <sz val="8"/>
        <color rgb="FF1155CC"/>
        <rFont val="&quot;Helvetica Neue&quot;"/>
      </rPr>
      <t>ajc.com</t>
    </r>
  </si>
  <si>
    <t>Media and Entertainment Â» Sports and Recreational Activities Â» Interest (Affinity) Â» Olympics Â» Summer Olympics</t>
  </si>
  <si>
    <r>
      <rPr>
        <u/>
        <sz val="8"/>
        <color rgb="FF1155CC"/>
        <rFont val="&quot;Helvetica Neue&quot;"/>
      </rPr>
      <t>att.yahoo.com</t>
    </r>
  </si>
  <si>
    <t>US Â» B2B Â» B2B Decision Maker Responsibilities Â» Sales</t>
  </si>
  <si>
    <r>
      <rPr>
        <u/>
        <sz val="8"/>
        <color rgb="FF1155CC"/>
        <rFont val="&quot;Helvetica Neue&quot;"/>
      </rPr>
      <t>foxnews.com</t>
    </r>
  </si>
  <si>
    <t>OnAudience Â» Interest Â» Society</t>
  </si>
  <si>
    <r>
      <rPr>
        <u/>
        <sz val="8"/>
        <color rgb="FF1155CC"/>
        <rFont val="&quot;Helvetica Neue&quot;"/>
      </rPr>
      <t>thehulltruth.com</t>
    </r>
  </si>
  <si>
    <r>
      <t xml:space="preserve">US Â» Brand Propensities Â» Apparel Â» </t>
    </r>
    <r>
      <rPr>
        <b/>
        <u/>
        <sz val="8"/>
        <color rgb="FF1155CC"/>
        <rFont val="&quot;Helvetica Neue&quot;"/>
      </rPr>
      <t>Shoebuy.com</t>
    </r>
    <r>
      <rPr>
        <b/>
        <sz val="8"/>
        <rFont val="&quot;Helvetica Neue&quot;"/>
      </rPr>
      <t xml:space="preserve"> Buyer Propensity</t>
    </r>
  </si>
  <si>
    <r>
      <rPr>
        <u/>
        <sz val="8"/>
        <color rgb="FF1155CC"/>
        <rFont val="&quot;Helvetica Neue&quot;"/>
      </rPr>
      <t>realtor.com</t>
    </r>
  </si>
  <si>
    <t>US Â» Sociodemographic Â» ConneXions Lifestage Â» M4 Elderly Traditionalists</t>
  </si>
  <si>
    <r>
      <rPr>
        <u/>
        <sz val="8"/>
        <color rgb="FF1155CC"/>
        <rFont val="&quot;Helvetica Neue&quot;"/>
      </rPr>
      <t>mail.yahoo.com</t>
    </r>
  </si>
  <si>
    <t>Online Behavior&gt;United States&gt;The Changing Consumer&gt;Pet Adoption</t>
  </si>
  <si>
    <r>
      <rPr>
        <u/>
        <sz val="8"/>
        <color rgb="FF1155CC"/>
        <rFont val="&quot;Helvetica Neue&quot;"/>
      </rPr>
      <t>weather.com</t>
    </r>
  </si>
  <si>
    <t>Online Behavior&gt;United States&gt;Beauty and Fitness&gt;Fitness Â» Fitness Equipment and Accessories</t>
  </si>
  <si>
    <r>
      <rPr>
        <u/>
        <sz val="8"/>
        <color rgb="FF1155CC"/>
        <rFont val="&quot;Helvetica Neue&quot;"/>
      </rPr>
      <t>travelerdreams.com</t>
    </r>
  </si>
  <si>
    <t>Online Behavior&gt;United States&gt;Home and Garden&gt;Home Appliances</t>
  </si>
  <si>
    <r>
      <rPr>
        <u/>
        <sz val="8"/>
        <color rgb="FF1155CC"/>
        <rFont val="&quot;Helvetica Neue&quot;"/>
      </rPr>
      <t>news.yahoo.com</t>
    </r>
  </si>
  <si>
    <t>Online Behavior&gt;United States&gt;Intent Â» Auto Buyers Â» Type&gt;Truck</t>
  </si>
  <si>
    <r>
      <rPr>
        <u/>
        <sz val="8"/>
        <color rgb="FF1155CC"/>
        <rFont val="&quot;Helvetica Neue&quot;"/>
      </rPr>
      <t>msn.com</t>
    </r>
  </si>
  <si>
    <t>Online Behavior&gt;United States&gt;Intent Â» Shopping&gt;CPG» Home Care</t>
  </si>
  <si>
    <r>
      <rPr>
        <u/>
        <sz val="8"/>
        <color rgb="FF1155CC"/>
        <rFont val="&quot;Helvetica Neue&quot;"/>
      </rPr>
      <t>weather.com</t>
    </r>
  </si>
  <si>
    <t>Online Behavior&gt;United States&gt;Food and Drink&gt;Beverages Â» Coffee and Tea</t>
  </si>
  <si>
    <r>
      <rPr>
        <u/>
        <sz val="8"/>
        <color rgb="FF1155CC"/>
        <rFont val="&quot;Helvetica Neue&quot;"/>
      </rPr>
      <t>foxnews.com</t>
    </r>
  </si>
  <si>
    <t>Media and Entertainment Â» Sports and Recreational Activities Â» Interest (Affinity) Â» Olympics Â» Winter Olympics</t>
  </si>
  <si>
    <t>Toledo, Ohio</t>
  </si>
  <si>
    <r>
      <rPr>
        <u/>
        <sz val="8"/>
        <color rgb="FF1155CC"/>
        <rFont val="&quot;Helvetica Neue&quot;"/>
      </rPr>
      <t>outlook.live.com</t>
    </r>
  </si>
  <si>
    <t>US Â» Brand Propensities Â» Health Â» Beauty and Cosmetics Â» ULTA Buyer Propensity</t>
  </si>
  <si>
    <r>
      <rPr>
        <u/>
        <sz val="8"/>
        <color rgb="FF1155CC"/>
        <rFont val="&quot;Helvetica Neue&quot;"/>
      </rPr>
      <t>mail.aol.com</t>
    </r>
  </si>
  <si>
    <t>Tri-Cities, Tennessee-Virginia</t>
  </si>
  <si>
    <r>
      <rPr>
        <u/>
        <sz val="8"/>
        <color rgb="FF1155CC"/>
        <rFont val="&quot;Helvetica Neue&quot;"/>
      </rPr>
      <t>msn.com</t>
    </r>
  </si>
  <si>
    <t>Lotame Â» Style, Fashion &amp; Clothing</t>
  </si>
  <si>
    <r>
      <rPr>
        <u/>
        <sz val="8"/>
        <color rgb="FF1155CC"/>
        <rFont val="&quot;Helvetica Neue&quot;"/>
      </rPr>
      <t>rvtrader.com</t>
    </r>
  </si>
  <si>
    <t>Online Behavior&gt;United States&gt;The Changing Consumer&gt;Personal Budgeting</t>
  </si>
  <si>
    <r>
      <rPr>
        <u/>
        <sz val="8"/>
        <color rgb="FF1155CC"/>
        <rFont val="&quot;Helvetica Neue&quot;"/>
      </rPr>
      <t>mapquest.com</t>
    </r>
  </si>
  <si>
    <t>Online Behavior&gt;United States&gt;Autos and Vehicles Â» Brands&gt;Rolls-Royce</t>
  </si>
  <si>
    <r>
      <rPr>
        <u/>
        <sz val="8"/>
        <color rgb="FF1155CC"/>
        <rFont val="&quot;Helvetica Neue&quot;"/>
      </rPr>
      <t>boattrader.com</t>
    </r>
  </si>
  <si>
    <t>US Â» B2B Â» Purchase DM Â» Technology Services, Hardware and Â» or Software Â» I make the final decision with input from staff Â» management</t>
  </si>
  <si>
    <t>West Palm Beach-Ft. Pierce, Florida</t>
  </si>
  <si>
    <r>
      <rPr>
        <u/>
        <sz val="8"/>
        <color rgb="FF1155CC"/>
        <rFont val="&quot;Helvetica Neue&quot;"/>
      </rPr>
      <t>taboolanews.com</t>
    </r>
  </si>
  <si>
    <t>OnAudience Â» Interest Â» Arts &amp; Entertainment Â» Music Lovers</t>
  </si>
  <si>
    <r>
      <rPr>
        <u/>
        <sz val="8"/>
        <color rgb="FF1155CC"/>
        <rFont val="&quot;Helvetica Neue&quot;"/>
      </rPr>
      <t>foxnews.com</t>
    </r>
  </si>
  <si>
    <t>US Â» Brand Propensities Â» Media and Entertainment Â» Sony Network Entertainment International Buyer Propensity</t>
  </si>
  <si>
    <r>
      <rPr>
        <u/>
        <sz val="8"/>
        <color rgb="FF1155CC"/>
        <rFont val="&quot;Helvetica Neue&quot;"/>
      </rPr>
      <t>mail.aol.com</t>
    </r>
  </si>
  <si>
    <t>OnAudience Â» Interest Â» Pets</t>
  </si>
  <si>
    <r>
      <rPr>
        <u/>
        <sz val="8"/>
        <color rgb="FF1155CC"/>
        <rFont val="&quot;Helvetica Neue&quot;"/>
      </rPr>
      <t>soaps.sheknows.com</t>
    </r>
  </si>
  <si>
    <t>US Interest Â» Computers</t>
  </si>
  <si>
    <r>
      <rPr>
        <u/>
        <sz val="8"/>
        <color rgb="FF1155CC"/>
        <rFont val="&quot;Helvetica Neue&quot;"/>
      </rPr>
      <t>nypost.com</t>
    </r>
  </si>
  <si>
    <t>US Â» Interest Propensities Â» Activities and Interests Â» Fashion</t>
  </si>
  <si>
    <r>
      <rPr>
        <u/>
        <sz val="8"/>
        <color rgb="FF1155CC"/>
        <rFont val="&quot;Helvetica Neue&quot;"/>
      </rPr>
      <t>ebay.com</t>
    </r>
  </si>
  <si>
    <t>OnAudience Â» Interest Â» News Â» Local News</t>
  </si>
  <si>
    <r>
      <rPr>
        <u/>
        <sz val="8"/>
        <color rgb="FF1155CC"/>
        <rFont val="&quot;Helvetica Neue&quot;"/>
      </rPr>
      <t>foxnews.com</t>
    </r>
  </si>
  <si>
    <t>OnAudience Â» Interest Â» Arts &amp; Entertainment Â» Fine Art</t>
  </si>
  <si>
    <r>
      <rPr>
        <u/>
        <sz val="8"/>
        <color rgb="FF1155CC"/>
        <rFont val="&quot;Helvetica Neue&quot;"/>
      </rPr>
      <t>kbb.com</t>
    </r>
  </si>
  <si>
    <t>US Â»Connected Impulse-Shopper Audience</t>
  </si>
  <si>
    <r>
      <rPr>
        <u/>
        <sz val="8"/>
        <color rgb="FF1155CC"/>
        <rFont val="&quot;Helvetica Neue&quot;"/>
      </rPr>
      <t>boxrox.com</t>
    </r>
  </si>
  <si>
    <t>Online Behavior&gt;United States&gt;Autos and Vehicles Â» Brands&gt;BMW</t>
  </si>
  <si>
    <r>
      <rPr>
        <u/>
        <sz val="8"/>
        <color rgb="FF1155CC"/>
        <rFont val="&quot;Helvetica Neue&quot;"/>
      </rPr>
      <t>forbes.com</t>
    </r>
  </si>
  <si>
    <t>Online Behavior&gt;United States&gt;Travel&gt;Tourist Destinations Â» Mountain and Ski Resorts</t>
  </si>
  <si>
    <r>
      <rPr>
        <u/>
        <sz val="8"/>
        <color rgb="FF1155CC"/>
        <rFont val="&quot;Helvetica Neue&quot;"/>
      </rPr>
      <t>cbsnews.com</t>
    </r>
  </si>
  <si>
    <t>Online Behavior&gt;United States&gt;Finance Â» Insurance&gt;Home Insurance</t>
  </si>
  <si>
    <r>
      <rPr>
        <u/>
        <sz val="8"/>
        <color rgb="FF1155CC"/>
        <rFont val="&quot;Helvetica Neue&quot;"/>
      </rPr>
      <t>bbc.com</t>
    </r>
  </si>
  <si>
    <t>Online Behavior&gt;United States&gt;Beauty and Fitness&gt;Fitness Â» Bodybuilding</t>
  </si>
  <si>
    <r>
      <rPr>
        <u/>
        <sz val="8"/>
        <color rgb="FF1155CC"/>
        <rFont val="&quot;Helvetica Neue&quot;"/>
      </rPr>
      <t>pandora.com</t>
    </r>
  </si>
  <si>
    <t>Online Behavior&gt;United States&gt;Autos and Vehicles Â» Brands&gt;Dodge</t>
  </si>
  <si>
    <r>
      <rPr>
        <u/>
        <sz val="8"/>
        <color rgb="FF1155CC"/>
        <rFont val="&quot;Helvetica Neue&quot;"/>
      </rPr>
      <t>autotrader.com</t>
    </r>
  </si>
  <si>
    <t>Online Behavior&gt;United States&gt;Intent Â» Auto Buyers Â» Car Make&gt;BMW</t>
  </si>
  <si>
    <r>
      <rPr>
        <u/>
        <sz val="8"/>
        <color rgb="FF1155CC"/>
        <rFont val="&quot;Helvetica Neue&quot;"/>
      </rPr>
      <t>firstcoastnews.com</t>
    </r>
  </si>
  <si>
    <t>Online Behavior&gt;United States&gt;Intent Â» Shopping&gt;Auto Parts Stores</t>
  </si>
  <si>
    <r>
      <rPr>
        <u/>
        <sz val="8"/>
        <color rgb="FF1155CC"/>
        <rFont val="&quot;Helvetica Neue&quot;"/>
      </rPr>
      <t>insider.com</t>
    </r>
  </si>
  <si>
    <t>Online Behavior&gt;United States&gt;People and Society&gt;Family and Relationships Â» Parents</t>
  </si>
  <si>
    <r>
      <rPr>
        <u/>
        <sz val="8"/>
        <color rgb="FF1155CC"/>
        <rFont val="&quot;Helvetica Neue&quot;"/>
      </rPr>
      <t>cbsnews.com</t>
    </r>
  </si>
  <si>
    <t>Online Behavior&gt;United States&gt;People and Society&gt;Seniors and Retirement</t>
  </si>
  <si>
    <r>
      <rPr>
        <u/>
        <sz val="8"/>
        <color rgb="FF1155CC"/>
        <rFont val="&quot;Helvetica Neue&quot;"/>
      </rPr>
      <t>healthline.com</t>
    </r>
  </si>
  <si>
    <t>NL65G</t>
  </si>
  <si>
    <t>NA</t>
  </si>
  <si>
    <t>NU9N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</si>
</sst>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"/>
    <numFmt numFmtId="165" formatCode="&quot;$&quot;#,##0.00"/>
  </numFmts>
  <fonts count="22">
    <font>
      <sz val="10"/>
      <color rgb="FF000000"/>
      <name val="Arial"/>
      <scheme val="minor"/>
    </font>
    <font>
      <b/>
      <sz val="8"/>
      <color rgb="FFFFFFFF"/>
      <name val="Helvetica Neue"/>
    </font>
    <font>
      <sz val="8"/>
      <color rgb="FFFFFFFF"/>
      <name val="Helvetica Neue"/>
    </font>
    <font>
      <sz val="8"/>
      <color theme="1"/>
      <name val="Arial"/>
      <scheme val="minor"/>
    </font>
    <font>
      <sz val="10"/>
      <color rgb="FFFFFFFF"/>
      <name val="Arial"/>
      <scheme val="minor"/>
    </font>
    <font>
      <u/>
      <sz val="8"/>
      <color rgb="FF0000FF"/>
      <name val="Arial"/>
    </font>
    <font>
      <u/>
      <sz val="8"/>
      <color rgb="FF0000FF"/>
      <name val="Arial"/>
    </font>
    <font>
      <sz val="10"/>
      <color theme="1"/>
      <name val="Arial"/>
      <scheme val="minor"/>
    </font>
    <font>
      <sz val="10"/>
      <color theme="1"/>
      <name val="Arial"/>
    </font>
    <font>
      <b/>
      <sz val="8"/>
      <color rgb="FF000000"/>
      <name val="&quot;Helvetica Neue&quot;"/>
    </font>
    <font>
      <sz val="8"/>
      <color rgb="FF000000"/>
      <name val="&quot;Helvetica Neue&quot;"/>
    </font>
    <font>
      <b/>
      <sz val="8"/>
      <color theme="1"/>
      <name val="Helvetica Neue"/>
    </font>
    <font>
      <b/>
      <sz val="8"/>
      <color theme="1"/>
      <name val="&quot;Helvetica Neue&quot;"/>
    </font>
    <font>
      <u/>
      <sz val="8"/>
      <color rgb="FF0000FF"/>
      <name val="&quot;Helvetica Neue&quot;"/>
    </font>
    <font>
      <sz val="8"/>
      <color theme="1"/>
      <name val="Helvetica Neue"/>
    </font>
    <font>
      <b/>
      <u/>
      <sz val="8"/>
      <color rgb="FF0000FF"/>
      <name val="&quot;Helvetica Neue&quot;"/>
    </font>
    <font>
      <u/>
      <sz val="8"/>
      <color rgb="FF000000"/>
      <name val="&quot;Helvetica Neue&quot;"/>
    </font>
    <font>
      <u/>
      <sz val="8"/>
      <color rgb="FF0000FF"/>
      <name val="&quot;Helvetica Neue&quot;"/>
    </font>
    <font>
      <sz val="10"/>
      <color rgb="FF000000"/>
      <name val="Arial"/>
      <scheme val="minor"/>
    </font>
    <font>
      <u/>
      <sz val="8"/>
      <color rgb="FF1155CC"/>
      <name val="&quot;Helvetica Neue&quot;"/>
    </font>
    <font>
      <b/>
      <u/>
      <sz val="8"/>
      <color rgb="FF1155CC"/>
      <name val="&quot;Helvetica Neue&quot;"/>
    </font>
    <font>
      <b/>
      <sz val="8"/>
      <name val="&quot;Helvetica Neue&quot;"/>
    </font>
  </fonts>
  <fills count="6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FF9900"/>
        <bgColor rgb="FFFF9900"/>
      </patternFill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164" fontId="1" fillId="2" borderId="1" xfId="0" applyNumberFormat="1" applyFont="1" applyFill="1" applyBorder="1"/>
    <xf numFmtId="0" fontId="2" fillId="2" borderId="1" xfId="0" applyFont="1" applyFill="1" applyBorder="1"/>
    <xf numFmtId="0" fontId="1" fillId="2" borderId="1" xfId="0" applyFont="1" applyFill="1" applyBorder="1"/>
    <xf numFmtId="44" fontId="1" fillId="2" borderId="1" xfId="0" applyNumberFormat="1" applyFont="1" applyFill="1" applyBorder="1"/>
    <xf numFmtId="2" fontId="3" fillId="3" borderId="0" xfId="0" applyNumberFormat="1" applyFont="1" applyFill="1" applyAlignment="1">
      <alignment horizontal="center"/>
    </xf>
    <xf numFmtId="164" fontId="3" fillId="3" borderId="0" xfId="0" applyNumberFormat="1" applyFont="1" applyFill="1" applyAlignment="1">
      <alignment horizontal="center"/>
    </xf>
    <xf numFmtId="164" fontId="4" fillId="0" borderId="0" xfId="0" applyNumberFormat="1" applyFont="1"/>
    <xf numFmtId="164" fontId="3" fillId="0" borderId="1" xfId="0" applyNumberFormat="1" applyFont="1" applyBorder="1"/>
    <xf numFmtId="0" fontId="3" fillId="0" borderId="1" xfId="0" applyFont="1" applyBorder="1"/>
    <xf numFmtId="164" fontId="5" fillId="0" borderId="1" xfId="0" applyNumberFormat="1" applyFont="1" applyBorder="1"/>
    <xf numFmtId="44" fontId="3" fillId="0" borderId="1" xfId="0" applyNumberFormat="1" applyFont="1" applyBorder="1"/>
    <xf numFmtId="2" fontId="3" fillId="0" borderId="1" xfId="0" applyNumberFormat="1" applyFont="1" applyBorder="1"/>
    <xf numFmtId="2" fontId="3" fillId="0" borderId="0" xfId="0" applyNumberFormat="1" applyFont="1"/>
    <xf numFmtId="165" fontId="3" fillId="0" borderId="1" xfId="0" applyNumberFormat="1" applyFont="1" applyBorder="1"/>
    <xf numFmtId="3" fontId="3" fillId="0" borderId="1" xfId="0" applyNumberFormat="1" applyFont="1" applyBorder="1"/>
    <xf numFmtId="0" fontId="6" fillId="0" borderId="1" xfId="0" applyFont="1" applyBorder="1"/>
    <xf numFmtId="164" fontId="7" fillId="0" borderId="0" xfId="0" applyNumberFormat="1" applyFont="1"/>
    <xf numFmtId="44" fontId="7" fillId="0" borderId="0" xfId="0" applyNumberFormat="1" applyFont="1"/>
    <xf numFmtId="2" fontId="7" fillId="0" borderId="0" xfId="0" applyNumberFormat="1" applyFont="1"/>
    <xf numFmtId="0" fontId="8" fillId="0" borderId="0" xfId="0" applyFont="1"/>
    <xf numFmtId="0" fontId="9" fillId="4" borderId="1" xfId="0" applyFont="1" applyFill="1" applyBorder="1" applyAlignment="1">
      <alignment vertical="top"/>
    </xf>
    <xf numFmtId="0" fontId="9" fillId="5" borderId="1" xfId="0" applyFont="1" applyFill="1" applyBorder="1" applyAlignment="1">
      <alignment vertical="top"/>
    </xf>
    <xf numFmtId="0" fontId="10" fillId="0" borderId="1" xfId="0" applyFont="1" applyBorder="1" applyAlignment="1">
      <alignment vertical="top"/>
    </xf>
    <xf numFmtId="14" fontId="10" fillId="0" borderId="1" xfId="0" applyNumberFormat="1" applyFont="1" applyBorder="1" applyAlignment="1">
      <alignment vertical="top"/>
    </xf>
    <xf numFmtId="0" fontId="3" fillId="0" borderId="0" xfId="0" applyFont="1"/>
    <xf numFmtId="14" fontId="3" fillId="0" borderId="0" xfId="0" applyNumberFormat="1" applyFont="1"/>
    <xf numFmtId="0" fontId="3" fillId="0" borderId="2" xfId="0" applyFont="1" applyBorder="1"/>
    <xf numFmtId="14" fontId="7" fillId="0" borderId="0" xfId="0" applyNumberFormat="1" applyFont="1"/>
    <xf numFmtId="0" fontId="7" fillId="0" borderId="0" xfId="0" applyFont="1"/>
    <xf numFmtId="0" fontId="9" fillId="4" borderId="3" xfId="0" applyFont="1" applyFill="1" applyBorder="1" applyAlignment="1">
      <alignment vertical="top"/>
    </xf>
    <xf numFmtId="0" fontId="11" fillId="0" borderId="4" xfId="0" applyFont="1" applyBorder="1" applyAlignment="1">
      <alignment vertical="top"/>
    </xf>
    <xf numFmtId="0" fontId="11" fillId="0" borderId="5" xfId="0" applyFont="1" applyBorder="1" applyAlignment="1">
      <alignment vertical="top"/>
    </xf>
    <xf numFmtId="0" fontId="11" fillId="4" borderId="6" xfId="0" applyFont="1" applyFill="1" applyBorder="1" applyAlignment="1">
      <alignment vertical="top"/>
    </xf>
    <xf numFmtId="0" fontId="11" fillId="4" borderId="1" xfId="0" applyFont="1" applyFill="1" applyBorder="1" applyAlignment="1">
      <alignment vertical="top"/>
    </xf>
    <xf numFmtId="0" fontId="12" fillId="0" borderId="0" xfId="0" applyFont="1" applyAlignment="1">
      <alignment vertical="top"/>
    </xf>
    <xf numFmtId="0" fontId="13" fillId="0" borderId="1" xfId="0" applyFont="1" applyBorder="1" applyAlignment="1">
      <alignment vertical="top"/>
    </xf>
    <xf numFmtId="0" fontId="10" fillId="0" borderId="3" xfId="0" applyFont="1" applyBorder="1" applyAlignment="1">
      <alignment vertical="top"/>
    </xf>
    <xf numFmtId="0" fontId="11" fillId="5" borderId="6" xfId="0" applyFont="1" applyFill="1" applyBorder="1" applyAlignment="1">
      <alignment vertical="top"/>
    </xf>
    <xf numFmtId="0" fontId="14" fillId="0" borderId="1" xfId="0" applyFont="1" applyBorder="1" applyAlignment="1">
      <alignment vertical="top"/>
    </xf>
    <xf numFmtId="0" fontId="14" fillId="0" borderId="1" xfId="0" applyFont="1" applyBorder="1" applyAlignment="1">
      <alignment horizontal="right" vertical="top"/>
    </xf>
    <xf numFmtId="0" fontId="15" fillId="0" borderId="1" xfId="0" applyFont="1" applyBorder="1" applyAlignment="1">
      <alignment vertical="top"/>
    </xf>
    <xf numFmtId="3" fontId="10" fillId="0" borderId="1" xfId="0" applyNumberFormat="1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9" fillId="5" borderId="2" xfId="0" applyFont="1" applyFill="1" applyBorder="1" applyAlignment="1">
      <alignment vertical="top"/>
    </xf>
    <xf numFmtId="0" fontId="10" fillId="0" borderId="2" xfId="0" applyFont="1" applyBorder="1" applyAlignment="1">
      <alignment vertical="top"/>
    </xf>
    <xf numFmtId="0" fontId="17" fillId="0" borderId="2" xfId="0" applyFont="1" applyBorder="1" applyAlignment="1">
      <alignment vertical="top"/>
    </xf>
    <xf numFmtId="0" fontId="10" fillId="0" borderId="7" xfId="0" applyFont="1" applyBorder="1" applyAlignment="1">
      <alignment vertical="top"/>
    </xf>
    <xf numFmtId="0" fontId="11" fillId="5" borderId="8" xfId="0" applyFont="1" applyFill="1" applyBorder="1" applyAlignment="1">
      <alignment vertical="top"/>
    </xf>
    <xf numFmtId="0" fontId="14" fillId="0" borderId="2" xfId="0" applyFont="1" applyBorder="1" applyAlignment="1">
      <alignment vertical="top"/>
    </xf>
    <xf numFmtId="0" fontId="14" fillId="0" borderId="2" xfId="0" applyFont="1" applyBorder="1" applyAlignment="1">
      <alignment horizontal="right" vertical="top"/>
    </xf>
    <xf numFmtId="0" fontId="18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4" fillId="0" borderId="9" xfId="0" applyFont="1" applyBorder="1" applyAlignment="1">
      <alignment vertical="top"/>
    </xf>
    <xf numFmtId="0" fontId="7" fillId="0" borderId="9" xfId="0" applyFont="1" applyBorder="1"/>
    <xf numFmtId="0" fontId="12" fillId="0" borderId="9" xfId="0" applyFont="1" applyBorder="1" applyAlignment="1">
      <alignment vertical="top"/>
    </xf>
    <xf numFmtId="0" fontId="18" fillId="0" borderId="0" xfId="0" applyFont="1" applyAlignment="1">
      <alignment vertical="top"/>
    </xf>
    <xf numFmtId="0" fontId="11" fillId="0" borderId="0" xfId="0" applyFont="1" applyAlignment="1">
      <alignment vertical="top"/>
    </xf>
    <xf numFmtId="0" fontId="14" fillId="0" borderId="0" xfId="0" applyFont="1" applyAlignment="1">
      <alignment vertical="top"/>
    </xf>
    <xf numFmtId="0" fontId="8" fillId="0" borderId="4" xfId="0" applyFont="1" applyBorder="1"/>
    <xf numFmtId="0" fontId="8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dictionary.com/" TargetMode="External"/><Relationship Id="rId671" Type="http://schemas.openxmlformats.org/officeDocument/2006/relationships/hyperlink" Target="http://mail.yahoo.com/" TargetMode="External"/><Relationship Id="rId21" Type="http://schemas.openxmlformats.org/officeDocument/2006/relationships/hyperlink" Target="http://sports.yahoo.com/" TargetMode="External"/><Relationship Id="rId324" Type="http://schemas.openxmlformats.org/officeDocument/2006/relationships/hyperlink" Target="http://investing.com/" TargetMode="External"/><Relationship Id="rId531" Type="http://schemas.openxmlformats.org/officeDocument/2006/relationships/hyperlink" Target="http://foxnews.com/" TargetMode="External"/><Relationship Id="rId629" Type="http://schemas.openxmlformats.org/officeDocument/2006/relationships/hyperlink" Target="http://rent.com/" TargetMode="External"/><Relationship Id="rId170" Type="http://schemas.openxmlformats.org/officeDocument/2006/relationships/hyperlink" Target="http://sneakertoast.com/" TargetMode="External"/><Relationship Id="rId268" Type="http://schemas.openxmlformats.org/officeDocument/2006/relationships/hyperlink" Target="http://daily-choices.com/" TargetMode="External"/><Relationship Id="rId475" Type="http://schemas.openxmlformats.org/officeDocument/2006/relationships/hyperlink" Target="http://timeanddate.com/" TargetMode="External"/><Relationship Id="rId682" Type="http://schemas.openxmlformats.org/officeDocument/2006/relationships/hyperlink" Target="http://cbssports.com/" TargetMode="External"/><Relationship Id="rId32" Type="http://schemas.openxmlformats.org/officeDocument/2006/relationships/hyperlink" Target="http://msn.com/" TargetMode="External"/><Relationship Id="rId128" Type="http://schemas.openxmlformats.org/officeDocument/2006/relationships/hyperlink" Target="http://ign.com/" TargetMode="External"/><Relationship Id="rId335" Type="http://schemas.openxmlformats.org/officeDocument/2006/relationships/hyperlink" Target="http://realtor.com/" TargetMode="External"/><Relationship Id="rId542" Type="http://schemas.openxmlformats.org/officeDocument/2006/relationships/hyperlink" Target="http://bestbuy.com/" TargetMode="External"/><Relationship Id="rId181" Type="http://schemas.openxmlformats.org/officeDocument/2006/relationships/hyperlink" Target="http://outlook.live.com/" TargetMode="External"/><Relationship Id="rId402" Type="http://schemas.openxmlformats.org/officeDocument/2006/relationships/hyperlink" Target="http://merriam-webster.com/dictionary" TargetMode="External"/><Relationship Id="rId279" Type="http://schemas.openxmlformats.org/officeDocument/2006/relationships/hyperlink" Target="http://biblegateway.com/" TargetMode="External"/><Relationship Id="rId486" Type="http://schemas.openxmlformats.org/officeDocument/2006/relationships/hyperlink" Target="http://investing.com/" TargetMode="External"/><Relationship Id="rId693" Type="http://schemas.openxmlformats.org/officeDocument/2006/relationships/hyperlink" Target="http://signupgenius.com/" TargetMode="External"/><Relationship Id="rId707" Type="http://schemas.openxmlformats.org/officeDocument/2006/relationships/hyperlink" Target="http://realtor.com/" TargetMode="External"/><Relationship Id="rId43" Type="http://schemas.openxmlformats.org/officeDocument/2006/relationships/hyperlink" Target="http://boattrader.com/" TargetMode="External"/><Relationship Id="rId139" Type="http://schemas.openxmlformats.org/officeDocument/2006/relationships/hyperlink" Target="http://medicalnewstoday.com/" TargetMode="External"/><Relationship Id="rId346" Type="http://schemas.openxmlformats.org/officeDocument/2006/relationships/hyperlink" Target="http://forbes.com/" TargetMode="External"/><Relationship Id="rId553" Type="http://schemas.openxmlformats.org/officeDocument/2006/relationships/hyperlink" Target="http://rollingstone.com/" TargetMode="External"/><Relationship Id="rId192" Type="http://schemas.openxmlformats.org/officeDocument/2006/relationships/hyperlink" Target="http://yahoo.com/" TargetMode="External"/><Relationship Id="rId206" Type="http://schemas.openxmlformats.org/officeDocument/2006/relationships/hyperlink" Target="http://yahoo.com/" TargetMode="External"/><Relationship Id="rId413" Type="http://schemas.openxmlformats.org/officeDocument/2006/relationships/hyperlink" Target="http://poshland.com/" TargetMode="External"/><Relationship Id="rId497" Type="http://schemas.openxmlformats.org/officeDocument/2006/relationships/hyperlink" Target="http://yahoo.com/" TargetMode="External"/><Relationship Id="rId620" Type="http://schemas.openxmlformats.org/officeDocument/2006/relationships/hyperlink" Target="http://travelerdreams.com/" TargetMode="External"/><Relationship Id="rId718" Type="http://schemas.openxmlformats.org/officeDocument/2006/relationships/hyperlink" Target="http://microsoftcasualgames.com/" TargetMode="External"/><Relationship Id="rId357" Type="http://schemas.openxmlformats.org/officeDocument/2006/relationships/hyperlink" Target="http://outlook.live.com/" TargetMode="External"/><Relationship Id="rId54" Type="http://schemas.openxmlformats.org/officeDocument/2006/relationships/hyperlink" Target="http://apnews.com/" TargetMode="External"/><Relationship Id="rId217" Type="http://schemas.openxmlformats.org/officeDocument/2006/relationships/hyperlink" Target="http://fandom.com/" TargetMode="External"/><Relationship Id="rId564" Type="http://schemas.openxmlformats.org/officeDocument/2006/relationships/hyperlink" Target="http://pandora.com/" TargetMode="External"/><Relationship Id="rId424" Type="http://schemas.openxmlformats.org/officeDocument/2006/relationships/hyperlink" Target="http://androidpolice.com/" TargetMode="External"/><Relationship Id="rId631" Type="http://schemas.openxmlformats.org/officeDocument/2006/relationships/hyperlink" Target="http://msn.com/" TargetMode="External"/><Relationship Id="rId270" Type="http://schemas.openxmlformats.org/officeDocument/2006/relationships/hyperlink" Target="http://weather.com/" TargetMode="External"/><Relationship Id="rId65" Type="http://schemas.openxmlformats.org/officeDocument/2006/relationships/hyperlink" Target="http://accuweather.com/" TargetMode="External"/><Relationship Id="rId130" Type="http://schemas.openxmlformats.org/officeDocument/2006/relationships/hyperlink" Target="http://investing.com/" TargetMode="External"/><Relationship Id="rId368" Type="http://schemas.openxmlformats.org/officeDocument/2006/relationships/hyperlink" Target="http://moneyppl.com/" TargetMode="External"/><Relationship Id="rId575" Type="http://schemas.openxmlformats.org/officeDocument/2006/relationships/hyperlink" Target="http://msn.com/" TargetMode="External"/><Relationship Id="rId228" Type="http://schemas.openxmlformats.org/officeDocument/2006/relationships/hyperlink" Target="http://yahoo.com/" TargetMode="External"/><Relationship Id="rId435" Type="http://schemas.openxmlformats.org/officeDocument/2006/relationships/hyperlink" Target="http://forbes.com/" TargetMode="External"/><Relationship Id="rId642" Type="http://schemas.openxmlformats.org/officeDocument/2006/relationships/hyperlink" Target="http://cbsnews.com/" TargetMode="External"/><Relationship Id="rId281" Type="http://schemas.openxmlformats.org/officeDocument/2006/relationships/hyperlink" Target="http://editorsnation.com/" TargetMode="External"/><Relationship Id="rId502" Type="http://schemas.openxmlformats.org/officeDocument/2006/relationships/hyperlink" Target="http://androidauthority.com/" TargetMode="External"/><Relationship Id="rId76" Type="http://schemas.openxmlformats.org/officeDocument/2006/relationships/hyperlink" Target="http://mlb.com/" TargetMode="External"/><Relationship Id="rId141" Type="http://schemas.openxmlformats.org/officeDocument/2006/relationships/hyperlink" Target="http://finance.yahoo.com/" TargetMode="External"/><Relationship Id="rId379" Type="http://schemas.openxmlformats.org/officeDocument/2006/relationships/hyperlink" Target="http://mail.yahoo.com/" TargetMode="External"/><Relationship Id="rId586" Type="http://schemas.openxmlformats.org/officeDocument/2006/relationships/hyperlink" Target="http://mail.aol.com/" TargetMode="External"/><Relationship Id="rId7" Type="http://schemas.openxmlformats.org/officeDocument/2006/relationships/hyperlink" Target="http://outlook.live.com/" TargetMode="External"/><Relationship Id="rId239" Type="http://schemas.openxmlformats.org/officeDocument/2006/relationships/hyperlink" Target="http://wikihow.com/" TargetMode="External"/><Relationship Id="rId446" Type="http://schemas.openxmlformats.org/officeDocument/2006/relationships/hyperlink" Target="http://fandom.com/" TargetMode="External"/><Relationship Id="rId653" Type="http://schemas.openxmlformats.org/officeDocument/2006/relationships/hyperlink" Target="http://biblegateway.com/" TargetMode="External"/><Relationship Id="rId292" Type="http://schemas.openxmlformats.org/officeDocument/2006/relationships/hyperlink" Target="http://usatoday.com/" TargetMode="External"/><Relationship Id="rId306" Type="http://schemas.openxmlformats.org/officeDocument/2006/relationships/hyperlink" Target="http://washingtonpost.com/" TargetMode="External"/><Relationship Id="rId87" Type="http://schemas.openxmlformats.org/officeDocument/2006/relationships/hyperlink" Target="http://cheezburger.com/" TargetMode="External"/><Relationship Id="rId513" Type="http://schemas.openxmlformats.org/officeDocument/2006/relationships/hyperlink" Target="http://homehacks.co/" TargetMode="External"/><Relationship Id="rId597" Type="http://schemas.openxmlformats.org/officeDocument/2006/relationships/hyperlink" Target="http://news.yahoo.com/" TargetMode="External"/><Relationship Id="rId720" Type="http://schemas.openxmlformats.org/officeDocument/2006/relationships/hyperlink" Target="http://eenadu.net/" TargetMode="External"/><Relationship Id="rId152" Type="http://schemas.openxmlformats.org/officeDocument/2006/relationships/hyperlink" Target="http://realtor.com/" TargetMode="External"/><Relationship Id="rId457" Type="http://schemas.openxmlformats.org/officeDocument/2006/relationships/hyperlink" Target="http://culinaryhill.com/" TargetMode="External"/><Relationship Id="rId664" Type="http://schemas.openxmlformats.org/officeDocument/2006/relationships/hyperlink" Target="http://w3schools.com/" TargetMode="External"/><Relationship Id="rId14" Type="http://schemas.openxmlformats.org/officeDocument/2006/relationships/hyperlink" Target="http://weather.com/" TargetMode="External"/><Relationship Id="rId317" Type="http://schemas.openxmlformats.org/officeDocument/2006/relationships/hyperlink" Target="http://pandora.com/" TargetMode="External"/><Relationship Id="rId524" Type="http://schemas.openxmlformats.org/officeDocument/2006/relationships/hyperlink" Target="http://tomsguide.com/" TargetMode="External"/><Relationship Id="rId98" Type="http://schemas.openxmlformats.org/officeDocument/2006/relationships/hyperlink" Target="http://outlook.live.com/" TargetMode="External"/><Relationship Id="rId163" Type="http://schemas.openxmlformats.org/officeDocument/2006/relationships/hyperlink" Target="http://classmates.com/" TargetMode="External"/><Relationship Id="rId370" Type="http://schemas.openxmlformats.org/officeDocument/2006/relationships/hyperlink" Target="http://weather.com/" TargetMode="External"/><Relationship Id="rId230" Type="http://schemas.openxmlformats.org/officeDocument/2006/relationships/hyperlink" Target="http://mail.yahoo.com/" TargetMode="External"/><Relationship Id="rId468" Type="http://schemas.openxmlformats.org/officeDocument/2006/relationships/hyperlink" Target="http://thesaurus.com/" TargetMode="External"/><Relationship Id="rId675" Type="http://schemas.openxmlformats.org/officeDocument/2006/relationships/hyperlink" Target="http://biblegateway.com/" TargetMode="External"/><Relationship Id="rId25" Type="http://schemas.openxmlformats.org/officeDocument/2006/relationships/hyperlink" Target="http://autotrader.com/" TargetMode="External"/><Relationship Id="rId328" Type="http://schemas.openxmlformats.org/officeDocument/2006/relationships/hyperlink" Target="http://investmentguru.com/" TargetMode="External"/><Relationship Id="rId535" Type="http://schemas.openxmlformats.org/officeDocument/2006/relationships/hyperlink" Target="http://ebay.com/" TargetMode="External"/><Relationship Id="rId174" Type="http://schemas.openxmlformats.org/officeDocument/2006/relationships/hyperlink" Target="http://streetinsider.com/" TargetMode="External"/><Relationship Id="rId381" Type="http://schemas.openxmlformats.org/officeDocument/2006/relationships/hyperlink" Target="http://streetinsider.com/" TargetMode="External"/><Relationship Id="rId602" Type="http://schemas.openxmlformats.org/officeDocument/2006/relationships/hyperlink" Target="http://bbc.com/" TargetMode="External"/><Relationship Id="rId241" Type="http://schemas.openxmlformats.org/officeDocument/2006/relationships/hyperlink" Target="http://mail.aol.com/" TargetMode="External"/><Relationship Id="rId479" Type="http://schemas.openxmlformats.org/officeDocument/2006/relationships/hyperlink" Target="http://foxnews.com/" TargetMode="External"/><Relationship Id="rId686" Type="http://schemas.openxmlformats.org/officeDocument/2006/relationships/hyperlink" Target="http://health.usnews.com/" TargetMode="External"/><Relationship Id="rId36" Type="http://schemas.openxmlformats.org/officeDocument/2006/relationships/hyperlink" Target="http://clutchpoints.com/" TargetMode="External"/><Relationship Id="rId339" Type="http://schemas.openxmlformats.org/officeDocument/2006/relationships/hyperlink" Target="http://ebay.com/" TargetMode="External"/><Relationship Id="rId546" Type="http://schemas.openxmlformats.org/officeDocument/2006/relationships/hyperlink" Target="http://rollingstone.com/" TargetMode="External"/><Relationship Id="rId101" Type="http://schemas.openxmlformats.org/officeDocument/2006/relationships/hyperlink" Target="http://accuweather.com/" TargetMode="External"/><Relationship Id="rId185" Type="http://schemas.openxmlformats.org/officeDocument/2006/relationships/hyperlink" Target="http://slickdeals.net/" TargetMode="External"/><Relationship Id="rId406" Type="http://schemas.openxmlformats.org/officeDocument/2006/relationships/hyperlink" Target="http://commercialappeal.com/" TargetMode="External"/><Relationship Id="rId392" Type="http://schemas.openxmlformats.org/officeDocument/2006/relationships/hyperlink" Target="http://mayoclinic.org/" TargetMode="External"/><Relationship Id="rId613" Type="http://schemas.openxmlformats.org/officeDocument/2006/relationships/hyperlink" Target="http://slickdeals.net/" TargetMode="External"/><Relationship Id="rId697" Type="http://schemas.openxmlformats.org/officeDocument/2006/relationships/hyperlink" Target="http://pandora.com/" TargetMode="External"/><Relationship Id="rId252" Type="http://schemas.openxmlformats.org/officeDocument/2006/relationships/hyperlink" Target="http://cbssports.com/" TargetMode="External"/><Relationship Id="rId47" Type="http://schemas.openxmlformats.org/officeDocument/2006/relationships/hyperlink" Target="http://the-sun.com/" TargetMode="External"/><Relationship Id="rId112" Type="http://schemas.openxmlformats.org/officeDocument/2006/relationships/hyperlink" Target="http://mail.yahoo.com/" TargetMode="External"/><Relationship Id="rId557" Type="http://schemas.openxmlformats.org/officeDocument/2006/relationships/hyperlink" Target="http://msn.com/" TargetMode="External"/><Relationship Id="rId196" Type="http://schemas.openxmlformats.org/officeDocument/2006/relationships/hyperlink" Target="http://w3schools.com/" TargetMode="External"/><Relationship Id="rId417" Type="http://schemas.openxmlformats.org/officeDocument/2006/relationships/hyperlink" Target="http://mail.aol.com/" TargetMode="External"/><Relationship Id="rId624" Type="http://schemas.openxmlformats.org/officeDocument/2006/relationships/hyperlink" Target="http://ajc.com/" TargetMode="External"/><Relationship Id="rId263" Type="http://schemas.openxmlformats.org/officeDocument/2006/relationships/hyperlink" Target="http://alotfinance.com/" TargetMode="External"/><Relationship Id="rId470" Type="http://schemas.openxmlformats.org/officeDocument/2006/relationships/hyperlink" Target="http://msn.com/" TargetMode="External"/><Relationship Id="rId58" Type="http://schemas.openxmlformats.org/officeDocument/2006/relationships/hyperlink" Target="http://drugs.com/" TargetMode="External"/><Relationship Id="rId123" Type="http://schemas.openxmlformats.org/officeDocument/2006/relationships/hyperlink" Target="http://cnbc.com/" TargetMode="External"/><Relationship Id="rId330" Type="http://schemas.openxmlformats.org/officeDocument/2006/relationships/hyperlink" Target="http://cheezburger.com/" TargetMode="External"/><Relationship Id="rId568" Type="http://schemas.openxmlformats.org/officeDocument/2006/relationships/hyperlink" Target="http://streetinsider.com/" TargetMode="External"/><Relationship Id="rId428" Type="http://schemas.openxmlformats.org/officeDocument/2006/relationships/hyperlink" Target="http://usssa.com/" TargetMode="External"/><Relationship Id="rId635" Type="http://schemas.openxmlformats.org/officeDocument/2006/relationships/hyperlink" Target="http://biblegateway.com/" TargetMode="External"/><Relationship Id="rId274" Type="http://schemas.openxmlformats.org/officeDocument/2006/relationships/hyperlink" Target="http://yourdailysportfix.com/" TargetMode="External"/><Relationship Id="rId481" Type="http://schemas.openxmlformats.org/officeDocument/2006/relationships/hyperlink" Target="http://mail.yahoo.com/" TargetMode="External"/><Relationship Id="rId702" Type="http://schemas.openxmlformats.org/officeDocument/2006/relationships/hyperlink" Target="http://reuters.com/" TargetMode="External"/><Relationship Id="rId69" Type="http://schemas.openxmlformats.org/officeDocument/2006/relationships/hyperlink" Target="http://m.timesofindia.com/" TargetMode="External"/><Relationship Id="rId134" Type="http://schemas.openxmlformats.org/officeDocument/2006/relationships/hyperlink" Target="http://accuweather.com/" TargetMode="External"/><Relationship Id="rId579" Type="http://schemas.openxmlformats.org/officeDocument/2006/relationships/hyperlink" Target="http://cnn.com/" TargetMode="External"/><Relationship Id="rId341" Type="http://schemas.openxmlformats.org/officeDocument/2006/relationships/hyperlink" Target="http://mail.aol.com/" TargetMode="External"/><Relationship Id="rId439" Type="http://schemas.openxmlformats.org/officeDocument/2006/relationships/hyperlink" Target="http://yahoo.com/" TargetMode="External"/><Relationship Id="rId646" Type="http://schemas.openxmlformats.org/officeDocument/2006/relationships/hyperlink" Target="http://flightaware.com/" TargetMode="External"/><Relationship Id="rId201" Type="http://schemas.openxmlformats.org/officeDocument/2006/relationships/hyperlink" Target="http://microsoftcasualgames.com/" TargetMode="External"/><Relationship Id="rId285" Type="http://schemas.openxmlformats.org/officeDocument/2006/relationships/hyperlink" Target="http://realtor.com/" TargetMode="External"/><Relationship Id="rId506" Type="http://schemas.openxmlformats.org/officeDocument/2006/relationships/hyperlink" Target="http://thesaurus.com/" TargetMode="External"/><Relationship Id="rId492" Type="http://schemas.openxmlformats.org/officeDocument/2006/relationships/hyperlink" Target="http://behindthevoiceactors.com/" TargetMode="External"/><Relationship Id="rId713" Type="http://schemas.openxmlformats.org/officeDocument/2006/relationships/hyperlink" Target="http://mlb.com/" TargetMode="External"/><Relationship Id="rId145" Type="http://schemas.openxmlformats.org/officeDocument/2006/relationships/hyperlink" Target="http://foxnews.com/" TargetMode="External"/><Relationship Id="rId352" Type="http://schemas.openxmlformats.org/officeDocument/2006/relationships/hyperlink" Target="http://eonline.com/" TargetMode="External"/><Relationship Id="rId212" Type="http://schemas.openxmlformats.org/officeDocument/2006/relationships/hyperlink" Target="http://realtor.com/" TargetMode="External"/><Relationship Id="rId657" Type="http://schemas.openxmlformats.org/officeDocument/2006/relationships/hyperlink" Target="http://mail.yahoo.com/" TargetMode="External"/><Relationship Id="rId296" Type="http://schemas.openxmlformats.org/officeDocument/2006/relationships/hyperlink" Target="http://yahoo.com/" TargetMode="External"/><Relationship Id="rId517" Type="http://schemas.openxmlformats.org/officeDocument/2006/relationships/hyperlink" Target="http://boxrox.com/" TargetMode="External"/><Relationship Id="rId724" Type="http://schemas.openxmlformats.org/officeDocument/2006/relationships/hyperlink" Target="http://realtor.com/" TargetMode="External"/><Relationship Id="rId60" Type="http://schemas.openxmlformats.org/officeDocument/2006/relationships/hyperlink" Target="http://seedsgames.com/" TargetMode="External"/><Relationship Id="rId156" Type="http://schemas.openxmlformats.org/officeDocument/2006/relationships/hyperlink" Target="http://foxnews.com/" TargetMode="External"/><Relationship Id="rId363" Type="http://schemas.openxmlformats.org/officeDocument/2006/relationships/hyperlink" Target="http://cnn.com/" TargetMode="External"/><Relationship Id="rId570" Type="http://schemas.openxmlformats.org/officeDocument/2006/relationships/hyperlink" Target="http://zillow.com/" TargetMode="External"/><Relationship Id="rId223" Type="http://schemas.openxmlformats.org/officeDocument/2006/relationships/hyperlink" Target="http://a-z-animals.com/" TargetMode="External"/><Relationship Id="rId430" Type="http://schemas.openxmlformats.org/officeDocument/2006/relationships/hyperlink" Target="http://nypost.com/" TargetMode="External"/><Relationship Id="rId668" Type="http://schemas.openxmlformats.org/officeDocument/2006/relationships/hyperlink" Target="http://citationmachine.net/" TargetMode="External"/><Relationship Id="rId18" Type="http://schemas.openxmlformats.org/officeDocument/2006/relationships/hyperlink" Target="http://aol.com/" TargetMode="External"/><Relationship Id="rId528" Type="http://schemas.openxmlformats.org/officeDocument/2006/relationships/hyperlink" Target="http://msn.com/" TargetMode="External"/><Relationship Id="rId167" Type="http://schemas.openxmlformats.org/officeDocument/2006/relationships/hyperlink" Target="http://kbb.com/" TargetMode="External"/><Relationship Id="rId374" Type="http://schemas.openxmlformats.org/officeDocument/2006/relationships/hyperlink" Target="http://aol.com/" TargetMode="External"/><Relationship Id="rId581" Type="http://schemas.openxmlformats.org/officeDocument/2006/relationships/hyperlink" Target="http://redfin.com/" TargetMode="External"/><Relationship Id="rId71" Type="http://schemas.openxmlformats.org/officeDocument/2006/relationships/hyperlink" Target="http://accuweather.com/" TargetMode="External"/><Relationship Id="rId234" Type="http://schemas.openxmlformats.org/officeDocument/2006/relationships/hyperlink" Target="http://marca.com/" TargetMode="External"/><Relationship Id="rId679" Type="http://schemas.openxmlformats.org/officeDocument/2006/relationships/hyperlink" Target="http://forbes.com/" TargetMode="External"/><Relationship Id="rId2" Type="http://schemas.openxmlformats.org/officeDocument/2006/relationships/hyperlink" Target="http://mail.yahoo.com/" TargetMode="External"/><Relationship Id="rId29" Type="http://schemas.openxmlformats.org/officeDocument/2006/relationships/hyperlink" Target="http://tastesbetterfromscratch.com/" TargetMode="External"/><Relationship Id="rId441" Type="http://schemas.openxmlformats.org/officeDocument/2006/relationships/hyperlink" Target="http://kbb.com/" TargetMode="External"/><Relationship Id="rId539" Type="http://schemas.openxmlformats.org/officeDocument/2006/relationships/hyperlink" Target="http://microsoftcasualgames.com/" TargetMode="External"/><Relationship Id="rId178" Type="http://schemas.openxmlformats.org/officeDocument/2006/relationships/hyperlink" Target="http://msn.com/" TargetMode="External"/><Relationship Id="rId301" Type="http://schemas.openxmlformats.org/officeDocument/2006/relationships/hyperlink" Target="http://yachtworld.com/" TargetMode="External"/><Relationship Id="rId82" Type="http://schemas.openxmlformats.org/officeDocument/2006/relationships/hyperlink" Target="http://boattrader.com/" TargetMode="External"/><Relationship Id="rId385" Type="http://schemas.openxmlformats.org/officeDocument/2006/relationships/hyperlink" Target="http://finance.yahoo.com/" TargetMode="External"/><Relationship Id="rId592" Type="http://schemas.openxmlformats.org/officeDocument/2006/relationships/hyperlink" Target="http://britannica.com/" TargetMode="External"/><Relationship Id="rId606" Type="http://schemas.openxmlformats.org/officeDocument/2006/relationships/hyperlink" Target="http://yahoo.com/" TargetMode="External"/><Relationship Id="rId245" Type="http://schemas.openxmlformats.org/officeDocument/2006/relationships/hyperlink" Target="http://greatschools.org/" TargetMode="External"/><Relationship Id="rId287" Type="http://schemas.openxmlformats.org/officeDocument/2006/relationships/hyperlink" Target="http://mail.yahoo.com/" TargetMode="External"/><Relationship Id="rId410" Type="http://schemas.openxmlformats.org/officeDocument/2006/relationships/hyperlink" Target="http://news.yahoo.com/" TargetMode="External"/><Relationship Id="rId452" Type="http://schemas.openxmlformats.org/officeDocument/2006/relationships/hyperlink" Target="http://insider.com/" TargetMode="External"/><Relationship Id="rId494" Type="http://schemas.openxmlformats.org/officeDocument/2006/relationships/hyperlink" Target="http://nbcnews.com/" TargetMode="External"/><Relationship Id="rId508" Type="http://schemas.openxmlformats.org/officeDocument/2006/relationships/hyperlink" Target="http://thesaurus.com/" TargetMode="External"/><Relationship Id="rId715" Type="http://schemas.openxmlformats.org/officeDocument/2006/relationships/hyperlink" Target="http://womenshealthmag.com/" TargetMode="External"/><Relationship Id="rId105" Type="http://schemas.openxmlformats.org/officeDocument/2006/relationships/hyperlink" Target="http://nytimes.com/" TargetMode="External"/><Relationship Id="rId147" Type="http://schemas.openxmlformats.org/officeDocument/2006/relationships/hyperlink" Target="http://sporcle.com/" TargetMode="External"/><Relationship Id="rId312" Type="http://schemas.openxmlformats.org/officeDocument/2006/relationships/hyperlink" Target="http://wikihow.com/" TargetMode="External"/><Relationship Id="rId354" Type="http://schemas.openxmlformats.org/officeDocument/2006/relationships/hyperlink" Target="http://geeksforgeeks.org/" TargetMode="External"/><Relationship Id="rId51" Type="http://schemas.openxmlformats.org/officeDocument/2006/relationships/hyperlink" Target="http://cargurus.com/" TargetMode="External"/><Relationship Id="rId93" Type="http://schemas.openxmlformats.org/officeDocument/2006/relationships/hyperlink" Target="http://msn.com/" TargetMode="External"/><Relationship Id="rId189" Type="http://schemas.openxmlformats.org/officeDocument/2006/relationships/hyperlink" Target="http://mail.aol.com/" TargetMode="External"/><Relationship Id="rId396" Type="http://schemas.openxmlformats.org/officeDocument/2006/relationships/hyperlink" Target="http://biblegateway.com/" TargetMode="External"/><Relationship Id="rId561" Type="http://schemas.openxmlformats.org/officeDocument/2006/relationships/hyperlink" Target="http://milb.com/" TargetMode="External"/><Relationship Id="rId617" Type="http://schemas.openxmlformats.org/officeDocument/2006/relationships/hyperlink" Target="http://rvtrader.com/" TargetMode="External"/><Relationship Id="rId659" Type="http://schemas.openxmlformats.org/officeDocument/2006/relationships/hyperlink" Target="http://zdnet.com/" TargetMode="External"/><Relationship Id="rId214" Type="http://schemas.openxmlformats.org/officeDocument/2006/relationships/hyperlink" Target="http://drugs.com/" TargetMode="External"/><Relationship Id="rId256" Type="http://schemas.openxmlformats.org/officeDocument/2006/relationships/hyperlink" Target="http://screenrant.com/" TargetMode="External"/><Relationship Id="rId298" Type="http://schemas.openxmlformats.org/officeDocument/2006/relationships/hyperlink" Target="http://ebay.com/" TargetMode="External"/><Relationship Id="rId421" Type="http://schemas.openxmlformats.org/officeDocument/2006/relationships/hyperlink" Target="http://msn.com/" TargetMode="External"/><Relationship Id="rId463" Type="http://schemas.openxmlformats.org/officeDocument/2006/relationships/hyperlink" Target="http://geeksforgeeks.org/" TargetMode="External"/><Relationship Id="rId519" Type="http://schemas.openxmlformats.org/officeDocument/2006/relationships/hyperlink" Target="http://kbb.com/" TargetMode="External"/><Relationship Id="rId670" Type="http://schemas.openxmlformats.org/officeDocument/2006/relationships/hyperlink" Target="http://nba.com/" TargetMode="External"/><Relationship Id="rId116" Type="http://schemas.openxmlformats.org/officeDocument/2006/relationships/hyperlink" Target="http://realtor.com/" TargetMode="External"/><Relationship Id="rId158" Type="http://schemas.openxmlformats.org/officeDocument/2006/relationships/hyperlink" Target="http://realtor.com/" TargetMode="External"/><Relationship Id="rId323" Type="http://schemas.openxmlformats.org/officeDocument/2006/relationships/hyperlink" Target="http://allrecipes.com/" TargetMode="External"/><Relationship Id="rId530" Type="http://schemas.openxmlformats.org/officeDocument/2006/relationships/hyperlink" Target="http://ebay.com/" TargetMode="External"/><Relationship Id="rId726" Type="http://schemas.openxmlformats.org/officeDocument/2006/relationships/comments" Target="../comments1.xml"/><Relationship Id="rId20" Type="http://schemas.openxmlformats.org/officeDocument/2006/relationships/hyperlink" Target="http://nypost.com/" TargetMode="External"/><Relationship Id="rId62" Type="http://schemas.openxmlformats.org/officeDocument/2006/relationships/hyperlink" Target="http://msn.com/" TargetMode="External"/><Relationship Id="rId365" Type="http://schemas.openxmlformats.org/officeDocument/2006/relationships/hyperlink" Target="http://msn.com/" TargetMode="External"/><Relationship Id="rId572" Type="http://schemas.openxmlformats.org/officeDocument/2006/relationships/hyperlink" Target="http://yahoo.com/" TargetMode="External"/><Relationship Id="rId628" Type="http://schemas.openxmlformats.org/officeDocument/2006/relationships/hyperlink" Target="http://signupgenius.com/" TargetMode="External"/><Relationship Id="rId225" Type="http://schemas.openxmlformats.org/officeDocument/2006/relationships/hyperlink" Target="http://medicalnewstoday.com/" TargetMode="External"/><Relationship Id="rId267" Type="http://schemas.openxmlformats.org/officeDocument/2006/relationships/hyperlink" Target="http://cnet.com/" TargetMode="External"/><Relationship Id="rId432" Type="http://schemas.openxmlformats.org/officeDocument/2006/relationships/hyperlink" Target="http://weather.com/" TargetMode="External"/><Relationship Id="rId474" Type="http://schemas.openxmlformats.org/officeDocument/2006/relationships/hyperlink" Target="http://semana.com/" TargetMode="External"/><Relationship Id="rId127" Type="http://schemas.openxmlformats.org/officeDocument/2006/relationships/hyperlink" Target="http://wordunscrambler.me/" TargetMode="External"/><Relationship Id="rId681" Type="http://schemas.openxmlformats.org/officeDocument/2006/relationships/hyperlink" Target="http://mail.aol.com/" TargetMode="External"/><Relationship Id="rId31" Type="http://schemas.openxmlformats.org/officeDocument/2006/relationships/hyperlink" Target="http://usatoday.com/" TargetMode="External"/><Relationship Id="rId73" Type="http://schemas.openxmlformats.org/officeDocument/2006/relationships/hyperlink" Target="http://cbssports.com/" TargetMode="External"/><Relationship Id="rId169" Type="http://schemas.openxmlformats.org/officeDocument/2006/relationships/hyperlink" Target="http://gamerant.com/" TargetMode="External"/><Relationship Id="rId334" Type="http://schemas.openxmlformats.org/officeDocument/2006/relationships/hyperlink" Target="http://cars.com/" TargetMode="External"/><Relationship Id="rId376" Type="http://schemas.openxmlformats.org/officeDocument/2006/relationships/hyperlink" Target="http://timeanddate.com/" TargetMode="External"/><Relationship Id="rId541" Type="http://schemas.openxmlformats.org/officeDocument/2006/relationships/hyperlink" Target="http://outlook.live.com/" TargetMode="External"/><Relationship Id="rId583" Type="http://schemas.openxmlformats.org/officeDocument/2006/relationships/hyperlink" Target="http://ebay.com/" TargetMode="External"/><Relationship Id="rId639" Type="http://schemas.openxmlformats.org/officeDocument/2006/relationships/hyperlink" Target="http://pandora.com/" TargetMode="External"/><Relationship Id="rId4" Type="http://schemas.openxmlformats.org/officeDocument/2006/relationships/hyperlink" Target="http://foxbusiness.com/" TargetMode="External"/><Relationship Id="rId180" Type="http://schemas.openxmlformats.org/officeDocument/2006/relationships/hyperlink" Target="http://mail.yahoo.com/" TargetMode="External"/><Relationship Id="rId236" Type="http://schemas.openxmlformats.org/officeDocument/2006/relationships/hyperlink" Target="http://macrumors.com/" TargetMode="External"/><Relationship Id="rId278" Type="http://schemas.openxmlformats.org/officeDocument/2006/relationships/hyperlink" Target="http://msn.com/" TargetMode="External"/><Relationship Id="rId401" Type="http://schemas.openxmlformats.org/officeDocument/2006/relationships/hyperlink" Target="http://healthyrecipesblogs.com/" TargetMode="External"/><Relationship Id="rId443" Type="http://schemas.openxmlformats.org/officeDocument/2006/relationships/hyperlink" Target="http://accuweather.com/" TargetMode="External"/><Relationship Id="rId650" Type="http://schemas.openxmlformats.org/officeDocument/2006/relationships/hyperlink" Target="http://yahoo.com/" TargetMode="External"/><Relationship Id="rId303" Type="http://schemas.openxmlformats.org/officeDocument/2006/relationships/hyperlink" Target="http://mail.yahoo.com/" TargetMode="External"/><Relationship Id="rId485" Type="http://schemas.openxmlformats.org/officeDocument/2006/relationships/hyperlink" Target="http://cbsnews.com/" TargetMode="External"/><Relationship Id="rId692" Type="http://schemas.openxmlformats.org/officeDocument/2006/relationships/hyperlink" Target="http://cnn.com/" TargetMode="External"/><Relationship Id="rId706" Type="http://schemas.openxmlformats.org/officeDocument/2006/relationships/hyperlink" Target="http://foxnews.com/" TargetMode="External"/><Relationship Id="rId42" Type="http://schemas.openxmlformats.org/officeDocument/2006/relationships/hyperlink" Target="http://newsharper.com/" TargetMode="External"/><Relationship Id="rId84" Type="http://schemas.openxmlformats.org/officeDocument/2006/relationships/hyperlink" Target="http://soaps.sheknows.com/" TargetMode="External"/><Relationship Id="rId138" Type="http://schemas.openxmlformats.org/officeDocument/2006/relationships/hyperlink" Target="http://motor-junkie.com/" TargetMode="External"/><Relationship Id="rId345" Type="http://schemas.openxmlformats.org/officeDocument/2006/relationships/hyperlink" Target="http://the-sun.com/" TargetMode="External"/><Relationship Id="rId387" Type="http://schemas.openxmlformats.org/officeDocument/2006/relationships/hyperlink" Target="http://ebay.com/" TargetMode="External"/><Relationship Id="rId510" Type="http://schemas.openxmlformats.org/officeDocument/2006/relationships/hyperlink" Target="http://thesaurus.com/" TargetMode="External"/><Relationship Id="rId552" Type="http://schemas.openxmlformats.org/officeDocument/2006/relationships/hyperlink" Target="http://zillow.com/" TargetMode="External"/><Relationship Id="rId594" Type="http://schemas.openxmlformats.org/officeDocument/2006/relationships/hyperlink" Target="http://msn.com/" TargetMode="External"/><Relationship Id="rId608" Type="http://schemas.openxmlformats.org/officeDocument/2006/relationships/hyperlink" Target="http://mlb.com/" TargetMode="External"/><Relationship Id="rId191" Type="http://schemas.openxmlformats.org/officeDocument/2006/relationships/hyperlink" Target="http://cbsnews.com/" TargetMode="External"/><Relationship Id="rId205" Type="http://schemas.openxmlformats.org/officeDocument/2006/relationships/hyperlink" Target="http://foxnews.com/" TargetMode="External"/><Relationship Id="rId247" Type="http://schemas.openxmlformats.org/officeDocument/2006/relationships/hyperlink" Target="http://wikihow.com/" TargetMode="External"/><Relationship Id="rId412" Type="http://schemas.openxmlformats.org/officeDocument/2006/relationships/hyperlink" Target="http://outlook.live.com/" TargetMode="External"/><Relationship Id="rId107" Type="http://schemas.openxmlformats.org/officeDocument/2006/relationships/hyperlink" Target="http://jdpower.com/" TargetMode="External"/><Relationship Id="rId289" Type="http://schemas.openxmlformats.org/officeDocument/2006/relationships/hyperlink" Target="http://geeksforgeeks.org/" TargetMode="External"/><Relationship Id="rId454" Type="http://schemas.openxmlformats.org/officeDocument/2006/relationships/hyperlink" Target="http://medicalnewstoday.com/" TargetMode="External"/><Relationship Id="rId496" Type="http://schemas.openxmlformats.org/officeDocument/2006/relationships/hyperlink" Target="http://cheapoair.com/" TargetMode="External"/><Relationship Id="rId661" Type="http://schemas.openxmlformats.org/officeDocument/2006/relationships/hyperlink" Target="http://finance.yahoo.com/" TargetMode="External"/><Relationship Id="rId717" Type="http://schemas.openxmlformats.org/officeDocument/2006/relationships/hyperlink" Target="http://m.timesofindia.com/" TargetMode="External"/><Relationship Id="rId11" Type="http://schemas.openxmlformats.org/officeDocument/2006/relationships/hyperlink" Target="http://ebay.com/" TargetMode="External"/><Relationship Id="rId53" Type="http://schemas.openxmlformats.org/officeDocument/2006/relationships/hyperlink" Target="http://forbes.com/" TargetMode="External"/><Relationship Id="rId149" Type="http://schemas.openxmlformats.org/officeDocument/2006/relationships/hyperlink" Target="http://mail.yahoo.com/" TargetMode="External"/><Relationship Id="rId314" Type="http://schemas.openxmlformats.org/officeDocument/2006/relationships/hyperlink" Target="http://yahoo.com/" TargetMode="External"/><Relationship Id="rId356" Type="http://schemas.openxmlformats.org/officeDocument/2006/relationships/hyperlink" Target="http://accuweather.com/" TargetMode="External"/><Relationship Id="rId398" Type="http://schemas.openxmlformats.org/officeDocument/2006/relationships/hyperlink" Target="http://people.com/" TargetMode="External"/><Relationship Id="rId521" Type="http://schemas.openxmlformats.org/officeDocument/2006/relationships/hyperlink" Target="http://thebigmansworld.com/" TargetMode="External"/><Relationship Id="rId563" Type="http://schemas.openxmlformats.org/officeDocument/2006/relationships/hyperlink" Target="http://webmd.com/" TargetMode="External"/><Relationship Id="rId619" Type="http://schemas.openxmlformats.org/officeDocument/2006/relationships/hyperlink" Target="http://accuweather.com/" TargetMode="External"/><Relationship Id="rId95" Type="http://schemas.openxmlformats.org/officeDocument/2006/relationships/hyperlink" Target="http://whatismyipaddress.com/" TargetMode="External"/><Relationship Id="rId160" Type="http://schemas.openxmlformats.org/officeDocument/2006/relationships/hyperlink" Target="http://dailyhodl.com/" TargetMode="External"/><Relationship Id="rId216" Type="http://schemas.openxmlformats.org/officeDocument/2006/relationships/hyperlink" Target="http://autotrader.com/" TargetMode="External"/><Relationship Id="rId423" Type="http://schemas.openxmlformats.org/officeDocument/2006/relationships/hyperlink" Target="http://nbcchicago.com/" TargetMode="External"/><Relationship Id="rId258" Type="http://schemas.openxmlformats.org/officeDocument/2006/relationships/hyperlink" Target="http://thesaurus.com/" TargetMode="External"/><Relationship Id="rId465" Type="http://schemas.openxmlformats.org/officeDocument/2006/relationships/hyperlink" Target="http://nbcchicago.com/" TargetMode="External"/><Relationship Id="rId630" Type="http://schemas.openxmlformats.org/officeDocument/2006/relationships/hyperlink" Target="http://realtor.com/" TargetMode="External"/><Relationship Id="rId672" Type="http://schemas.openxmlformats.org/officeDocument/2006/relationships/hyperlink" Target="http://msn.com/" TargetMode="External"/><Relationship Id="rId22" Type="http://schemas.openxmlformats.org/officeDocument/2006/relationships/hyperlink" Target="http://weather.com/" TargetMode="External"/><Relationship Id="rId64" Type="http://schemas.openxmlformats.org/officeDocument/2006/relationships/hyperlink" Target="http://weather.com/" TargetMode="External"/><Relationship Id="rId118" Type="http://schemas.openxmlformats.org/officeDocument/2006/relationships/hyperlink" Target="http://mail.yahoo.com/" TargetMode="External"/><Relationship Id="rId325" Type="http://schemas.openxmlformats.org/officeDocument/2006/relationships/hyperlink" Target="http://weather.com/" TargetMode="External"/><Relationship Id="rId367" Type="http://schemas.openxmlformats.org/officeDocument/2006/relationships/hyperlink" Target="http://mail.aol.com/" TargetMode="External"/><Relationship Id="rId532" Type="http://schemas.openxmlformats.org/officeDocument/2006/relationships/hyperlink" Target="http://finance.yahoo.com/" TargetMode="External"/><Relationship Id="rId574" Type="http://schemas.openxmlformats.org/officeDocument/2006/relationships/hyperlink" Target="http://rollingstone.com/" TargetMode="External"/><Relationship Id="rId171" Type="http://schemas.openxmlformats.org/officeDocument/2006/relationships/hyperlink" Target="http://biblegateway.com/" TargetMode="External"/><Relationship Id="rId227" Type="http://schemas.openxmlformats.org/officeDocument/2006/relationships/hyperlink" Target="http://wunderground.com/" TargetMode="External"/><Relationship Id="rId269" Type="http://schemas.openxmlformats.org/officeDocument/2006/relationships/hyperlink" Target="http://femanin.com/" TargetMode="External"/><Relationship Id="rId434" Type="http://schemas.openxmlformats.org/officeDocument/2006/relationships/hyperlink" Target="http://findagrave.com/" TargetMode="External"/><Relationship Id="rId476" Type="http://schemas.openxmlformats.org/officeDocument/2006/relationships/hyperlink" Target="http://mail.yahoo.com/" TargetMode="External"/><Relationship Id="rId641" Type="http://schemas.openxmlformats.org/officeDocument/2006/relationships/hyperlink" Target="http://calculator.net/" TargetMode="External"/><Relationship Id="rId683" Type="http://schemas.openxmlformats.org/officeDocument/2006/relationships/hyperlink" Target="http://mapquest.com/" TargetMode="External"/><Relationship Id="rId33" Type="http://schemas.openxmlformats.org/officeDocument/2006/relationships/hyperlink" Target="http://ebay.com/" TargetMode="External"/><Relationship Id="rId129" Type="http://schemas.openxmlformats.org/officeDocument/2006/relationships/hyperlink" Target="http://forbes.com/" TargetMode="External"/><Relationship Id="rId280" Type="http://schemas.openxmlformats.org/officeDocument/2006/relationships/hyperlink" Target="http://yahoo.com/" TargetMode="External"/><Relationship Id="rId336" Type="http://schemas.openxmlformats.org/officeDocument/2006/relationships/hyperlink" Target="http://weather.com/" TargetMode="External"/><Relationship Id="rId501" Type="http://schemas.openxmlformats.org/officeDocument/2006/relationships/hyperlink" Target="http://doodle.com/" TargetMode="External"/><Relationship Id="rId543" Type="http://schemas.openxmlformats.org/officeDocument/2006/relationships/hyperlink" Target="http://nbcnews.com/" TargetMode="External"/><Relationship Id="rId75" Type="http://schemas.openxmlformats.org/officeDocument/2006/relationships/hyperlink" Target="http://biblegateway.com/" TargetMode="External"/><Relationship Id="rId140" Type="http://schemas.openxmlformats.org/officeDocument/2006/relationships/hyperlink" Target="http://mail.aol.com/" TargetMode="External"/><Relationship Id="rId182" Type="http://schemas.openxmlformats.org/officeDocument/2006/relationships/hyperlink" Target="http://mail.yahoo.com/" TargetMode="External"/><Relationship Id="rId378" Type="http://schemas.openxmlformats.org/officeDocument/2006/relationships/hyperlink" Target="http://topclassactions.com/" TargetMode="External"/><Relationship Id="rId403" Type="http://schemas.openxmlformats.org/officeDocument/2006/relationships/hyperlink" Target="http://historyallday.com/" TargetMode="External"/><Relationship Id="rId585" Type="http://schemas.openxmlformats.org/officeDocument/2006/relationships/hyperlink" Target="http://calculator.net/" TargetMode="External"/><Relationship Id="rId6" Type="http://schemas.openxmlformats.org/officeDocument/2006/relationships/hyperlink" Target="http://gamingbible.com/" TargetMode="External"/><Relationship Id="rId238" Type="http://schemas.openxmlformats.org/officeDocument/2006/relationships/hyperlink" Target="http://realtor.com/" TargetMode="External"/><Relationship Id="rId445" Type="http://schemas.openxmlformats.org/officeDocument/2006/relationships/hyperlink" Target="http://wikihow.com/" TargetMode="External"/><Relationship Id="rId487" Type="http://schemas.openxmlformats.org/officeDocument/2006/relationships/hyperlink" Target="http://fox59.com/" TargetMode="External"/><Relationship Id="rId610" Type="http://schemas.openxmlformats.org/officeDocument/2006/relationships/hyperlink" Target="http://scitechdaily.com/" TargetMode="External"/><Relationship Id="rId652" Type="http://schemas.openxmlformats.org/officeDocument/2006/relationships/hyperlink" Target="http://finance.yahoo.com/" TargetMode="External"/><Relationship Id="rId694" Type="http://schemas.openxmlformats.org/officeDocument/2006/relationships/hyperlink" Target="http://poshland.com/" TargetMode="External"/><Relationship Id="rId708" Type="http://schemas.openxmlformats.org/officeDocument/2006/relationships/hyperlink" Target="http://mail.yahoo.com/" TargetMode="External"/><Relationship Id="rId291" Type="http://schemas.openxmlformats.org/officeDocument/2006/relationships/hyperlink" Target="http://yahoo.com/" TargetMode="External"/><Relationship Id="rId305" Type="http://schemas.openxmlformats.org/officeDocument/2006/relationships/hyperlink" Target="http://fandom.com/" TargetMode="External"/><Relationship Id="rId347" Type="http://schemas.openxmlformats.org/officeDocument/2006/relationships/hyperlink" Target="http://fandomwire.com/" TargetMode="External"/><Relationship Id="rId512" Type="http://schemas.openxmlformats.org/officeDocument/2006/relationships/hyperlink" Target="http://w3schools.com/" TargetMode="External"/><Relationship Id="rId44" Type="http://schemas.openxmlformats.org/officeDocument/2006/relationships/hyperlink" Target="http://bbc.com/" TargetMode="External"/><Relationship Id="rId86" Type="http://schemas.openxmlformats.org/officeDocument/2006/relationships/hyperlink" Target="http://msn.com/" TargetMode="External"/><Relationship Id="rId151" Type="http://schemas.openxmlformats.org/officeDocument/2006/relationships/hyperlink" Target="http://accuweather.com/" TargetMode="External"/><Relationship Id="rId389" Type="http://schemas.openxmlformats.org/officeDocument/2006/relationships/hyperlink" Target="http://whatismyipaddress.com/" TargetMode="External"/><Relationship Id="rId554" Type="http://schemas.openxmlformats.org/officeDocument/2006/relationships/hyperlink" Target="http://outlook.live.com/" TargetMode="External"/><Relationship Id="rId596" Type="http://schemas.openxmlformats.org/officeDocument/2006/relationships/hyperlink" Target="http://whatismyipaddress.com/" TargetMode="External"/><Relationship Id="rId193" Type="http://schemas.openxmlformats.org/officeDocument/2006/relationships/hyperlink" Target="http://ebay.com/" TargetMode="External"/><Relationship Id="rId207" Type="http://schemas.openxmlformats.org/officeDocument/2006/relationships/hyperlink" Target="http://foxnews.com/" TargetMode="External"/><Relationship Id="rId249" Type="http://schemas.openxmlformats.org/officeDocument/2006/relationships/hyperlink" Target="http://dailymail.co.uk/news" TargetMode="External"/><Relationship Id="rId414" Type="http://schemas.openxmlformats.org/officeDocument/2006/relationships/hyperlink" Target="http://weather.com/" TargetMode="External"/><Relationship Id="rId456" Type="http://schemas.openxmlformats.org/officeDocument/2006/relationships/hyperlink" Target="http://mail.aol.com/" TargetMode="External"/><Relationship Id="rId498" Type="http://schemas.openxmlformats.org/officeDocument/2006/relationships/hyperlink" Target="http://accuweather.com/" TargetMode="External"/><Relationship Id="rId621" Type="http://schemas.openxmlformats.org/officeDocument/2006/relationships/hyperlink" Target="http://daily-choices.com/" TargetMode="External"/><Relationship Id="rId663" Type="http://schemas.openxmlformats.org/officeDocument/2006/relationships/hyperlink" Target="http://forbes.com/" TargetMode="External"/><Relationship Id="rId13" Type="http://schemas.openxmlformats.org/officeDocument/2006/relationships/hyperlink" Target="http://hindustantimes.com/" TargetMode="External"/><Relationship Id="rId109" Type="http://schemas.openxmlformats.org/officeDocument/2006/relationships/hyperlink" Target="http://screenrant.com/" TargetMode="External"/><Relationship Id="rId260" Type="http://schemas.openxmlformats.org/officeDocument/2006/relationships/hyperlink" Target="http://ebay.com/" TargetMode="External"/><Relationship Id="rId316" Type="http://schemas.openxmlformats.org/officeDocument/2006/relationships/hyperlink" Target="http://kbb.com/" TargetMode="External"/><Relationship Id="rId523" Type="http://schemas.openxmlformats.org/officeDocument/2006/relationships/hyperlink" Target="http://buzzfeed.com/" TargetMode="External"/><Relationship Id="rId719" Type="http://schemas.openxmlformats.org/officeDocument/2006/relationships/hyperlink" Target="http://foxnews.com/" TargetMode="External"/><Relationship Id="rId55" Type="http://schemas.openxmlformats.org/officeDocument/2006/relationships/hyperlink" Target="http://nypost.com/" TargetMode="External"/><Relationship Id="rId97" Type="http://schemas.openxmlformats.org/officeDocument/2006/relationships/hyperlink" Target="http://travelerdreams.com/" TargetMode="External"/><Relationship Id="rId120" Type="http://schemas.openxmlformats.org/officeDocument/2006/relationships/hyperlink" Target="http://merriam-webster.com/dictionary" TargetMode="External"/><Relationship Id="rId358" Type="http://schemas.openxmlformats.org/officeDocument/2006/relationships/hyperlink" Target="http://ebay.com/" TargetMode="External"/><Relationship Id="rId565" Type="http://schemas.openxmlformats.org/officeDocument/2006/relationships/hyperlink" Target="http://pandora.com/" TargetMode="External"/><Relationship Id="rId162" Type="http://schemas.openxmlformats.org/officeDocument/2006/relationships/hyperlink" Target="http://gamerant.com/" TargetMode="External"/><Relationship Id="rId218" Type="http://schemas.openxmlformats.org/officeDocument/2006/relationships/hyperlink" Target="http://biblegateway.com/" TargetMode="External"/><Relationship Id="rId425" Type="http://schemas.openxmlformats.org/officeDocument/2006/relationships/hyperlink" Target="http://cars.com/" TargetMode="External"/><Relationship Id="rId467" Type="http://schemas.openxmlformats.org/officeDocument/2006/relationships/hyperlink" Target="http://healthline.com/" TargetMode="External"/><Relationship Id="rId632" Type="http://schemas.openxmlformats.org/officeDocument/2006/relationships/hyperlink" Target="http://cbsnews.com/" TargetMode="External"/><Relationship Id="rId271" Type="http://schemas.openxmlformats.org/officeDocument/2006/relationships/hyperlink" Target="http://firstcoastnews.com/" TargetMode="External"/><Relationship Id="rId674" Type="http://schemas.openxmlformats.org/officeDocument/2006/relationships/hyperlink" Target="http://uscellular.com/" TargetMode="External"/><Relationship Id="rId24" Type="http://schemas.openxmlformats.org/officeDocument/2006/relationships/hyperlink" Target="http://doctoreport.com/" TargetMode="External"/><Relationship Id="rId66" Type="http://schemas.openxmlformats.org/officeDocument/2006/relationships/hyperlink" Target="http://timeanddate.com/" TargetMode="External"/><Relationship Id="rId131" Type="http://schemas.openxmlformats.org/officeDocument/2006/relationships/hyperlink" Target="http://weather.com/" TargetMode="External"/><Relationship Id="rId327" Type="http://schemas.openxmlformats.org/officeDocument/2006/relationships/hyperlink" Target="http://chocolatecoveredkatie.com/" TargetMode="External"/><Relationship Id="rId369" Type="http://schemas.openxmlformats.org/officeDocument/2006/relationships/hyperlink" Target="http://politico.com/" TargetMode="External"/><Relationship Id="rId534" Type="http://schemas.openxmlformats.org/officeDocument/2006/relationships/hyperlink" Target="http://ebay.com/" TargetMode="External"/><Relationship Id="rId576" Type="http://schemas.openxmlformats.org/officeDocument/2006/relationships/hyperlink" Target="http://forbes.com/" TargetMode="External"/><Relationship Id="rId173" Type="http://schemas.openxmlformats.org/officeDocument/2006/relationships/hyperlink" Target="http://the-sun.com/" TargetMode="External"/><Relationship Id="rId229" Type="http://schemas.openxmlformats.org/officeDocument/2006/relationships/hyperlink" Target="http://weather.com/" TargetMode="External"/><Relationship Id="rId380" Type="http://schemas.openxmlformats.org/officeDocument/2006/relationships/hyperlink" Target="http://insider.com/" TargetMode="External"/><Relationship Id="rId436" Type="http://schemas.openxmlformats.org/officeDocument/2006/relationships/hyperlink" Target="http://fandomwire.com/" TargetMode="External"/><Relationship Id="rId601" Type="http://schemas.openxmlformats.org/officeDocument/2006/relationships/hyperlink" Target="http://ign.com/" TargetMode="External"/><Relationship Id="rId643" Type="http://schemas.openxmlformats.org/officeDocument/2006/relationships/hyperlink" Target="http://mail.yahoo.com/" TargetMode="External"/><Relationship Id="rId240" Type="http://schemas.openxmlformats.org/officeDocument/2006/relationships/hyperlink" Target="http://weather.com/" TargetMode="External"/><Relationship Id="rId478" Type="http://schemas.openxmlformats.org/officeDocument/2006/relationships/hyperlink" Target="http://yourdailysportfix.com/" TargetMode="External"/><Relationship Id="rId685" Type="http://schemas.openxmlformats.org/officeDocument/2006/relationships/hyperlink" Target="http://biblegateway.com/" TargetMode="External"/><Relationship Id="rId35" Type="http://schemas.openxmlformats.org/officeDocument/2006/relationships/hyperlink" Target="http://poshland.com/" TargetMode="External"/><Relationship Id="rId77" Type="http://schemas.openxmlformats.org/officeDocument/2006/relationships/hyperlink" Target="http://people.com/" TargetMode="External"/><Relationship Id="rId100" Type="http://schemas.openxmlformats.org/officeDocument/2006/relationships/hyperlink" Target="http://cargurus.com/" TargetMode="External"/><Relationship Id="rId282" Type="http://schemas.openxmlformats.org/officeDocument/2006/relationships/hyperlink" Target="http://slickdeals.net/" TargetMode="External"/><Relationship Id="rId338" Type="http://schemas.openxmlformats.org/officeDocument/2006/relationships/hyperlink" Target="http://forbes.com/" TargetMode="External"/><Relationship Id="rId503" Type="http://schemas.openxmlformats.org/officeDocument/2006/relationships/hyperlink" Target="http://the-sun.com/" TargetMode="External"/><Relationship Id="rId545" Type="http://schemas.openxmlformats.org/officeDocument/2006/relationships/hyperlink" Target="http://usatoday.com/" TargetMode="External"/><Relationship Id="rId587" Type="http://schemas.openxmlformats.org/officeDocument/2006/relationships/hyperlink" Target="http://thesaurus.com/" TargetMode="External"/><Relationship Id="rId710" Type="http://schemas.openxmlformats.org/officeDocument/2006/relationships/hyperlink" Target="http://flightaware.com/" TargetMode="External"/><Relationship Id="rId8" Type="http://schemas.openxmlformats.org/officeDocument/2006/relationships/hyperlink" Target="http://findagrave.com/" TargetMode="External"/><Relationship Id="rId142" Type="http://schemas.openxmlformats.org/officeDocument/2006/relationships/hyperlink" Target="http://screenrant.com/" TargetMode="External"/><Relationship Id="rId184" Type="http://schemas.openxmlformats.org/officeDocument/2006/relationships/hyperlink" Target="http://ebay.com/" TargetMode="External"/><Relationship Id="rId391" Type="http://schemas.openxmlformats.org/officeDocument/2006/relationships/hyperlink" Target="http://marca.com/" TargetMode="External"/><Relationship Id="rId405" Type="http://schemas.openxmlformats.org/officeDocument/2006/relationships/hyperlink" Target="http://nytimes.com/" TargetMode="External"/><Relationship Id="rId447" Type="http://schemas.openxmlformats.org/officeDocument/2006/relationships/hyperlink" Target="http://news.yahoo.com/" TargetMode="External"/><Relationship Id="rId612" Type="http://schemas.openxmlformats.org/officeDocument/2006/relationships/hyperlink" Target="http://signin.ebay.com/" TargetMode="External"/><Relationship Id="rId251" Type="http://schemas.openxmlformats.org/officeDocument/2006/relationships/hyperlink" Target="http://mapquest.com/" TargetMode="External"/><Relationship Id="rId489" Type="http://schemas.openxmlformats.org/officeDocument/2006/relationships/hyperlink" Target="http://dailymail.co.uk/tvshowbiz" TargetMode="External"/><Relationship Id="rId654" Type="http://schemas.openxmlformats.org/officeDocument/2006/relationships/hyperlink" Target="http://ajc.com/" TargetMode="External"/><Relationship Id="rId696" Type="http://schemas.openxmlformats.org/officeDocument/2006/relationships/hyperlink" Target="http://msn.com/" TargetMode="External"/><Relationship Id="rId46" Type="http://schemas.openxmlformats.org/officeDocument/2006/relationships/hyperlink" Target="http://finance.yahoo.com/" TargetMode="External"/><Relationship Id="rId293" Type="http://schemas.openxmlformats.org/officeDocument/2006/relationships/hyperlink" Target="http://yourroyals.com/" TargetMode="External"/><Relationship Id="rId307" Type="http://schemas.openxmlformats.org/officeDocument/2006/relationships/hyperlink" Target="http://sciencesensei.com/" TargetMode="External"/><Relationship Id="rId349" Type="http://schemas.openxmlformats.org/officeDocument/2006/relationships/hyperlink" Target="http://ebay.com/" TargetMode="External"/><Relationship Id="rId514" Type="http://schemas.openxmlformats.org/officeDocument/2006/relationships/hyperlink" Target="http://aol.com/" TargetMode="External"/><Relationship Id="rId556" Type="http://schemas.openxmlformats.org/officeDocument/2006/relationships/hyperlink" Target="http://cars.com/" TargetMode="External"/><Relationship Id="rId721" Type="http://schemas.openxmlformats.org/officeDocument/2006/relationships/hyperlink" Target="http://cbsnews.com/" TargetMode="External"/><Relationship Id="rId88" Type="http://schemas.openxmlformats.org/officeDocument/2006/relationships/hyperlink" Target="http://whatismyipaddress.com/" TargetMode="External"/><Relationship Id="rId111" Type="http://schemas.openxmlformats.org/officeDocument/2006/relationships/hyperlink" Target="http://outlook.live.com/" TargetMode="External"/><Relationship Id="rId153" Type="http://schemas.openxmlformats.org/officeDocument/2006/relationships/hyperlink" Target="http://tripadvisor.com/" TargetMode="External"/><Relationship Id="rId195" Type="http://schemas.openxmlformats.org/officeDocument/2006/relationships/hyperlink" Target="http://jdpower.com/" TargetMode="External"/><Relationship Id="rId209" Type="http://schemas.openxmlformats.org/officeDocument/2006/relationships/hyperlink" Target="http://tasteofhome.com/" TargetMode="External"/><Relationship Id="rId360" Type="http://schemas.openxmlformats.org/officeDocument/2006/relationships/hyperlink" Target="http://usatoday.com/" TargetMode="External"/><Relationship Id="rId416" Type="http://schemas.openxmlformats.org/officeDocument/2006/relationships/hyperlink" Target="http://slickdeals.net/" TargetMode="External"/><Relationship Id="rId598" Type="http://schemas.openxmlformats.org/officeDocument/2006/relationships/hyperlink" Target="http://yahoo.com/" TargetMode="External"/><Relationship Id="rId220" Type="http://schemas.openxmlformats.org/officeDocument/2006/relationships/hyperlink" Target="http://biblestudytools.com/" TargetMode="External"/><Relationship Id="rId458" Type="http://schemas.openxmlformats.org/officeDocument/2006/relationships/hyperlink" Target="http://weather.com/" TargetMode="External"/><Relationship Id="rId623" Type="http://schemas.openxmlformats.org/officeDocument/2006/relationships/hyperlink" Target="http://weather.com/" TargetMode="External"/><Relationship Id="rId665" Type="http://schemas.openxmlformats.org/officeDocument/2006/relationships/hyperlink" Target="http://topclassactions.com/" TargetMode="External"/><Relationship Id="rId15" Type="http://schemas.openxmlformats.org/officeDocument/2006/relationships/hyperlink" Target="http://dailydot.com/" TargetMode="External"/><Relationship Id="rId57" Type="http://schemas.openxmlformats.org/officeDocument/2006/relationships/hyperlink" Target="http://outlook.live.com/" TargetMode="External"/><Relationship Id="rId262" Type="http://schemas.openxmlformats.org/officeDocument/2006/relationships/hyperlink" Target="http://miamiherald.com/" TargetMode="External"/><Relationship Id="rId318" Type="http://schemas.openxmlformats.org/officeDocument/2006/relationships/hyperlink" Target="http://ebay.com/" TargetMode="External"/><Relationship Id="rId525" Type="http://schemas.openxmlformats.org/officeDocument/2006/relationships/hyperlink" Target="http://weather.com/" TargetMode="External"/><Relationship Id="rId567" Type="http://schemas.openxmlformats.org/officeDocument/2006/relationships/hyperlink" Target="http://fandomwire.com/" TargetMode="External"/><Relationship Id="rId99" Type="http://schemas.openxmlformats.org/officeDocument/2006/relationships/hyperlink" Target="http://cars.com/" TargetMode="External"/><Relationship Id="rId122" Type="http://schemas.openxmlformats.org/officeDocument/2006/relationships/hyperlink" Target="http://ew.com/" TargetMode="External"/><Relationship Id="rId164" Type="http://schemas.openxmlformats.org/officeDocument/2006/relationships/hyperlink" Target="http://ebay.com/" TargetMode="External"/><Relationship Id="rId371" Type="http://schemas.openxmlformats.org/officeDocument/2006/relationships/hyperlink" Target="http://lensvid.com/" TargetMode="External"/><Relationship Id="rId427" Type="http://schemas.openxmlformats.org/officeDocument/2006/relationships/hyperlink" Target="http://weather.com/" TargetMode="External"/><Relationship Id="rId469" Type="http://schemas.openxmlformats.org/officeDocument/2006/relationships/hyperlink" Target="http://sallysbakingaddiction.com/" TargetMode="External"/><Relationship Id="rId634" Type="http://schemas.openxmlformats.org/officeDocument/2006/relationships/hyperlink" Target="http://nbcmiami.com/" TargetMode="External"/><Relationship Id="rId676" Type="http://schemas.openxmlformats.org/officeDocument/2006/relationships/hyperlink" Target="http://techradar.com/" TargetMode="External"/><Relationship Id="rId26" Type="http://schemas.openxmlformats.org/officeDocument/2006/relationships/hyperlink" Target="http://chicagotribune.com/" TargetMode="External"/><Relationship Id="rId231" Type="http://schemas.openxmlformats.org/officeDocument/2006/relationships/hyperlink" Target="http://microsoftcasualgames.com/" TargetMode="External"/><Relationship Id="rId273" Type="http://schemas.openxmlformats.org/officeDocument/2006/relationships/hyperlink" Target="http://dictionary.com/" TargetMode="External"/><Relationship Id="rId329" Type="http://schemas.openxmlformats.org/officeDocument/2006/relationships/hyperlink" Target="http://foxnews.com/" TargetMode="External"/><Relationship Id="rId480" Type="http://schemas.openxmlformats.org/officeDocument/2006/relationships/hyperlink" Target="http://geeksforgeeks.org/" TargetMode="External"/><Relationship Id="rId536" Type="http://schemas.openxmlformats.org/officeDocument/2006/relationships/hyperlink" Target="http://mobileposse.com/" TargetMode="External"/><Relationship Id="rId701" Type="http://schemas.openxmlformats.org/officeDocument/2006/relationships/hyperlink" Target="http://icy-veins.com/" TargetMode="External"/><Relationship Id="rId68" Type="http://schemas.openxmlformats.org/officeDocument/2006/relationships/hyperlink" Target="http://kbb.com/" TargetMode="External"/><Relationship Id="rId133" Type="http://schemas.openxmlformats.org/officeDocument/2006/relationships/hyperlink" Target="http://reference.com/" TargetMode="External"/><Relationship Id="rId175" Type="http://schemas.openxmlformats.org/officeDocument/2006/relationships/hyperlink" Target="http://ebay.com/" TargetMode="External"/><Relationship Id="rId340" Type="http://schemas.openxmlformats.org/officeDocument/2006/relationships/hyperlink" Target="http://my.yahoo.com/" TargetMode="External"/><Relationship Id="rId578" Type="http://schemas.openxmlformats.org/officeDocument/2006/relationships/hyperlink" Target="http://insidethemagic.net/" TargetMode="External"/><Relationship Id="rId200" Type="http://schemas.openxmlformats.org/officeDocument/2006/relationships/hyperlink" Target="http://mail.yahoo.com/" TargetMode="External"/><Relationship Id="rId382" Type="http://schemas.openxmlformats.org/officeDocument/2006/relationships/hyperlink" Target="http://biblegateway.com/" TargetMode="External"/><Relationship Id="rId438" Type="http://schemas.openxmlformats.org/officeDocument/2006/relationships/hyperlink" Target="http://upworthy.com/" TargetMode="External"/><Relationship Id="rId603" Type="http://schemas.openxmlformats.org/officeDocument/2006/relationships/hyperlink" Target="http://npr.org/" TargetMode="External"/><Relationship Id="rId645" Type="http://schemas.openxmlformats.org/officeDocument/2006/relationships/hyperlink" Target="http://ebay.com/" TargetMode="External"/><Relationship Id="rId687" Type="http://schemas.openxmlformats.org/officeDocument/2006/relationships/hyperlink" Target="http://cbsnews.com/" TargetMode="External"/><Relationship Id="rId242" Type="http://schemas.openxmlformats.org/officeDocument/2006/relationships/hyperlink" Target="http://realtor.com/" TargetMode="External"/><Relationship Id="rId284" Type="http://schemas.openxmlformats.org/officeDocument/2006/relationships/hyperlink" Target="http://signupgenius.com/" TargetMode="External"/><Relationship Id="rId491" Type="http://schemas.openxmlformats.org/officeDocument/2006/relationships/hyperlink" Target="http://iflscience.com/" TargetMode="External"/><Relationship Id="rId505" Type="http://schemas.openxmlformats.org/officeDocument/2006/relationships/hyperlink" Target="http://zillow.com/" TargetMode="External"/><Relationship Id="rId712" Type="http://schemas.openxmlformats.org/officeDocument/2006/relationships/hyperlink" Target="http://outlook.live.com/" TargetMode="External"/><Relationship Id="rId37" Type="http://schemas.openxmlformats.org/officeDocument/2006/relationships/hyperlink" Target="http://homeaddict.io/" TargetMode="External"/><Relationship Id="rId79" Type="http://schemas.openxmlformats.org/officeDocument/2006/relationships/hyperlink" Target="http://realtor.com/" TargetMode="External"/><Relationship Id="rId102" Type="http://schemas.openxmlformats.org/officeDocument/2006/relationships/hyperlink" Target="http://m.timesofindia.com/" TargetMode="External"/><Relationship Id="rId144" Type="http://schemas.openxmlformats.org/officeDocument/2006/relationships/hyperlink" Target="http://weather.com/" TargetMode="External"/><Relationship Id="rId547" Type="http://schemas.openxmlformats.org/officeDocument/2006/relationships/hyperlink" Target="http://drugs.com/" TargetMode="External"/><Relationship Id="rId589" Type="http://schemas.openxmlformats.org/officeDocument/2006/relationships/hyperlink" Target="http://yellowpages.com/" TargetMode="External"/><Relationship Id="rId90" Type="http://schemas.openxmlformats.org/officeDocument/2006/relationships/hyperlink" Target="http://mail.yahoo.com/" TargetMode="External"/><Relationship Id="rId186" Type="http://schemas.openxmlformats.org/officeDocument/2006/relationships/hyperlink" Target="http://mail.yahoo.com/" TargetMode="External"/><Relationship Id="rId351" Type="http://schemas.openxmlformats.org/officeDocument/2006/relationships/hyperlink" Target="http://calculator.net/" TargetMode="External"/><Relationship Id="rId393" Type="http://schemas.openxmlformats.org/officeDocument/2006/relationships/hyperlink" Target="http://findagrave.com/" TargetMode="External"/><Relationship Id="rId407" Type="http://schemas.openxmlformats.org/officeDocument/2006/relationships/hyperlink" Target="http://weather.com/" TargetMode="External"/><Relationship Id="rId449" Type="http://schemas.openxmlformats.org/officeDocument/2006/relationships/hyperlink" Target="http://todaysnyc.com/" TargetMode="External"/><Relationship Id="rId614" Type="http://schemas.openxmlformats.org/officeDocument/2006/relationships/hyperlink" Target="http://realtor.com/" TargetMode="External"/><Relationship Id="rId656" Type="http://schemas.openxmlformats.org/officeDocument/2006/relationships/hyperlink" Target="http://realtor.com/" TargetMode="External"/><Relationship Id="rId211" Type="http://schemas.openxmlformats.org/officeDocument/2006/relationships/hyperlink" Target="http://nypost.com/" TargetMode="External"/><Relationship Id="rId253" Type="http://schemas.openxmlformats.org/officeDocument/2006/relationships/hyperlink" Target="http://dailymail.co.uk/news" TargetMode="External"/><Relationship Id="rId295" Type="http://schemas.openxmlformats.org/officeDocument/2006/relationships/hyperlink" Target="http://signupgenius.com/" TargetMode="External"/><Relationship Id="rId309" Type="http://schemas.openxmlformats.org/officeDocument/2006/relationships/hyperlink" Target="http://signupgenius.com/" TargetMode="External"/><Relationship Id="rId460" Type="http://schemas.openxmlformats.org/officeDocument/2006/relationships/hyperlink" Target="http://mail.yahoo.com/" TargetMode="External"/><Relationship Id="rId516" Type="http://schemas.openxmlformats.org/officeDocument/2006/relationships/hyperlink" Target="http://yahoo.com/" TargetMode="External"/><Relationship Id="rId698" Type="http://schemas.openxmlformats.org/officeDocument/2006/relationships/hyperlink" Target="http://biblegateway.com/" TargetMode="External"/><Relationship Id="rId48" Type="http://schemas.openxmlformats.org/officeDocument/2006/relationships/hyperlink" Target="http://gamespot.com/" TargetMode="External"/><Relationship Id="rId113" Type="http://schemas.openxmlformats.org/officeDocument/2006/relationships/hyperlink" Target="http://dailymail.co.uk/tvshowbiz" TargetMode="External"/><Relationship Id="rId320" Type="http://schemas.openxmlformats.org/officeDocument/2006/relationships/hyperlink" Target="http://yahoo.com/" TargetMode="External"/><Relationship Id="rId558" Type="http://schemas.openxmlformats.org/officeDocument/2006/relationships/hyperlink" Target="http://zone.msn.com/" TargetMode="External"/><Relationship Id="rId723" Type="http://schemas.openxmlformats.org/officeDocument/2006/relationships/hyperlink" Target="http://weather.com/" TargetMode="External"/><Relationship Id="rId155" Type="http://schemas.openxmlformats.org/officeDocument/2006/relationships/hyperlink" Target="http://weather.com/" TargetMode="External"/><Relationship Id="rId197" Type="http://schemas.openxmlformats.org/officeDocument/2006/relationships/hyperlink" Target="http://forbes.com/" TargetMode="External"/><Relationship Id="rId362" Type="http://schemas.openxmlformats.org/officeDocument/2006/relationships/hyperlink" Target="http://pandora.com/" TargetMode="External"/><Relationship Id="rId418" Type="http://schemas.openxmlformats.org/officeDocument/2006/relationships/hyperlink" Target="http://bleacherbreaker.com/" TargetMode="External"/><Relationship Id="rId625" Type="http://schemas.openxmlformats.org/officeDocument/2006/relationships/hyperlink" Target="http://realtor.com/" TargetMode="External"/><Relationship Id="rId222" Type="http://schemas.openxmlformats.org/officeDocument/2006/relationships/hyperlink" Target="http://yahoo.com/" TargetMode="External"/><Relationship Id="rId264" Type="http://schemas.openxmlformats.org/officeDocument/2006/relationships/hyperlink" Target="http://yahoo.com/" TargetMode="External"/><Relationship Id="rId471" Type="http://schemas.openxmlformats.org/officeDocument/2006/relationships/hyperlink" Target="http://finance.yahoo.com/" TargetMode="External"/><Relationship Id="rId667" Type="http://schemas.openxmlformats.org/officeDocument/2006/relationships/hyperlink" Target="http://mlb.com/" TargetMode="External"/><Relationship Id="rId17" Type="http://schemas.openxmlformats.org/officeDocument/2006/relationships/hyperlink" Target="http://greedyfinance.com/" TargetMode="External"/><Relationship Id="rId59" Type="http://schemas.openxmlformats.org/officeDocument/2006/relationships/hyperlink" Target="http://yahoo.com/" TargetMode="External"/><Relationship Id="rId124" Type="http://schemas.openxmlformats.org/officeDocument/2006/relationships/hyperlink" Target="http://zillow.com/" TargetMode="External"/><Relationship Id="rId527" Type="http://schemas.openxmlformats.org/officeDocument/2006/relationships/hyperlink" Target="http://weather.com/" TargetMode="External"/><Relationship Id="rId569" Type="http://schemas.openxmlformats.org/officeDocument/2006/relationships/hyperlink" Target="http://accuweather.com/" TargetMode="External"/><Relationship Id="rId70" Type="http://schemas.openxmlformats.org/officeDocument/2006/relationships/hyperlink" Target="http://weather.com/" TargetMode="External"/><Relationship Id="rId166" Type="http://schemas.openxmlformats.org/officeDocument/2006/relationships/hyperlink" Target="http://usnews.com/" TargetMode="External"/><Relationship Id="rId331" Type="http://schemas.openxmlformats.org/officeDocument/2006/relationships/hyperlink" Target="http://cargurus.com/" TargetMode="External"/><Relationship Id="rId373" Type="http://schemas.openxmlformats.org/officeDocument/2006/relationships/hyperlink" Target="http://bbc.com/" TargetMode="External"/><Relationship Id="rId429" Type="http://schemas.openxmlformats.org/officeDocument/2006/relationships/hyperlink" Target="http://realtor.com/" TargetMode="External"/><Relationship Id="rId580" Type="http://schemas.openxmlformats.org/officeDocument/2006/relationships/hyperlink" Target="http://factinate.com/" TargetMode="External"/><Relationship Id="rId636" Type="http://schemas.openxmlformats.org/officeDocument/2006/relationships/hyperlink" Target="http://ajc.com/" TargetMode="External"/><Relationship Id="rId1" Type="http://schemas.openxmlformats.org/officeDocument/2006/relationships/hyperlink" Target="http://cars.com/" TargetMode="External"/><Relationship Id="rId233" Type="http://schemas.openxmlformats.org/officeDocument/2006/relationships/hyperlink" Target="http://outlook.live.com/" TargetMode="External"/><Relationship Id="rId440" Type="http://schemas.openxmlformats.org/officeDocument/2006/relationships/hyperlink" Target="http://accuweather.com/" TargetMode="External"/><Relationship Id="rId678" Type="http://schemas.openxmlformats.org/officeDocument/2006/relationships/hyperlink" Target="http://wunderground.com/" TargetMode="External"/><Relationship Id="rId28" Type="http://schemas.openxmlformats.org/officeDocument/2006/relationships/hyperlink" Target="http://realtor.com/" TargetMode="External"/><Relationship Id="rId275" Type="http://schemas.openxmlformats.org/officeDocument/2006/relationships/hyperlink" Target="http://apnews.com/" TargetMode="External"/><Relationship Id="rId300" Type="http://schemas.openxmlformats.org/officeDocument/2006/relationships/hyperlink" Target="http://reuters.com/" TargetMode="External"/><Relationship Id="rId482" Type="http://schemas.openxmlformats.org/officeDocument/2006/relationships/hyperlink" Target="http://people.com/" TargetMode="External"/><Relationship Id="rId538" Type="http://schemas.openxmlformats.org/officeDocument/2006/relationships/hyperlink" Target="http://historycollection.com/" TargetMode="External"/><Relationship Id="rId703" Type="http://schemas.openxmlformats.org/officeDocument/2006/relationships/hyperlink" Target="http://baseball-reference.com/" TargetMode="External"/><Relationship Id="rId81" Type="http://schemas.openxmlformats.org/officeDocument/2006/relationships/hyperlink" Target="http://autotrader.com/" TargetMode="External"/><Relationship Id="rId135" Type="http://schemas.openxmlformats.org/officeDocument/2006/relationships/hyperlink" Target="http://biblegateway.com/" TargetMode="External"/><Relationship Id="rId177" Type="http://schemas.openxmlformats.org/officeDocument/2006/relationships/hyperlink" Target="http://houseplans.net/" TargetMode="External"/><Relationship Id="rId342" Type="http://schemas.openxmlformats.org/officeDocument/2006/relationships/hyperlink" Target="http://finance.yahoo.com/" TargetMode="External"/><Relationship Id="rId384" Type="http://schemas.openxmlformats.org/officeDocument/2006/relationships/hyperlink" Target="http://mail.yahoo.com/" TargetMode="External"/><Relationship Id="rId591" Type="http://schemas.openxmlformats.org/officeDocument/2006/relationships/hyperlink" Target="http://yahoo.com/" TargetMode="External"/><Relationship Id="rId605" Type="http://schemas.openxmlformats.org/officeDocument/2006/relationships/hyperlink" Target="http://finance.yahoo.com/" TargetMode="External"/><Relationship Id="rId202" Type="http://schemas.openxmlformats.org/officeDocument/2006/relationships/hyperlink" Target="http://realtor.com/" TargetMode="External"/><Relationship Id="rId244" Type="http://schemas.openxmlformats.org/officeDocument/2006/relationships/hyperlink" Target="http://foxnews.com/" TargetMode="External"/><Relationship Id="rId647" Type="http://schemas.openxmlformats.org/officeDocument/2006/relationships/hyperlink" Target="http://yahoo.com/" TargetMode="External"/><Relationship Id="rId689" Type="http://schemas.openxmlformats.org/officeDocument/2006/relationships/hyperlink" Target="http://cbsnews.com/" TargetMode="External"/><Relationship Id="rId39" Type="http://schemas.openxmlformats.org/officeDocument/2006/relationships/hyperlink" Target="http://ebay.com/" TargetMode="External"/><Relationship Id="rId286" Type="http://schemas.openxmlformats.org/officeDocument/2006/relationships/hyperlink" Target="http://weather.com/" TargetMode="External"/><Relationship Id="rId451" Type="http://schemas.openxmlformats.org/officeDocument/2006/relationships/hyperlink" Target="http://mail.aol.com/" TargetMode="External"/><Relationship Id="rId493" Type="http://schemas.openxmlformats.org/officeDocument/2006/relationships/hyperlink" Target="http://activebeat.com/" TargetMode="External"/><Relationship Id="rId507" Type="http://schemas.openxmlformats.org/officeDocument/2006/relationships/hyperlink" Target="http://webmd.com/" TargetMode="External"/><Relationship Id="rId549" Type="http://schemas.openxmlformats.org/officeDocument/2006/relationships/hyperlink" Target="http://realtor.com/" TargetMode="External"/><Relationship Id="rId714" Type="http://schemas.openxmlformats.org/officeDocument/2006/relationships/hyperlink" Target="http://insider.com/" TargetMode="External"/><Relationship Id="rId50" Type="http://schemas.openxmlformats.org/officeDocument/2006/relationships/hyperlink" Target="http://ebay.com/" TargetMode="External"/><Relationship Id="rId104" Type="http://schemas.openxmlformats.org/officeDocument/2006/relationships/hyperlink" Target="http://weather.com/" TargetMode="External"/><Relationship Id="rId146" Type="http://schemas.openxmlformats.org/officeDocument/2006/relationships/hyperlink" Target="http://omnicalculator.com/" TargetMode="External"/><Relationship Id="rId188" Type="http://schemas.openxmlformats.org/officeDocument/2006/relationships/hyperlink" Target="http://taboolanews.com/" TargetMode="External"/><Relationship Id="rId311" Type="http://schemas.openxmlformats.org/officeDocument/2006/relationships/hyperlink" Target="http://newsmemory.com/" TargetMode="External"/><Relationship Id="rId353" Type="http://schemas.openxmlformats.org/officeDocument/2006/relationships/hyperlink" Target="http://cbsnews.com/" TargetMode="External"/><Relationship Id="rId395" Type="http://schemas.openxmlformats.org/officeDocument/2006/relationships/hyperlink" Target="http://omnicalculator.com/" TargetMode="External"/><Relationship Id="rId409" Type="http://schemas.openxmlformats.org/officeDocument/2006/relationships/hyperlink" Target="http://the-sun.com/" TargetMode="External"/><Relationship Id="rId560" Type="http://schemas.openxmlformats.org/officeDocument/2006/relationships/hyperlink" Target="http://realtor.com/" TargetMode="External"/><Relationship Id="rId92" Type="http://schemas.openxmlformats.org/officeDocument/2006/relationships/hyperlink" Target="http://ebay.com/" TargetMode="External"/><Relationship Id="rId213" Type="http://schemas.openxmlformats.org/officeDocument/2006/relationships/hyperlink" Target="http://buzzfeed.com/" TargetMode="External"/><Relationship Id="rId420" Type="http://schemas.openxmlformats.org/officeDocument/2006/relationships/hyperlink" Target="http://boattrader.com/" TargetMode="External"/><Relationship Id="rId616" Type="http://schemas.openxmlformats.org/officeDocument/2006/relationships/hyperlink" Target="http://usatoday.com/" TargetMode="External"/><Relationship Id="rId658" Type="http://schemas.openxmlformats.org/officeDocument/2006/relationships/hyperlink" Target="http://tomsguide.com/" TargetMode="External"/><Relationship Id="rId255" Type="http://schemas.openxmlformats.org/officeDocument/2006/relationships/hyperlink" Target="http://biblegateway.com/" TargetMode="External"/><Relationship Id="rId297" Type="http://schemas.openxmlformats.org/officeDocument/2006/relationships/hyperlink" Target="http://drugs.com/" TargetMode="External"/><Relationship Id="rId462" Type="http://schemas.openxmlformats.org/officeDocument/2006/relationships/hyperlink" Target="http://essentiallysports.com/" TargetMode="External"/><Relationship Id="rId518" Type="http://schemas.openxmlformats.org/officeDocument/2006/relationships/hyperlink" Target="http://weather.com/" TargetMode="External"/><Relationship Id="rId725" Type="http://schemas.openxmlformats.org/officeDocument/2006/relationships/vmlDrawing" Target="../drawings/vmlDrawing1.vml"/><Relationship Id="rId115" Type="http://schemas.openxmlformats.org/officeDocument/2006/relationships/hyperlink" Target="http://businessinsider.com/" TargetMode="External"/><Relationship Id="rId157" Type="http://schemas.openxmlformats.org/officeDocument/2006/relationships/hyperlink" Target="http://yellowpages.com/" TargetMode="External"/><Relationship Id="rId322" Type="http://schemas.openxmlformats.org/officeDocument/2006/relationships/hyperlink" Target="http://cars.com/" TargetMode="External"/><Relationship Id="rId364" Type="http://schemas.openxmlformats.org/officeDocument/2006/relationships/hyperlink" Target="http://billboard.com/" TargetMode="External"/><Relationship Id="rId61" Type="http://schemas.openxmlformats.org/officeDocument/2006/relationships/hyperlink" Target="http://funnyand.com/" TargetMode="External"/><Relationship Id="rId199" Type="http://schemas.openxmlformats.org/officeDocument/2006/relationships/hyperlink" Target="http://att.yahoo.com/" TargetMode="External"/><Relationship Id="rId571" Type="http://schemas.openxmlformats.org/officeDocument/2006/relationships/hyperlink" Target="http://fortune.com/" TargetMode="External"/><Relationship Id="rId627" Type="http://schemas.openxmlformats.org/officeDocument/2006/relationships/hyperlink" Target="http://mail.yahoo.com/" TargetMode="External"/><Relationship Id="rId669" Type="http://schemas.openxmlformats.org/officeDocument/2006/relationships/hyperlink" Target="http://outlook.live.com/" TargetMode="External"/><Relationship Id="rId19" Type="http://schemas.openxmlformats.org/officeDocument/2006/relationships/hyperlink" Target="http://tomsguide.com/" TargetMode="External"/><Relationship Id="rId224" Type="http://schemas.openxmlformats.org/officeDocument/2006/relationships/hyperlink" Target="http://zillow.com/" TargetMode="External"/><Relationship Id="rId266" Type="http://schemas.openxmlformats.org/officeDocument/2006/relationships/hyperlink" Target="http://cars.com/" TargetMode="External"/><Relationship Id="rId431" Type="http://schemas.openxmlformats.org/officeDocument/2006/relationships/hyperlink" Target="http://fandom.com/" TargetMode="External"/><Relationship Id="rId473" Type="http://schemas.openxmlformats.org/officeDocument/2006/relationships/hyperlink" Target="http://cnet.com/" TargetMode="External"/><Relationship Id="rId529" Type="http://schemas.openxmlformats.org/officeDocument/2006/relationships/hyperlink" Target="http://ranker.com/" TargetMode="External"/><Relationship Id="rId680" Type="http://schemas.openxmlformats.org/officeDocument/2006/relationships/hyperlink" Target="http://sports.yahoo.com/" TargetMode="External"/><Relationship Id="rId30" Type="http://schemas.openxmlformats.org/officeDocument/2006/relationships/hyperlink" Target="http://news.yahoo.com/" TargetMode="External"/><Relationship Id="rId126" Type="http://schemas.openxmlformats.org/officeDocument/2006/relationships/hyperlink" Target="http://mail.aol.com/" TargetMode="External"/><Relationship Id="rId168" Type="http://schemas.openxmlformats.org/officeDocument/2006/relationships/hyperlink" Target="http://flightaware.com/" TargetMode="External"/><Relationship Id="rId333" Type="http://schemas.openxmlformats.org/officeDocument/2006/relationships/hyperlink" Target="http://slickdeals.net/" TargetMode="External"/><Relationship Id="rId540" Type="http://schemas.openxmlformats.org/officeDocument/2006/relationships/hyperlink" Target="http://mail.aol.com/" TargetMode="External"/><Relationship Id="rId72" Type="http://schemas.openxmlformats.org/officeDocument/2006/relationships/hyperlink" Target="http://mail.aol.com/" TargetMode="External"/><Relationship Id="rId375" Type="http://schemas.openxmlformats.org/officeDocument/2006/relationships/hyperlink" Target="http://abcnews.go.com/" TargetMode="External"/><Relationship Id="rId582" Type="http://schemas.openxmlformats.org/officeDocument/2006/relationships/hyperlink" Target="http://thesaltymarshmallow.com/" TargetMode="External"/><Relationship Id="rId638" Type="http://schemas.openxmlformats.org/officeDocument/2006/relationships/hyperlink" Target="http://ebay.com/" TargetMode="External"/><Relationship Id="rId3" Type="http://schemas.openxmlformats.org/officeDocument/2006/relationships/hyperlink" Target="http://forbes.com/" TargetMode="External"/><Relationship Id="rId235" Type="http://schemas.openxmlformats.org/officeDocument/2006/relationships/hyperlink" Target="http://classmates.com/" TargetMode="External"/><Relationship Id="rId277" Type="http://schemas.openxmlformats.org/officeDocument/2006/relationships/hyperlink" Target="http://mlb.com/" TargetMode="External"/><Relationship Id="rId400" Type="http://schemas.openxmlformats.org/officeDocument/2006/relationships/hyperlink" Target="http://msn.com/" TargetMode="External"/><Relationship Id="rId442" Type="http://schemas.openxmlformats.org/officeDocument/2006/relationships/hyperlink" Target="http://heraldweekly.com/" TargetMode="External"/><Relationship Id="rId484" Type="http://schemas.openxmlformats.org/officeDocument/2006/relationships/hyperlink" Target="http://realtor.com/" TargetMode="External"/><Relationship Id="rId705" Type="http://schemas.openxmlformats.org/officeDocument/2006/relationships/hyperlink" Target="http://yahoo.com/" TargetMode="External"/><Relationship Id="rId137" Type="http://schemas.openxmlformats.org/officeDocument/2006/relationships/hyperlink" Target="http://slickdeals.net/" TargetMode="External"/><Relationship Id="rId302" Type="http://schemas.openxmlformats.org/officeDocument/2006/relationships/hyperlink" Target="http://boattrader.com/" TargetMode="External"/><Relationship Id="rId344" Type="http://schemas.openxmlformats.org/officeDocument/2006/relationships/hyperlink" Target="http://wikihow.com/" TargetMode="External"/><Relationship Id="rId691" Type="http://schemas.openxmlformats.org/officeDocument/2006/relationships/hyperlink" Target="http://medical-news.org/" TargetMode="External"/><Relationship Id="rId41" Type="http://schemas.openxmlformats.org/officeDocument/2006/relationships/hyperlink" Target="http://zillow.com/" TargetMode="External"/><Relationship Id="rId83" Type="http://schemas.openxmlformats.org/officeDocument/2006/relationships/hyperlink" Target="http://wizofawes.com/" TargetMode="External"/><Relationship Id="rId179" Type="http://schemas.openxmlformats.org/officeDocument/2006/relationships/hyperlink" Target="http://nypost.com/" TargetMode="External"/><Relationship Id="rId386" Type="http://schemas.openxmlformats.org/officeDocument/2006/relationships/hyperlink" Target="http://news.yahoo.com/" TargetMode="External"/><Relationship Id="rId551" Type="http://schemas.openxmlformats.org/officeDocument/2006/relationships/hyperlink" Target="http://msn.com/" TargetMode="External"/><Relationship Id="rId593" Type="http://schemas.openxmlformats.org/officeDocument/2006/relationships/hyperlink" Target="http://msn.com/" TargetMode="External"/><Relationship Id="rId607" Type="http://schemas.openxmlformats.org/officeDocument/2006/relationships/hyperlink" Target="http://msn.com/" TargetMode="External"/><Relationship Id="rId649" Type="http://schemas.openxmlformats.org/officeDocument/2006/relationships/hyperlink" Target="http://baseball.fantasysports.yahoo.com/" TargetMode="External"/><Relationship Id="rId190" Type="http://schemas.openxmlformats.org/officeDocument/2006/relationships/hyperlink" Target="http://yahoo.com/" TargetMode="External"/><Relationship Id="rId204" Type="http://schemas.openxmlformats.org/officeDocument/2006/relationships/hyperlink" Target="http://ebay.com/" TargetMode="External"/><Relationship Id="rId246" Type="http://schemas.openxmlformats.org/officeDocument/2006/relationships/hyperlink" Target="http://msn.com/" TargetMode="External"/><Relationship Id="rId288" Type="http://schemas.openxmlformats.org/officeDocument/2006/relationships/hyperlink" Target="http://ebay.com/" TargetMode="External"/><Relationship Id="rId411" Type="http://schemas.openxmlformats.org/officeDocument/2006/relationships/hyperlink" Target="http://cnn.com/" TargetMode="External"/><Relationship Id="rId453" Type="http://schemas.openxmlformats.org/officeDocument/2006/relationships/hyperlink" Target="http://weather.com/" TargetMode="External"/><Relationship Id="rId509" Type="http://schemas.openxmlformats.org/officeDocument/2006/relationships/hyperlink" Target="http://cnbc.com/" TargetMode="External"/><Relationship Id="rId660" Type="http://schemas.openxmlformats.org/officeDocument/2006/relationships/hyperlink" Target="http://nbcnews.com/" TargetMode="External"/><Relationship Id="rId106" Type="http://schemas.openxmlformats.org/officeDocument/2006/relationships/hyperlink" Target="http://factable.com/" TargetMode="External"/><Relationship Id="rId313" Type="http://schemas.openxmlformats.org/officeDocument/2006/relationships/hyperlink" Target="http://dinneratthezoo.com/" TargetMode="External"/><Relationship Id="rId495" Type="http://schemas.openxmlformats.org/officeDocument/2006/relationships/hyperlink" Target="http://evite.com/" TargetMode="External"/><Relationship Id="rId716" Type="http://schemas.openxmlformats.org/officeDocument/2006/relationships/hyperlink" Target="http://weather.com/" TargetMode="External"/><Relationship Id="rId10" Type="http://schemas.openxmlformats.org/officeDocument/2006/relationships/hyperlink" Target="http://dotesports.com/" TargetMode="External"/><Relationship Id="rId52" Type="http://schemas.openxmlformats.org/officeDocument/2006/relationships/hyperlink" Target="http://lotterypost.com/" TargetMode="External"/><Relationship Id="rId94" Type="http://schemas.openxmlformats.org/officeDocument/2006/relationships/hyperlink" Target="http://realtor.com/" TargetMode="External"/><Relationship Id="rId148" Type="http://schemas.openxmlformats.org/officeDocument/2006/relationships/hyperlink" Target="http://dmv.org/" TargetMode="External"/><Relationship Id="rId355" Type="http://schemas.openxmlformats.org/officeDocument/2006/relationships/hyperlink" Target="http://kbb.com/" TargetMode="External"/><Relationship Id="rId397" Type="http://schemas.openxmlformats.org/officeDocument/2006/relationships/hyperlink" Target="http://msn.com/" TargetMode="External"/><Relationship Id="rId520" Type="http://schemas.openxmlformats.org/officeDocument/2006/relationships/hyperlink" Target="http://people.com/" TargetMode="External"/><Relationship Id="rId562" Type="http://schemas.openxmlformats.org/officeDocument/2006/relationships/hyperlink" Target="http://my.yahoo.com/" TargetMode="External"/><Relationship Id="rId618" Type="http://schemas.openxmlformats.org/officeDocument/2006/relationships/hyperlink" Target="http://finance.yahoo.com/" TargetMode="External"/><Relationship Id="rId215" Type="http://schemas.openxmlformats.org/officeDocument/2006/relationships/hyperlink" Target="http://mail.aol.com/" TargetMode="External"/><Relationship Id="rId257" Type="http://schemas.openxmlformats.org/officeDocument/2006/relationships/hyperlink" Target="http://yahoo.com/" TargetMode="External"/><Relationship Id="rId422" Type="http://schemas.openxmlformats.org/officeDocument/2006/relationships/hyperlink" Target="http://drugs.com/" TargetMode="External"/><Relationship Id="rId464" Type="http://schemas.openxmlformats.org/officeDocument/2006/relationships/hyperlink" Target="http://mail.aol.com/" TargetMode="External"/><Relationship Id="rId299" Type="http://schemas.openxmlformats.org/officeDocument/2006/relationships/hyperlink" Target="http://newsmemory.com/" TargetMode="External"/><Relationship Id="rId63" Type="http://schemas.openxmlformats.org/officeDocument/2006/relationships/hyperlink" Target="http://accuweather.com/" TargetMode="External"/><Relationship Id="rId159" Type="http://schemas.openxmlformats.org/officeDocument/2006/relationships/hyperlink" Target="http://miamiherald.com/" TargetMode="External"/><Relationship Id="rId366" Type="http://schemas.openxmlformats.org/officeDocument/2006/relationships/hyperlink" Target="http://signupgenius.com/" TargetMode="External"/><Relationship Id="rId573" Type="http://schemas.openxmlformats.org/officeDocument/2006/relationships/hyperlink" Target="http://msn.com/" TargetMode="External"/><Relationship Id="rId226" Type="http://schemas.openxmlformats.org/officeDocument/2006/relationships/hyperlink" Target="http://ebay.com/" TargetMode="External"/><Relationship Id="rId433" Type="http://schemas.openxmlformats.org/officeDocument/2006/relationships/hyperlink" Target="http://mail.yahoo.com/" TargetMode="External"/><Relationship Id="rId640" Type="http://schemas.openxmlformats.org/officeDocument/2006/relationships/hyperlink" Target="http://pandora.com/" TargetMode="External"/><Relationship Id="rId74" Type="http://schemas.openxmlformats.org/officeDocument/2006/relationships/hyperlink" Target="http://mail.aol.com/" TargetMode="External"/><Relationship Id="rId377" Type="http://schemas.openxmlformats.org/officeDocument/2006/relationships/hyperlink" Target="http://autotrader.com/" TargetMode="External"/><Relationship Id="rId500" Type="http://schemas.openxmlformats.org/officeDocument/2006/relationships/hyperlink" Target="http://ajc.com/" TargetMode="External"/><Relationship Id="rId584" Type="http://schemas.openxmlformats.org/officeDocument/2006/relationships/hyperlink" Target="http://weather.com/" TargetMode="External"/><Relationship Id="rId5" Type="http://schemas.openxmlformats.org/officeDocument/2006/relationships/hyperlink" Target="http://mail.aol.com/" TargetMode="External"/><Relationship Id="rId237" Type="http://schemas.openxmlformats.org/officeDocument/2006/relationships/hyperlink" Target="http://finance.yahoo.com/" TargetMode="External"/><Relationship Id="rId444" Type="http://schemas.openxmlformats.org/officeDocument/2006/relationships/hyperlink" Target="http://investopedia.com/" TargetMode="External"/><Relationship Id="rId651" Type="http://schemas.openxmlformats.org/officeDocument/2006/relationships/hyperlink" Target="http://kiplinger.com/" TargetMode="External"/><Relationship Id="rId290" Type="http://schemas.openxmlformats.org/officeDocument/2006/relationships/hyperlink" Target="http://biblegateway.com/" TargetMode="External"/><Relationship Id="rId304" Type="http://schemas.openxmlformats.org/officeDocument/2006/relationships/hyperlink" Target="http://yahoo.com/" TargetMode="External"/><Relationship Id="rId388" Type="http://schemas.openxmlformats.org/officeDocument/2006/relationships/hyperlink" Target="http://ranker.com/" TargetMode="External"/><Relationship Id="rId511" Type="http://schemas.openxmlformats.org/officeDocument/2006/relationships/hyperlink" Target="http://finviz.com/" TargetMode="External"/><Relationship Id="rId609" Type="http://schemas.openxmlformats.org/officeDocument/2006/relationships/hyperlink" Target="http://cheapoair.com/" TargetMode="External"/><Relationship Id="rId85" Type="http://schemas.openxmlformats.org/officeDocument/2006/relationships/hyperlink" Target="http://investopedia.com/" TargetMode="External"/><Relationship Id="rId150" Type="http://schemas.openxmlformats.org/officeDocument/2006/relationships/hyperlink" Target="http://bridesblush.com/" TargetMode="External"/><Relationship Id="rId595" Type="http://schemas.openxmlformats.org/officeDocument/2006/relationships/hyperlink" Target="http://calculator.net/" TargetMode="External"/><Relationship Id="rId248" Type="http://schemas.openxmlformats.org/officeDocument/2006/relationships/hyperlink" Target="http://activebeat.com/" TargetMode="External"/><Relationship Id="rId455" Type="http://schemas.openxmlformats.org/officeDocument/2006/relationships/hyperlink" Target="http://hindustantimes.com/" TargetMode="External"/><Relationship Id="rId662" Type="http://schemas.openxmlformats.org/officeDocument/2006/relationships/hyperlink" Target="http://weather.com/" TargetMode="External"/><Relationship Id="rId12" Type="http://schemas.openxmlformats.org/officeDocument/2006/relationships/hyperlink" Target="http://businessinsider.com/" TargetMode="External"/><Relationship Id="rId108" Type="http://schemas.openxmlformats.org/officeDocument/2006/relationships/hyperlink" Target="http://people.com/" TargetMode="External"/><Relationship Id="rId315" Type="http://schemas.openxmlformats.org/officeDocument/2006/relationships/hyperlink" Target="http://ebay.com/" TargetMode="External"/><Relationship Id="rId522" Type="http://schemas.openxmlformats.org/officeDocument/2006/relationships/hyperlink" Target="http://ebay.com/" TargetMode="External"/><Relationship Id="rId96" Type="http://schemas.openxmlformats.org/officeDocument/2006/relationships/hyperlink" Target="http://att.yahoo.com/" TargetMode="External"/><Relationship Id="rId161" Type="http://schemas.openxmlformats.org/officeDocument/2006/relationships/hyperlink" Target="http://whatismyipaddress.com/" TargetMode="External"/><Relationship Id="rId399" Type="http://schemas.openxmlformats.org/officeDocument/2006/relationships/hyperlink" Target="http://biblegateway.com/" TargetMode="External"/><Relationship Id="rId259" Type="http://schemas.openxmlformats.org/officeDocument/2006/relationships/hyperlink" Target="http://msn.com/" TargetMode="External"/><Relationship Id="rId466" Type="http://schemas.openxmlformats.org/officeDocument/2006/relationships/hyperlink" Target="http://weather.com/" TargetMode="External"/><Relationship Id="rId673" Type="http://schemas.openxmlformats.org/officeDocument/2006/relationships/hyperlink" Target="http://repairlinkshop.com/" TargetMode="External"/><Relationship Id="rId23" Type="http://schemas.openxmlformats.org/officeDocument/2006/relationships/hyperlink" Target="http://cbsnews.com/" TargetMode="External"/><Relationship Id="rId119" Type="http://schemas.openxmlformats.org/officeDocument/2006/relationships/hyperlink" Target="http://maxroll.gg/" TargetMode="External"/><Relationship Id="rId326" Type="http://schemas.openxmlformats.org/officeDocument/2006/relationships/hyperlink" Target="http://al.com/" TargetMode="External"/><Relationship Id="rId533" Type="http://schemas.openxmlformats.org/officeDocument/2006/relationships/hyperlink" Target="http://msn.com/" TargetMode="External"/><Relationship Id="rId172" Type="http://schemas.openxmlformats.org/officeDocument/2006/relationships/hyperlink" Target="http://accuweather.com/" TargetMode="External"/><Relationship Id="rId477" Type="http://schemas.openxmlformats.org/officeDocument/2006/relationships/hyperlink" Target="http://the-sun.com/" TargetMode="External"/><Relationship Id="rId600" Type="http://schemas.openxmlformats.org/officeDocument/2006/relationships/hyperlink" Target="http://outlook.live.com/" TargetMode="External"/><Relationship Id="rId684" Type="http://schemas.openxmlformats.org/officeDocument/2006/relationships/hyperlink" Target="http://biblegateway.com/" TargetMode="External"/><Relationship Id="rId337" Type="http://schemas.openxmlformats.org/officeDocument/2006/relationships/hyperlink" Target="http://finance.yahoo.com/" TargetMode="External"/><Relationship Id="rId34" Type="http://schemas.openxmlformats.org/officeDocument/2006/relationships/hyperlink" Target="http://businessinsider.com/" TargetMode="External"/><Relationship Id="rId544" Type="http://schemas.openxmlformats.org/officeDocument/2006/relationships/hyperlink" Target="http://msn.com/" TargetMode="External"/><Relationship Id="rId183" Type="http://schemas.openxmlformats.org/officeDocument/2006/relationships/hyperlink" Target="http://screenrant.com/" TargetMode="External"/><Relationship Id="rId390" Type="http://schemas.openxmlformats.org/officeDocument/2006/relationships/hyperlink" Target="http://weather.com/" TargetMode="External"/><Relationship Id="rId404" Type="http://schemas.openxmlformats.org/officeDocument/2006/relationships/hyperlink" Target="http://outlook.live.com/" TargetMode="External"/><Relationship Id="rId611" Type="http://schemas.openxmlformats.org/officeDocument/2006/relationships/hyperlink" Target="http://espn.com/" TargetMode="External"/><Relationship Id="rId250" Type="http://schemas.openxmlformats.org/officeDocument/2006/relationships/hyperlink" Target="http://slickdeals.net/" TargetMode="External"/><Relationship Id="rId488" Type="http://schemas.openxmlformats.org/officeDocument/2006/relationships/hyperlink" Target="http://msn.com/" TargetMode="External"/><Relationship Id="rId695" Type="http://schemas.openxmlformats.org/officeDocument/2006/relationships/hyperlink" Target="http://wsj.com/" TargetMode="External"/><Relationship Id="rId709" Type="http://schemas.openxmlformats.org/officeDocument/2006/relationships/hyperlink" Target="http://realtor.com/" TargetMode="External"/><Relationship Id="rId45" Type="http://schemas.openxmlformats.org/officeDocument/2006/relationships/hyperlink" Target="http://femanin.com/" TargetMode="External"/><Relationship Id="rId110" Type="http://schemas.openxmlformats.org/officeDocument/2006/relationships/hyperlink" Target="http://weather.com/" TargetMode="External"/><Relationship Id="rId348" Type="http://schemas.openxmlformats.org/officeDocument/2006/relationships/hyperlink" Target="http://sciencealert.com/" TargetMode="External"/><Relationship Id="rId555" Type="http://schemas.openxmlformats.org/officeDocument/2006/relationships/hyperlink" Target="http://boattrader.com/" TargetMode="External"/><Relationship Id="rId194" Type="http://schemas.openxmlformats.org/officeDocument/2006/relationships/hyperlink" Target="http://kbb.com/" TargetMode="External"/><Relationship Id="rId208" Type="http://schemas.openxmlformats.org/officeDocument/2006/relationships/hyperlink" Target="http://thekrazycouponlady.com/" TargetMode="External"/><Relationship Id="rId415" Type="http://schemas.openxmlformats.org/officeDocument/2006/relationships/hyperlink" Target="http://mail.aol.com/" TargetMode="External"/><Relationship Id="rId622" Type="http://schemas.openxmlformats.org/officeDocument/2006/relationships/hyperlink" Target="http://poshland.com/" TargetMode="External"/><Relationship Id="rId261" Type="http://schemas.openxmlformats.org/officeDocument/2006/relationships/hyperlink" Target="http://msn.com/" TargetMode="External"/><Relationship Id="rId499" Type="http://schemas.openxmlformats.org/officeDocument/2006/relationships/hyperlink" Target="http://npr.org/" TargetMode="External"/><Relationship Id="rId56" Type="http://schemas.openxmlformats.org/officeDocument/2006/relationships/hyperlink" Target="http://foxnews.com/" TargetMode="External"/><Relationship Id="rId359" Type="http://schemas.openxmlformats.org/officeDocument/2006/relationships/hyperlink" Target="http://people.com/" TargetMode="External"/><Relationship Id="rId566" Type="http://schemas.openxmlformats.org/officeDocument/2006/relationships/hyperlink" Target="http://activebeat.com/" TargetMode="External"/><Relationship Id="rId121" Type="http://schemas.openxmlformats.org/officeDocument/2006/relationships/hyperlink" Target="http://wsmv.com/" TargetMode="External"/><Relationship Id="rId219" Type="http://schemas.openxmlformats.org/officeDocument/2006/relationships/hyperlink" Target="http://phys.org/" TargetMode="External"/><Relationship Id="rId426" Type="http://schemas.openxmlformats.org/officeDocument/2006/relationships/hyperlink" Target="http://lotterypost.com/" TargetMode="External"/><Relationship Id="rId633" Type="http://schemas.openxmlformats.org/officeDocument/2006/relationships/hyperlink" Target="http://carscoops.com/" TargetMode="External"/><Relationship Id="rId67" Type="http://schemas.openxmlformats.org/officeDocument/2006/relationships/hyperlink" Target="http://thesaurus.com/" TargetMode="External"/><Relationship Id="rId272" Type="http://schemas.openxmlformats.org/officeDocument/2006/relationships/hyperlink" Target="http://macrumors.com/" TargetMode="External"/><Relationship Id="rId577" Type="http://schemas.openxmlformats.org/officeDocument/2006/relationships/hyperlink" Target="http://slickdeals.net/" TargetMode="External"/><Relationship Id="rId700" Type="http://schemas.openxmlformats.org/officeDocument/2006/relationships/hyperlink" Target="http://biblegateway.com/" TargetMode="External"/><Relationship Id="rId132" Type="http://schemas.openxmlformats.org/officeDocument/2006/relationships/hyperlink" Target="http://zillow.com/" TargetMode="External"/><Relationship Id="rId437" Type="http://schemas.openxmlformats.org/officeDocument/2006/relationships/hyperlink" Target="http://ign.com/" TargetMode="External"/><Relationship Id="rId644" Type="http://schemas.openxmlformats.org/officeDocument/2006/relationships/hyperlink" Target="http://accuweather.com/" TargetMode="External"/><Relationship Id="rId283" Type="http://schemas.openxmlformats.org/officeDocument/2006/relationships/hyperlink" Target="http://dexerto.com/" TargetMode="External"/><Relationship Id="rId490" Type="http://schemas.openxmlformats.org/officeDocument/2006/relationships/hyperlink" Target="http://nypost.com/" TargetMode="External"/><Relationship Id="rId504" Type="http://schemas.openxmlformats.org/officeDocument/2006/relationships/hyperlink" Target="http://classmates.com/" TargetMode="External"/><Relationship Id="rId711" Type="http://schemas.openxmlformats.org/officeDocument/2006/relationships/hyperlink" Target="http://essentiallysports.com/" TargetMode="External"/><Relationship Id="rId78" Type="http://schemas.openxmlformats.org/officeDocument/2006/relationships/hyperlink" Target="http://icy-veins.com/" TargetMode="External"/><Relationship Id="rId143" Type="http://schemas.openxmlformats.org/officeDocument/2006/relationships/hyperlink" Target="http://kbb.com/" TargetMode="External"/><Relationship Id="rId350" Type="http://schemas.openxmlformats.org/officeDocument/2006/relationships/hyperlink" Target="http://sportpirate.com/" TargetMode="External"/><Relationship Id="rId588" Type="http://schemas.openxmlformats.org/officeDocument/2006/relationships/hyperlink" Target="http://screenrant.com/" TargetMode="External"/><Relationship Id="rId9" Type="http://schemas.openxmlformats.org/officeDocument/2006/relationships/hyperlink" Target="http://cbsnews.com/" TargetMode="External"/><Relationship Id="rId210" Type="http://schemas.openxmlformats.org/officeDocument/2006/relationships/hyperlink" Target="http://mail.aol.com/" TargetMode="External"/><Relationship Id="rId448" Type="http://schemas.openxmlformats.org/officeDocument/2006/relationships/hyperlink" Target="http://bbc.com/" TargetMode="External"/><Relationship Id="rId655" Type="http://schemas.openxmlformats.org/officeDocument/2006/relationships/hyperlink" Target="http://accuweather.com/" TargetMode="External"/><Relationship Id="rId294" Type="http://schemas.openxmlformats.org/officeDocument/2006/relationships/hyperlink" Target="http://zdnet.com/" TargetMode="External"/><Relationship Id="rId308" Type="http://schemas.openxmlformats.org/officeDocument/2006/relationships/hyperlink" Target="http://yahoo.com/" TargetMode="External"/><Relationship Id="rId515" Type="http://schemas.openxmlformats.org/officeDocument/2006/relationships/hyperlink" Target="http://cargurus.com/" TargetMode="External"/><Relationship Id="rId722" Type="http://schemas.openxmlformats.org/officeDocument/2006/relationships/hyperlink" Target="http://yellowpages.com/" TargetMode="External"/><Relationship Id="rId89" Type="http://schemas.openxmlformats.org/officeDocument/2006/relationships/hyperlink" Target="http://weather.com/" TargetMode="External"/><Relationship Id="rId154" Type="http://schemas.openxmlformats.org/officeDocument/2006/relationships/hyperlink" Target="http://cbsnews.com/" TargetMode="External"/><Relationship Id="rId361" Type="http://schemas.openxmlformats.org/officeDocument/2006/relationships/hyperlink" Target="http://jdpower.com/" TargetMode="External"/><Relationship Id="rId599" Type="http://schemas.openxmlformats.org/officeDocument/2006/relationships/hyperlink" Target="http://rent.com/" TargetMode="External"/><Relationship Id="rId459" Type="http://schemas.openxmlformats.org/officeDocument/2006/relationships/hyperlink" Target="http://w3schools.com/" TargetMode="External"/><Relationship Id="rId666" Type="http://schemas.openxmlformats.org/officeDocument/2006/relationships/hyperlink" Target="http://mlb.com/" TargetMode="External"/><Relationship Id="rId16" Type="http://schemas.openxmlformats.org/officeDocument/2006/relationships/hyperlink" Target="http://businessinsider.com/" TargetMode="External"/><Relationship Id="rId221" Type="http://schemas.openxmlformats.org/officeDocument/2006/relationships/hyperlink" Target="http://msn.com/" TargetMode="External"/><Relationship Id="rId319" Type="http://schemas.openxmlformats.org/officeDocument/2006/relationships/hyperlink" Target="http://ebay.com/" TargetMode="External"/><Relationship Id="rId526" Type="http://schemas.openxmlformats.org/officeDocument/2006/relationships/hyperlink" Target="http://nbcnews.com/" TargetMode="External"/><Relationship Id="rId165" Type="http://schemas.openxmlformats.org/officeDocument/2006/relationships/hyperlink" Target="http://whatismyipaddress.com/" TargetMode="External"/><Relationship Id="rId372" Type="http://schemas.openxmlformats.org/officeDocument/2006/relationships/hyperlink" Target="http://therighthairstyles.com/" TargetMode="External"/><Relationship Id="rId677" Type="http://schemas.openxmlformats.org/officeDocument/2006/relationships/hyperlink" Target="http://whatismyipaddress.com/" TargetMode="External"/><Relationship Id="rId232" Type="http://schemas.openxmlformats.org/officeDocument/2006/relationships/hyperlink" Target="http://realtor.com/" TargetMode="External"/><Relationship Id="rId27" Type="http://schemas.openxmlformats.org/officeDocument/2006/relationships/hyperlink" Target="http://zillow.com/" TargetMode="External"/><Relationship Id="rId537" Type="http://schemas.openxmlformats.org/officeDocument/2006/relationships/hyperlink" Target="http://mapquest.com/" TargetMode="External"/><Relationship Id="rId80" Type="http://schemas.openxmlformats.org/officeDocument/2006/relationships/hyperlink" Target="http://culturess.com/" TargetMode="External"/><Relationship Id="rId176" Type="http://schemas.openxmlformats.org/officeDocument/2006/relationships/hyperlink" Target="http://thehulltruth.com/" TargetMode="External"/><Relationship Id="rId383" Type="http://schemas.openxmlformats.org/officeDocument/2006/relationships/hyperlink" Target="http://espn.com/" TargetMode="External"/><Relationship Id="rId590" Type="http://schemas.openxmlformats.org/officeDocument/2006/relationships/hyperlink" Target="http://ebay.com/" TargetMode="External"/><Relationship Id="rId604" Type="http://schemas.openxmlformats.org/officeDocument/2006/relationships/hyperlink" Target="http://mail.yahoo.com/" TargetMode="External"/><Relationship Id="rId243" Type="http://schemas.openxmlformats.org/officeDocument/2006/relationships/hyperlink" Target="http://thegamer.com/" TargetMode="External"/><Relationship Id="rId450" Type="http://schemas.openxmlformats.org/officeDocument/2006/relationships/hyperlink" Target="http://outlook.live.com/" TargetMode="External"/><Relationship Id="rId688" Type="http://schemas.openxmlformats.org/officeDocument/2006/relationships/hyperlink" Target="http://activebeat.com/" TargetMode="External"/><Relationship Id="rId38" Type="http://schemas.openxmlformats.org/officeDocument/2006/relationships/hyperlink" Target="http://gameofglam.com/" TargetMode="External"/><Relationship Id="rId103" Type="http://schemas.openxmlformats.org/officeDocument/2006/relationships/hyperlink" Target="http://cbsnews.com/" TargetMode="External"/><Relationship Id="rId310" Type="http://schemas.openxmlformats.org/officeDocument/2006/relationships/hyperlink" Target="http://ebay.com/" TargetMode="External"/><Relationship Id="rId548" Type="http://schemas.openxmlformats.org/officeDocument/2006/relationships/hyperlink" Target="http://cnn.com/" TargetMode="External"/><Relationship Id="rId91" Type="http://schemas.openxmlformats.org/officeDocument/2006/relationships/hyperlink" Target="http://forbes.com/" TargetMode="External"/><Relationship Id="rId187" Type="http://schemas.openxmlformats.org/officeDocument/2006/relationships/hyperlink" Target="http://forbes.com/" TargetMode="External"/><Relationship Id="rId394" Type="http://schemas.openxmlformats.org/officeDocument/2006/relationships/hyperlink" Target="http://yahoo.com/" TargetMode="External"/><Relationship Id="rId408" Type="http://schemas.openxmlformats.org/officeDocument/2006/relationships/hyperlink" Target="http://nsfas-applications.co.za/" TargetMode="External"/><Relationship Id="rId615" Type="http://schemas.openxmlformats.org/officeDocument/2006/relationships/hyperlink" Target="http://yahoo.com/" TargetMode="External"/><Relationship Id="rId254" Type="http://schemas.openxmlformats.org/officeDocument/2006/relationships/hyperlink" Target="http://ebay.com/" TargetMode="External"/><Relationship Id="rId699" Type="http://schemas.openxmlformats.org/officeDocument/2006/relationships/hyperlink" Target="http://mail.yahoo.com/" TargetMode="External"/><Relationship Id="rId49" Type="http://schemas.openxmlformats.org/officeDocument/2006/relationships/hyperlink" Target="http://weather.com/" TargetMode="External"/><Relationship Id="rId114" Type="http://schemas.openxmlformats.org/officeDocument/2006/relationships/hyperlink" Target="http://shareably.net/" TargetMode="External"/><Relationship Id="rId461" Type="http://schemas.openxmlformats.org/officeDocument/2006/relationships/hyperlink" Target="http://cnn.com/" TargetMode="External"/><Relationship Id="rId559" Type="http://schemas.openxmlformats.org/officeDocument/2006/relationships/hyperlink" Target="http://news.yahoo.com/" TargetMode="External"/><Relationship Id="rId198" Type="http://schemas.openxmlformats.org/officeDocument/2006/relationships/hyperlink" Target="http://si.com/" TargetMode="External"/><Relationship Id="rId321" Type="http://schemas.openxmlformats.org/officeDocument/2006/relationships/hyperlink" Target="http://calculator.net/" TargetMode="External"/><Relationship Id="rId419" Type="http://schemas.openxmlformats.org/officeDocument/2006/relationships/hyperlink" Target="http://cnn.com/" TargetMode="External"/><Relationship Id="rId626" Type="http://schemas.openxmlformats.org/officeDocument/2006/relationships/hyperlink" Target="http://onechicagocenter.com/" TargetMode="External"/><Relationship Id="rId265" Type="http://schemas.openxmlformats.org/officeDocument/2006/relationships/hyperlink" Target="http://cnn.com/" TargetMode="External"/><Relationship Id="rId472" Type="http://schemas.openxmlformats.org/officeDocument/2006/relationships/hyperlink" Target="http://myfitnesspal.com/" TargetMode="External"/><Relationship Id="rId125" Type="http://schemas.openxmlformats.org/officeDocument/2006/relationships/hyperlink" Target="http://livescience.com/" TargetMode="External"/><Relationship Id="rId332" Type="http://schemas.openxmlformats.org/officeDocument/2006/relationships/hyperlink" Target="http://nbcsports.com/" TargetMode="External"/><Relationship Id="rId637" Type="http://schemas.openxmlformats.org/officeDocument/2006/relationships/hyperlink" Target="http://nbcdfw.com/" TargetMode="External"/><Relationship Id="rId276" Type="http://schemas.openxmlformats.org/officeDocument/2006/relationships/hyperlink" Target="http://bbc.com/" TargetMode="External"/><Relationship Id="rId483" Type="http://schemas.openxmlformats.org/officeDocument/2006/relationships/hyperlink" Target="http://politico.com/" TargetMode="External"/><Relationship Id="rId690" Type="http://schemas.openxmlformats.org/officeDocument/2006/relationships/hyperlink" Target="http://mydailymagazine.com/" TargetMode="External"/><Relationship Id="rId704" Type="http://schemas.openxmlformats.org/officeDocument/2006/relationships/hyperlink" Target="http://nbcnews.com/" TargetMode="External"/><Relationship Id="rId40" Type="http://schemas.openxmlformats.org/officeDocument/2006/relationships/hyperlink" Target="http://weather.com/" TargetMode="External"/><Relationship Id="rId136" Type="http://schemas.openxmlformats.org/officeDocument/2006/relationships/hyperlink" Target="http://signin.ebay.com/" TargetMode="External"/><Relationship Id="rId343" Type="http://schemas.openxmlformats.org/officeDocument/2006/relationships/hyperlink" Target="http://weather.com/" TargetMode="External"/><Relationship Id="rId550" Type="http://schemas.openxmlformats.org/officeDocument/2006/relationships/hyperlink" Target="http://wsvn.com/" TargetMode="External"/><Relationship Id="rId203" Type="http://schemas.openxmlformats.org/officeDocument/2006/relationships/hyperlink" Target="http://merriam-webster.com/" TargetMode="External"/><Relationship Id="rId648" Type="http://schemas.openxmlformats.org/officeDocument/2006/relationships/hyperlink" Target="http://weather.com/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finance.yahoo.com/" TargetMode="External"/><Relationship Id="rId671" Type="http://schemas.openxmlformats.org/officeDocument/2006/relationships/hyperlink" Target="http://myfitnesspal.com/" TargetMode="External"/><Relationship Id="rId21" Type="http://schemas.openxmlformats.org/officeDocument/2006/relationships/hyperlink" Target="http://realtor.com/" TargetMode="External"/><Relationship Id="rId324" Type="http://schemas.openxmlformats.org/officeDocument/2006/relationships/hyperlink" Target="http://biblegateway.com/" TargetMode="External"/><Relationship Id="rId531" Type="http://schemas.openxmlformats.org/officeDocument/2006/relationships/hyperlink" Target="http://jdpower.com/" TargetMode="External"/><Relationship Id="rId629" Type="http://schemas.openxmlformats.org/officeDocument/2006/relationships/hyperlink" Target="http://outlook.live.com/" TargetMode="External"/><Relationship Id="rId170" Type="http://schemas.openxmlformats.org/officeDocument/2006/relationships/hyperlink" Target="http://mail.yahoo.com/" TargetMode="External"/><Relationship Id="rId268" Type="http://schemas.openxmlformats.org/officeDocument/2006/relationships/hyperlink" Target="http://outlook.live.com/" TargetMode="External"/><Relationship Id="rId475" Type="http://schemas.openxmlformats.org/officeDocument/2006/relationships/hyperlink" Target="http://buzzfeed.com/" TargetMode="External"/><Relationship Id="rId682" Type="http://schemas.openxmlformats.org/officeDocument/2006/relationships/hyperlink" Target="http://boattrader.com/" TargetMode="External"/><Relationship Id="rId32" Type="http://schemas.openxmlformats.org/officeDocument/2006/relationships/hyperlink" Target="http://msn.com/" TargetMode="External"/><Relationship Id="rId128" Type="http://schemas.openxmlformats.org/officeDocument/2006/relationships/hyperlink" Target="http://thefinancechatter.com/" TargetMode="External"/><Relationship Id="rId335" Type="http://schemas.openxmlformats.org/officeDocument/2006/relationships/hyperlink" Target="http://cnn.com/" TargetMode="External"/><Relationship Id="rId542" Type="http://schemas.openxmlformats.org/officeDocument/2006/relationships/hyperlink" Target="http://yahoo.com/" TargetMode="External"/><Relationship Id="rId181" Type="http://schemas.openxmlformats.org/officeDocument/2006/relationships/hyperlink" Target="http://mail.yahoo.com/" TargetMode="External"/><Relationship Id="rId402" Type="http://schemas.openxmlformats.org/officeDocument/2006/relationships/hyperlink" Target="http://hindustantimes.com/" TargetMode="External"/><Relationship Id="rId279" Type="http://schemas.openxmlformats.org/officeDocument/2006/relationships/hyperlink" Target="http://cargurus.com/" TargetMode="External"/><Relationship Id="rId486" Type="http://schemas.openxmlformats.org/officeDocument/2006/relationships/hyperlink" Target="http://foxnews.com/" TargetMode="External"/><Relationship Id="rId693" Type="http://schemas.openxmlformats.org/officeDocument/2006/relationships/hyperlink" Target="http://cargurus.com/" TargetMode="External"/><Relationship Id="rId707" Type="http://schemas.openxmlformats.org/officeDocument/2006/relationships/hyperlink" Target="http://weather.com/" TargetMode="External"/><Relationship Id="rId43" Type="http://schemas.openxmlformats.org/officeDocument/2006/relationships/hyperlink" Target="http://finance.yahoo.com/" TargetMode="External"/><Relationship Id="rId139" Type="http://schemas.openxmlformats.org/officeDocument/2006/relationships/hyperlink" Target="http://investing.com/" TargetMode="External"/><Relationship Id="rId346" Type="http://schemas.openxmlformats.org/officeDocument/2006/relationships/hyperlink" Target="http://ebay.com/" TargetMode="External"/><Relationship Id="rId553" Type="http://schemas.openxmlformats.org/officeDocument/2006/relationships/hyperlink" Target="http://homeaddict.io/" TargetMode="External"/><Relationship Id="rId192" Type="http://schemas.openxmlformats.org/officeDocument/2006/relationships/hyperlink" Target="http://news.yahoo.com/" TargetMode="External"/><Relationship Id="rId206" Type="http://schemas.openxmlformats.org/officeDocument/2006/relationships/hyperlink" Target="http://ajc.com/" TargetMode="External"/><Relationship Id="rId413" Type="http://schemas.openxmlformats.org/officeDocument/2006/relationships/hyperlink" Target="http://outlook.live.com/" TargetMode="External"/><Relationship Id="rId497" Type="http://schemas.openxmlformats.org/officeDocument/2006/relationships/hyperlink" Target="http://cbsnews.com/" TargetMode="External"/><Relationship Id="rId620" Type="http://schemas.openxmlformats.org/officeDocument/2006/relationships/hyperlink" Target="http://drugs.com/" TargetMode="External"/><Relationship Id="rId718" Type="http://schemas.openxmlformats.org/officeDocument/2006/relationships/hyperlink" Target="http://soaps.sheknows.com/" TargetMode="External"/><Relationship Id="rId357" Type="http://schemas.openxmlformats.org/officeDocument/2006/relationships/hyperlink" Target="http://outlook.live.com/" TargetMode="External"/><Relationship Id="rId54" Type="http://schemas.openxmlformats.org/officeDocument/2006/relationships/hyperlink" Target="http://femanin.com/" TargetMode="External"/><Relationship Id="rId217" Type="http://schemas.openxmlformats.org/officeDocument/2006/relationships/hyperlink" Target="http://usnews.com/" TargetMode="External"/><Relationship Id="rId564" Type="http://schemas.openxmlformats.org/officeDocument/2006/relationships/hyperlink" Target="http://kbb.com/" TargetMode="External"/><Relationship Id="rId424" Type="http://schemas.openxmlformats.org/officeDocument/2006/relationships/hyperlink" Target="http://realtor.com/" TargetMode="External"/><Relationship Id="rId631" Type="http://schemas.openxmlformats.org/officeDocument/2006/relationships/hyperlink" Target="http://evite.com/" TargetMode="External"/><Relationship Id="rId729" Type="http://schemas.openxmlformats.org/officeDocument/2006/relationships/hyperlink" Target="http://firstcoastnews.com/" TargetMode="External"/><Relationship Id="rId270" Type="http://schemas.openxmlformats.org/officeDocument/2006/relationships/hyperlink" Target="http://lensvid.com/" TargetMode="External"/><Relationship Id="rId65" Type="http://schemas.openxmlformats.org/officeDocument/2006/relationships/hyperlink" Target="http://ebay.com/" TargetMode="External"/><Relationship Id="rId130" Type="http://schemas.openxmlformats.org/officeDocument/2006/relationships/hyperlink" Target="http://mail.aol.com/" TargetMode="External"/><Relationship Id="rId368" Type="http://schemas.openxmlformats.org/officeDocument/2006/relationships/hyperlink" Target="http://msn.com/" TargetMode="External"/><Relationship Id="rId575" Type="http://schemas.openxmlformats.org/officeDocument/2006/relationships/hyperlink" Target="http://topclassactions.com/" TargetMode="External"/><Relationship Id="rId228" Type="http://schemas.openxmlformats.org/officeDocument/2006/relationships/hyperlink" Target="http://poshland.com/" TargetMode="External"/><Relationship Id="rId435" Type="http://schemas.openxmlformats.org/officeDocument/2006/relationships/hyperlink" Target="http://pandora.com/" TargetMode="External"/><Relationship Id="rId642" Type="http://schemas.openxmlformats.org/officeDocument/2006/relationships/hyperlink" Target="http://finance.yahoo.com/" TargetMode="External"/><Relationship Id="rId281" Type="http://schemas.openxmlformats.org/officeDocument/2006/relationships/hyperlink" Target="http://yahoo.com/" TargetMode="External"/><Relationship Id="rId502" Type="http://schemas.openxmlformats.org/officeDocument/2006/relationships/hyperlink" Target="http://forbes.com/" TargetMode="External"/><Relationship Id="rId76" Type="http://schemas.openxmlformats.org/officeDocument/2006/relationships/hyperlink" Target="http://nytimes.com/" TargetMode="External"/><Relationship Id="rId141" Type="http://schemas.openxmlformats.org/officeDocument/2006/relationships/hyperlink" Target="http://sallysbakingaddiction.com/" TargetMode="External"/><Relationship Id="rId379" Type="http://schemas.openxmlformats.org/officeDocument/2006/relationships/hyperlink" Target="http://newsmemory.com/" TargetMode="External"/><Relationship Id="rId586" Type="http://schemas.openxmlformats.org/officeDocument/2006/relationships/hyperlink" Target="http://jdpower.com/" TargetMode="External"/><Relationship Id="rId7" Type="http://schemas.openxmlformats.org/officeDocument/2006/relationships/hyperlink" Target="http://biblegateway.com/" TargetMode="External"/><Relationship Id="rId239" Type="http://schemas.openxmlformats.org/officeDocument/2006/relationships/hyperlink" Target="http://sporcle.com/" TargetMode="External"/><Relationship Id="rId446" Type="http://schemas.openxmlformats.org/officeDocument/2006/relationships/hyperlink" Target="http://realtor.com/" TargetMode="External"/><Relationship Id="rId653" Type="http://schemas.openxmlformats.org/officeDocument/2006/relationships/hyperlink" Target="http://weather.com/" TargetMode="External"/><Relationship Id="rId292" Type="http://schemas.openxmlformats.org/officeDocument/2006/relationships/hyperlink" Target="http://ebay.com/" TargetMode="External"/><Relationship Id="rId306" Type="http://schemas.openxmlformats.org/officeDocument/2006/relationships/hyperlink" Target="http://outlook.live.com/" TargetMode="External"/><Relationship Id="rId87" Type="http://schemas.openxmlformats.org/officeDocument/2006/relationships/hyperlink" Target="http://culturess.com/" TargetMode="External"/><Relationship Id="rId513" Type="http://schemas.openxmlformats.org/officeDocument/2006/relationships/hyperlink" Target="http://weather.com/" TargetMode="External"/><Relationship Id="rId597" Type="http://schemas.openxmlformats.org/officeDocument/2006/relationships/hyperlink" Target="http://yahoo.com/" TargetMode="External"/><Relationship Id="rId720" Type="http://schemas.openxmlformats.org/officeDocument/2006/relationships/hyperlink" Target="http://ebay.com/" TargetMode="External"/><Relationship Id="rId152" Type="http://schemas.openxmlformats.org/officeDocument/2006/relationships/hyperlink" Target="http://pandora.com/" TargetMode="External"/><Relationship Id="rId457" Type="http://schemas.openxmlformats.org/officeDocument/2006/relationships/hyperlink" Target="http://msn.com/" TargetMode="External"/><Relationship Id="rId664" Type="http://schemas.openxmlformats.org/officeDocument/2006/relationships/hyperlink" Target="http://doctoreport.com/" TargetMode="External"/><Relationship Id="rId14" Type="http://schemas.openxmlformats.org/officeDocument/2006/relationships/hyperlink" Target="http://cbssports.com/" TargetMode="External"/><Relationship Id="rId317" Type="http://schemas.openxmlformats.org/officeDocument/2006/relationships/hyperlink" Target="http://si.com/" TargetMode="External"/><Relationship Id="rId524" Type="http://schemas.openxmlformats.org/officeDocument/2006/relationships/hyperlink" Target="http://sciencesensei.com/" TargetMode="External"/><Relationship Id="rId731" Type="http://schemas.openxmlformats.org/officeDocument/2006/relationships/hyperlink" Target="http://cbsnews.com/" TargetMode="External"/><Relationship Id="rId98" Type="http://schemas.openxmlformats.org/officeDocument/2006/relationships/hyperlink" Target="http://cnn.com/" TargetMode="External"/><Relationship Id="rId163" Type="http://schemas.openxmlformats.org/officeDocument/2006/relationships/hyperlink" Target="http://mail.yahoo.com/" TargetMode="External"/><Relationship Id="rId370" Type="http://schemas.openxmlformats.org/officeDocument/2006/relationships/hyperlink" Target="http://cargurus.com/" TargetMode="External"/><Relationship Id="rId230" Type="http://schemas.openxmlformats.org/officeDocument/2006/relationships/hyperlink" Target="http://techradar.com/" TargetMode="External"/><Relationship Id="rId468" Type="http://schemas.openxmlformats.org/officeDocument/2006/relationships/hyperlink" Target="http://npr.org/" TargetMode="External"/><Relationship Id="rId675" Type="http://schemas.openxmlformats.org/officeDocument/2006/relationships/hyperlink" Target="http://fandom.com/" TargetMode="External"/><Relationship Id="rId25" Type="http://schemas.openxmlformats.org/officeDocument/2006/relationships/hyperlink" Target="http://ew.com/" TargetMode="External"/><Relationship Id="rId328" Type="http://schemas.openxmlformats.org/officeDocument/2006/relationships/hyperlink" Target="http://dinneratthezoo.com/" TargetMode="External"/><Relationship Id="rId535" Type="http://schemas.openxmlformats.org/officeDocument/2006/relationships/hyperlink" Target="http://usatoday.com/" TargetMode="External"/><Relationship Id="rId174" Type="http://schemas.openxmlformats.org/officeDocument/2006/relationships/hyperlink" Target="http://icy-veins.com/" TargetMode="External"/><Relationship Id="rId381" Type="http://schemas.openxmlformats.org/officeDocument/2006/relationships/hyperlink" Target="http://mail.yahoo.com/" TargetMode="External"/><Relationship Id="rId602" Type="http://schemas.openxmlformats.org/officeDocument/2006/relationships/hyperlink" Target="http://accuweather.com/" TargetMode="External"/><Relationship Id="rId241" Type="http://schemas.openxmlformats.org/officeDocument/2006/relationships/hyperlink" Target="http://zillow.com/" TargetMode="External"/><Relationship Id="rId479" Type="http://schemas.openxmlformats.org/officeDocument/2006/relationships/hyperlink" Target="http://realtor.com/" TargetMode="External"/><Relationship Id="rId686" Type="http://schemas.openxmlformats.org/officeDocument/2006/relationships/hyperlink" Target="http://eenadu.net/" TargetMode="External"/><Relationship Id="rId36" Type="http://schemas.openxmlformats.org/officeDocument/2006/relationships/hyperlink" Target="http://ebay.com/" TargetMode="External"/><Relationship Id="rId339" Type="http://schemas.openxmlformats.org/officeDocument/2006/relationships/hyperlink" Target="http://news.yahoo.com/" TargetMode="External"/><Relationship Id="rId546" Type="http://schemas.openxmlformats.org/officeDocument/2006/relationships/hyperlink" Target="http://rollingstone.com/" TargetMode="External"/><Relationship Id="rId101" Type="http://schemas.openxmlformats.org/officeDocument/2006/relationships/hyperlink" Target="http://mail.yahoo.com/" TargetMode="External"/><Relationship Id="rId185" Type="http://schemas.openxmlformats.org/officeDocument/2006/relationships/hyperlink" Target="http://screenrant.com/" TargetMode="External"/><Relationship Id="rId406" Type="http://schemas.openxmlformats.org/officeDocument/2006/relationships/hyperlink" Target="http://investmentguru.com/" TargetMode="External"/><Relationship Id="rId392" Type="http://schemas.openxmlformats.org/officeDocument/2006/relationships/hyperlink" Target="http://booking.com/" TargetMode="External"/><Relationship Id="rId613" Type="http://schemas.openxmlformats.org/officeDocument/2006/relationships/hyperlink" Target="http://the-sun.com/" TargetMode="External"/><Relationship Id="rId697" Type="http://schemas.openxmlformats.org/officeDocument/2006/relationships/hyperlink" Target="http://att.yahoo.com/" TargetMode="External"/><Relationship Id="rId252" Type="http://schemas.openxmlformats.org/officeDocument/2006/relationships/hyperlink" Target="http://aol.com/" TargetMode="External"/><Relationship Id="rId47" Type="http://schemas.openxmlformats.org/officeDocument/2006/relationships/hyperlink" Target="http://thesaurus.com/" TargetMode="External"/><Relationship Id="rId112" Type="http://schemas.openxmlformats.org/officeDocument/2006/relationships/hyperlink" Target="http://slickdeals.net/" TargetMode="External"/><Relationship Id="rId557" Type="http://schemas.openxmlformats.org/officeDocument/2006/relationships/hyperlink" Target="http://insider.com/" TargetMode="External"/><Relationship Id="rId196" Type="http://schemas.openxmlformats.org/officeDocument/2006/relationships/hyperlink" Target="http://mlb.com/" TargetMode="External"/><Relationship Id="rId417" Type="http://schemas.openxmlformats.org/officeDocument/2006/relationships/hyperlink" Target="http://iflscience.com/" TargetMode="External"/><Relationship Id="rId624" Type="http://schemas.openxmlformats.org/officeDocument/2006/relationships/hyperlink" Target="http://realtor.com/" TargetMode="External"/><Relationship Id="rId263" Type="http://schemas.openxmlformats.org/officeDocument/2006/relationships/hyperlink" Target="http://biblegateway.com/" TargetMode="External"/><Relationship Id="rId470" Type="http://schemas.openxmlformats.org/officeDocument/2006/relationships/hyperlink" Target="http://businessinsider.com/" TargetMode="External"/><Relationship Id="rId58" Type="http://schemas.openxmlformats.org/officeDocument/2006/relationships/hyperlink" Target="http://cnn.com/" TargetMode="External"/><Relationship Id="rId123" Type="http://schemas.openxmlformats.org/officeDocument/2006/relationships/hyperlink" Target="http://mlb.com/" TargetMode="External"/><Relationship Id="rId330" Type="http://schemas.openxmlformats.org/officeDocument/2006/relationships/hyperlink" Target="http://ranker.com/" TargetMode="External"/><Relationship Id="rId568" Type="http://schemas.openxmlformats.org/officeDocument/2006/relationships/hyperlink" Target="http://hindustantimes.com/" TargetMode="External"/><Relationship Id="rId428" Type="http://schemas.openxmlformats.org/officeDocument/2006/relationships/hyperlink" Target="http://femanin.com/" TargetMode="External"/><Relationship Id="rId635" Type="http://schemas.openxmlformats.org/officeDocument/2006/relationships/hyperlink" Target="http://mail.yahoo.com/" TargetMode="External"/><Relationship Id="rId274" Type="http://schemas.openxmlformats.org/officeDocument/2006/relationships/hyperlink" Target="http://foxnews.com/" TargetMode="External"/><Relationship Id="rId481" Type="http://schemas.openxmlformats.org/officeDocument/2006/relationships/hyperlink" Target="http://outlook.live.com/" TargetMode="External"/><Relationship Id="rId702" Type="http://schemas.openxmlformats.org/officeDocument/2006/relationships/hyperlink" Target="http://mail.yahoo.com/" TargetMode="External"/><Relationship Id="rId69" Type="http://schemas.openxmlformats.org/officeDocument/2006/relationships/hyperlink" Target="http://miamiherald.com/" TargetMode="External"/><Relationship Id="rId134" Type="http://schemas.openxmlformats.org/officeDocument/2006/relationships/hyperlink" Target="http://cnet.com/" TargetMode="External"/><Relationship Id="rId579" Type="http://schemas.openxmlformats.org/officeDocument/2006/relationships/hyperlink" Target="http://ebay.com/" TargetMode="External"/><Relationship Id="rId341" Type="http://schemas.openxmlformats.org/officeDocument/2006/relationships/hyperlink" Target="http://dailymail.co.uk/news" TargetMode="External"/><Relationship Id="rId439" Type="http://schemas.openxmlformats.org/officeDocument/2006/relationships/hyperlink" Target="http://uscellular.com/" TargetMode="External"/><Relationship Id="rId646" Type="http://schemas.openxmlformats.org/officeDocument/2006/relationships/hyperlink" Target="http://classmates.com/" TargetMode="External"/><Relationship Id="rId201" Type="http://schemas.openxmlformats.org/officeDocument/2006/relationships/hyperlink" Target="http://merriam-webster.com/" TargetMode="External"/><Relationship Id="rId285" Type="http://schemas.openxmlformats.org/officeDocument/2006/relationships/hyperlink" Target="http://cbsnews.com/" TargetMode="External"/><Relationship Id="rId506" Type="http://schemas.openxmlformats.org/officeDocument/2006/relationships/hyperlink" Target="http://nbcnews.com/" TargetMode="External"/><Relationship Id="rId492" Type="http://schemas.openxmlformats.org/officeDocument/2006/relationships/hyperlink" Target="http://zillow.com/" TargetMode="External"/><Relationship Id="rId713" Type="http://schemas.openxmlformats.org/officeDocument/2006/relationships/hyperlink" Target="http://mapquest.com/" TargetMode="External"/><Relationship Id="rId145" Type="http://schemas.openxmlformats.org/officeDocument/2006/relationships/hyperlink" Target="http://biblegateway.com/" TargetMode="External"/><Relationship Id="rId352" Type="http://schemas.openxmlformats.org/officeDocument/2006/relationships/hyperlink" Target="http://yachtworld.com/" TargetMode="External"/><Relationship Id="rId212" Type="http://schemas.openxmlformats.org/officeDocument/2006/relationships/hyperlink" Target="http://dmv.org/" TargetMode="External"/><Relationship Id="rId657" Type="http://schemas.openxmlformats.org/officeDocument/2006/relationships/hyperlink" Target="http://ebay.com/" TargetMode="External"/><Relationship Id="rId296" Type="http://schemas.openxmlformats.org/officeDocument/2006/relationships/hyperlink" Target="http://mail.yahoo.com/" TargetMode="External"/><Relationship Id="rId517" Type="http://schemas.openxmlformats.org/officeDocument/2006/relationships/hyperlink" Target="http://womenshealthmag.com/" TargetMode="External"/><Relationship Id="rId724" Type="http://schemas.openxmlformats.org/officeDocument/2006/relationships/hyperlink" Target="http://forbes.com/" TargetMode="External"/><Relationship Id="rId60" Type="http://schemas.openxmlformats.org/officeDocument/2006/relationships/hyperlink" Target="http://signupgenius.com/" TargetMode="External"/><Relationship Id="rId156" Type="http://schemas.openxmlformats.org/officeDocument/2006/relationships/hyperlink" Target="http://flightaware.com/" TargetMode="External"/><Relationship Id="rId363" Type="http://schemas.openxmlformats.org/officeDocument/2006/relationships/hyperlink" Target="http://nbcmiami.com/" TargetMode="External"/><Relationship Id="rId570" Type="http://schemas.openxmlformats.org/officeDocument/2006/relationships/hyperlink" Target="http://realtor.com/" TargetMode="External"/><Relationship Id="rId223" Type="http://schemas.openxmlformats.org/officeDocument/2006/relationships/hyperlink" Target="http://yahoo.com/" TargetMode="External"/><Relationship Id="rId430" Type="http://schemas.openxmlformats.org/officeDocument/2006/relationships/hyperlink" Target="http://people.com/" TargetMode="External"/><Relationship Id="rId668" Type="http://schemas.openxmlformats.org/officeDocument/2006/relationships/hyperlink" Target="http://msn.com/" TargetMode="External"/><Relationship Id="rId18" Type="http://schemas.openxmlformats.org/officeDocument/2006/relationships/hyperlink" Target="http://weather.com/" TargetMode="External"/><Relationship Id="rId528" Type="http://schemas.openxmlformats.org/officeDocument/2006/relationships/hyperlink" Target="http://weather.com/" TargetMode="External"/><Relationship Id="rId167" Type="http://schemas.openxmlformats.org/officeDocument/2006/relationships/hyperlink" Target="http://flightaware.com/" TargetMode="External"/><Relationship Id="rId374" Type="http://schemas.openxmlformats.org/officeDocument/2006/relationships/hyperlink" Target="http://shareably.net/" TargetMode="External"/><Relationship Id="rId581" Type="http://schemas.openxmlformats.org/officeDocument/2006/relationships/hyperlink" Target="http://thesaurus.com/" TargetMode="External"/><Relationship Id="rId71" Type="http://schemas.openxmlformats.org/officeDocument/2006/relationships/hyperlink" Target="http://screenrant.com/" TargetMode="External"/><Relationship Id="rId234" Type="http://schemas.openxmlformats.org/officeDocument/2006/relationships/hyperlink" Target="http://msn.com/" TargetMode="External"/><Relationship Id="rId679" Type="http://schemas.openxmlformats.org/officeDocument/2006/relationships/hyperlink" Target="http://msn.com/" TargetMode="External"/><Relationship Id="rId2" Type="http://schemas.openxmlformats.org/officeDocument/2006/relationships/hyperlink" Target="http://poshland.com/" TargetMode="External"/><Relationship Id="rId29" Type="http://schemas.openxmlformats.org/officeDocument/2006/relationships/hyperlink" Target="http://nypost.com/" TargetMode="External"/><Relationship Id="rId441" Type="http://schemas.openxmlformats.org/officeDocument/2006/relationships/hyperlink" Target="http://ebay.com/" TargetMode="External"/><Relationship Id="rId539" Type="http://schemas.openxmlformats.org/officeDocument/2006/relationships/hyperlink" Target="http://dailybee.com/" TargetMode="External"/><Relationship Id="rId178" Type="http://schemas.openxmlformats.org/officeDocument/2006/relationships/hyperlink" Target="http://motor-junkie.com/" TargetMode="External"/><Relationship Id="rId301" Type="http://schemas.openxmlformats.org/officeDocument/2006/relationships/hyperlink" Target="http://ebay.com/" TargetMode="External"/><Relationship Id="rId82" Type="http://schemas.openxmlformats.org/officeDocument/2006/relationships/hyperlink" Target="http://cbssports.com/" TargetMode="External"/><Relationship Id="rId385" Type="http://schemas.openxmlformats.org/officeDocument/2006/relationships/hyperlink" Target="http://outlook.live.com/" TargetMode="External"/><Relationship Id="rId592" Type="http://schemas.openxmlformats.org/officeDocument/2006/relationships/hyperlink" Target="http://semana.com/" TargetMode="External"/><Relationship Id="rId606" Type="http://schemas.openxmlformats.org/officeDocument/2006/relationships/hyperlink" Target="http://ign.com/" TargetMode="External"/><Relationship Id="rId245" Type="http://schemas.openxmlformats.org/officeDocument/2006/relationships/hyperlink" Target="http://finance.yahoo.com/" TargetMode="External"/><Relationship Id="rId452" Type="http://schemas.openxmlformats.org/officeDocument/2006/relationships/hyperlink" Target="http://cars.com/" TargetMode="External"/><Relationship Id="rId105" Type="http://schemas.openxmlformats.org/officeDocument/2006/relationships/hyperlink" Target="http://sportpirate.com/" TargetMode="External"/><Relationship Id="rId147" Type="http://schemas.openxmlformats.org/officeDocument/2006/relationships/hyperlink" Target="http://bbc.com/" TargetMode="External"/><Relationship Id="rId312" Type="http://schemas.openxmlformats.org/officeDocument/2006/relationships/hyperlink" Target="http://cnn.com/" TargetMode="External"/><Relationship Id="rId354" Type="http://schemas.openxmlformats.org/officeDocument/2006/relationships/hyperlink" Target="http://signupgenius.com/" TargetMode="External"/><Relationship Id="rId51" Type="http://schemas.openxmlformats.org/officeDocument/2006/relationships/hyperlink" Target="http://weather.com/" TargetMode="External"/><Relationship Id="rId93" Type="http://schemas.openxmlformats.org/officeDocument/2006/relationships/hyperlink" Target="http://biblegateway.com/" TargetMode="External"/><Relationship Id="rId189" Type="http://schemas.openxmlformats.org/officeDocument/2006/relationships/hyperlink" Target="http://allrecipes.com/" TargetMode="External"/><Relationship Id="rId396" Type="http://schemas.openxmlformats.org/officeDocument/2006/relationships/hyperlink" Target="http://miamiherald.com/" TargetMode="External"/><Relationship Id="rId561" Type="http://schemas.openxmlformats.org/officeDocument/2006/relationships/hyperlink" Target="http://wikihow.com/" TargetMode="External"/><Relationship Id="rId617" Type="http://schemas.openxmlformats.org/officeDocument/2006/relationships/hyperlink" Target="http://eonline.com/" TargetMode="External"/><Relationship Id="rId659" Type="http://schemas.openxmlformats.org/officeDocument/2006/relationships/hyperlink" Target="http://ebay.com/" TargetMode="External"/><Relationship Id="rId214" Type="http://schemas.openxmlformats.org/officeDocument/2006/relationships/hyperlink" Target="http://whatismyipaddress.com/" TargetMode="External"/><Relationship Id="rId256" Type="http://schemas.openxmlformats.org/officeDocument/2006/relationships/hyperlink" Target="http://geeksforgeeks.org/" TargetMode="External"/><Relationship Id="rId298" Type="http://schemas.openxmlformats.org/officeDocument/2006/relationships/hyperlink" Target="http://gamespot.com/" TargetMode="External"/><Relationship Id="rId421" Type="http://schemas.openxmlformats.org/officeDocument/2006/relationships/hyperlink" Target="http://britannica.com/" TargetMode="External"/><Relationship Id="rId463" Type="http://schemas.openxmlformats.org/officeDocument/2006/relationships/hyperlink" Target="http://weather.com/" TargetMode="External"/><Relationship Id="rId519" Type="http://schemas.openxmlformats.org/officeDocument/2006/relationships/hyperlink" Target="http://cnn.com/" TargetMode="External"/><Relationship Id="rId670" Type="http://schemas.openxmlformats.org/officeDocument/2006/relationships/hyperlink" Target="http://zdnet.com/" TargetMode="External"/><Relationship Id="rId116" Type="http://schemas.openxmlformats.org/officeDocument/2006/relationships/hyperlink" Target="http://weather.com/" TargetMode="External"/><Relationship Id="rId158" Type="http://schemas.openxmlformats.org/officeDocument/2006/relationships/hyperlink" Target="http://thegamer.com/" TargetMode="External"/><Relationship Id="rId323" Type="http://schemas.openxmlformats.org/officeDocument/2006/relationships/hyperlink" Target="http://foxnews.com/" TargetMode="External"/><Relationship Id="rId530" Type="http://schemas.openxmlformats.org/officeDocument/2006/relationships/hyperlink" Target="http://nsfas-applications.co.za/" TargetMode="External"/><Relationship Id="rId726" Type="http://schemas.openxmlformats.org/officeDocument/2006/relationships/hyperlink" Target="http://bbc.com/" TargetMode="External"/><Relationship Id="rId20" Type="http://schemas.openxmlformats.org/officeDocument/2006/relationships/hyperlink" Target="http://mail.aol.com/" TargetMode="External"/><Relationship Id="rId62" Type="http://schemas.openxmlformats.org/officeDocument/2006/relationships/hyperlink" Target="http://pokerstars.net/" TargetMode="External"/><Relationship Id="rId365" Type="http://schemas.openxmlformats.org/officeDocument/2006/relationships/hyperlink" Target="http://msn.com/" TargetMode="External"/><Relationship Id="rId572" Type="http://schemas.openxmlformats.org/officeDocument/2006/relationships/hyperlink" Target="http://mail.yahoo.com/" TargetMode="External"/><Relationship Id="rId628" Type="http://schemas.openxmlformats.org/officeDocument/2006/relationships/hyperlink" Target="http://mail.aol.com/" TargetMode="External"/><Relationship Id="rId225" Type="http://schemas.openxmlformats.org/officeDocument/2006/relationships/hyperlink" Target="http://cars.com/" TargetMode="External"/><Relationship Id="rId267" Type="http://schemas.openxmlformats.org/officeDocument/2006/relationships/hyperlink" Target="http://sports.yahoo.com/" TargetMode="External"/><Relationship Id="rId432" Type="http://schemas.openxmlformats.org/officeDocument/2006/relationships/hyperlink" Target="http://mail.yahoo.com/" TargetMode="External"/><Relationship Id="rId474" Type="http://schemas.openxmlformats.org/officeDocument/2006/relationships/hyperlink" Target="http://cbsnews.com/" TargetMode="External"/><Relationship Id="rId127" Type="http://schemas.openxmlformats.org/officeDocument/2006/relationships/hyperlink" Target="http://realtor.com/" TargetMode="External"/><Relationship Id="rId681" Type="http://schemas.openxmlformats.org/officeDocument/2006/relationships/hyperlink" Target="http://cnn.com/" TargetMode="External"/><Relationship Id="rId31" Type="http://schemas.openxmlformats.org/officeDocument/2006/relationships/hyperlink" Target="http://medicalnewstoday.com/" TargetMode="External"/><Relationship Id="rId73" Type="http://schemas.openxmlformats.org/officeDocument/2006/relationships/hyperlink" Target="http://realtor.com/" TargetMode="External"/><Relationship Id="rId169" Type="http://schemas.openxmlformats.org/officeDocument/2006/relationships/hyperlink" Target="http://msn.com/" TargetMode="External"/><Relationship Id="rId334" Type="http://schemas.openxmlformats.org/officeDocument/2006/relationships/hyperlink" Target="http://ign.com/" TargetMode="External"/><Relationship Id="rId376" Type="http://schemas.openxmlformats.org/officeDocument/2006/relationships/hyperlink" Target="http://msn.com/" TargetMode="External"/><Relationship Id="rId541" Type="http://schemas.openxmlformats.org/officeDocument/2006/relationships/hyperlink" Target="http://forbes.com/" TargetMode="External"/><Relationship Id="rId583" Type="http://schemas.openxmlformats.org/officeDocument/2006/relationships/hyperlink" Target="http://nbcchicago.com/" TargetMode="External"/><Relationship Id="rId639" Type="http://schemas.openxmlformats.org/officeDocument/2006/relationships/hyperlink" Target="http://yellowpages.com/" TargetMode="External"/><Relationship Id="rId4" Type="http://schemas.openxmlformats.org/officeDocument/2006/relationships/hyperlink" Target="http://mail.yahoo.com/" TargetMode="External"/><Relationship Id="rId180" Type="http://schemas.openxmlformats.org/officeDocument/2006/relationships/hyperlink" Target="http://poshland.com/" TargetMode="External"/><Relationship Id="rId236" Type="http://schemas.openxmlformats.org/officeDocument/2006/relationships/hyperlink" Target="http://kbb.com/" TargetMode="External"/><Relationship Id="rId278" Type="http://schemas.openxmlformats.org/officeDocument/2006/relationships/hyperlink" Target="http://calculator.net/" TargetMode="External"/><Relationship Id="rId401" Type="http://schemas.openxmlformats.org/officeDocument/2006/relationships/hyperlink" Target="http://realtor.com/" TargetMode="External"/><Relationship Id="rId443" Type="http://schemas.openxmlformats.org/officeDocument/2006/relationships/hyperlink" Target="http://wikihow.com/" TargetMode="External"/><Relationship Id="rId650" Type="http://schemas.openxmlformats.org/officeDocument/2006/relationships/hyperlink" Target="http://msn.com/" TargetMode="External"/><Relationship Id="rId303" Type="http://schemas.openxmlformats.org/officeDocument/2006/relationships/hyperlink" Target="http://msn.com/" TargetMode="External"/><Relationship Id="rId485" Type="http://schemas.openxmlformats.org/officeDocument/2006/relationships/hyperlink" Target="http://heraldweekly.com/" TargetMode="External"/><Relationship Id="rId692" Type="http://schemas.openxmlformats.org/officeDocument/2006/relationships/hyperlink" Target="http://dailydot.com/" TargetMode="External"/><Relationship Id="rId706" Type="http://schemas.openxmlformats.org/officeDocument/2006/relationships/hyperlink" Target="http://msn.com/" TargetMode="External"/><Relationship Id="rId42" Type="http://schemas.openxmlformats.org/officeDocument/2006/relationships/hyperlink" Target="http://msn.com/" TargetMode="External"/><Relationship Id="rId84" Type="http://schemas.openxmlformats.org/officeDocument/2006/relationships/hyperlink" Target="http://m.timesofindia.com/" TargetMode="External"/><Relationship Id="rId138" Type="http://schemas.openxmlformats.org/officeDocument/2006/relationships/hyperlink" Target="http://weather.com/" TargetMode="External"/><Relationship Id="rId345" Type="http://schemas.openxmlformats.org/officeDocument/2006/relationships/hyperlink" Target="http://wsmv.com/" TargetMode="External"/><Relationship Id="rId387" Type="http://schemas.openxmlformats.org/officeDocument/2006/relationships/hyperlink" Target="http://zdnet.com/" TargetMode="External"/><Relationship Id="rId510" Type="http://schemas.openxmlformats.org/officeDocument/2006/relationships/hyperlink" Target="http://weather.com/" TargetMode="External"/><Relationship Id="rId552" Type="http://schemas.openxmlformats.org/officeDocument/2006/relationships/hyperlink" Target="http://chocolatecoveredkatie.com/" TargetMode="External"/><Relationship Id="rId594" Type="http://schemas.openxmlformats.org/officeDocument/2006/relationships/hyperlink" Target="http://yahoo.com/" TargetMode="External"/><Relationship Id="rId608" Type="http://schemas.openxmlformats.org/officeDocument/2006/relationships/hyperlink" Target="http://tomsguide.com/" TargetMode="External"/><Relationship Id="rId191" Type="http://schemas.openxmlformats.org/officeDocument/2006/relationships/hyperlink" Target="http://m.timesofindia.com/" TargetMode="External"/><Relationship Id="rId205" Type="http://schemas.openxmlformats.org/officeDocument/2006/relationships/hyperlink" Target="http://ebay.com/" TargetMode="External"/><Relationship Id="rId247" Type="http://schemas.openxmlformats.org/officeDocument/2006/relationships/hyperlink" Target="http://mapquest.com/" TargetMode="External"/><Relationship Id="rId412" Type="http://schemas.openxmlformats.org/officeDocument/2006/relationships/hyperlink" Target="http://yahoo.com/" TargetMode="External"/><Relationship Id="rId107" Type="http://schemas.openxmlformats.org/officeDocument/2006/relationships/hyperlink" Target="http://my.yahoo.com/" TargetMode="External"/><Relationship Id="rId289" Type="http://schemas.openxmlformats.org/officeDocument/2006/relationships/hyperlink" Target="http://ebay.com/" TargetMode="External"/><Relationship Id="rId454" Type="http://schemas.openxmlformats.org/officeDocument/2006/relationships/hyperlink" Target="http://biblegateway.com/" TargetMode="External"/><Relationship Id="rId496" Type="http://schemas.openxmlformats.org/officeDocument/2006/relationships/hyperlink" Target="http://editorsnation.com/" TargetMode="External"/><Relationship Id="rId661" Type="http://schemas.openxmlformats.org/officeDocument/2006/relationships/hyperlink" Target="http://finance.yahoo.com/" TargetMode="External"/><Relationship Id="rId717" Type="http://schemas.openxmlformats.org/officeDocument/2006/relationships/hyperlink" Target="http://mail.aol.com/" TargetMode="External"/><Relationship Id="rId11" Type="http://schemas.openxmlformats.org/officeDocument/2006/relationships/hyperlink" Target="http://accuweather.com/" TargetMode="External"/><Relationship Id="rId53" Type="http://schemas.openxmlformats.org/officeDocument/2006/relationships/hyperlink" Target="http://mail.yahoo.com/" TargetMode="External"/><Relationship Id="rId149" Type="http://schemas.openxmlformats.org/officeDocument/2006/relationships/hyperlink" Target="http://weather.com/" TargetMode="External"/><Relationship Id="rId314" Type="http://schemas.openxmlformats.org/officeDocument/2006/relationships/hyperlink" Target="http://signin.ebay.com/" TargetMode="External"/><Relationship Id="rId356" Type="http://schemas.openxmlformats.org/officeDocument/2006/relationships/hyperlink" Target="http://drugs.com/" TargetMode="External"/><Relationship Id="rId398" Type="http://schemas.openxmlformats.org/officeDocument/2006/relationships/hyperlink" Target="http://nypost.com/" TargetMode="External"/><Relationship Id="rId521" Type="http://schemas.openxmlformats.org/officeDocument/2006/relationships/hyperlink" Target="http://weather.com/" TargetMode="External"/><Relationship Id="rId563" Type="http://schemas.openxmlformats.org/officeDocument/2006/relationships/hyperlink" Target="http://cnn.com/" TargetMode="External"/><Relationship Id="rId619" Type="http://schemas.openxmlformats.org/officeDocument/2006/relationships/hyperlink" Target="http://whatismyipaddress.com/" TargetMode="External"/><Relationship Id="rId95" Type="http://schemas.openxmlformats.org/officeDocument/2006/relationships/hyperlink" Target="http://marca.com/" TargetMode="External"/><Relationship Id="rId160" Type="http://schemas.openxmlformats.org/officeDocument/2006/relationships/hyperlink" Target="http://yahoo.com/" TargetMode="External"/><Relationship Id="rId216" Type="http://schemas.openxmlformats.org/officeDocument/2006/relationships/hyperlink" Target="http://activebeat.com/" TargetMode="External"/><Relationship Id="rId423" Type="http://schemas.openxmlformats.org/officeDocument/2006/relationships/hyperlink" Target="http://ranker.com/" TargetMode="External"/><Relationship Id="rId258" Type="http://schemas.openxmlformats.org/officeDocument/2006/relationships/hyperlink" Target="http://ebay.com/" TargetMode="External"/><Relationship Id="rId465" Type="http://schemas.openxmlformats.org/officeDocument/2006/relationships/hyperlink" Target="http://finviz.com/" TargetMode="External"/><Relationship Id="rId630" Type="http://schemas.openxmlformats.org/officeDocument/2006/relationships/hyperlink" Target="http://activebeat.com/" TargetMode="External"/><Relationship Id="rId672" Type="http://schemas.openxmlformats.org/officeDocument/2006/relationships/hyperlink" Target="http://outlook.live.com/" TargetMode="External"/><Relationship Id="rId728" Type="http://schemas.openxmlformats.org/officeDocument/2006/relationships/hyperlink" Target="http://autotrader.com/" TargetMode="External"/><Relationship Id="rId22" Type="http://schemas.openxmlformats.org/officeDocument/2006/relationships/hyperlink" Target="http://cnet.com/" TargetMode="External"/><Relationship Id="rId64" Type="http://schemas.openxmlformats.org/officeDocument/2006/relationships/hyperlink" Target="http://realtor.com/" TargetMode="External"/><Relationship Id="rId118" Type="http://schemas.openxmlformats.org/officeDocument/2006/relationships/hyperlink" Target="http://factinate.com/" TargetMode="External"/><Relationship Id="rId325" Type="http://schemas.openxmlformats.org/officeDocument/2006/relationships/hyperlink" Target="http://people.com/" TargetMode="External"/><Relationship Id="rId367" Type="http://schemas.openxmlformats.org/officeDocument/2006/relationships/hyperlink" Target="http://zillow.com/" TargetMode="External"/><Relationship Id="rId532" Type="http://schemas.openxmlformats.org/officeDocument/2006/relationships/hyperlink" Target="http://rollingstone.com/" TargetMode="External"/><Relationship Id="rId574" Type="http://schemas.openxmlformats.org/officeDocument/2006/relationships/hyperlink" Target="http://aol.com/" TargetMode="External"/><Relationship Id="rId171" Type="http://schemas.openxmlformats.org/officeDocument/2006/relationships/hyperlink" Target="http://yahoo.com/" TargetMode="External"/><Relationship Id="rId227" Type="http://schemas.openxmlformats.org/officeDocument/2006/relationships/hyperlink" Target="http://news.yahoo.com/" TargetMode="External"/><Relationship Id="rId269" Type="http://schemas.openxmlformats.org/officeDocument/2006/relationships/hyperlink" Target="http://screenrant.com/" TargetMode="External"/><Relationship Id="rId434" Type="http://schemas.openxmlformats.org/officeDocument/2006/relationships/hyperlink" Target="http://msn.com/" TargetMode="External"/><Relationship Id="rId476" Type="http://schemas.openxmlformats.org/officeDocument/2006/relationships/hyperlink" Target="http://forbes.com/" TargetMode="External"/><Relationship Id="rId641" Type="http://schemas.openxmlformats.org/officeDocument/2006/relationships/hyperlink" Target="http://clutchpoints.com/" TargetMode="External"/><Relationship Id="rId683" Type="http://schemas.openxmlformats.org/officeDocument/2006/relationships/hyperlink" Target="http://weather.com/" TargetMode="External"/><Relationship Id="rId33" Type="http://schemas.openxmlformats.org/officeDocument/2006/relationships/hyperlink" Target="http://cars.com/" TargetMode="External"/><Relationship Id="rId129" Type="http://schemas.openxmlformats.org/officeDocument/2006/relationships/hyperlink" Target="http://usatoday.com/" TargetMode="External"/><Relationship Id="rId280" Type="http://schemas.openxmlformats.org/officeDocument/2006/relationships/hyperlink" Target="http://finance.yahoo.com/" TargetMode="External"/><Relationship Id="rId336" Type="http://schemas.openxmlformats.org/officeDocument/2006/relationships/hyperlink" Target="http://findagrave.com/" TargetMode="External"/><Relationship Id="rId501" Type="http://schemas.openxmlformats.org/officeDocument/2006/relationships/hyperlink" Target="http://webmd.com/" TargetMode="External"/><Relationship Id="rId543" Type="http://schemas.openxmlformats.org/officeDocument/2006/relationships/hyperlink" Target="http://gamerant.com/" TargetMode="External"/><Relationship Id="rId75" Type="http://schemas.openxmlformats.org/officeDocument/2006/relationships/hyperlink" Target="http://commercialappeal.com/" TargetMode="External"/><Relationship Id="rId140" Type="http://schemas.openxmlformats.org/officeDocument/2006/relationships/hyperlink" Target="http://androidauthority.com/" TargetMode="External"/><Relationship Id="rId182" Type="http://schemas.openxmlformats.org/officeDocument/2006/relationships/hyperlink" Target="http://signupgenius.com/" TargetMode="External"/><Relationship Id="rId378" Type="http://schemas.openxmlformats.org/officeDocument/2006/relationships/hyperlink" Target="http://realtor.com/" TargetMode="External"/><Relationship Id="rId403" Type="http://schemas.openxmlformats.org/officeDocument/2006/relationships/hyperlink" Target="http://historyallday.com/" TargetMode="External"/><Relationship Id="rId585" Type="http://schemas.openxmlformats.org/officeDocument/2006/relationships/hyperlink" Target="http://factable.com/" TargetMode="External"/><Relationship Id="rId6" Type="http://schemas.openxmlformats.org/officeDocument/2006/relationships/hyperlink" Target="http://w3schools.com/" TargetMode="External"/><Relationship Id="rId238" Type="http://schemas.openxmlformats.org/officeDocument/2006/relationships/hyperlink" Target="http://fortune.com/" TargetMode="External"/><Relationship Id="rId445" Type="http://schemas.openxmlformats.org/officeDocument/2006/relationships/hyperlink" Target="http://mail.yahoo.com/" TargetMode="External"/><Relationship Id="rId487" Type="http://schemas.openxmlformats.org/officeDocument/2006/relationships/hyperlink" Target="http://cnbc.com/" TargetMode="External"/><Relationship Id="rId610" Type="http://schemas.openxmlformats.org/officeDocument/2006/relationships/hyperlink" Target="http://realtor.com/" TargetMode="External"/><Relationship Id="rId652" Type="http://schemas.openxmlformats.org/officeDocument/2006/relationships/hyperlink" Target="http://nbcdfw.com/" TargetMode="External"/><Relationship Id="rId694" Type="http://schemas.openxmlformats.org/officeDocument/2006/relationships/hyperlink" Target="http://weather.com/" TargetMode="External"/><Relationship Id="rId708" Type="http://schemas.openxmlformats.org/officeDocument/2006/relationships/hyperlink" Target="http://foxnews.com/" TargetMode="External"/><Relationship Id="rId291" Type="http://schemas.openxmlformats.org/officeDocument/2006/relationships/hyperlink" Target="http://businessinsider.com/" TargetMode="External"/><Relationship Id="rId305" Type="http://schemas.openxmlformats.org/officeDocument/2006/relationships/hyperlink" Target="http://greedyfinance.com/" TargetMode="External"/><Relationship Id="rId347" Type="http://schemas.openxmlformats.org/officeDocument/2006/relationships/hyperlink" Target="http://mail.yahoo.com/" TargetMode="External"/><Relationship Id="rId512" Type="http://schemas.openxmlformats.org/officeDocument/2006/relationships/hyperlink" Target="http://classmates.com/" TargetMode="External"/><Relationship Id="rId44" Type="http://schemas.openxmlformats.org/officeDocument/2006/relationships/hyperlink" Target="http://calculator.net/" TargetMode="External"/><Relationship Id="rId86" Type="http://schemas.openxmlformats.org/officeDocument/2006/relationships/hyperlink" Target="http://whatismyipaddress.com/" TargetMode="External"/><Relationship Id="rId151" Type="http://schemas.openxmlformats.org/officeDocument/2006/relationships/hyperlink" Target="http://macrumors.com/" TargetMode="External"/><Relationship Id="rId389" Type="http://schemas.openxmlformats.org/officeDocument/2006/relationships/hyperlink" Target="http://billboard.com/" TargetMode="External"/><Relationship Id="rId554" Type="http://schemas.openxmlformats.org/officeDocument/2006/relationships/hyperlink" Target="http://thesaurus.com/" TargetMode="External"/><Relationship Id="rId596" Type="http://schemas.openxmlformats.org/officeDocument/2006/relationships/hyperlink" Target="http://screenrant.com/" TargetMode="External"/><Relationship Id="rId193" Type="http://schemas.openxmlformats.org/officeDocument/2006/relationships/hyperlink" Target="http://accuweather.com/" TargetMode="External"/><Relationship Id="rId207" Type="http://schemas.openxmlformats.org/officeDocument/2006/relationships/hyperlink" Target="http://wunderground.com/" TargetMode="External"/><Relationship Id="rId249" Type="http://schemas.openxmlformats.org/officeDocument/2006/relationships/hyperlink" Target="http://people.com/" TargetMode="External"/><Relationship Id="rId414" Type="http://schemas.openxmlformats.org/officeDocument/2006/relationships/hyperlink" Target="http://biblegateway.com/" TargetMode="External"/><Relationship Id="rId456" Type="http://schemas.openxmlformats.org/officeDocument/2006/relationships/hyperlink" Target="http://wikihow.com/" TargetMode="External"/><Relationship Id="rId498" Type="http://schemas.openxmlformats.org/officeDocument/2006/relationships/hyperlink" Target="http://weather.com/" TargetMode="External"/><Relationship Id="rId621" Type="http://schemas.openxmlformats.org/officeDocument/2006/relationships/hyperlink" Target="http://moneyppl.com/" TargetMode="External"/><Relationship Id="rId663" Type="http://schemas.openxmlformats.org/officeDocument/2006/relationships/hyperlink" Target="http://nypost.com/" TargetMode="External"/><Relationship Id="rId13" Type="http://schemas.openxmlformats.org/officeDocument/2006/relationships/hyperlink" Target="http://tastesbetterfromscratch.com/" TargetMode="External"/><Relationship Id="rId109" Type="http://schemas.openxmlformats.org/officeDocument/2006/relationships/hyperlink" Target="http://ebay.com/" TargetMode="External"/><Relationship Id="rId260" Type="http://schemas.openxmlformats.org/officeDocument/2006/relationships/hyperlink" Target="http://livescience.com/" TargetMode="External"/><Relationship Id="rId316" Type="http://schemas.openxmlformats.org/officeDocument/2006/relationships/hyperlink" Target="http://apnews.com/" TargetMode="External"/><Relationship Id="rId523" Type="http://schemas.openxmlformats.org/officeDocument/2006/relationships/hyperlink" Target="http://yahoo.com/" TargetMode="External"/><Relationship Id="rId719" Type="http://schemas.openxmlformats.org/officeDocument/2006/relationships/hyperlink" Target="http://nypost.com/" TargetMode="External"/><Relationship Id="rId55" Type="http://schemas.openxmlformats.org/officeDocument/2006/relationships/hyperlink" Target="http://thesaltymarshmallow.com/" TargetMode="External"/><Relationship Id="rId97" Type="http://schemas.openxmlformats.org/officeDocument/2006/relationships/hyperlink" Target="http://ajc.com/" TargetMode="External"/><Relationship Id="rId120" Type="http://schemas.openxmlformats.org/officeDocument/2006/relationships/hyperlink" Target="http://the-sun.com/" TargetMode="External"/><Relationship Id="rId358" Type="http://schemas.openxmlformats.org/officeDocument/2006/relationships/hyperlink" Target="http://cbsnews.com/" TargetMode="External"/><Relationship Id="rId565" Type="http://schemas.openxmlformats.org/officeDocument/2006/relationships/hyperlink" Target="http://autotrader.com/" TargetMode="External"/><Relationship Id="rId730" Type="http://schemas.openxmlformats.org/officeDocument/2006/relationships/hyperlink" Target="http://insider.com/" TargetMode="External"/><Relationship Id="rId162" Type="http://schemas.openxmlformats.org/officeDocument/2006/relationships/hyperlink" Target="http://cheezburger.com/" TargetMode="External"/><Relationship Id="rId218" Type="http://schemas.openxmlformats.org/officeDocument/2006/relationships/hyperlink" Target="http://accuweather.com/" TargetMode="External"/><Relationship Id="rId425" Type="http://schemas.openxmlformats.org/officeDocument/2006/relationships/hyperlink" Target="http://businessinsider.com/" TargetMode="External"/><Relationship Id="rId467" Type="http://schemas.openxmlformats.org/officeDocument/2006/relationships/hyperlink" Target="http://foxnews.com/" TargetMode="External"/><Relationship Id="rId632" Type="http://schemas.openxmlformats.org/officeDocument/2006/relationships/hyperlink" Target="http://thesaurus.com/" TargetMode="External"/><Relationship Id="rId271" Type="http://schemas.openxmlformats.org/officeDocument/2006/relationships/hyperlink" Target="http://weather.com/" TargetMode="External"/><Relationship Id="rId674" Type="http://schemas.openxmlformats.org/officeDocument/2006/relationships/hyperlink" Target="http://msn.com/" TargetMode="External"/><Relationship Id="rId24" Type="http://schemas.openxmlformats.org/officeDocument/2006/relationships/hyperlink" Target="http://weather.com/" TargetMode="External"/><Relationship Id="rId66" Type="http://schemas.openxmlformats.org/officeDocument/2006/relationships/hyperlink" Target="http://biblegateway.com/" TargetMode="External"/><Relationship Id="rId131" Type="http://schemas.openxmlformats.org/officeDocument/2006/relationships/hyperlink" Target="http://mail.yahoo.com/" TargetMode="External"/><Relationship Id="rId327" Type="http://schemas.openxmlformats.org/officeDocument/2006/relationships/hyperlink" Target="http://boattrader.com/" TargetMode="External"/><Relationship Id="rId369" Type="http://schemas.openxmlformats.org/officeDocument/2006/relationships/hyperlink" Target="http://microsoftcasualgames.com/" TargetMode="External"/><Relationship Id="rId534" Type="http://schemas.openxmlformats.org/officeDocument/2006/relationships/hyperlink" Target="http://geeksforgeeks.org/" TargetMode="External"/><Relationship Id="rId576" Type="http://schemas.openxmlformats.org/officeDocument/2006/relationships/hyperlink" Target="http://yahoo.com/" TargetMode="External"/><Relationship Id="rId173" Type="http://schemas.openxmlformats.org/officeDocument/2006/relationships/hyperlink" Target="http://weather.com/" TargetMode="External"/><Relationship Id="rId229" Type="http://schemas.openxmlformats.org/officeDocument/2006/relationships/hyperlink" Target="http://cars.com/" TargetMode="External"/><Relationship Id="rId380" Type="http://schemas.openxmlformats.org/officeDocument/2006/relationships/hyperlink" Target="http://yahoo.com/" TargetMode="External"/><Relationship Id="rId436" Type="http://schemas.openxmlformats.org/officeDocument/2006/relationships/hyperlink" Target="http://calculator.net/" TargetMode="External"/><Relationship Id="rId601" Type="http://schemas.openxmlformats.org/officeDocument/2006/relationships/hyperlink" Target="http://wordunscrambler.me/" TargetMode="External"/><Relationship Id="rId643" Type="http://schemas.openxmlformats.org/officeDocument/2006/relationships/hyperlink" Target="http://thebigmansworld.com/" TargetMode="External"/><Relationship Id="rId240" Type="http://schemas.openxmlformats.org/officeDocument/2006/relationships/hyperlink" Target="http://wsvn.com/" TargetMode="External"/><Relationship Id="rId478" Type="http://schemas.openxmlformats.org/officeDocument/2006/relationships/hyperlink" Target="http://finance.yahoo.com/" TargetMode="External"/><Relationship Id="rId685" Type="http://schemas.openxmlformats.org/officeDocument/2006/relationships/hyperlink" Target="http://signupgenius.com/" TargetMode="External"/><Relationship Id="rId35" Type="http://schemas.openxmlformats.org/officeDocument/2006/relationships/hyperlink" Target="http://cnbc.com/" TargetMode="External"/><Relationship Id="rId77" Type="http://schemas.openxmlformats.org/officeDocument/2006/relationships/hyperlink" Target="http://streetinsider.com/" TargetMode="External"/><Relationship Id="rId100" Type="http://schemas.openxmlformats.org/officeDocument/2006/relationships/hyperlink" Target="http://marca.com/" TargetMode="External"/><Relationship Id="rId282" Type="http://schemas.openxmlformats.org/officeDocument/2006/relationships/hyperlink" Target="http://yahoo.com/" TargetMode="External"/><Relationship Id="rId338" Type="http://schemas.openxmlformats.org/officeDocument/2006/relationships/hyperlink" Target="http://mail.yahoo.com/" TargetMode="External"/><Relationship Id="rId503" Type="http://schemas.openxmlformats.org/officeDocument/2006/relationships/hyperlink" Target="http://w3schools.com/" TargetMode="External"/><Relationship Id="rId545" Type="http://schemas.openxmlformats.org/officeDocument/2006/relationships/hyperlink" Target="http://fandomwire.com/" TargetMode="External"/><Relationship Id="rId587" Type="http://schemas.openxmlformats.org/officeDocument/2006/relationships/hyperlink" Target="http://carscoops.com/" TargetMode="External"/><Relationship Id="rId710" Type="http://schemas.openxmlformats.org/officeDocument/2006/relationships/hyperlink" Target="http://mail.aol.com/" TargetMode="External"/><Relationship Id="rId8" Type="http://schemas.openxmlformats.org/officeDocument/2006/relationships/hyperlink" Target="http://insider.com/" TargetMode="External"/><Relationship Id="rId142" Type="http://schemas.openxmlformats.org/officeDocument/2006/relationships/hyperlink" Target="http://zillow.com/" TargetMode="External"/><Relationship Id="rId184" Type="http://schemas.openxmlformats.org/officeDocument/2006/relationships/hyperlink" Target="http://ajc.com/" TargetMode="External"/><Relationship Id="rId391" Type="http://schemas.openxmlformats.org/officeDocument/2006/relationships/hyperlink" Target="http://essentiallysports.com/" TargetMode="External"/><Relationship Id="rId405" Type="http://schemas.openxmlformats.org/officeDocument/2006/relationships/hyperlink" Target="http://autotrader.com/" TargetMode="External"/><Relationship Id="rId447" Type="http://schemas.openxmlformats.org/officeDocument/2006/relationships/hyperlink" Target="http://msn.com/" TargetMode="External"/><Relationship Id="rId612" Type="http://schemas.openxmlformats.org/officeDocument/2006/relationships/hyperlink" Target="http://bridesblush.com/" TargetMode="External"/><Relationship Id="rId251" Type="http://schemas.openxmlformats.org/officeDocument/2006/relationships/hyperlink" Target="http://mobileposse.com/" TargetMode="External"/><Relationship Id="rId489" Type="http://schemas.openxmlformats.org/officeDocument/2006/relationships/hyperlink" Target="http://a-z-animals.com/" TargetMode="External"/><Relationship Id="rId654" Type="http://schemas.openxmlformats.org/officeDocument/2006/relationships/hyperlink" Target="http://msn.com/" TargetMode="External"/><Relationship Id="rId696" Type="http://schemas.openxmlformats.org/officeDocument/2006/relationships/hyperlink" Target="http://ajc.com/" TargetMode="External"/><Relationship Id="rId46" Type="http://schemas.openxmlformats.org/officeDocument/2006/relationships/hyperlink" Target="http://scitechdaily.com/" TargetMode="External"/><Relationship Id="rId293" Type="http://schemas.openxmlformats.org/officeDocument/2006/relationships/hyperlink" Target="http://news.yahoo.com/" TargetMode="External"/><Relationship Id="rId307" Type="http://schemas.openxmlformats.org/officeDocument/2006/relationships/hyperlink" Target="http://greatschools.org/" TargetMode="External"/><Relationship Id="rId349" Type="http://schemas.openxmlformats.org/officeDocument/2006/relationships/hyperlink" Target="http://abcnews.go.com/" TargetMode="External"/><Relationship Id="rId514" Type="http://schemas.openxmlformats.org/officeDocument/2006/relationships/hyperlink" Target="http://upworthy.com/" TargetMode="External"/><Relationship Id="rId556" Type="http://schemas.openxmlformats.org/officeDocument/2006/relationships/hyperlink" Target="http://usatoday.com/" TargetMode="External"/><Relationship Id="rId721" Type="http://schemas.openxmlformats.org/officeDocument/2006/relationships/hyperlink" Target="http://foxnews.com/" TargetMode="External"/><Relationship Id="rId88" Type="http://schemas.openxmlformats.org/officeDocument/2006/relationships/hyperlink" Target="http://kbb.com/" TargetMode="External"/><Relationship Id="rId111" Type="http://schemas.openxmlformats.org/officeDocument/2006/relationships/hyperlink" Target="http://nypost.com/" TargetMode="External"/><Relationship Id="rId153" Type="http://schemas.openxmlformats.org/officeDocument/2006/relationships/hyperlink" Target="http://ebay.com/" TargetMode="External"/><Relationship Id="rId195" Type="http://schemas.openxmlformats.org/officeDocument/2006/relationships/hyperlink" Target="http://mail.yahoo.com/" TargetMode="External"/><Relationship Id="rId209" Type="http://schemas.openxmlformats.org/officeDocument/2006/relationships/hyperlink" Target="http://sciencealert.com/" TargetMode="External"/><Relationship Id="rId360" Type="http://schemas.openxmlformats.org/officeDocument/2006/relationships/hyperlink" Target="http://streetinsider.com/" TargetMode="External"/><Relationship Id="rId416" Type="http://schemas.openxmlformats.org/officeDocument/2006/relationships/hyperlink" Target="http://pandora.com/" TargetMode="External"/><Relationship Id="rId598" Type="http://schemas.openxmlformats.org/officeDocument/2006/relationships/hyperlink" Target="http://mail.aol.com/" TargetMode="External"/><Relationship Id="rId220" Type="http://schemas.openxmlformats.org/officeDocument/2006/relationships/hyperlink" Target="http://outlook.live.com/" TargetMode="External"/><Relationship Id="rId458" Type="http://schemas.openxmlformats.org/officeDocument/2006/relationships/hyperlink" Target="http://tripadvisor.com/" TargetMode="External"/><Relationship Id="rId623" Type="http://schemas.openxmlformats.org/officeDocument/2006/relationships/hyperlink" Target="http://weather.com/" TargetMode="External"/><Relationship Id="rId665" Type="http://schemas.openxmlformats.org/officeDocument/2006/relationships/hyperlink" Target="http://slickdeals.net/" TargetMode="External"/><Relationship Id="rId15" Type="http://schemas.openxmlformats.org/officeDocument/2006/relationships/hyperlink" Target="http://outlook.live.com/" TargetMode="External"/><Relationship Id="rId57" Type="http://schemas.openxmlformats.org/officeDocument/2006/relationships/hyperlink" Target="http://boattrader.com/" TargetMode="External"/><Relationship Id="rId262" Type="http://schemas.openxmlformats.org/officeDocument/2006/relationships/hyperlink" Target="http://investopedia.com/" TargetMode="External"/><Relationship Id="rId318" Type="http://schemas.openxmlformats.org/officeDocument/2006/relationships/hyperlink" Target="http://weather.com/" TargetMode="External"/><Relationship Id="rId525" Type="http://schemas.openxmlformats.org/officeDocument/2006/relationships/hyperlink" Target="http://androidpolice.com/" TargetMode="External"/><Relationship Id="rId567" Type="http://schemas.openxmlformats.org/officeDocument/2006/relationships/hyperlink" Target="http://calculator.net/" TargetMode="External"/><Relationship Id="rId732" Type="http://schemas.openxmlformats.org/officeDocument/2006/relationships/hyperlink" Target="http://healthline.com/" TargetMode="External"/><Relationship Id="rId99" Type="http://schemas.openxmlformats.org/officeDocument/2006/relationships/hyperlink" Target="http://realtor.com/" TargetMode="External"/><Relationship Id="rId122" Type="http://schemas.openxmlformats.org/officeDocument/2006/relationships/hyperlink" Target="http://news.yahoo.com/" TargetMode="External"/><Relationship Id="rId164" Type="http://schemas.openxmlformats.org/officeDocument/2006/relationships/hyperlink" Target="http://yahoo.com/" TargetMode="External"/><Relationship Id="rId371" Type="http://schemas.openxmlformats.org/officeDocument/2006/relationships/hyperlink" Target="http://mlb.com/" TargetMode="External"/><Relationship Id="rId427" Type="http://schemas.openxmlformats.org/officeDocument/2006/relationships/hyperlink" Target="http://reference.com/" TargetMode="External"/><Relationship Id="rId469" Type="http://schemas.openxmlformats.org/officeDocument/2006/relationships/hyperlink" Target="http://dailymail.co.uk/news" TargetMode="External"/><Relationship Id="rId634" Type="http://schemas.openxmlformats.org/officeDocument/2006/relationships/hyperlink" Target="http://accuweather.com/" TargetMode="External"/><Relationship Id="rId676" Type="http://schemas.openxmlformats.org/officeDocument/2006/relationships/hyperlink" Target="http://health.usnews.com/" TargetMode="External"/><Relationship Id="rId26" Type="http://schemas.openxmlformats.org/officeDocument/2006/relationships/hyperlink" Target="http://zone.msn.com/" TargetMode="External"/><Relationship Id="rId231" Type="http://schemas.openxmlformats.org/officeDocument/2006/relationships/hyperlink" Target="http://onechicagocenter.com/" TargetMode="External"/><Relationship Id="rId273" Type="http://schemas.openxmlformats.org/officeDocument/2006/relationships/hyperlink" Target="http://realtor.com/" TargetMode="External"/><Relationship Id="rId329" Type="http://schemas.openxmlformats.org/officeDocument/2006/relationships/hyperlink" Target="http://dailyhodl.com/" TargetMode="External"/><Relationship Id="rId480" Type="http://schemas.openxmlformats.org/officeDocument/2006/relationships/hyperlink" Target="http://msn.com/" TargetMode="External"/><Relationship Id="rId536" Type="http://schemas.openxmlformats.org/officeDocument/2006/relationships/hyperlink" Target="http://findagrave.com/" TargetMode="External"/><Relationship Id="rId701" Type="http://schemas.openxmlformats.org/officeDocument/2006/relationships/hyperlink" Target="http://realtor.com/" TargetMode="External"/><Relationship Id="rId68" Type="http://schemas.openxmlformats.org/officeDocument/2006/relationships/hyperlink" Target="http://nbcsports.com/" TargetMode="External"/><Relationship Id="rId133" Type="http://schemas.openxmlformats.org/officeDocument/2006/relationships/hyperlink" Target="http://weather.com/" TargetMode="External"/><Relationship Id="rId175" Type="http://schemas.openxmlformats.org/officeDocument/2006/relationships/hyperlink" Target="http://zillow.com/" TargetMode="External"/><Relationship Id="rId340" Type="http://schemas.openxmlformats.org/officeDocument/2006/relationships/hyperlink" Target="http://mail.aol.com/" TargetMode="External"/><Relationship Id="rId578" Type="http://schemas.openxmlformats.org/officeDocument/2006/relationships/hyperlink" Target="http://mail.yahoo.com/" TargetMode="External"/><Relationship Id="rId200" Type="http://schemas.openxmlformats.org/officeDocument/2006/relationships/hyperlink" Target="http://dailymail.co.uk/tvshowbiz" TargetMode="External"/><Relationship Id="rId382" Type="http://schemas.openxmlformats.org/officeDocument/2006/relationships/hyperlink" Target="http://weather.com/" TargetMode="External"/><Relationship Id="rId438" Type="http://schemas.openxmlformats.org/officeDocument/2006/relationships/hyperlink" Target="http://att.yahoo.com/" TargetMode="External"/><Relationship Id="rId603" Type="http://schemas.openxmlformats.org/officeDocument/2006/relationships/hyperlink" Target="http://ign.com/" TargetMode="External"/><Relationship Id="rId645" Type="http://schemas.openxmlformats.org/officeDocument/2006/relationships/hyperlink" Target="http://culinaryhill.com/" TargetMode="External"/><Relationship Id="rId687" Type="http://schemas.openxmlformats.org/officeDocument/2006/relationships/hyperlink" Target="http://forbes.com/" TargetMode="External"/><Relationship Id="rId242" Type="http://schemas.openxmlformats.org/officeDocument/2006/relationships/hyperlink" Target="http://ebay.com/" TargetMode="External"/><Relationship Id="rId284" Type="http://schemas.openxmlformats.org/officeDocument/2006/relationships/hyperlink" Target="http://rent.com/" TargetMode="External"/><Relationship Id="rId491" Type="http://schemas.openxmlformats.org/officeDocument/2006/relationships/hyperlink" Target="http://forbes.com/" TargetMode="External"/><Relationship Id="rId505" Type="http://schemas.openxmlformats.org/officeDocument/2006/relationships/hyperlink" Target="http://nbcchicago.com/" TargetMode="External"/><Relationship Id="rId712" Type="http://schemas.openxmlformats.org/officeDocument/2006/relationships/hyperlink" Target="http://rvtrader.com/" TargetMode="External"/><Relationship Id="rId37" Type="http://schemas.openxmlformats.org/officeDocument/2006/relationships/hyperlink" Target="http://cbsnews.com/" TargetMode="External"/><Relationship Id="rId79" Type="http://schemas.openxmlformats.org/officeDocument/2006/relationships/hyperlink" Target="http://baseball-reference.com/" TargetMode="External"/><Relationship Id="rId102" Type="http://schemas.openxmlformats.org/officeDocument/2006/relationships/hyperlink" Target="http://mail.aol.com/" TargetMode="External"/><Relationship Id="rId144" Type="http://schemas.openxmlformats.org/officeDocument/2006/relationships/hyperlink" Target="http://outlook.live.com/" TargetMode="External"/><Relationship Id="rId547" Type="http://schemas.openxmlformats.org/officeDocument/2006/relationships/hyperlink" Target="http://cbssports.com/" TargetMode="External"/><Relationship Id="rId589" Type="http://schemas.openxmlformats.org/officeDocument/2006/relationships/hyperlink" Target="http://investopedia.com/" TargetMode="External"/><Relationship Id="rId90" Type="http://schemas.openxmlformats.org/officeDocument/2006/relationships/hyperlink" Target="http://businessinsider.com/" TargetMode="External"/><Relationship Id="rId186" Type="http://schemas.openxmlformats.org/officeDocument/2006/relationships/hyperlink" Target="http://yahoo.com/" TargetMode="External"/><Relationship Id="rId351" Type="http://schemas.openxmlformats.org/officeDocument/2006/relationships/hyperlink" Target="http://fandom.com/" TargetMode="External"/><Relationship Id="rId393" Type="http://schemas.openxmlformats.org/officeDocument/2006/relationships/hyperlink" Target="http://fandom.com/" TargetMode="External"/><Relationship Id="rId407" Type="http://schemas.openxmlformats.org/officeDocument/2006/relationships/hyperlink" Target="http://citationmachine.net/" TargetMode="External"/><Relationship Id="rId449" Type="http://schemas.openxmlformats.org/officeDocument/2006/relationships/hyperlink" Target="http://biblestudytools.com/" TargetMode="External"/><Relationship Id="rId614" Type="http://schemas.openxmlformats.org/officeDocument/2006/relationships/hyperlink" Target="http://msn.com/" TargetMode="External"/><Relationship Id="rId656" Type="http://schemas.openxmlformats.org/officeDocument/2006/relationships/hyperlink" Target="http://drugs.com/" TargetMode="External"/><Relationship Id="rId211" Type="http://schemas.openxmlformats.org/officeDocument/2006/relationships/hyperlink" Target="http://realtor.com/" TargetMode="External"/><Relationship Id="rId253" Type="http://schemas.openxmlformats.org/officeDocument/2006/relationships/hyperlink" Target="http://classmates.com/" TargetMode="External"/><Relationship Id="rId295" Type="http://schemas.openxmlformats.org/officeDocument/2006/relationships/hyperlink" Target="http://jdpower.com/" TargetMode="External"/><Relationship Id="rId309" Type="http://schemas.openxmlformats.org/officeDocument/2006/relationships/hyperlink" Target="http://maxroll.gg/" TargetMode="External"/><Relationship Id="rId460" Type="http://schemas.openxmlformats.org/officeDocument/2006/relationships/hyperlink" Target="http://ebay.com/" TargetMode="External"/><Relationship Id="rId516" Type="http://schemas.openxmlformats.org/officeDocument/2006/relationships/hyperlink" Target="http://bbc.com/" TargetMode="External"/><Relationship Id="rId698" Type="http://schemas.openxmlformats.org/officeDocument/2006/relationships/hyperlink" Target="http://foxnews.com/" TargetMode="External"/><Relationship Id="rId48" Type="http://schemas.openxmlformats.org/officeDocument/2006/relationships/hyperlink" Target="http://buzzfeed.com/" TargetMode="External"/><Relationship Id="rId113" Type="http://schemas.openxmlformats.org/officeDocument/2006/relationships/hyperlink" Target="http://gameofglam.com/" TargetMode="External"/><Relationship Id="rId320" Type="http://schemas.openxmlformats.org/officeDocument/2006/relationships/hyperlink" Target="http://mail.aol.com/" TargetMode="External"/><Relationship Id="rId558" Type="http://schemas.openxmlformats.org/officeDocument/2006/relationships/hyperlink" Target="http://finance.yahoo.com/" TargetMode="External"/><Relationship Id="rId723" Type="http://schemas.openxmlformats.org/officeDocument/2006/relationships/hyperlink" Target="http://boxrox.com/" TargetMode="External"/><Relationship Id="rId155" Type="http://schemas.openxmlformats.org/officeDocument/2006/relationships/hyperlink" Target="http://biblegateway.com/" TargetMode="External"/><Relationship Id="rId197" Type="http://schemas.openxmlformats.org/officeDocument/2006/relationships/hyperlink" Target="http://msn.com/" TargetMode="External"/><Relationship Id="rId362" Type="http://schemas.openxmlformats.org/officeDocument/2006/relationships/hyperlink" Target="http://apnews.com/" TargetMode="External"/><Relationship Id="rId418" Type="http://schemas.openxmlformats.org/officeDocument/2006/relationships/hyperlink" Target="http://realtor.com/" TargetMode="External"/><Relationship Id="rId625" Type="http://schemas.openxmlformats.org/officeDocument/2006/relationships/hyperlink" Target="http://mail.aol.com/" TargetMode="External"/><Relationship Id="rId222" Type="http://schemas.openxmlformats.org/officeDocument/2006/relationships/hyperlink" Target="http://cheapoair.com/" TargetMode="External"/><Relationship Id="rId264" Type="http://schemas.openxmlformats.org/officeDocument/2006/relationships/hyperlink" Target="http://chicagotribune.com/" TargetMode="External"/><Relationship Id="rId471" Type="http://schemas.openxmlformats.org/officeDocument/2006/relationships/hyperlink" Target="http://weather.com/" TargetMode="External"/><Relationship Id="rId667" Type="http://schemas.openxmlformats.org/officeDocument/2006/relationships/hyperlink" Target="http://mydailymagazine.com/" TargetMode="External"/><Relationship Id="rId17" Type="http://schemas.openxmlformats.org/officeDocument/2006/relationships/hyperlink" Target="http://medical-news.org/" TargetMode="External"/><Relationship Id="rId59" Type="http://schemas.openxmlformats.org/officeDocument/2006/relationships/hyperlink" Target="http://behindthevoiceactors.com/" TargetMode="External"/><Relationship Id="rId124" Type="http://schemas.openxmlformats.org/officeDocument/2006/relationships/hyperlink" Target="http://msn.com/" TargetMode="External"/><Relationship Id="rId527" Type="http://schemas.openxmlformats.org/officeDocument/2006/relationships/hyperlink" Target="http://bestbuy.com/" TargetMode="External"/><Relationship Id="rId569" Type="http://schemas.openxmlformats.org/officeDocument/2006/relationships/hyperlink" Target="http://mlb.com/" TargetMode="External"/><Relationship Id="rId70" Type="http://schemas.openxmlformats.org/officeDocument/2006/relationships/hyperlink" Target="http://slickdeals.net/" TargetMode="External"/><Relationship Id="rId166" Type="http://schemas.openxmlformats.org/officeDocument/2006/relationships/hyperlink" Target="http://foxnews.com/" TargetMode="External"/><Relationship Id="rId331" Type="http://schemas.openxmlformats.org/officeDocument/2006/relationships/hyperlink" Target="http://mail.aol.com/" TargetMode="External"/><Relationship Id="rId373" Type="http://schemas.openxmlformats.org/officeDocument/2006/relationships/hyperlink" Target="http://slickdeals.net/" TargetMode="External"/><Relationship Id="rId429" Type="http://schemas.openxmlformats.org/officeDocument/2006/relationships/hyperlink" Target="http://dexerto.com/" TargetMode="External"/><Relationship Id="rId580" Type="http://schemas.openxmlformats.org/officeDocument/2006/relationships/hyperlink" Target="http://ebay.com/" TargetMode="External"/><Relationship Id="rId636" Type="http://schemas.openxmlformats.org/officeDocument/2006/relationships/hyperlink" Target="http://realtor.com/" TargetMode="External"/><Relationship Id="rId1" Type="http://schemas.openxmlformats.org/officeDocument/2006/relationships/hyperlink" Target="http://forbes.com/" TargetMode="External"/><Relationship Id="rId233" Type="http://schemas.openxmlformats.org/officeDocument/2006/relationships/hyperlink" Target="http://seedsgames.com/" TargetMode="External"/><Relationship Id="rId440" Type="http://schemas.openxmlformats.org/officeDocument/2006/relationships/hyperlink" Target="http://mail.yahoo.com/" TargetMode="External"/><Relationship Id="rId678" Type="http://schemas.openxmlformats.org/officeDocument/2006/relationships/hyperlink" Target="http://ebay.com/" TargetMode="External"/><Relationship Id="rId28" Type="http://schemas.openxmlformats.org/officeDocument/2006/relationships/hyperlink" Target="http://ebay.com/" TargetMode="External"/><Relationship Id="rId275" Type="http://schemas.openxmlformats.org/officeDocument/2006/relationships/hyperlink" Target="http://fox59.com/" TargetMode="External"/><Relationship Id="rId300" Type="http://schemas.openxmlformats.org/officeDocument/2006/relationships/hyperlink" Target="http://autotrader.com/" TargetMode="External"/><Relationship Id="rId482" Type="http://schemas.openxmlformats.org/officeDocument/2006/relationships/hyperlink" Target="http://wikihow.com/" TargetMode="External"/><Relationship Id="rId538" Type="http://schemas.openxmlformats.org/officeDocument/2006/relationships/hyperlink" Target="http://msn.com/" TargetMode="External"/><Relationship Id="rId703" Type="http://schemas.openxmlformats.org/officeDocument/2006/relationships/hyperlink" Target="http://weather.com/" TargetMode="External"/><Relationship Id="rId81" Type="http://schemas.openxmlformats.org/officeDocument/2006/relationships/hyperlink" Target="http://weather.com/" TargetMode="External"/><Relationship Id="rId135" Type="http://schemas.openxmlformats.org/officeDocument/2006/relationships/hyperlink" Target="http://accuweather.com/" TargetMode="External"/><Relationship Id="rId177" Type="http://schemas.openxmlformats.org/officeDocument/2006/relationships/hyperlink" Target="http://biblegateway.com/" TargetMode="External"/><Relationship Id="rId342" Type="http://schemas.openxmlformats.org/officeDocument/2006/relationships/hyperlink" Target="http://zillow.com/" TargetMode="External"/><Relationship Id="rId384" Type="http://schemas.openxmlformats.org/officeDocument/2006/relationships/hyperlink" Target="http://slickdeals.net/" TargetMode="External"/><Relationship Id="rId591" Type="http://schemas.openxmlformats.org/officeDocument/2006/relationships/hyperlink" Target="http://omnicalculator.com/" TargetMode="External"/><Relationship Id="rId605" Type="http://schemas.openxmlformats.org/officeDocument/2006/relationships/hyperlink" Target="http://lotterypost.com/" TargetMode="External"/><Relationship Id="rId202" Type="http://schemas.openxmlformats.org/officeDocument/2006/relationships/hyperlink" Target="http://yahoo.com/" TargetMode="External"/><Relationship Id="rId244" Type="http://schemas.openxmlformats.org/officeDocument/2006/relationships/hyperlink" Target="http://biblegateway.com/" TargetMode="External"/><Relationship Id="rId647" Type="http://schemas.openxmlformats.org/officeDocument/2006/relationships/hyperlink" Target="http://merriam-webster.com/dictionary" TargetMode="External"/><Relationship Id="rId689" Type="http://schemas.openxmlformats.org/officeDocument/2006/relationships/hyperlink" Target="http://weather.com/" TargetMode="External"/><Relationship Id="rId39" Type="http://schemas.openxmlformats.org/officeDocument/2006/relationships/hyperlink" Target="http://ebay.com/" TargetMode="External"/><Relationship Id="rId286" Type="http://schemas.openxmlformats.org/officeDocument/2006/relationships/hyperlink" Target="http://weather.com/" TargetMode="External"/><Relationship Id="rId451" Type="http://schemas.openxmlformats.org/officeDocument/2006/relationships/hyperlink" Target="http://thesaurus.com/" TargetMode="External"/><Relationship Id="rId493" Type="http://schemas.openxmlformats.org/officeDocument/2006/relationships/hyperlink" Target="http://realtor.com/" TargetMode="External"/><Relationship Id="rId507" Type="http://schemas.openxmlformats.org/officeDocument/2006/relationships/hyperlink" Target="http://houseplans.net/" TargetMode="External"/><Relationship Id="rId549" Type="http://schemas.openxmlformats.org/officeDocument/2006/relationships/hyperlink" Target="http://ebay.com/" TargetMode="External"/><Relationship Id="rId714" Type="http://schemas.openxmlformats.org/officeDocument/2006/relationships/hyperlink" Target="http://boattrader.com/" TargetMode="External"/><Relationship Id="rId50" Type="http://schemas.openxmlformats.org/officeDocument/2006/relationships/hyperlink" Target="http://accuweather.com/" TargetMode="External"/><Relationship Id="rId104" Type="http://schemas.openxmlformats.org/officeDocument/2006/relationships/hyperlink" Target="http://investing.com/" TargetMode="External"/><Relationship Id="rId146" Type="http://schemas.openxmlformats.org/officeDocument/2006/relationships/hyperlink" Target="http://the-sun.com/" TargetMode="External"/><Relationship Id="rId188" Type="http://schemas.openxmlformats.org/officeDocument/2006/relationships/hyperlink" Target="http://wwe.com/" TargetMode="External"/><Relationship Id="rId311" Type="http://schemas.openxmlformats.org/officeDocument/2006/relationships/hyperlink" Target="http://cars.com/" TargetMode="External"/><Relationship Id="rId353" Type="http://schemas.openxmlformats.org/officeDocument/2006/relationships/hyperlink" Target="http://whatismyipaddress.com/" TargetMode="External"/><Relationship Id="rId395" Type="http://schemas.openxmlformats.org/officeDocument/2006/relationships/hyperlink" Target="http://the-sun.com/" TargetMode="External"/><Relationship Id="rId409" Type="http://schemas.openxmlformats.org/officeDocument/2006/relationships/hyperlink" Target="http://insidethemagic.net/" TargetMode="External"/><Relationship Id="rId560" Type="http://schemas.openxmlformats.org/officeDocument/2006/relationships/hyperlink" Target="http://mapquest.com/" TargetMode="External"/><Relationship Id="rId92" Type="http://schemas.openxmlformats.org/officeDocument/2006/relationships/hyperlink" Target="http://weather.com/" TargetMode="External"/><Relationship Id="rId213" Type="http://schemas.openxmlformats.org/officeDocument/2006/relationships/hyperlink" Target="http://travelerdreams.com/" TargetMode="External"/><Relationship Id="rId420" Type="http://schemas.openxmlformats.org/officeDocument/2006/relationships/hyperlink" Target="http://yourroyals.com/" TargetMode="External"/><Relationship Id="rId616" Type="http://schemas.openxmlformats.org/officeDocument/2006/relationships/hyperlink" Target="http://investing.com/" TargetMode="External"/><Relationship Id="rId658" Type="http://schemas.openxmlformats.org/officeDocument/2006/relationships/hyperlink" Target="http://sports.yahoo.com/" TargetMode="External"/><Relationship Id="rId255" Type="http://schemas.openxmlformats.org/officeDocument/2006/relationships/hyperlink" Target="http://yellowpages.com/" TargetMode="External"/><Relationship Id="rId297" Type="http://schemas.openxmlformats.org/officeDocument/2006/relationships/hyperlink" Target="http://tomsguide.com/" TargetMode="External"/><Relationship Id="rId462" Type="http://schemas.openxmlformats.org/officeDocument/2006/relationships/hyperlink" Target="http://funnyand.com/" TargetMode="External"/><Relationship Id="rId518" Type="http://schemas.openxmlformats.org/officeDocument/2006/relationships/hyperlink" Target="http://baseball.fantasysports.yahoo.com/" TargetMode="External"/><Relationship Id="rId725" Type="http://schemas.openxmlformats.org/officeDocument/2006/relationships/hyperlink" Target="http://cbsnews.com/" TargetMode="External"/><Relationship Id="rId115" Type="http://schemas.openxmlformats.org/officeDocument/2006/relationships/hyperlink" Target="http://cheezburger.com/" TargetMode="External"/><Relationship Id="rId157" Type="http://schemas.openxmlformats.org/officeDocument/2006/relationships/hyperlink" Target="http://usssa.com/" TargetMode="External"/><Relationship Id="rId322" Type="http://schemas.openxmlformats.org/officeDocument/2006/relationships/hyperlink" Target="http://ebay.com/" TargetMode="External"/><Relationship Id="rId364" Type="http://schemas.openxmlformats.org/officeDocument/2006/relationships/hyperlink" Target="http://weather.com/" TargetMode="External"/><Relationship Id="rId61" Type="http://schemas.openxmlformats.org/officeDocument/2006/relationships/hyperlink" Target="http://yahoo.com/" TargetMode="External"/><Relationship Id="rId199" Type="http://schemas.openxmlformats.org/officeDocument/2006/relationships/hyperlink" Target="http://yahoo.com/" TargetMode="External"/><Relationship Id="rId571" Type="http://schemas.openxmlformats.org/officeDocument/2006/relationships/hyperlink" Target="http://finance.yahoo.com/" TargetMode="External"/><Relationship Id="rId627" Type="http://schemas.openxmlformats.org/officeDocument/2006/relationships/hyperlink" Target="http://signupgenius.com/" TargetMode="External"/><Relationship Id="rId669" Type="http://schemas.openxmlformats.org/officeDocument/2006/relationships/hyperlink" Target="http://boattrader.com/" TargetMode="External"/><Relationship Id="rId19" Type="http://schemas.openxmlformats.org/officeDocument/2006/relationships/hyperlink" Target="http://foxnews.com/" TargetMode="External"/><Relationship Id="rId224" Type="http://schemas.openxmlformats.org/officeDocument/2006/relationships/hyperlink" Target="http://accuweather.com/" TargetMode="External"/><Relationship Id="rId266" Type="http://schemas.openxmlformats.org/officeDocument/2006/relationships/hyperlink" Target="http://signin.ebay.com/" TargetMode="External"/><Relationship Id="rId431" Type="http://schemas.openxmlformats.org/officeDocument/2006/relationships/hyperlink" Target="http://mail.aol.com/" TargetMode="External"/><Relationship Id="rId473" Type="http://schemas.openxmlformats.org/officeDocument/2006/relationships/hyperlink" Target="http://calculator.net/" TargetMode="External"/><Relationship Id="rId529" Type="http://schemas.openxmlformats.org/officeDocument/2006/relationships/hyperlink" Target="http://findagrave.com/" TargetMode="External"/><Relationship Id="rId680" Type="http://schemas.openxmlformats.org/officeDocument/2006/relationships/hyperlink" Target="http://thesaurus.com/" TargetMode="External"/><Relationship Id="rId30" Type="http://schemas.openxmlformats.org/officeDocument/2006/relationships/hyperlink" Target="http://ebay.com/" TargetMode="External"/><Relationship Id="rId126" Type="http://schemas.openxmlformats.org/officeDocument/2006/relationships/hyperlink" Target="http://mail.aol.com/" TargetMode="External"/><Relationship Id="rId168" Type="http://schemas.openxmlformats.org/officeDocument/2006/relationships/hyperlink" Target="http://ebay.com/" TargetMode="External"/><Relationship Id="rId333" Type="http://schemas.openxmlformats.org/officeDocument/2006/relationships/hyperlink" Target="http://geeksforgeeks.org/" TargetMode="External"/><Relationship Id="rId540" Type="http://schemas.openxmlformats.org/officeDocument/2006/relationships/hyperlink" Target="http://timeanddate.com/" TargetMode="External"/><Relationship Id="rId72" Type="http://schemas.openxmlformats.org/officeDocument/2006/relationships/hyperlink" Target="http://realtor.com/" TargetMode="External"/><Relationship Id="rId375" Type="http://schemas.openxmlformats.org/officeDocument/2006/relationships/hyperlink" Target="http://newsmemory.com/" TargetMode="External"/><Relationship Id="rId582" Type="http://schemas.openxmlformats.org/officeDocument/2006/relationships/hyperlink" Target="http://cnn.com/" TargetMode="External"/><Relationship Id="rId638" Type="http://schemas.openxmlformats.org/officeDocument/2006/relationships/hyperlink" Target="http://m.timesofindia.com/" TargetMode="External"/><Relationship Id="rId3" Type="http://schemas.openxmlformats.org/officeDocument/2006/relationships/hyperlink" Target="http://biblegateway.com/" TargetMode="External"/><Relationship Id="rId235" Type="http://schemas.openxmlformats.org/officeDocument/2006/relationships/hyperlink" Target="http://usatoday.com/" TargetMode="External"/><Relationship Id="rId277" Type="http://schemas.openxmlformats.org/officeDocument/2006/relationships/hyperlink" Target="http://lotterypost.com/" TargetMode="External"/><Relationship Id="rId400" Type="http://schemas.openxmlformats.org/officeDocument/2006/relationships/hyperlink" Target="http://cbsnews.com/" TargetMode="External"/><Relationship Id="rId442" Type="http://schemas.openxmlformats.org/officeDocument/2006/relationships/hyperlink" Target="http://merriam-webster.com/dictionary" TargetMode="External"/><Relationship Id="rId484" Type="http://schemas.openxmlformats.org/officeDocument/2006/relationships/hyperlink" Target="http://biblegateway.com/" TargetMode="External"/><Relationship Id="rId705" Type="http://schemas.openxmlformats.org/officeDocument/2006/relationships/hyperlink" Target="http://news.yahoo.com/" TargetMode="External"/><Relationship Id="rId137" Type="http://schemas.openxmlformats.org/officeDocument/2006/relationships/hyperlink" Target="http://thekrazycouponlady.com/" TargetMode="External"/><Relationship Id="rId302" Type="http://schemas.openxmlformats.org/officeDocument/2006/relationships/hyperlink" Target="http://biblegateway.com/" TargetMode="External"/><Relationship Id="rId344" Type="http://schemas.openxmlformats.org/officeDocument/2006/relationships/hyperlink" Target="http://ebay.com/" TargetMode="External"/><Relationship Id="rId691" Type="http://schemas.openxmlformats.org/officeDocument/2006/relationships/hyperlink" Target="http://bleacherbreaker.com/" TargetMode="External"/><Relationship Id="rId41" Type="http://schemas.openxmlformats.org/officeDocument/2006/relationships/hyperlink" Target="http://weather.com/" TargetMode="External"/><Relationship Id="rId83" Type="http://schemas.openxmlformats.org/officeDocument/2006/relationships/hyperlink" Target="http://fandomwire.com/" TargetMode="External"/><Relationship Id="rId179" Type="http://schemas.openxmlformats.org/officeDocument/2006/relationships/hyperlink" Target="http://wunderground.com/" TargetMode="External"/><Relationship Id="rId386" Type="http://schemas.openxmlformats.org/officeDocument/2006/relationships/hyperlink" Target="http://accuweather.com/" TargetMode="External"/><Relationship Id="rId551" Type="http://schemas.openxmlformats.org/officeDocument/2006/relationships/hyperlink" Target="http://daily-choices.com/" TargetMode="External"/><Relationship Id="rId593" Type="http://schemas.openxmlformats.org/officeDocument/2006/relationships/hyperlink" Target="http://rent.com/" TargetMode="External"/><Relationship Id="rId607" Type="http://schemas.openxmlformats.org/officeDocument/2006/relationships/hyperlink" Target="http://fandom.com/" TargetMode="External"/><Relationship Id="rId649" Type="http://schemas.openxmlformats.org/officeDocument/2006/relationships/hyperlink" Target="http://sneakertoast.com/" TargetMode="External"/><Relationship Id="rId190" Type="http://schemas.openxmlformats.org/officeDocument/2006/relationships/hyperlink" Target="http://the-sun.com/" TargetMode="External"/><Relationship Id="rId204" Type="http://schemas.openxmlformats.org/officeDocument/2006/relationships/hyperlink" Target="http://nbcnews.com/" TargetMode="External"/><Relationship Id="rId246" Type="http://schemas.openxmlformats.org/officeDocument/2006/relationships/hyperlink" Target="http://mail.aol.com/" TargetMode="External"/><Relationship Id="rId288" Type="http://schemas.openxmlformats.org/officeDocument/2006/relationships/hyperlink" Target="http://reuters.com/" TargetMode="External"/><Relationship Id="rId411" Type="http://schemas.openxmlformats.org/officeDocument/2006/relationships/hyperlink" Target="http://yourdailysportfix.com/" TargetMode="External"/><Relationship Id="rId453" Type="http://schemas.openxmlformats.org/officeDocument/2006/relationships/hyperlink" Target="http://outlook.live.com/" TargetMode="External"/><Relationship Id="rId509" Type="http://schemas.openxmlformats.org/officeDocument/2006/relationships/hyperlink" Target="http://screenrant.com/" TargetMode="External"/><Relationship Id="rId660" Type="http://schemas.openxmlformats.org/officeDocument/2006/relationships/hyperlink" Target="http://kbb.com/" TargetMode="External"/><Relationship Id="rId106" Type="http://schemas.openxmlformats.org/officeDocument/2006/relationships/hyperlink" Target="http://yourdailysportfix.com/" TargetMode="External"/><Relationship Id="rId313" Type="http://schemas.openxmlformats.org/officeDocument/2006/relationships/hyperlink" Target="http://yahoo.com/" TargetMode="External"/><Relationship Id="rId495" Type="http://schemas.openxmlformats.org/officeDocument/2006/relationships/hyperlink" Target="http://mail.aol.com/" TargetMode="External"/><Relationship Id="rId716" Type="http://schemas.openxmlformats.org/officeDocument/2006/relationships/hyperlink" Target="http://foxnews.com/" TargetMode="External"/><Relationship Id="rId10" Type="http://schemas.openxmlformats.org/officeDocument/2006/relationships/hyperlink" Target="http://gamingbible.com/" TargetMode="External"/><Relationship Id="rId52" Type="http://schemas.openxmlformats.org/officeDocument/2006/relationships/hyperlink" Target="http://nytimes.com/" TargetMode="External"/><Relationship Id="rId94" Type="http://schemas.openxmlformats.org/officeDocument/2006/relationships/hyperlink" Target="http://weather.com/" TargetMode="External"/><Relationship Id="rId148" Type="http://schemas.openxmlformats.org/officeDocument/2006/relationships/hyperlink" Target="http://mail.aol.com/" TargetMode="External"/><Relationship Id="rId355" Type="http://schemas.openxmlformats.org/officeDocument/2006/relationships/hyperlink" Target="http://milb.com/" TargetMode="External"/><Relationship Id="rId397" Type="http://schemas.openxmlformats.org/officeDocument/2006/relationships/hyperlink" Target="http://politico.com/" TargetMode="External"/><Relationship Id="rId520" Type="http://schemas.openxmlformats.org/officeDocument/2006/relationships/hyperlink" Target="http://tomsguide.com/" TargetMode="External"/><Relationship Id="rId562" Type="http://schemas.openxmlformats.org/officeDocument/2006/relationships/hyperlink" Target="http://thesaurus.com/" TargetMode="External"/><Relationship Id="rId618" Type="http://schemas.openxmlformats.org/officeDocument/2006/relationships/hyperlink" Target="http://mail.yahoo.com/" TargetMode="External"/><Relationship Id="rId215" Type="http://schemas.openxmlformats.org/officeDocument/2006/relationships/hyperlink" Target="http://poshland.com/" TargetMode="External"/><Relationship Id="rId257" Type="http://schemas.openxmlformats.org/officeDocument/2006/relationships/hyperlink" Target="http://espn.com/" TargetMode="External"/><Relationship Id="rId422" Type="http://schemas.openxmlformats.org/officeDocument/2006/relationships/hyperlink" Target="http://nypost.com/" TargetMode="External"/><Relationship Id="rId464" Type="http://schemas.openxmlformats.org/officeDocument/2006/relationships/hyperlink" Target="http://accuweather.com/" TargetMode="External"/><Relationship Id="rId299" Type="http://schemas.openxmlformats.org/officeDocument/2006/relationships/hyperlink" Target="http://npr.org/" TargetMode="External"/><Relationship Id="rId727" Type="http://schemas.openxmlformats.org/officeDocument/2006/relationships/hyperlink" Target="http://pandora.com/" TargetMode="External"/><Relationship Id="rId63" Type="http://schemas.openxmlformats.org/officeDocument/2006/relationships/hyperlink" Target="http://yellowpages.com/" TargetMode="External"/><Relationship Id="rId159" Type="http://schemas.openxmlformats.org/officeDocument/2006/relationships/hyperlink" Target="http://activebeat.com/" TargetMode="External"/><Relationship Id="rId366" Type="http://schemas.openxmlformats.org/officeDocument/2006/relationships/hyperlink" Target="http://msn.com/" TargetMode="External"/><Relationship Id="rId573" Type="http://schemas.openxmlformats.org/officeDocument/2006/relationships/hyperlink" Target="http://rollingstone.com/" TargetMode="External"/><Relationship Id="rId226" Type="http://schemas.openxmlformats.org/officeDocument/2006/relationships/hyperlink" Target="http://mail.aol.com/" TargetMode="External"/><Relationship Id="rId433" Type="http://schemas.openxmlformats.org/officeDocument/2006/relationships/hyperlink" Target="http://ebay.com/" TargetMode="External"/><Relationship Id="rId640" Type="http://schemas.openxmlformats.org/officeDocument/2006/relationships/hyperlink" Target="http://cbsnews.com/" TargetMode="External"/><Relationship Id="rId74" Type="http://schemas.openxmlformats.org/officeDocument/2006/relationships/hyperlink" Target="http://msn.com/" TargetMode="External"/><Relationship Id="rId377" Type="http://schemas.openxmlformats.org/officeDocument/2006/relationships/hyperlink" Target="http://yahoo.com/" TargetMode="External"/><Relationship Id="rId500" Type="http://schemas.openxmlformats.org/officeDocument/2006/relationships/hyperlink" Target="http://outlook.live.com/" TargetMode="External"/><Relationship Id="rId584" Type="http://schemas.openxmlformats.org/officeDocument/2006/relationships/hyperlink" Target="http://mail.aol.com/" TargetMode="External"/><Relationship Id="rId5" Type="http://schemas.openxmlformats.org/officeDocument/2006/relationships/hyperlink" Target="http://people.com/" TargetMode="External"/><Relationship Id="rId237" Type="http://schemas.openxmlformats.org/officeDocument/2006/relationships/hyperlink" Target="http://geeksforgeeks.org/" TargetMode="External"/><Relationship Id="rId444" Type="http://schemas.openxmlformats.org/officeDocument/2006/relationships/hyperlink" Target="http://tirerack.com/" TargetMode="External"/><Relationship Id="rId651" Type="http://schemas.openxmlformats.org/officeDocument/2006/relationships/hyperlink" Target="http://bbc.com/" TargetMode="External"/><Relationship Id="rId290" Type="http://schemas.openxmlformats.org/officeDocument/2006/relationships/hyperlink" Target="http://accuweather.com/" TargetMode="External"/><Relationship Id="rId304" Type="http://schemas.openxmlformats.org/officeDocument/2006/relationships/hyperlink" Target="http://redfin.com/" TargetMode="External"/><Relationship Id="rId388" Type="http://schemas.openxmlformats.org/officeDocument/2006/relationships/hyperlink" Target="http://yahoo.com/" TargetMode="External"/><Relationship Id="rId511" Type="http://schemas.openxmlformats.org/officeDocument/2006/relationships/hyperlink" Target="http://mlb.com/" TargetMode="External"/><Relationship Id="rId609" Type="http://schemas.openxmlformats.org/officeDocument/2006/relationships/hyperlink" Target="http://people.com/" TargetMode="External"/><Relationship Id="rId85" Type="http://schemas.openxmlformats.org/officeDocument/2006/relationships/hyperlink" Target="http://espn.com/" TargetMode="External"/><Relationship Id="rId150" Type="http://schemas.openxmlformats.org/officeDocument/2006/relationships/hyperlink" Target="http://forbes.com/" TargetMode="External"/><Relationship Id="rId595" Type="http://schemas.openxmlformats.org/officeDocument/2006/relationships/hyperlink" Target="http://bbc.com/" TargetMode="External"/><Relationship Id="rId248" Type="http://schemas.openxmlformats.org/officeDocument/2006/relationships/hyperlink" Target="http://my.earthlink.net/" TargetMode="External"/><Relationship Id="rId455" Type="http://schemas.openxmlformats.org/officeDocument/2006/relationships/hyperlink" Target="http://slickdeals.net/" TargetMode="External"/><Relationship Id="rId662" Type="http://schemas.openxmlformats.org/officeDocument/2006/relationships/hyperlink" Target="http://weather.com/" TargetMode="External"/><Relationship Id="rId12" Type="http://schemas.openxmlformats.org/officeDocument/2006/relationships/hyperlink" Target="http://historycollection.com/" TargetMode="External"/><Relationship Id="rId108" Type="http://schemas.openxmlformats.org/officeDocument/2006/relationships/hyperlink" Target="http://biblegateway.com/" TargetMode="External"/><Relationship Id="rId315" Type="http://schemas.openxmlformats.org/officeDocument/2006/relationships/hyperlink" Target="http://yahoo.com/" TargetMode="External"/><Relationship Id="rId522" Type="http://schemas.openxmlformats.org/officeDocument/2006/relationships/hyperlink" Target="http://mail.yahoo.com/" TargetMode="External"/><Relationship Id="rId96" Type="http://schemas.openxmlformats.org/officeDocument/2006/relationships/hyperlink" Target="http://usatoday.com/" TargetMode="External"/><Relationship Id="rId161" Type="http://schemas.openxmlformats.org/officeDocument/2006/relationships/hyperlink" Target="http://finance.yahoo.com/" TargetMode="External"/><Relationship Id="rId399" Type="http://schemas.openxmlformats.org/officeDocument/2006/relationships/hyperlink" Target="http://cbsnews.com/" TargetMode="External"/><Relationship Id="rId259" Type="http://schemas.openxmlformats.org/officeDocument/2006/relationships/hyperlink" Target="http://slickdeals.net/" TargetMode="External"/><Relationship Id="rId466" Type="http://schemas.openxmlformats.org/officeDocument/2006/relationships/hyperlink" Target="http://accuweather.com/" TargetMode="External"/><Relationship Id="rId673" Type="http://schemas.openxmlformats.org/officeDocument/2006/relationships/hyperlink" Target="http://weather.com/" TargetMode="External"/><Relationship Id="rId23" Type="http://schemas.openxmlformats.org/officeDocument/2006/relationships/hyperlink" Target="http://kiplinger.com/" TargetMode="External"/><Relationship Id="rId119" Type="http://schemas.openxmlformats.org/officeDocument/2006/relationships/hyperlink" Target="http://daily-choices.com/" TargetMode="External"/><Relationship Id="rId326" Type="http://schemas.openxmlformats.org/officeDocument/2006/relationships/hyperlink" Target="http://nbcnews.com/" TargetMode="External"/><Relationship Id="rId533" Type="http://schemas.openxmlformats.org/officeDocument/2006/relationships/hyperlink" Target="http://dotesports.com/" TargetMode="External"/><Relationship Id="rId172" Type="http://schemas.openxmlformats.org/officeDocument/2006/relationships/hyperlink" Target="http://mail.yahoo.com/" TargetMode="External"/><Relationship Id="rId477" Type="http://schemas.openxmlformats.org/officeDocument/2006/relationships/hyperlink" Target="http://ebay.com/" TargetMode="External"/><Relationship Id="rId600" Type="http://schemas.openxmlformats.org/officeDocument/2006/relationships/hyperlink" Target="http://icy-veins.com/" TargetMode="External"/><Relationship Id="rId684" Type="http://schemas.openxmlformats.org/officeDocument/2006/relationships/hyperlink" Target="http://zillow.com/" TargetMode="External"/><Relationship Id="rId337" Type="http://schemas.openxmlformats.org/officeDocument/2006/relationships/hyperlink" Target="http://alotfinance.com/" TargetMode="External"/><Relationship Id="rId34" Type="http://schemas.openxmlformats.org/officeDocument/2006/relationships/hyperlink" Target="http://reuters.com/" TargetMode="External"/><Relationship Id="rId544" Type="http://schemas.openxmlformats.org/officeDocument/2006/relationships/hyperlink" Target="http://weather.com/" TargetMode="External"/><Relationship Id="rId183" Type="http://schemas.openxmlformats.org/officeDocument/2006/relationships/hyperlink" Target="http://my.yahoo.com/" TargetMode="External"/><Relationship Id="rId390" Type="http://schemas.openxmlformats.org/officeDocument/2006/relationships/hyperlink" Target="http://weather.com/" TargetMode="External"/><Relationship Id="rId404" Type="http://schemas.openxmlformats.org/officeDocument/2006/relationships/hyperlink" Target="http://doodle.com/" TargetMode="External"/><Relationship Id="rId611" Type="http://schemas.openxmlformats.org/officeDocument/2006/relationships/hyperlink" Target="http://microsoftcasualgames.com/" TargetMode="External"/><Relationship Id="rId250" Type="http://schemas.openxmlformats.org/officeDocument/2006/relationships/hyperlink" Target="http://streetinsider.com/" TargetMode="External"/><Relationship Id="rId488" Type="http://schemas.openxmlformats.org/officeDocument/2006/relationships/hyperlink" Target="http://finance.yahoo.com/" TargetMode="External"/><Relationship Id="rId695" Type="http://schemas.openxmlformats.org/officeDocument/2006/relationships/hyperlink" Target="http://dailymail.co.uk/tvshowbiz" TargetMode="External"/><Relationship Id="rId709" Type="http://schemas.openxmlformats.org/officeDocument/2006/relationships/hyperlink" Target="http://outlook.live.com/" TargetMode="External"/><Relationship Id="rId45" Type="http://schemas.openxmlformats.org/officeDocument/2006/relationships/hyperlink" Target="http://yahoo.com/" TargetMode="External"/><Relationship Id="rId110" Type="http://schemas.openxmlformats.org/officeDocument/2006/relationships/hyperlink" Target="http://ebay.com/" TargetMode="External"/><Relationship Id="rId348" Type="http://schemas.openxmlformats.org/officeDocument/2006/relationships/hyperlink" Target="http://realtor.com/" TargetMode="External"/><Relationship Id="rId555" Type="http://schemas.openxmlformats.org/officeDocument/2006/relationships/hyperlink" Target="http://weather.com/" TargetMode="External"/><Relationship Id="rId194" Type="http://schemas.openxmlformats.org/officeDocument/2006/relationships/hyperlink" Target="http://foxnews.com/" TargetMode="External"/><Relationship Id="rId208" Type="http://schemas.openxmlformats.org/officeDocument/2006/relationships/hyperlink" Target="http://realtor.com/" TargetMode="External"/><Relationship Id="rId415" Type="http://schemas.openxmlformats.org/officeDocument/2006/relationships/hyperlink" Target="http://webmd.com/" TargetMode="External"/><Relationship Id="rId622" Type="http://schemas.openxmlformats.org/officeDocument/2006/relationships/hyperlink" Target="http://outlook.live.com/" TargetMode="External"/><Relationship Id="rId261" Type="http://schemas.openxmlformats.org/officeDocument/2006/relationships/hyperlink" Target="http://signupgenius.com/" TargetMode="External"/><Relationship Id="rId499" Type="http://schemas.openxmlformats.org/officeDocument/2006/relationships/hyperlink" Target="http://forbes.com/" TargetMode="External"/><Relationship Id="rId56" Type="http://schemas.openxmlformats.org/officeDocument/2006/relationships/hyperlink" Target="http://essentiallysports.com/" TargetMode="External"/><Relationship Id="rId359" Type="http://schemas.openxmlformats.org/officeDocument/2006/relationships/hyperlink" Target="http://dictionary.com/" TargetMode="External"/><Relationship Id="rId566" Type="http://schemas.openxmlformats.org/officeDocument/2006/relationships/hyperlink" Target="http://nbcnews.com/" TargetMode="External"/><Relationship Id="rId121" Type="http://schemas.openxmlformats.org/officeDocument/2006/relationships/hyperlink" Target="http://todaysnyc.com/" TargetMode="External"/><Relationship Id="rId219" Type="http://schemas.openxmlformats.org/officeDocument/2006/relationships/hyperlink" Target="http://newsharper.com/" TargetMode="External"/><Relationship Id="rId426" Type="http://schemas.openxmlformats.org/officeDocument/2006/relationships/hyperlink" Target="http://forbes.com/" TargetMode="External"/><Relationship Id="rId633" Type="http://schemas.openxmlformats.org/officeDocument/2006/relationships/hyperlink" Target="http://dailymail.co.uk/tvshowbiz" TargetMode="External"/><Relationship Id="rId67" Type="http://schemas.openxmlformats.org/officeDocument/2006/relationships/hyperlink" Target="http://msn.com/" TargetMode="External"/><Relationship Id="rId272" Type="http://schemas.openxmlformats.org/officeDocument/2006/relationships/hyperlink" Target="http://medicalnewstoday.com/" TargetMode="External"/><Relationship Id="rId577" Type="http://schemas.openxmlformats.org/officeDocument/2006/relationships/hyperlink" Target="http://mail.yahoo.com/" TargetMode="External"/><Relationship Id="rId700" Type="http://schemas.openxmlformats.org/officeDocument/2006/relationships/hyperlink" Target="http://shoebuy.com/" TargetMode="External"/><Relationship Id="rId132" Type="http://schemas.openxmlformats.org/officeDocument/2006/relationships/hyperlink" Target="http://msn.com/" TargetMode="External"/><Relationship Id="rId437" Type="http://schemas.openxmlformats.org/officeDocument/2006/relationships/hyperlink" Target="http://biblegateway.com/" TargetMode="External"/><Relationship Id="rId644" Type="http://schemas.openxmlformats.org/officeDocument/2006/relationships/hyperlink" Target="http://homehacks.co/" TargetMode="External"/><Relationship Id="rId283" Type="http://schemas.openxmlformats.org/officeDocument/2006/relationships/hyperlink" Target="http://forbes.com/" TargetMode="External"/><Relationship Id="rId490" Type="http://schemas.openxmlformats.org/officeDocument/2006/relationships/hyperlink" Target="http://w3schools.com/" TargetMode="External"/><Relationship Id="rId504" Type="http://schemas.openxmlformats.org/officeDocument/2006/relationships/hyperlink" Target="http://mail.yahoo.com/" TargetMode="External"/><Relationship Id="rId711" Type="http://schemas.openxmlformats.org/officeDocument/2006/relationships/hyperlink" Target="http://msn.com/" TargetMode="External"/><Relationship Id="rId78" Type="http://schemas.openxmlformats.org/officeDocument/2006/relationships/hyperlink" Target="http://phys.org/" TargetMode="External"/><Relationship Id="rId143" Type="http://schemas.openxmlformats.org/officeDocument/2006/relationships/hyperlink" Target="http://fandomwire.com/" TargetMode="External"/><Relationship Id="rId350" Type="http://schemas.openxmlformats.org/officeDocument/2006/relationships/hyperlink" Target="http://al.com/" TargetMode="External"/><Relationship Id="rId588" Type="http://schemas.openxmlformats.org/officeDocument/2006/relationships/hyperlink" Target="http://finance.yahoo.com/" TargetMode="External"/><Relationship Id="rId9" Type="http://schemas.openxmlformats.org/officeDocument/2006/relationships/hyperlink" Target="http://aol.com/" TargetMode="External"/><Relationship Id="rId210" Type="http://schemas.openxmlformats.org/officeDocument/2006/relationships/hyperlink" Target="http://omnicalculator.com/" TargetMode="External"/><Relationship Id="rId448" Type="http://schemas.openxmlformats.org/officeDocument/2006/relationships/hyperlink" Target="http://foxbusiness.com/" TargetMode="External"/><Relationship Id="rId655" Type="http://schemas.openxmlformats.org/officeDocument/2006/relationships/hyperlink" Target="http://mayoclinic.org/" TargetMode="External"/><Relationship Id="rId294" Type="http://schemas.openxmlformats.org/officeDocument/2006/relationships/hyperlink" Target="http://drugs.com/" TargetMode="External"/><Relationship Id="rId308" Type="http://schemas.openxmlformats.org/officeDocument/2006/relationships/hyperlink" Target="http://timeanddate.com/" TargetMode="External"/><Relationship Id="rId515" Type="http://schemas.openxmlformats.org/officeDocument/2006/relationships/hyperlink" Target="http://wsj.com/" TargetMode="External"/><Relationship Id="rId722" Type="http://schemas.openxmlformats.org/officeDocument/2006/relationships/hyperlink" Target="http://kbb.com/" TargetMode="External"/><Relationship Id="rId89" Type="http://schemas.openxmlformats.org/officeDocument/2006/relationships/hyperlink" Target="http://whatismyipaddress.com/" TargetMode="External"/><Relationship Id="rId154" Type="http://schemas.openxmlformats.org/officeDocument/2006/relationships/hyperlink" Target="http://washingtonpost.com/" TargetMode="External"/><Relationship Id="rId361" Type="http://schemas.openxmlformats.org/officeDocument/2006/relationships/hyperlink" Target="http://w3schools.com/" TargetMode="External"/><Relationship Id="rId599" Type="http://schemas.openxmlformats.org/officeDocument/2006/relationships/hyperlink" Target="http://nbcnews.com/" TargetMode="External"/><Relationship Id="rId459" Type="http://schemas.openxmlformats.org/officeDocument/2006/relationships/hyperlink" Target="http://forbes.com/" TargetMode="External"/><Relationship Id="rId666" Type="http://schemas.openxmlformats.org/officeDocument/2006/relationships/hyperlink" Target="http://accuweather.com/" TargetMode="External"/><Relationship Id="rId16" Type="http://schemas.openxmlformats.org/officeDocument/2006/relationships/hyperlink" Target="http://yahoo.com/" TargetMode="External"/><Relationship Id="rId221" Type="http://schemas.openxmlformats.org/officeDocument/2006/relationships/hyperlink" Target="http://medicalnewstoday.com/" TargetMode="External"/><Relationship Id="rId319" Type="http://schemas.openxmlformats.org/officeDocument/2006/relationships/hyperlink" Target="http://ebay.com/" TargetMode="External"/><Relationship Id="rId526" Type="http://schemas.openxmlformats.org/officeDocument/2006/relationships/hyperlink" Target="http://realtor.com/" TargetMode="External"/><Relationship Id="rId165" Type="http://schemas.openxmlformats.org/officeDocument/2006/relationships/hyperlink" Target="http://the-sun.com/" TargetMode="External"/><Relationship Id="rId372" Type="http://schemas.openxmlformats.org/officeDocument/2006/relationships/hyperlink" Target="http://topclassactions.com/" TargetMode="External"/><Relationship Id="rId677" Type="http://schemas.openxmlformats.org/officeDocument/2006/relationships/hyperlink" Target="http://microsoftcasualgames.com/" TargetMode="External"/><Relationship Id="rId232" Type="http://schemas.openxmlformats.org/officeDocument/2006/relationships/hyperlink" Target="http://cargurus.com/" TargetMode="External"/><Relationship Id="rId27" Type="http://schemas.openxmlformats.org/officeDocument/2006/relationships/hyperlink" Target="http://ebay.com/" TargetMode="External"/><Relationship Id="rId537" Type="http://schemas.openxmlformats.org/officeDocument/2006/relationships/hyperlink" Target="http://kbb.com/" TargetMode="External"/><Relationship Id="rId80" Type="http://schemas.openxmlformats.org/officeDocument/2006/relationships/hyperlink" Target="http://cheapoair.com/" TargetMode="External"/><Relationship Id="rId176" Type="http://schemas.openxmlformats.org/officeDocument/2006/relationships/hyperlink" Target="http://kbb.com/" TargetMode="External"/><Relationship Id="rId383" Type="http://schemas.openxmlformats.org/officeDocument/2006/relationships/hyperlink" Target="http://politico.com/" TargetMode="External"/><Relationship Id="rId590" Type="http://schemas.openxmlformats.org/officeDocument/2006/relationships/hyperlink" Target="http://yahoo.com/" TargetMode="External"/><Relationship Id="rId604" Type="http://schemas.openxmlformats.org/officeDocument/2006/relationships/hyperlink" Target="http://nba.com/" TargetMode="External"/><Relationship Id="rId243" Type="http://schemas.openxmlformats.org/officeDocument/2006/relationships/hyperlink" Target="http://zillow.com/" TargetMode="External"/><Relationship Id="rId450" Type="http://schemas.openxmlformats.org/officeDocument/2006/relationships/hyperlink" Target="http://timeanddate.com/" TargetMode="External"/><Relationship Id="rId688" Type="http://schemas.openxmlformats.org/officeDocument/2006/relationships/hyperlink" Target="http://msn.com/" TargetMode="External"/><Relationship Id="rId38" Type="http://schemas.openxmlformats.org/officeDocument/2006/relationships/hyperlink" Target="http://gamerant.com/" TargetMode="External"/><Relationship Id="rId103" Type="http://schemas.openxmlformats.org/officeDocument/2006/relationships/hyperlink" Target="http://tasteofhome.com/" TargetMode="External"/><Relationship Id="rId310" Type="http://schemas.openxmlformats.org/officeDocument/2006/relationships/hyperlink" Target="http://healthyrecipesblogs.com/" TargetMode="External"/><Relationship Id="rId548" Type="http://schemas.openxmlformats.org/officeDocument/2006/relationships/hyperlink" Target="http://mail.aol.com/" TargetMode="External"/><Relationship Id="rId91" Type="http://schemas.openxmlformats.org/officeDocument/2006/relationships/hyperlink" Target="http://yahoo.com/" TargetMode="External"/><Relationship Id="rId187" Type="http://schemas.openxmlformats.org/officeDocument/2006/relationships/hyperlink" Target="http://mlb.com/" TargetMode="External"/><Relationship Id="rId394" Type="http://schemas.openxmlformats.org/officeDocument/2006/relationships/hyperlink" Target="http://whatismyipaddress.com/" TargetMode="External"/><Relationship Id="rId408" Type="http://schemas.openxmlformats.org/officeDocument/2006/relationships/hyperlink" Target="http://mail.yahoo.com/" TargetMode="External"/><Relationship Id="rId615" Type="http://schemas.openxmlformats.org/officeDocument/2006/relationships/hyperlink" Target="http://therighthairstyles.com/" TargetMode="External"/><Relationship Id="rId254" Type="http://schemas.openxmlformats.org/officeDocument/2006/relationships/hyperlink" Target="http://whatismyipaddress.com/" TargetMode="External"/><Relationship Id="rId699" Type="http://schemas.openxmlformats.org/officeDocument/2006/relationships/hyperlink" Target="http://thehulltruth.com/" TargetMode="External"/><Relationship Id="rId49" Type="http://schemas.openxmlformats.org/officeDocument/2006/relationships/hyperlink" Target="http://yahoo.com/" TargetMode="External"/><Relationship Id="rId114" Type="http://schemas.openxmlformats.org/officeDocument/2006/relationships/hyperlink" Target="http://flightaware.com/" TargetMode="External"/><Relationship Id="rId461" Type="http://schemas.openxmlformats.org/officeDocument/2006/relationships/hyperlink" Target="http://cars.com/" TargetMode="External"/><Relationship Id="rId559" Type="http://schemas.openxmlformats.org/officeDocument/2006/relationships/hyperlink" Target="http://cars.com/" TargetMode="External"/><Relationship Id="rId198" Type="http://schemas.openxmlformats.org/officeDocument/2006/relationships/hyperlink" Target="http://yahoo.com/" TargetMode="External"/><Relationship Id="rId321" Type="http://schemas.openxmlformats.org/officeDocument/2006/relationships/hyperlink" Target="http://accuweather.com/" TargetMode="External"/><Relationship Id="rId419" Type="http://schemas.openxmlformats.org/officeDocument/2006/relationships/hyperlink" Target="http://slickdeals.net/" TargetMode="External"/><Relationship Id="rId626" Type="http://schemas.openxmlformats.org/officeDocument/2006/relationships/hyperlink" Target="http://activebeat.com/" TargetMode="External"/><Relationship Id="rId265" Type="http://schemas.openxmlformats.org/officeDocument/2006/relationships/hyperlink" Target="http://people.com/" TargetMode="External"/><Relationship Id="rId472" Type="http://schemas.openxmlformats.org/officeDocument/2006/relationships/hyperlink" Target="http://wikihow.com/" TargetMode="External"/><Relationship Id="rId125" Type="http://schemas.openxmlformats.org/officeDocument/2006/relationships/hyperlink" Target="http://biblegateway.com/" TargetMode="External"/><Relationship Id="rId332" Type="http://schemas.openxmlformats.org/officeDocument/2006/relationships/hyperlink" Target="http://cbsnews.com/" TargetMode="External"/><Relationship Id="rId637" Type="http://schemas.openxmlformats.org/officeDocument/2006/relationships/hyperlink" Target="http://microsoftcasualgames.com/" TargetMode="External"/><Relationship Id="rId276" Type="http://schemas.openxmlformats.org/officeDocument/2006/relationships/hyperlink" Target="http://macrumors.com/" TargetMode="External"/><Relationship Id="rId483" Type="http://schemas.openxmlformats.org/officeDocument/2006/relationships/hyperlink" Target="http://repairlinkshop.com/" TargetMode="External"/><Relationship Id="rId690" Type="http://schemas.openxmlformats.org/officeDocument/2006/relationships/hyperlink" Target="http://ebay.com/" TargetMode="External"/><Relationship Id="rId704" Type="http://schemas.openxmlformats.org/officeDocument/2006/relationships/hyperlink" Target="http://travelerdreams.com/" TargetMode="External"/><Relationship Id="rId40" Type="http://schemas.openxmlformats.org/officeDocument/2006/relationships/hyperlink" Target="http://kbb.com/" TargetMode="External"/><Relationship Id="rId136" Type="http://schemas.openxmlformats.org/officeDocument/2006/relationships/hyperlink" Target="http://msn.com/" TargetMode="External"/><Relationship Id="rId343" Type="http://schemas.openxmlformats.org/officeDocument/2006/relationships/hyperlink" Target="http://accuweather.com/" TargetMode="External"/><Relationship Id="rId550" Type="http://schemas.openxmlformats.org/officeDocument/2006/relationships/hyperlink" Target="http://cbsnews.com/" TargetMode="External"/><Relationship Id="rId203" Type="http://schemas.openxmlformats.org/officeDocument/2006/relationships/hyperlink" Target="http://drugs.com/" TargetMode="External"/><Relationship Id="rId648" Type="http://schemas.openxmlformats.org/officeDocument/2006/relationships/hyperlink" Target="http://weather.com/" TargetMode="External"/><Relationship Id="rId287" Type="http://schemas.openxmlformats.org/officeDocument/2006/relationships/hyperlink" Target="http://realtor.com/" TargetMode="External"/><Relationship Id="rId410" Type="http://schemas.openxmlformats.org/officeDocument/2006/relationships/hyperlink" Target="http://dafont.com/" TargetMode="External"/><Relationship Id="rId494" Type="http://schemas.openxmlformats.org/officeDocument/2006/relationships/hyperlink" Target="http://dictionary.com/" TargetMode="External"/><Relationship Id="rId508" Type="http://schemas.openxmlformats.org/officeDocument/2006/relationships/hyperlink" Target="http://wizofawes.com/" TargetMode="External"/><Relationship Id="rId715" Type="http://schemas.openxmlformats.org/officeDocument/2006/relationships/hyperlink" Target="http://taboolanew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992"/>
  <sheetViews>
    <sheetView tabSelected="1" workbookViewId="0"/>
  </sheetViews>
  <sheetFormatPr defaultColWidth="12.5703125" defaultRowHeight="15.75" customHeight="1"/>
  <cols>
    <col min="1" max="1" width="11.5703125" customWidth="1"/>
    <col min="2" max="2" width="17.42578125" customWidth="1"/>
    <col min="3" max="3" width="18.140625" customWidth="1"/>
    <col min="4" max="4" width="19.85546875" customWidth="1"/>
    <col min="5" max="5" width="19.28515625" customWidth="1"/>
    <col min="6" max="6" width="17" customWidth="1"/>
    <col min="7" max="7" width="16" customWidth="1"/>
    <col min="8" max="8" width="12.140625" customWidth="1"/>
    <col min="9" max="9" width="10.7109375" customWidth="1"/>
    <col min="10" max="10" width="20.7109375" customWidth="1"/>
    <col min="11" max="11" width="21" customWidth="1"/>
    <col min="12" max="12" width="9.7109375" customWidth="1"/>
    <col min="13" max="13" width="21.140625" customWidth="1"/>
    <col min="14" max="14" width="14.85546875" customWidth="1"/>
    <col min="15" max="15" width="14.140625" customWidth="1"/>
    <col min="16" max="16" width="8.5703125" customWidth="1"/>
    <col min="17" max="17" width="11.28515625" customWidth="1"/>
    <col min="18" max="18" width="7.42578125" customWidth="1"/>
    <col min="19" max="19" width="17.5703125" customWidth="1"/>
    <col min="20" max="20" width="19.140625" customWidth="1"/>
    <col min="21" max="21" width="15.140625" customWidth="1"/>
    <col min="22" max="22" width="11.5703125" customWidth="1"/>
    <col min="23" max="23" width="17.42578125" customWidth="1"/>
    <col min="24" max="24" width="16.5703125" customWidth="1"/>
    <col min="25" max="25" width="10.42578125" customWidth="1"/>
    <col min="26" max="26" width="13.42578125" customWidth="1"/>
    <col min="27" max="27" width="16.5703125" customWidth="1"/>
    <col min="28" max="28" width="13.5703125" customWidth="1"/>
    <col min="29" max="29" width="15" customWidth="1"/>
    <col min="31" max="32" width="13.42578125" customWidth="1"/>
  </cols>
  <sheetData>
    <row r="1" spans="1:3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1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4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6" t="s">
        <v>26</v>
      </c>
      <c r="AB1" s="5" t="s">
        <v>27</v>
      </c>
      <c r="AC1" s="5" t="s">
        <v>28</v>
      </c>
      <c r="AE1" s="7"/>
      <c r="AF1" s="7"/>
    </row>
    <row r="2" spans="1:32">
      <c r="A2" s="8" t="s">
        <v>29</v>
      </c>
      <c r="B2" s="9" t="s">
        <v>30</v>
      </c>
      <c r="C2" s="9" t="s">
        <v>31</v>
      </c>
      <c r="D2" s="9"/>
      <c r="E2" s="9"/>
      <c r="F2" s="9" t="str">
        <f ca="1">IFERROR(__xludf.DUMMYFUNCTION("IFS(
  REGEXMATCH(LOWER(VLOOKUP(A2, Data1_Raw_Slack!A:B, 2, FALSE)), ""news|weather""), ""News and Weather"", REGEXMATCH(LOWER(VLOOKUP(A2, Data1_Raw_Slack!A:B, 2, FALSE)), ""sports|ufc|nba|nfl|mlb|soccer|sports fans""), ""Sports"",
  REGEXMATCH(LOWER(VLOO"&amp;"KUP(A2, Data1_Raw_Slack!A:B, 2, FALSE)), ""fashion|style|clothing|apparel|shoes|accessories|beauty|cosmetics|fashionistas""), ""Fashion and Beauty"",
  REGEXMATCH(LOWER(VLOOKUP(A2, Data1_Raw_Slack!A:B, 2, FALSE)), ""food|cooking|recipe|restaurant|snack|gr"&amp;"ocery|foodies""), ""Food"",
  REGEXMATCH(LOWER(VLOOKUP(A2, Data1_Raw_Slack!A:B, 2, FALSE)), ""travel|vacation|airline|hotel|trip|flights|travelers""), ""Travel"",
  REGEXMATCH(LOWER(VLOOKUP(A2, Data1_Raw_Slack!A:B, 2, FALSE)), ""fitness|workout|gym|exerci"&amp;"se|yoga|wellness|fitness enthusiasts""), ""Fitness"",
  REGEXMATCH(LOWER(VLOOKUP(A2, Data1_Raw_Slack!A:B, 2, FALSE)), ""health|medical|pharmacy|mental health|doctor|health-conscious""), ""Health"",
  REGEXMATCH(LOWER(VLOOKUP(A2, Data1_Raw_Slack!A:B, 2, FA"&amp;"LSE)), ""pets|dogs|cats|animals|pet care|pet lovers""), ""Pets"",
  REGEXMATCH(LOWER(VLOOKUP(A2, Data1_Raw_Slack!A:B, 2, FALSE)), ""games|gaming|game|xbox|playstation|nintendo|gamers""), ""Gaming"",
  REGEXMATCH(LOWER(VLOOKUP(A2, Data1_Raw_Slack!A:B, 2, F"&amp;"ALSE)), ""entertainment|movies|tv|netflix|streaming|celebrity|movie lovers|tv fans|hobb|photo|art""), ""Entertainment"",
  REGEXMATCH(LOWER(VLOOKUP(A2, Data1_Raw_Slack!A:B, 2, FALSE)), ""lifestyle|home|interior|decor|living|lifestyle enthusiasts""), ""Lif"&amp;"estyle"",
  REGEXMATCH(LOWER(VLOOKUP(A2, Data1_Raw_Slack!A:B, 2, FALSE)), ""financial|finance|investing|stocks|retirement|banking|credit|debt|loans|savings|personal finance|insurance|econ|ecom|business|retail|occupation|sale|job|marketing""), ""Finance"","&amp;"
  REGEXMATCH(LOWER(VLOOKUP(A2, Data1_Raw_Slack!A:B, 2, FALSE)), ""auto|automotive""), ""Auto"",
  REGEXMATCH(LOWER(VLOOKUP(A2, Data1_Raw_Slack!A:B, 2, FALSE)), ""parenting|moms|dads|kids|toddlers|baby|parent|children""), ""Parenting"",
  REGEXMATCH(LO"&amp;"WER(VLOOKUP(A2, Data1_Raw_Slack!A:B, 2, FALSE)), ""education|students|learning|school|teachers|college|university|academics""), ""Education"",
  REGEXMATCH(LOWER(VLOOKUP(A2, Data1_Raw_Slack!A:B, 2, FALSE)), ""age|gender|demographic|family|household""), """&amp;"Demographics"",
  REGEXMATCH(LOWER(VLOOKUP(A2, Data1_Raw_Slack!A:B, 2, FALSE)), ""mortgage|real estate""), ""Real Estate"",REGEXMATCH(LOWER(VLOOKUP(A2, Data1_Raw_Slack!A:B, 2, FALSE)), ""technology|tech|gadgets|smartphone|electro|apps|devices|computing|ai"&amp;"|robots|software|computer|internet|tele|mobile|tablet""), ""Technology"", REGEXMATCH(LOWER(VLOOKUP(A2, Data1_Raw_Slack!A:B, 2, FALSE)), ""entertainment|purchas|movies|tv|netflix|streaming|celebrity|movie lovers|tv fans|media|hobb|photo|art|shop""), ""Ente"&amp;"rtainment"", REGEXMATCH(LOWER(VLOOKUP(A2, Data1_Raw_Slack!A:B, 2, FALSE)), ""law|government|""), ""Law and Government"",
  TRUE, ""Other""
)"),"Entertainment")</f>
        <v>Entertainment</v>
      </c>
      <c r="G2" s="9"/>
      <c r="H2" s="9" t="s">
        <v>32</v>
      </c>
      <c r="I2" s="9" t="s">
        <v>33</v>
      </c>
      <c r="J2" s="9" t="s">
        <v>34</v>
      </c>
      <c r="K2" s="9" t="s">
        <v>35</v>
      </c>
      <c r="L2" s="9" t="s">
        <v>36</v>
      </c>
      <c r="M2" s="10" t="s">
        <v>37</v>
      </c>
      <c r="N2" s="9" t="str">
        <f ca="1">IFERROR(__xludf.DUMMYFUNCTION("REGEXEXTRACT(LOWER(M2), ""([a-z0-9\-]+)\.(?:co|net|org|io|gg)"")"),"cars")</f>
        <v>cars</v>
      </c>
      <c r="O2" s="9" t="s">
        <v>38</v>
      </c>
      <c r="P2" s="9" t="s">
        <v>39</v>
      </c>
      <c r="Q2" s="9">
        <v>66554</v>
      </c>
      <c r="R2" s="9">
        <v>169</v>
      </c>
      <c r="S2" s="9">
        <v>39206</v>
      </c>
      <c r="T2" s="9">
        <v>62109</v>
      </c>
      <c r="U2" s="9">
        <v>6</v>
      </c>
      <c r="V2" s="11">
        <v>1890.885935</v>
      </c>
      <c r="W2" s="12">
        <f t="shared" ref="W2:W256" si="0">IFERROR(V2/U2,"N/A")</f>
        <v>315.14765583333332</v>
      </c>
      <c r="X2" s="12">
        <f t="shared" ref="X2:X256" si="1">IFERROR((R2/Q2)*100,"N/A")</f>
        <v>0.25392914024701746</v>
      </c>
      <c r="Y2" s="12">
        <f t="shared" ref="Y2:Y256" si="2">IFERROR((S2 / Q2) * 100,"N/A")</f>
        <v>58.908555458725246</v>
      </c>
      <c r="Z2" s="12">
        <f t="shared" ref="Z2:Z256" si="3">IFERROR((V2/S2)*1000,"N/A")</f>
        <v>48.229504029995411</v>
      </c>
      <c r="AA2" s="12">
        <f t="shared" ref="AA2:AA256" si="4">IFERROR((V2/Q2)*1000,"N/A")</f>
        <v>28.411304128977971</v>
      </c>
      <c r="AB2" s="12">
        <f t="shared" ref="AB2:AB256" si="5">IFERROR(V2/R2,"N/A")</f>
        <v>11.188674171597633</v>
      </c>
      <c r="AC2" s="12">
        <f t="shared" ref="AC2:AC256" si="6">IFERROR((U2/R2)*100,"N/A")</f>
        <v>3.5502958579881656</v>
      </c>
      <c r="AE2" s="13"/>
      <c r="AF2" s="13"/>
    </row>
    <row r="3" spans="1:32">
      <c r="A3" s="8" t="s">
        <v>40</v>
      </c>
      <c r="B3" s="9" t="s">
        <v>41</v>
      </c>
      <c r="C3" s="9" t="s">
        <v>42</v>
      </c>
      <c r="D3" s="9" t="s">
        <v>43</v>
      </c>
      <c r="E3" s="9"/>
      <c r="F3" s="9" t="str">
        <f ca="1">IFERROR(__xludf.DUMMYFUNCTION("IFS(
  REGEXMATCH(LOWER(VLOOKUP(A3, Data1_Raw_Slack!A:B, 2, FALSE)), ""news|weather""), ""News and Weather"", REGEXMATCH(LOWER(VLOOKUP(A3, Data1_Raw_Slack!A:B, 2, FALSE)), ""sports|ufc|nba|nfl|mlb|soccer|sports fans""), ""Sports"",
  REGEXMATCH(LOWER(VLOO"&amp;"KUP(A3, Data1_Raw_Slack!A:B, 2, FALSE)), ""fashion|style|clothing|apparel|shoes|accessories|beauty|cosmetics|fashionistas""), ""Fashion and Beauty"",
  REGEXMATCH(LOWER(VLOOKUP(A3, Data1_Raw_Slack!A:B, 2, FALSE)), ""food|cooking|recipe|restaurant|snack|gr"&amp;"ocery|foodies""), ""Food"",
  REGEXMATCH(LOWER(VLOOKUP(A3, Data1_Raw_Slack!A:B, 2, FALSE)), ""travel|vacation|airline|hotel|trip|flights|travelers""), ""Travel"",
  REGEXMATCH(LOWER(VLOOKUP(A3, Data1_Raw_Slack!A:B, 2, FALSE)), ""fitness|workout|gym|exerci"&amp;"se|yoga|wellness|fitness enthusiasts""), ""Fitness"",
  REGEXMATCH(LOWER(VLOOKUP(A3, Data1_Raw_Slack!A:B, 2, FALSE)), ""health|medical|pharmacy|mental health|doctor|health-conscious""), ""Health"",
  REGEXMATCH(LOWER(VLOOKUP(A3, Data1_Raw_Slack!A:B, 2, FA"&amp;"LSE)), ""pets|dogs|cats|animals|pet care|pet lovers""), ""Pets"",
  REGEXMATCH(LOWER(VLOOKUP(A3, Data1_Raw_Slack!A:B, 2, FALSE)), ""games|gaming|game|xbox|playstation|nintendo|gamers""), ""Gaming"",
  REGEXMATCH(LOWER(VLOOKUP(A3, Data1_Raw_Slack!A:B, 2, F"&amp;"ALSE)), ""entertainment|movies|tv|netflix|streaming|celebrity|movie lovers|tv fans|hobb|photo|art""), ""Entertainment"",
  REGEXMATCH(LOWER(VLOOKUP(A3, Data1_Raw_Slack!A:B, 2, FALSE)), ""lifestyle|home|interior|decor|living|lifestyle enthusiasts""), ""Lif"&amp;"estyle"",
  REGEXMATCH(LOWER(VLOOKUP(A3, Data1_Raw_Slack!A:B, 2, FALSE)), ""financial|finance|investing|stocks|retirement|banking|credit|debt|loans|savings|personal finance|insurance|econ|ecom|business|retail|occupation|sale|job|marketing""), ""Finance"","&amp;"
  REGEXMATCH(LOWER(VLOOKUP(A3, Data1_Raw_Slack!A:B, 2, FALSE)), ""auto|automotive""), ""Auto"",
  REGEXMATCH(LOWER(VLOOKUP(A3, Data1_Raw_Slack!A:B, 2, FALSE)), ""parenting|moms|dads|kids|toddlers|baby|parent|children""), ""Parenting"",
  REGEXMATCH(LO"&amp;"WER(VLOOKUP(A3, Data1_Raw_Slack!A:B, 2, FALSE)), ""education|students|learning|school|teachers|college|university|academics""), ""Education"",
  REGEXMATCH(LOWER(VLOOKUP(A3, Data1_Raw_Slack!A:B, 2, FALSE)), ""age|gender|demographic|family|household""), """&amp;"Demographics"",
  REGEXMATCH(LOWER(VLOOKUP(A3, Data1_Raw_Slack!A:B, 2, FALSE)), ""mortgage|real estate""), ""Real Estate"",REGEXMATCH(LOWER(VLOOKUP(A3, Data1_Raw_Slack!A:B, 2, FALSE)), ""technology|tech|gadgets|smartphone|electro|apps|devices|computing|ai"&amp;"|robots|software|computer|internet|tele|mobile|tablet""), ""Technology"", REGEXMATCH(LOWER(VLOOKUP(A3, Data1_Raw_Slack!A:B, 2, FALSE)), ""entertainment|purchas|movies|tv|netflix|streaming|celebrity|movie lovers|tv fans|media|hobb|photo|art|shop""), ""Ente"&amp;"rtainment"", REGEXMATCH(LOWER(VLOOKUP(A3, Data1_Raw_Slack!A:B, 2, FALSE)), ""law|government|""), ""Law and Government"",
  TRUE, ""Other""
)"),"Lifestyle")</f>
        <v>Lifestyle</v>
      </c>
      <c r="G3" s="9"/>
      <c r="H3" s="9" t="s">
        <v>44</v>
      </c>
      <c r="I3" s="9" t="s">
        <v>45</v>
      </c>
      <c r="J3" s="9" t="s">
        <v>46</v>
      </c>
      <c r="K3" s="9" t="s">
        <v>47</v>
      </c>
      <c r="L3" s="9" t="s">
        <v>48</v>
      </c>
      <c r="M3" s="10" t="s">
        <v>49</v>
      </c>
      <c r="N3" s="9" t="str">
        <f ca="1">IFERROR(__xludf.DUMMYFUNCTION("REGEXEXTRACT(LOWER(M3), ""([a-z0-9\-]+)\.(?:co|net|org|io|gg)"")"),"yahoo")</f>
        <v>yahoo</v>
      </c>
      <c r="O3" s="9" t="s">
        <v>50</v>
      </c>
      <c r="P3" s="9" t="s">
        <v>39</v>
      </c>
      <c r="Q3" s="9">
        <v>14730</v>
      </c>
      <c r="R3" s="9">
        <v>86</v>
      </c>
      <c r="S3" s="9">
        <v>6410</v>
      </c>
      <c r="T3" s="9">
        <v>10860</v>
      </c>
      <c r="U3" s="9">
        <v>6</v>
      </c>
      <c r="V3" s="11">
        <v>5287.5675279999996</v>
      </c>
      <c r="W3" s="12">
        <f t="shared" si="0"/>
        <v>881.26125466666656</v>
      </c>
      <c r="X3" s="12">
        <f t="shared" si="1"/>
        <v>0.58384249830278345</v>
      </c>
      <c r="Y3" s="12">
        <f t="shared" si="2"/>
        <v>43.516632722335366</v>
      </c>
      <c r="Z3" s="12">
        <f t="shared" si="3"/>
        <v>824.89353010920433</v>
      </c>
      <c r="AA3" s="12">
        <f t="shared" si="4"/>
        <v>358.96588784792937</v>
      </c>
      <c r="AB3" s="12">
        <f t="shared" si="5"/>
        <v>61.483343348837202</v>
      </c>
      <c r="AC3" s="12">
        <f t="shared" si="6"/>
        <v>6.9767441860465116</v>
      </c>
      <c r="AE3" s="13"/>
      <c r="AF3" s="13"/>
    </row>
    <row r="4" spans="1:32">
      <c r="A4" s="8" t="s">
        <v>51</v>
      </c>
      <c r="B4" s="9" t="s">
        <v>52</v>
      </c>
      <c r="C4" s="9" t="s">
        <v>53</v>
      </c>
      <c r="D4" s="9" t="s">
        <v>54</v>
      </c>
      <c r="E4" s="9"/>
      <c r="F4" s="9" t="str">
        <f ca="1">IFERROR(__xludf.DUMMYFUNCTION("IFS(
  REGEXMATCH(LOWER(VLOOKUP(A4, Data1_Raw_Slack!A:B, 2, FALSE)), ""news|weather""), ""News and Weather"", REGEXMATCH(LOWER(VLOOKUP(A4, Data1_Raw_Slack!A:B, 2, FALSE)), ""sports|ufc|nba|nfl|mlb|soccer|sports fans""), ""Sports"",
  REGEXMATCH(LOWER(VLOO"&amp;"KUP(A4, Data1_Raw_Slack!A:B, 2, FALSE)), ""fashion|style|clothing|apparel|shoes|accessories|beauty|cosmetics|fashionistas""), ""Fashion and Beauty"",
  REGEXMATCH(LOWER(VLOOKUP(A4, Data1_Raw_Slack!A:B, 2, FALSE)), ""food|cooking|recipe|restaurant|snack|gr"&amp;"ocery|foodies""), ""Food"",
  REGEXMATCH(LOWER(VLOOKUP(A4, Data1_Raw_Slack!A:B, 2, FALSE)), ""travel|vacation|airline|hotel|trip|flights|travelers""), ""Travel"",
  REGEXMATCH(LOWER(VLOOKUP(A4, Data1_Raw_Slack!A:B, 2, FALSE)), ""fitness|workout|gym|exerci"&amp;"se|yoga|wellness|fitness enthusiasts""), ""Fitness"",
  REGEXMATCH(LOWER(VLOOKUP(A4, Data1_Raw_Slack!A:B, 2, FALSE)), ""health|medical|pharmacy|mental health|doctor|health-conscious""), ""Health"",
  REGEXMATCH(LOWER(VLOOKUP(A4, Data1_Raw_Slack!A:B, 2, FA"&amp;"LSE)), ""pets|dogs|cats|animals|pet care|pet lovers""), ""Pets"",
  REGEXMATCH(LOWER(VLOOKUP(A4, Data1_Raw_Slack!A:B, 2, FALSE)), ""games|gaming|game|xbox|playstation|nintendo|gamers""), ""Gaming"",
  REGEXMATCH(LOWER(VLOOKUP(A4, Data1_Raw_Slack!A:B, 2, F"&amp;"ALSE)), ""entertainment|movies|tv|netflix|streaming|celebrity|movie lovers|tv fans|hobb|photo|art""), ""Entertainment"",
  REGEXMATCH(LOWER(VLOOKUP(A4, Data1_Raw_Slack!A:B, 2, FALSE)), ""lifestyle|home|interior|decor|living|lifestyle enthusiasts""), ""Lif"&amp;"estyle"",
  REGEXMATCH(LOWER(VLOOKUP(A4, Data1_Raw_Slack!A:B, 2, FALSE)), ""financial|finance|investing|stocks|retirement|banking|credit|debt|loans|savings|personal finance|insurance|econ|ecom|business|retail|occupation|sale|job|marketing""), ""Finance"","&amp;"
  REGEXMATCH(LOWER(VLOOKUP(A4, Data1_Raw_Slack!A:B, 2, FALSE)), ""auto|automotive""), ""Auto"",
  REGEXMATCH(LOWER(VLOOKUP(A4, Data1_Raw_Slack!A:B, 2, FALSE)), ""parenting|moms|dads|kids|toddlers|baby|parent|children""), ""Parenting"",
  REGEXMATCH(LO"&amp;"WER(VLOOKUP(A4, Data1_Raw_Slack!A:B, 2, FALSE)), ""education|students|learning|school|teachers|college|university|academics""), ""Education"",
  REGEXMATCH(LOWER(VLOOKUP(A4, Data1_Raw_Slack!A:B, 2, FALSE)), ""age|gender|demographic|family|household""), """&amp;"Demographics"",
  REGEXMATCH(LOWER(VLOOKUP(A4, Data1_Raw_Slack!A:B, 2, FALSE)), ""mortgage|real estate""), ""Real Estate"",REGEXMATCH(LOWER(VLOOKUP(A4, Data1_Raw_Slack!A:B, 2, FALSE)), ""technology|tech|gadgets|smartphone|electro|apps|devices|computing|ai"&amp;"|robots|software|computer|internet|tele|mobile|tablet""), ""Technology"", REGEXMATCH(LOWER(VLOOKUP(A4, Data1_Raw_Slack!A:B, 2, FALSE)), ""entertainment|purchas|movies|tv|netflix|streaming|celebrity|movie lovers|tv fans|media|hobb|photo|art|shop""), ""Ente"&amp;"rtainment"", REGEXMATCH(LOWER(VLOOKUP(A4, Data1_Raw_Slack!A:B, 2, FALSE)), ""law|government|""), ""Law and Government"",
  TRUE, ""Other""
)"),"Health")</f>
        <v>Health</v>
      </c>
      <c r="G4" s="9"/>
      <c r="H4" s="9" t="s">
        <v>32</v>
      </c>
      <c r="I4" s="9" t="s">
        <v>55</v>
      </c>
      <c r="J4" s="9" t="s">
        <v>46</v>
      </c>
      <c r="K4" s="9" t="s">
        <v>56</v>
      </c>
      <c r="L4" s="9" t="s">
        <v>57</v>
      </c>
      <c r="M4" s="10" t="s">
        <v>58</v>
      </c>
      <c r="N4" s="9" t="str">
        <f ca="1">IFERROR(__xludf.DUMMYFUNCTION("REGEXEXTRACT(LOWER(M4), ""([a-z0-9\-]+)\.(?:co|net|org|io|gg)"")"),"forbes")</f>
        <v>forbes</v>
      </c>
      <c r="O4" s="9" t="s">
        <v>50</v>
      </c>
      <c r="P4" s="9" t="s">
        <v>39</v>
      </c>
      <c r="Q4" s="9">
        <v>33069</v>
      </c>
      <c r="R4" s="9">
        <v>140</v>
      </c>
      <c r="S4" s="9">
        <v>17744</v>
      </c>
      <c r="T4" s="9">
        <v>31192</v>
      </c>
      <c r="U4" s="9">
        <v>14</v>
      </c>
      <c r="V4" s="11">
        <v>1543.3106110000001</v>
      </c>
      <c r="W4" s="12">
        <f t="shared" si="0"/>
        <v>110.23647221428573</v>
      </c>
      <c r="X4" s="12">
        <f t="shared" si="1"/>
        <v>0.42335722277661858</v>
      </c>
      <c r="Y4" s="12">
        <f t="shared" si="2"/>
        <v>53.657504006773713</v>
      </c>
      <c r="Z4" s="12">
        <f t="shared" si="3"/>
        <v>86.976477175383238</v>
      </c>
      <c r="AA4" s="12">
        <f t="shared" si="4"/>
        <v>46.669406725331889</v>
      </c>
      <c r="AB4" s="12">
        <f t="shared" si="5"/>
        <v>11.023647221428572</v>
      </c>
      <c r="AC4" s="12">
        <f t="shared" si="6"/>
        <v>10</v>
      </c>
      <c r="AE4" s="13"/>
      <c r="AF4" s="13"/>
    </row>
    <row r="5" spans="1:32">
      <c r="A5" s="8" t="s">
        <v>59</v>
      </c>
      <c r="B5" s="9" t="s">
        <v>52</v>
      </c>
      <c r="C5" s="9" t="s">
        <v>53</v>
      </c>
      <c r="D5" s="9" t="s">
        <v>60</v>
      </c>
      <c r="E5" s="9"/>
      <c r="F5" s="9" t="str">
        <f ca="1">IFERROR(__xludf.DUMMYFUNCTION("IFS(
  REGEXMATCH(LOWER(VLOOKUP(A5, Data1_Raw_Slack!A:B, 2, FALSE)), ""news|weather""), ""News and Weather"", REGEXMATCH(LOWER(VLOOKUP(A5, Data1_Raw_Slack!A:B, 2, FALSE)), ""sports|ufc|nba|nfl|mlb|soccer|sports fans""), ""Sports"",
  REGEXMATCH(LOWER(VLOO"&amp;"KUP(A5, Data1_Raw_Slack!A:B, 2, FALSE)), ""fashion|style|clothing|apparel|shoes|accessories|beauty|cosmetics|fashionistas""), ""Fashion and Beauty"",
  REGEXMATCH(LOWER(VLOOKUP(A5, Data1_Raw_Slack!A:B, 2, FALSE)), ""food|cooking|recipe|restaurant|snack|gr"&amp;"ocery|foodies""), ""Food"",
  REGEXMATCH(LOWER(VLOOKUP(A5, Data1_Raw_Slack!A:B, 2, FALSE)), ""travel|vacation|airline|hotel|trip|flights|travelers""), ""Travel"",
  REGEXMATCH(LOWER(VLOOKUP(A5, Data1_Raw_Slack!A:B, 2, FALSE)), ""fitness|workout|gym|exerci"&amp;"se|yoga|wellness|fitness enthusiasts""), ""Fitness"",
  REGEXMATCH(LOWER(VLOOKUP(A5, Data1_Raw_Slack!A:B, 2, FALSE)), ""health|medical|pharmacy|mental health|doctor|health-conscious""), ""Health"",
  REGEXMATCH(LOWER(VLOOKUP(A5, Data1_Raw_Slack!A:B, 2, FA"&amp;"LSE)), ""pets|dogs|cats|animals|pet care|pet lovers""), ""Pets"",
  REGEXMATCH(LOWER(VLOOKUP(A5, Data1_Raw_Slack!A:B, 2, FALSE)), ""games|gaming|game|xbox|playstation|nintendo|gamers""), ""Gaming"",
  REGEXMATCH(LOWER(VLOOKUP(A5, Data1_Raw_Slack!A:B, 2, F"&amp;"ALSE)), ""entertainment|movies|tv|netflix|streaming|celebrity|movie lovers|tv fans|hobb|photo|art""), ""Entertainment"",
  REGEXMATCH(LOWER(VLOOKUP(A5, Data1_Raw_Slack!A:B, 2, FALSE)), ""lifestyle|home|interior|decor|living|lifestyle enthusiasts""), ""Lif"&amp;"estyle"",
  REGEXMATCH(LOWER(VLOOKUP(A5, Data1_Raw_Slack!A:B, 2, FALSE)), ""financial|finance|investing|stocks|retirement|banking|credit|debt|loans|savings|personal finance|insurance|econ|ecom|business|retail|occupation|sale|job|marketing""), ""Finance"","&amp;"
  REGEXMATCH(LOWER(VLOOKUP(A5, Data1_Raw_Slack!A:B, 2, FALSE)), ""auto|automotive""), ""Auto"",
  REGEXMATCH(LOWER(VLOOKUP(A5, Data1_Raw_Slack!A:B, 2, FALSE)), ""parenting|moms|dads|kids|toddlers|baby|parent|children""), ""Parenting"",
  REGEXMATCH(LO"&amp;"WER(VLOOKUP(A5, Data1_Raw_Slack!A:B, 2, FALSE)), ""education|students|learning|school|teachers|college|university|academics""), ""Education"",
  REGEXMATCH(LOWER(VLOOKUP(A5, Data1_Raw_Slack!A:B, 2, FALSE)), ""age|gender|demographic|family|household""), """&amp;"Demographics"",
  REGEXMATCH(LOWER(VLOOKUP(A5, Data1_Raw_Slack!A:B, 2, FALSE)), ""mortgage|real estate""), ""Real Estate"",REGEXMATCH(LOWER(VLOOKUP(A5, Data1_Raw_Slack!A:B, 2, FALSE)), ""technology|tech|gadgets|smartphone|electro|apps|devices|computing|ai"&amp;"|robots|software|computer|internet|tele|mobile|tablet""), ""Technology"", REGEXMATCH(LOWER(VLOOKUP(A5, Data1_Raw_Slack!A:B, 2, FALSE)), ""entertainment|purchas|movies|tv|netflix|streaming|celebrity|movie lovers|tv fans|media|hobb|photo|art|shop""), ""Ente"&amp;"rtainment"", REGEXMATCH(LOWER(VLOOKUP(A5, Data1_Raw_Slack!A:B, 2, FALSE)), ""law|government|""), ""Law and Government"",
  TRUE, ""Other""
)"),"Finance")</f>
        <v>Finance</v>
      </c>
      <c r="G5" s="9"/>
      <c r="H5" s="9" t="s">
        <v>44</v>
      </c>
      <c r="I5" s="9" t="s">
        <v>61</v>
      </c>
      <c r="J5" s="9" t="s">
        <v>62</v>
      </c>
      <c r="K5" s="9" t="s">
        <v>35</v>
      </c>
      <c r="L5" s="9" t="s">
        <v>36</v>
      </c>
      <c r="M5" s="10" t="s">
        <v>63</v>
      </c>
      <c r="N5" s="9" t="str">
        <f ca="1">IFERROR(__xludf.DUMMYFUNCTION("REGEXEXTRACT(LOWER(M5), ""([a-z0-9\-]+)\.(?:co|net|org|io|gg)"")"),"foxbusiness")</f>
        <v>foxbusiness</v>
      </c>
      <c r="O5" s="9" t="s">
        <v>50</v>
      </c>
      <c r="P5" s="9" t="s">
        <v>64</v>
      </c>
      <c r="Q5" s="9">
        <v>12436</v>
      </c>
      <c r="R5" s="9">
        <v>84</v>
      </c>
      <c r="S5" s="9">
        <v>7055</v>
      </c>
      <c r="T5" s="9">
        <v>11497</v>
      </c>
      <c r="U5" s="9">
        <v>9</v>
      </c>
      <c r="V5" s="11">
        <v>1720.870126</v>
      </c>
      <c r="W5" s="12">
        <f t="shared" si="0"/>
        <v>191.20779177777777</v>
      </c>
      <c r="X5" s="12">
        <f t="shared" si="1"/>
        <v>0.6754583467352846</v>
      </c>
      <c r="Y5" s="12">
        <f t="shared" si="2"/>
        <v>56.730459954969447</v>
      </c>
      <c r="Z5" s="12">
        <f t="shared" si="3"/>
        <v>243.92205896527287</v>
      </c>
      <c r="AA5" s="12">
        <f t="shared" si="4"/>
        <v>138.37810598263107</v>
      </c>
      <c r="AB5" s="12">
        <f t="shared" si="5"/>
        <v>20.48654911904762</v>
      </c>
      <c r="AC5" s="12">
        <f t="shared" si="6"/>
        <v>10.714285714285714</v>
      </c>
      <c r="AE5" s="13"/>
      <c r="AF5" s="13"/>
    </row>
    <row r="6" spans="1:32">
      <c r="A6" s="8" t="s">
        <v>65</v>
      </c>
      <c r="B6" s="9" t="s">
        <v>66</v>
      </c>
      <c r="C6" s="9" t="s">
        <v>67</v>
      </c>
      <c r="D6" s="9" t="s">
        <v>68</v>
      </c>
      <c r="E6" s="9"/>
      <c r="F6" s="9" t="str">
        <f ca="1">IFERROR(__xludf.DUMMYFUNCTION("IFS(
  REGEXMATCH(LOWER(VLOOKUP(A6, Data1_Raw_Slack!A:B, 2, FALSE)), ""news|weather""), ""News and Weather"", REGEXMATCH(LOWER(VLOOKUP(A6, Data1_Raw_Slack!A:B, 2, FALSE)), ""sports|ufc|nba|nfl|mlb|soccer|sports fans""), ""Sports"",
  REGEXMATCH(LOWER(VLOO"&amp;"KUP(A6, Data1_Raw_Slack!A:B, 2, FALSE)), ""fashion|style|clothing|apparel|shoes|accessories|beauty|cosmetics|fashionistas""), ""Fashion and Beauty"",
  REGEXMATCH(LOWER(VLOOKUP(A6, Data1_Raw_Slack!A:B, 2, FALSE)), ""food|cooking|recipe|restaurant|snack|gr"&amp;"ocery|foodies""), ""Food"",
  REGEXMATCH(LOWER(VLOOKUP(A6, Data1_Raw_Slack!A:B, 2, FALSE)), ""travel|vacation|airline|hotel|trip|flights|travelers""), ""Travel"",
  REGEXMATCH(LOWER(VLOOKUP(A6, Data1_Raw_Slack!A:B, 2, FALSE)), ""fitness|workout|gym|exerci"&amp;"se|yoga|wellness|fitness enthusiasts""), ""Fitness"",
  REGEXMATCH(LOWER(VLOOKUP(A6, Data1_Raw_Slack!A:B, 2, FALSE)), ""health|medical|pharmacy|mental health|doctor|health-conscious""), ""Health"",
  REGEXMATCH(LOWER(VLOOKUP(A6, Data1_Raw_Slack!A:B, 2, FA"&amp;"LSE)), ""pets|dogs|cats|animals|pet care|pet lovers""), ""Pets"",
  REGEXMATCH(LOWER(VLOOKUP(A6, Data1_Raw_Slack!A:B, 2, FALSE)), ""games|gaming|game|xbox|playstation|nintendo|gamers""), ""Gaming"",
  REGEXMATCH(LOWER(VLOOKUP(A6, Data1_Raw_Slack!A:B, 2, F"&amp;"ALSE)), ""entertainment|movies|tv|netflix|streaming|celebrity|movie lovers|tv fans|hobb|photo|art""), ""Entertainment"",
  REGEXMATCH(LOWER(VLOOKUP(A6, Data1_Raw_Slack!A:B, 2, FALSE)), ""lifestyle|home|interior|decor|living|lifestyle enthusiasts""), ""Lif"&amp;"estyle"",
  REGEXMATCH(LOWER(VLOOKUP(A6, Data1_Raw_Slack!A:B, 2, FALSE)), ""financial|finance|investing|stocks|retirement|banking|credit|debt|loans|savings|personal finance|insurance|econ|ecom|business|retail|occupation|sale|job|marketing""), ""Finance"","&amp;"
  REGEXMATCH(LOWER(VLOOKUP(A6, Data1_Raw_Slack!A:B, 2, FALSE)), ""auto|automotive""), ""Auto"",
  REGEXMATCH(LOWER(VLOOKUP(A6, Data1_Raw_Slack!A:B, 2, FALSE)), ""parenting|moms|dads|kids|toddlers|baby|parent|children""), ""Parenting"",
  REGEXMATCH(LO"&amp;"WER(VLOOKUP(A6, Data1_Raw_Slack!A:B, 2, FALSE)), ""education|students|learning|school|teachers|college|university|academics""), ""Education"",
  REGEXMATCH(LOWER(VLOOKUP(A6, Data1_Raw_Slack!A:B, 2, FALSE)), ""age|gender|demographic|family|household""), """&amp;"Demographics"",
  REGEXMATCH(LOWER(VLOOKUP(A6, Data1_Raw_Slack!A:B, 2, FALSE)), ""mortgage|real estate""), ""Real Estate"",REGEXMATCH(LOWER(VLOOKUP(A6, Data1_Raw_Slack!A:B, 2, FALSE)), ""technology|tech|gadgets|smartphone|electro|apps|devices|computing|ai"&amp;"|robots|software|computer|internet|tele|mobile|tablet""), ""Technology"", REGEXMATCH(LOWER(VLOOKUP(A6, Data1_Raw_Slack!A:B, 2, FALSE)), ""entertainment|purchas|movies|tv|netflix|streaming|celebrity|movie lovers|tv fans|media|hobb|photo|art|shop""), ""Ente"&amp;"rtainment"", REGEXMATCH(LOWER(VLOOKUP(A6, Data1_Raw_Slack!A:B, 2, FALSE)), ""law|government|""), ""Law and Government"",
  TRUE, ""Other""
)"),"Entertainment")</f>
        <v>Entertainment</v>
      </c>
      <c r="G6" s="9" t="s">
        <v>69</v>
      </c>
      <c r="H6" s="9" t="s">
        <v>44</v>
      </c>
      <c r="I6" s="9" t="s">
        <v>70</v>
      </c>
      <c r="J6" s="9" t="s">
        <v>62</v>
      </c>
      <c r="K6" s="9" t="s">
        <v>71</v>
      </c>
      <c r="L6" s="9" t="s">
        <v>72</v>
      </c>
      <c r="M6" s="10" t="s">
        <v>73</v>
      </c>
      <c r="N6" s="9" t="str">
        <f ca="1">IFERROR(__xludf.DUMMYFUNCTION("REGEXEXTRACT(LOWER(M6), ""([a-z0-9\-]+)\.(?:co|net|org|io|gg)"")"),"aol")</f>
        <v>aol</v>
      </c>
      <c r="O6" s="9" t="s">
        <v>74</v>
      </c>
      <c r="P6" s="9" t="s">
        <v>75</v>
      </c>
      <c r="Q6" s="9">
        <v>32173</v>
      </c>
      <c r="R6" s="9">
        <v>104</v>
      </c>
      <c r="S6" s="9">
        <v>24427</v>
      </c>
      <c r="T6" s="9">
        <v>30084</v>
      </c>
      <c r="U6" s="9">
        <v>11</v>
      </c>
      <c r="V6" s="11">
        <v>1498.2915399999999</v>
      </c>
      <c r="W6" s="12">
        <f t="shared" si="0"/>
        <v>136.20832181818182</v>
      </c>
      <c r="X6" s="12">
        <f t="shared" si="1"/>
        <v>0.32325241662263388</v>
      </c>
      <c r="Y6" s="12">
        <f t="shared" si="2"/>
        <v>75.923911354241142</v>
      </c>
      <c r="Z6" s="12">
        <f t="shared" si="3"/>
        <v>61.337517501125802</v>
      </c>
      <c r="AA6" s="12">
        <f t="shared" si="4"/>
        <v>46.569842414446896</v>
      </c>
      <c r="AB6" s="12">
        <f t="shared" si="5"/>
        <v>14.406649423076923</v>
      </c>
      <c r="AC6" s="12">
        <f t="shared" si="6"/>
        <v>10.576923076923077</v>
      </c>
      <c r="AE6" s="13"/>
      <c r="AF6" s="13"/>
    </row>
    <row r="7" spans="1:32">
      <c r="A7" s="8" t="s">
        <v>76</v>
      </c>
      <c r="B7" s="9"/>
      <c r="C7" s="9" t="s">
        <v>77</v>
      </c>
      <c r="D7" s="9" t="s">
        <v>78</v>
      </c>
      <c r="E7" s="9"/>
      <c r="F7" s="9" t="str">
        <f ca="1">IFERROR(__xludf.DUMMYFUNCTION("IFS(
  REGEXMATCH(LOWER(VLOOKUP(A7, Data1_Raw_Slack!A:B, 2, FALSE)), ""news|weather""), ""News and Weather"", REGEXMATCH(LOWER(VLOOKUP(A7, Data1_Raw_Slack!A:B, 2, FALSE)), ""sports|ufc|nba|nfl|mlb|soccer|sports fans""), ""Sports"",
  REGEXMATCH(LOWER(VLOO"&amp;"KUP(A7, Data1_Raw_Slack!A:B, 2, FALSE)), ""fashion|style|clothing|apparel|shoes|accessories|beauty|cosmetics|fashionistas""), ""Fashion and Beauty"",
  REGEXMATCH(LOWER(VLOOKUP(A7, Data1_Raw_Slack!A:B, 2, FALSE)), ""food|cooking|recipe|restaurant|snack|gr"&amp;"ocery|foodies""), ""Food"",
  REGEXMATCH(LOWER(VLOOKUP(A7, Data1_Raw_Slack!A:B, 2, FALSE)), ""travel|vacation|airline|hotel|trip|flights|travelers""), ""Travel"",
  REGEXMATCH(LOWER(VLOOKUP(A7, Data1_Raw_Slack!A:B, 2, FALSE)), ""fitness|workout|gym|exerci"&amp;"se|yoga|wellness|fitness enthusiasts""), ""Fitness"",
  REGEXMATCH(LOWER(VLOOKUP(A7, Data1_Raw_Slack!A:B, 2, FALSE)), ""health|medical|pharmacy|mental health|doctor|health-conscious""), ""Health"",
  REGEXMATCH(LOWER(VLOOKUP(A7, Data1_Raw_Slack!A:B, 2, FA"&amp;"LSE)), ""pets|dogs|cats|animals|pet care|pet lovers""), ""Pets"",
  REGEXMATCH(LOWER(VLOOKUP(A7, Data1_Raw_Slack!A:B, 2, FALSE)), ""games|gaming|game|xbox|playstation|nintendo|gamers""), ""Gaming"",
  REGEXMATCH(LOWER(VLOOKUP(A7, Data1_Raw_Slack!A:B, 2, F"&amp;"ALSE)), ""entertainment|movies|tv|netflix|streaming|celebrity|movie lovers|tv fans|hobb|photo|art""), ""Entertainment"",
  REGEXMATCH(LOWER(VLOOKUP(A7, Data1_Raw_Slack!A:B, 2, FALSE)), ""lifestyle|home|interior|decor|living|lifestyle enthusiasts""), ""Lif"&amp;"estyle"",
  REGEXMATCH(LOWER(VLOOKUP(A7, Data1_Raw_Slack!A:B, 2, FALSE)), ""financial|finance|investing|stocks|retirement|banking|credit|debt|loans|savings|personal finance|insurance|econ|ecom|business|retail|occupation|sale|job|marketing""), ""Finance"","&amp;"
  REGEXMATCH(LOWER(VLOOKUP(A7, Data1_Raw_Slack!A:B, 2, FALSE)), ""auto|automotive""), ""Auto"",
  REGEXMATCH(LOWER(VLOOKUP(A7, Data1_Raw_Slack!A:B, 2, FALSE)), ""parenting|moms|dads|kids|toddlers|baby|parent|children""), ""Parenting"",
  REGEXMATCH(LO"&amp;"WER(VLOOKUP(A7, Data1_Raw_Slack!A:B, 2, FALSE)), ""education|students|learning|school|teachers|college|university|academics""), ""Education"",
  REGEXMATCH(LOWER(VLOOKUP(A7, Data1_Raw_Slack!A:B, 2, FALSE)), ""age|gender|demographic|family|household""), """&amp;"Demographics"",
  REGEXMATCH(LOWER(VLOOKUP(A7, Data1_Raw_Slack!A:B, 2, FALSE)), ""mortgage|real estate""), ""Real Estate"",REGEXMATCH(LOWER(VLOOKUP(A7, Data1_Raw_Slack!A:B, 2, FALSE)), ""technology|tech|gadgets|smartphone|electro|apps|devices|computing|ai"&amp;"|robots|software|computer|internet|tele|mobile|tablet""), ""Technology"", REGEXMATCH(LOWER(VLOOKUP(A7, Data1_Raw_Slack!A:B, 2, FALSE)), ""entertainment|purchas|movies|tv|netflix|streaming|celebrity|movie lovers|tv fans|media|hobb|photo|art|shop""), ""Ente"&amp;"rtainment"", REGEXMATCH(LOWER(VLOOKUP(A7, Data1_Raw_Slack!A:B, 2, FALSE)), ""law|government|""), ""Law and Government"",
  TRUE, ""Other""
)"),"Finance")</f>
        <v>Finance</v>
      </c>
      <c r="G7" s="9"/>
      <c r="H7" s="9" t="s">
        <v>44</v>
      </c>
      <c r="I7" s="9" t="s">
        <v>79</v>
      </c>
      <c r="J7" s="9" t="s">
        <v>80</v>
      </c>
      <c r="K7" s="9" t="s">
        <v>81</v>
      </c>
      <c r="L7" s="9" t="s">
        <v>82</v>
      </c>
      <c r="M7" s="10" t="s">
        <v>83</v>
      </c>
      <c r="N7" s="9" t="str">
        <f ca="1">IFERROR(__xludf.DUMMYFUNCTION("REGEXEXTRACT(LOWER(M7), ""([a-z0-9\-]+)\.(?:co|net|org|io|gg)"")"),"gamingbible")</f>
        <v>gamingbible</v>
      </c>
      <c r="O7" s="9" t="s">
        <v>50</v>
      </c>
      <c r="P7" s="9" t="s">
        <v>39</v>
      </c>
      <c r="Q7" s="9">
        <v>13183</v>
      </c>
      <c r="R7" s="9">
        <v>100</v>
      </c>
      <c r="S7" s="9">
        <v>4337</v>
      </c>
      <c r="T7" s="9">
        <v>10596</v>
      </c>
      <c r="U7" s="9">
        <v>1</v>
      </c>
      <c r="V7" s="11">
        <v>2430.2436640000001</v>
      </c>
      <c r="W7" s="12">
        <f t="shared" si="0"/>
        <v>2430.2436640000001</v>
      </c>
      <c r="X7" s="12">
        <f t="shared" si="1"/>
        <v>0.75855268148372901</v>
      </c>
      <c r="Y7" s="12">
        <f t="shared" si="2"/>
        <v>32.898429795949333</v>
      </c>
      <c r="Z7" s="12">
        <f t="shared" si="3"/>
        <v>560.35131750057644</v>
      </c>
      <c r="AA7" s="12">
        <f t="shared" si="4"/>
        <v>184.34678479860429</v>
      </c>
      <c r="AB7" s="12">
        <f t="shared" si="5"/>
        <v>24.30243664</v>
      </c>
      <c r="AC7" s="12">
        <f t="shared" si="6"/>
        <v>1</v>
      </c>
      <c r="AE7" s="13"/>
      <c r="AF7" s="13"/>
    </row>
    <row r="8" spans="1:32">
      <c r="A8" s="8" t="s">
        <v>84</v>
      </c>
      <c r="B8" s="9" t="s">
        <v>41</v>
      </c>
      <c r="C8" s="9" t="s">
        <v>85</v>
      </c>
      <c r="D8" s="9" t="s">
        <v>86</v>
      </c>
      <c r="E8" s="9"/>
      <c r="F8" s="9" t="str">
        <f ca="1">IFERROR(__xludf.DUMMYFUNCTION("IFS(
  REGEXMATCH(LOWER(VLOOKUP(A8, Data1_Raw_Slack!A:B, 2, FALSE)), ""news|weather""), ""News and Weather"", REGEXMATCH(LOWER(VLOOKUP(A8, Data1_Raw_Slack!A:B, 2, FALSE)), ""sports|ufc|nba|nfl|mlb|soccer|sports fans""), ""Sports"",
  REGEXMATCH(LOWER(VLOO"&amp;"KUP(A8, Data1_Raw_Slack!A:B, 2, FALSE)), ""fashion|style|clothing|apparel|shoes|accessories|beauty|cosmetics|fashionistas""), ""Fashion and Beauty"",
  REGEXMATCH(LOWER(VLOOKUP(A8, Data1_Raw_Slack!A:B, 2, FALSE)), ""food|cooking|recipe|restaurant|snack|gr"&amp;"ocery|foodies""), ""Food"",
  REGEXMATCH(LOWER(VLOOKUP(A8, Data1_Raw_Slack!A:B, 2, FALSE)), ""travel|vacation|airline|hotel|trip|flights|travelers""), ""Travel"",
  REGEXMATCH(LOWER(VLOOKUP(A8, Data1_Raw_Slack!A:B, 2, FALSE)), ""fitness|workout|gym|exerci"&amp;"se|yoga|wellness|fitness enthusiasts""), ""Fitness"",
  REGEXMATCH(LOWER(VLOOKUP(A8, Data1_Raw_Slack!A:B, 2, FALSE)), ""health|medical|pharmacy|mental health|doctor|health-conscious""), ""Health"",
  REGEXMATCH(LOWER(VLOOKUP(A8, Data1_Raw_Slack!A:B, 2, FA"&amp;"LSE)), ""pets|dogs|cats|animals|pet care|pet lovers""), ""Pets"",
  REGEXMATCH(LOWER(VLOOKUP(A8, Data1_Raw_Slack!A:B, 2, FALSE)), ""games|gaming|game|xbox|playstation|nintendo|gamers""), ""Gaming"",
  REGEXMATCH(LOWER(VLOOKUP(A8, Data1_Raw_Slack!A:B, 2, F"&amp;"ALSE)), ""entertainment|movies|tv|netflix|streaming|celebrity|movie lovers|tv fans|hobb|photo|art""), ""Entertainment"",
  REGEXMATCH(LOWER(VLOOKUP(A8, Data1_Raw_Slack!A:B, 2, FALSE)), ""lifestyle|home|interior|decor|living|lifestyle enthusiasts""), ""Lif"&amp;"estyle"",
  REGEXMATCH(LOWER(VLOOKUP(A8, Data1_Raw_Slack!A:B, 2, FALSE)), ""financial|finance|investing|stocks|retirement|banking|credit|debt|loans|savings|personal finance|insurance|econ|ecom|business|retail|occupation|sale|job|marketing""), ""Finance"","&amp;"
  REGEXMATCH(LOWER(VLOOKUP(A8, Data1_Raw_Slack!A:B, 2, FALSE)), ""auto|automotive""), ""Auto"",
  REGEXMATCH(LOWER(VLOOKUP(A8, Data1_Raw_Slack!A:B, 2, FALSE)), ""parenting|moms|dads|kids|toddlers|baby|parent|children""), ""Parenting"",
  REGEXMATCH(LO"&amp;"WER(VLOOKUP(A8, Data1_Raw_Slack!A:B, 2, FALSE)), ""education|students|learning|school|teachers|college|university|academics""), ""Education"",
  REGEXMATCH(LOWER(VLOOKUP(A8, Data1_Raw_Slack!A:B, 2, FALSE)), ""age|gender|demographic|family|household""), """&amp;"Demographics"",
  REGEXMATCH(LOWER(VLOOKUP(A8, Data1_Raw_Slack!A:B, 2, FALSE)), ""mortgage|real estate""), ""Real Estate"",REGEXMATCH(LOWER(VLOOKUP(A8, Data1_Raw_Slack!A:B, 2, FALSE)), ""technology|tech|gadgets|smartphone|electro|apps|devices|computing|ai"&amp;"|robots|software|computer|internet|tele|mobile|tablet""), ""Technology"", REGEXMATCH(LOWER(VLOOKUP(A8, Data1_Raw_Slack!A:B, 2, FALSE)), ""entertainment|purchas|movies|tv|netflix|streaming|celebrity|movie lovers|tv fans|media|hobb|photo|art|shop""), ""Ente"&amp;"rtainment"", REGEXMATCH(LOWER(VLOOKUP(A8, Data1_Raw_Slack!A:B, 2, FALSE)), ""law|government|""), ""Law and Government"",
  TRUE, ""Other""
)"),"Travel")</f>
        <v>Travel</v>
      </c>
      <c r="G8" s="9" t="s">
        <v>85</v>
      </c>
      <c r="H8" s="9" t="s">
        <v>44</v>
      </c>
      <c r="I8" s="9" t="s">
        <v>87</v>
      </c>
      <c r="J8" s="9" t="s">
        <v>34</v>
      </c>
      <c r="K8" s="9" t="s">
        <v>88</v>
      </c>
      <c r="L8" s="9" t="s">
        <v>89</v>
      </c>
      <c r="M8" s="10" t="s">
        <v>90</v>
      </c>
      <c r="N8" s="9" t="str">
        <f ca="1">IFERROR(__xludf.DUMMYFUNCTION("REGEXEXTRACT(LOWER(M8), ""([a-z0-9\-]+)\.(?:co|net|org|io|gg)"")"),"live")</f>
        <v>live</v>
      </c>
      <c r="O8" s="9" t="s">
        <v>50</v>
      </c>
      <c r="P8" s="9" t="s">
        <v>39</v>
      </c>
      <c r="Q8" s="9">
        <v>75531</v>
      </c>
      <c r="R8" s="9">
        <v>200</v>
      </c>
      <c r="S8" s="9">
        <v>63816</v>
      </c>
      <c r="T8" s="9">
        <v>70011</v>
      </c>
      <c r="U8" s="9">
        <v>9</v>
      </c>
      <c r="V8" s="11">
        <v>7261.8650399999997</v>
      </c>
      <c r="W8" s="12">
        <f t="shared" si="0"/>
        <v>806.87389333333329</v>
      </c>
      <c r="X8" s="12">
        <f t="shared" si="1"/>
        <v>0.26479193973335452</v>
      </c>
      <c r="Y8" s="12">
        <f t="shared" si="2"/>
        <v>84.489812130118764</v>
      </c>
      <c r="Z8" s="12">
        <f t="shared" si="3"/>
        <v>113.79379842045881</v>
      </c>
      <c r="AA8" s="12">
        <f t="shared" si="4"/>
        <v>96.144166501171711</v>
      </c>
      <c r="AB8" s="12">
        <f t="shared" si="5"/>
        <v>36.309325199999996</v>
      </c>
      <c r="AC8" s="12">
        <f t="shared" si="6"/>
        <v>4.5</v>
      </c>
      <c r="AE8" s="13"/>
      <c r="AF8" s="13"/>
    </row>
    <row r="9" spans="1:32">
      <c r="A9" s="8" t="s">
        <v>91</v>
      </c>
      <c r="B9" s="9" t="s">
        <v>92</v>
      </c>
      <c r="C9" s="9" t="s">
        <v>93</v>
      </c>
      <c r="D9" s="9" t="s">
        <v>94</v>
      </c>
      <c r="E9" s="9" t="s">
        <v>95</v>
      </c>
      <c r="F9" s="9" t="str">
        <f ca="1">IFERROR(__xludf.DUMMYFUNCTION("IFS(
  REGEXMATCH(LOWER(VLOOKUP(A9, Data1_Raw_Slack!A:B, 2, FALSE)), ""news|weather""), ""News and Weather"", REGEXMATCH(LOWER(VLOOKUP(A9, Data1_Raw_Slack!A:B, 2, FALSE)), ""sports|ufc|nba|nfl|mlb|soccer|sports fans""), ""Sports"",
  REGEXMATCH(LOWER(VLOO"&amp;"KUP(A9, Data1_Raw_Slack!A:B, 2, FALSE)), ""fashion|style|clothing|apparel|shoes|accessories|beauty|cosmetics|fashionistas""), ""Fashion and Beauty"",
  REGEXMATCH(LOWER(VLOOKUP(A9, Data1_Raw_Slack!A:B, 2, FALSE)), ""food|cooking|recipe|restaurant|snack|gr"&amp;"ocery|foodies""), ""Food"",
  REGEXMATCH(LOWER(VLOOKUP(A9, Data1_Raw_Slack!A:B, 2, FALSE)), ""travel|vacation|airline|hotel|trip|flights|travelers""), ""Travel"",
  REGEXMATCH(LOWER(VLOOKUP(A9, Data1_Raw_Slack!A:B, 2, FALSE)), ""fitness|workout|gym|exerci"&amp;"se|yoga|wellness|fitness enthusiasts""), ""Fitness"",
  REGEXMATCH(LOWER(VLOOKUP(A9, Data1_Raw_Slack!A:B, 2, FALSE)), ""health|medical|pharmacy|mental health|doctor|health-conscious""), ""Health"",
  REGEXMATCH(LOWER(VLOOKUP(A9, Data1_Raw_Slack!A:B, 2, FA"&amp;"LSE)), ""pets|dogs|cats|animals|pet care|pet lovers""), ""Pets"",
  REGEXMATCH(LOWER(VLOOKUP(A9, Data1_Raw_Slack!A:B, 2, FALSE)), ""games|gaming|game|xbox|playstation|nintendo|gamers""), ""Gaming"",
  REGEXMATCH(LOWER(VLOOKUP(A9, Data1_Raw_Slack!A:B, 2, F"&amp;"ALSE)), ""entertainment|movies|tv|netflix|streaming|celebrity|movie lovers|tv fans|hobb|photo|art""), ""Entertainment"",
  REGEXMATCH(LOWER(VLOOKUP(A9, Data1_Raw_Slack!A:B, 2, FALSE)), ""lifestyle|home|interior|decor|living|lifestyle enthusiasts""), ""Lif"&amp;"estyle"",
  REGEXMATCH(LOWER(VLOOKUP(A9, Data1_Raw_Slack!A:B, 2, FALSE)), ""financial|finance|investing|stocks|retirement|banking|credit|debt|loans|savings|personal finance|insurance|econ|ecom|business|retail|occupation|sale|job|marketing""), ""Finance"","&amp;"
  REGEXMATCH(LOWER(VLOOKUP(A9, Data1_Raw_Slack!A:B, 2, FALSE)), ""auto|automotive""), ""Auto"",
  REGEXMATCH(LOWER(VLOOKUP(A9, Data1_Raw_Slack!A:B, 2, FALSE)), ""parenting|moms|dads|kids|toddlers|baby|parent|children""), ""Parenting"",
  REGEXMATCH(LO"&amp;"WER(VLOOKUP(A9, Data1_Raw_Slack!A:B, 2, FALSE)), ""education|students|learning|school|teachers|college|university|academics""), ""Education"",
  REGEXMATCH(LOWER(VLOOKUP(A9, Data1_Raw_Slack!A:B, 2, FALSE)), ""age|gender|demographic|family|household""), """&amp;"Demographics"",
  REGEXMATCH(LOWER(VLOOKUP(A9, Data1_Raw_Slack!A:B, 2, FALSE)), ""mortgage|real estate""), ""Real Estate"",REGEXMATCH(LOWER(VLOOKUP(A9, Data1_Raw_Slack!A:B, 2, FALSE)), ""technology|tech|gadgets|smartphone|electro|apps|devices|computing|ai"&amp;"|robots|software|computer|internet|tele|mobile|tablet""), ""Technology"", REGEXMATCH(LOWER(VLOOKUP(A9, Data1_Raw_Slack!A:B, 2, FALSE)), ""entertainment|purchas|movies|tv|netflix|streaming|celebrity|movie lovers|tv fans|media|hobb|photo|art|shop""), ""Ente"&amp;"rtainment"", REGEXMATCH(LOWER(VLOOKUP(A9, Data1_Raw_Slack!A:B, 2, FALSE)), ""law|government|""), ""Law and Government"",
  TRUE, ""Other""
)"),"Fashion and Beauty")</f>
        <v>Fashion and Beauty</v>
      </c>
      <c r="G9" s="9"/>
      <c r="H9" s="9" t="s">
        <v>44</v>
      </c>
      <c r="I9" s="9" t="s">
        <v>96</v>
      </c>
      <c r="J9" s="9" t="s">
        <v>46</v>
      </c>
      <c r="K9" s="9" t="s">
        <v>56</v>
      </c>
      <c r="L9" s="9" t="s">
        <v>57</v>
      </c>
      <c r="M9" s="10" t="s">
        <v>97</v>
      </c>
      <c r="N9" s="9" t="str">
        <f ca="1">IFERROR(__xludf.DUMMYFUNCTION("REGEXEXTRACT(LOWER(M9), ""([a-z0-9\-]+)\.(?:co|net|org|io|gg)"")"),"findagrave")</f>
        <v>findagrave</v>
      </c>
      <c r="O9" s="9" t="s">
        <v>74</v>
      </c>
      <c r="P9" s="9" t="s">
        <v>39</v>
      </c>
      <c r="Q9" s="9">
        <v>13100</v>
      </c>
      <c r="R9" s="9">
        <v>80</v>
      </c>
      <c r="S9" s="9">
        <v>6507</v>
      </c>
      <c r="T9" s="9">
        <v>10895</v>
      </c>
      <c r="U9" s="9">
        <v>5</v>
      </c>
      <c r="V9" s="11">
        <v>3411.590029</v>
      </c>
      <c r="W9" s="12">
        <f t="shared" si="0"/>
        <v>682.31800580000004</v>
      </c>
      <c r="X9" s="12">
        <f t="shared" si="1"/>
        <v>0.61068702290076338</v>
      </c>
      <c r="Y9" s="12">
        <f t="shared" si="2"/>
        <v>49.671755725190842</v>
      </c>
      <c r="Z9" s="12">
        <f t="shared" si="3"/>
        <v>524.29537866912551</v>
      </c>
      <c r="AA9" s="12">
        <f t="shared" si="4"/>
        <v>260.42671977099235</v>
      </c>
      <c r="AB9" s="12">
        <f t="shared" si="5"/>
        <v>42.644875362500002</v>
      </c>
      <c r="AC9" s="12">
        <f t="shared" si="6"/>
        <v>6.25</v>
      </c>
      <c r="AE9" s="13"/>
      <c r="AF9" s="13"/>
    </row>
    <row r="10" spans="1:32">
      <c r="A10" s="8" t="s">
        <v>98</v>
      </c>
      <c r="B10" s="9" t="s">
        <v>41</v>
      </c>
      <c r="C10" s="9" t="s">
        <v>85</v>
      </c>
      <c r="D10" s="9" t="s">
        <v>99</v>
      </c>
      <c r="E10" s="9" t="s">
        <v>100</v>
      </c>
      <c r="F10" s="9" t="str">
        <f ca="1">IFERROR(__xludf.DUMMYFUNCTION("IFS(
  REGEXMATCH(LOWER(VLOOKUP(A10, Data1_Raw_Slack!A:B, 2, FALSE)), ""news|weather""), ""News and Weather"", REGEXMATCH(LOWER(VLOOKUP(A10, Data1_Raw_Slack!A:B, 2, FALSE)), ""sports|ufc|nba|nfl|mlb|soccer|sports fans""), ""Sports"",
  REGEXMATCH(LOWER(VL"&amp;"OOKUP(A10, Data1_Raw_Slack!A:B, 2, FALSE)), ""fashion|style|clothing|apparel|shoes|accessories|beauty|cosmetics|fashionistas""), ""Fashion and Beauty"",
  REGEXMATCH(LOWER(VLOOKUP(A10, Data1_Raw_Slack!A:B, 2, FALSE)), ""food|cooking|recipe|restaurant|snac"&amp;"k|grocery|foodies""), ""Food"",
  REGEXMATCH(LOWER(VLOOKUP(A10, Data1_Raw_Slack!A:B, 2, FALSE)), ""travel|vacation|airline|hotel|trip|flights|travelers""), ""Travel"",
  REGEXMATCH(LOWER(VLOOKUP(A10, Data1_Raw_Slack!A:B, 2, FALSE)), ""fitness|workout|gym|"&amp;"exercise|yoga|wellness|fitness enthusiasts""), ""Fitness"",
  REGEXMATCH(LOWER(VLOOKUP(A10, Data1_Raw_Slack!A:B, 2, FALSE)), ""health|medical|pharmacy|mental health|doctor|health-conscious""), ""Health"",
  REGEXMATCH(LOWER(VLOOKUP(A10, Data1_Raw_Slack!A:"&amp;"B, 2, FALSE)), ""pets|dogs|cats|animals|pet care|pet lovers""), ""Pets"",
  REGEXMATCH(LOWER(VLOOKUP(A10, Data1_Raw_Slack!A:B, 2, FALSE)), ""games|gaming|game|xbox|playstation|nintendo|gamers""), ""Gaming"",
  REGEXMATCH(LOWER(VLOOKUP(A10, Data1_Raw_Slack"&amp;"!A:B, 2, FALSE)), ""entertainment|movies|tv|netflix|streaming|celebrity|movie lovers|tv fans|hobb|photo|art""), ""Entertainment"",
  REGEXMATCH(LOWER(VLOOKUP(A10, Data1_Raw_Slack!A:B, 2, FALSE)), ""lifestyle|home|interior|decor|living|lifestyle enthusiast"&amp;"s""), ""Lifestyle"",
  REGEXMATCH(LOWER(VLOOKUP(A10, Data1_Raw_Slack!A:B, 2, FALSE)), ""financial|finance|investing|stocks|retirement|banking|credit|debt|loans|savings|personal finance|insurance|econ|ecom|business|retail|occupation|sale|job|marketing""), "&amp;"""Finance"",
  REGEXMATCH(LOWER(VLOOKUP(A10, Data1_Raw_Slack!A:B, 2, FALSE)), ""auto|automotive""), ""Auto"",
  REGEXMATCH(LOWER(VLOOKUP(A10, Data1_Raw_Slack!A:B, 2, FALSE)), ""parenting|moms|dads|kids|toddlers|baby|parent|children""), ""Parenting"",
 "&amp;" REGEXMATCH(LOWER(VLOOKUP(A10, Data1_Raw_Slack!A:B, 2, FALSE)), ""education|students|learning|school|teachers|college|university|academics""), ""Education"",
  REGEXMATCH(LOWER(VLOOKUP(A10, Data1_Raw_Slack!A:B, 2, FALSE)), ""age|gender|demographic|family|"&amp;"household""), ""Demographics"",
  REGEXMATCH(LOWER(VLOOKUP(A10, Data1_Raw_Slack!A:B, 2, FALSE)), ""mortgage|real estate""), ""Real Estate"",REGEXMATCH(LOWER(VLOOKUP(A10, Data1_Raw_Slack!A:B, 2, FALSE)), ""technology|tech|gadgets|smartphone|electro|apps|de"&amp;"vices|computing|ai|robots|software|computer|internet|tele|mobile|tablet""), ""Technology"", REGEXMATCH(LOWER(VLOOKUP(A10, Data1_Raw_Slack!A:B, 2, FALSE)), ""entertainment|purchas|movies|tv|netflix|streaming|celebrity|movie lovers|tv fans|media|hobb|photo|"&amp;"art|shop""), ""Entertainment"", REGEXMATCH(LOWER(VLOOKUP(A10, Data1_Raw_Slack!A:B, 2, FALSE)), ""law|government|""), ""Law and Government"",
  TRUE, ""Other""
)"),"Travel")</f>
        <v>Travel</v>
      </c>
      <c r="G10" s="9" t="s">
        <v>85</v>
      </c>
      <c r="H10" s="9" t="s">
        <v>32</v>
      </c>
      <c r="I10" s="9" t="s">
        <v>101</v>
      </c>
      <c r="J10" s="9" t="s">
        <v>80</v>
      </c>
      <c r="K10" s="9" t="s">
        <v>71</v>
      </c>
      <c r="L10" s="9" t="s">
        <v>72</v>
      </c>
      <c r="M10" s="10" t="s">
        <v>102</v>
      </c>
      <c r="N10" s="9" t="str">
        <f ca="1">IFERROR(__xludf.DUMMYFUNCTION("REGEXEXTRACT(LOWER(M10), ""([a-z0-9\-]+)\.(?:co|net|org|io|gg)"")"),"cbsnews")</f>
        <v>cbsnews</v>
      </c>
      <c r="O10" s="9" t="s">
        <v>103</v>
      </c>
      <c r="P10" s="9" t="s">
        <v>39</v>
      </c>
      <c r="Q10" s="9">
        <v>35178</v>
      </c>
      <c r="R10" s="9">
        <v>155</v>
      </c>
      <c r="S10" s="9">
        <v>23374</v>
      </c>
      <c r="T10" s="9">
        <v>33779</v>
      </c>
      <c r="U10" s="9">
        <v>8</v>
      </c>
      <c r="V10" s="11">
        <v>5738.8090890000003</v>
      </c>
      <c r="W10" s="12">
        <f t="shared" si="0"/>
        <v>717.35113612500004</v>
      </c>
      <c r="X10" s="12">
        <f t="shared" si="1"/>
        <v>0.4406162942748309</v>
      </c>
      <c r="Y10" s="12">
        <f t="shared" si="2"/>
        <v>66.444937176644487</v>
      </c>
      <c r="Z10" s="12">
        <f t="shared" si="3"/>
        <v>245.52105283648501</v>
      </c>
      <c r="AA10" s="12">
        <f t="shared" si="4"/>
        <v>163.13630931263859</v>
      </c>
      <c r="AB10" s="12">
        <f t="shared" si="5"/>
        <v>37.024574767741939</v>
      </c>
      <c r="AC10" s="12">
        <f t="shared" si="6"/>
        <v>5.161290322580645</v>
      </c>
      <c r="AE10" s="13"/>
      <c r="AF10" s="13"/>
    </row>
    <row r="11" spans="1:32">
      <c r="A11" s="8" t="s">
        <v>104</v>
      </c>
      <c r="B11" s="9" t="s">
        <v>41</v>
      </c>
      <c r="C11" s="9" t="s">
        <v>105</v>
      </c>
      <c r="D11" s="9" t="s">
        <v>106</v>
      </c>
      <c r="E11" s="9"/>
      <c r="F11" s="9" t="str">
        <f ca="1">IFERROR(__xludf.DUMMYFUNCTION("IFS(
  REGEXMATCH(LOWER(VLOOKUP(A11, Data1_Raw_Slack!A:B, 2, FALSE)), ""news|weather""), ""News and Weather"", REGEXMATCH(LOWER(VLOOKUP(A11, Data1_Raw_Slack!A:B, 2, FALSE)), ""sports|ufc|nba|nfl|mlb|soccer|sports fans""), ""Sports"",
  REGEXMATCH(LOWER(VL"&amp;"OOKUP(A11, Data1_Raw_Slack!A:B, 2, FALSE)), ""fashion|style|clothing|apparel|shoes|accessories|beauty|cosmetics|fashionistas""), ""Fashion and Beauty"",
  REGEXMATCH(LOWER(VLOOKUP(A11, Data1_Raw_Slack!A:B, 2, FALSE)), ""food|cooking|recipe|restaurant|snac"&amp;"k|grocery|foodies""), ""Food"",
  REGEXMATCH(LOWER(VLOOKUP(A11, Data1_Raw_Slack!A:B, 2, FALSE)), ""travel|vacation|airline|hotel|trip|flights|travelers""), ""Travel"",
  REGEXMATCH(LOWER(VLOOKUP(A11, Data1_Raw_Slack!A:B, 2, FALSE)), ""fitness|workout|gym|"&amp;"exercise|yoga|wellness|fitness enthusiasts""), ""Fitness"",
  REGEXMATCH(LOWER(VLOOKUP(A11, Data1_Raw_Slack!A:B, 2, FALSE)), ""health|medical|pharmacy|mental health|doctor|health-conscious""), ""Health"",
  REGEXMATCH(LOWER(VLOOKUP(A11, Data1_Raw_Slack!A:"&amp;"B, 2, FALSE)), ""pets|dogs|cats|animals|pet care|pet lovers""), ""Pets"",
  REGEXMATCH(LOWER(VLOOKUP(A11, Data1_Raw_Slack!A:B, 2, FALSE)), ""games|gaming|game|xbox|playstation|nintendo|gamers""), ""Gaming"",
  REGEXMATCH(LOWER(VLOOKUP(A11, Data1_Raw_Slack"&amp;"!A:B, 2, FALSE)), ""entertainment|movies|tv|netflix|streaming|celebrity|movie lovers|tv fans|hobb|photo|art""), ""Entertainment"",
  REGEXMATCH(LOWER(VLOOKUP(A11, Data1_Raw_Slack!A:B, 2, FALSE)), ""lifestyle|home|interior|decor|living|lifestyle enthusiast"&amp;"s""), ""Lifestyle"",
  REGEXMATCH(LOWER(VLOOKUP(A11, Data1_Raw_Slack!A:B, 2, FALSE)), ""financial|finance|investing|stocks|retirement|banking|credit|debt|loans|savings|personal finance|insurance|econ|ecom|business|retail|occupation|sale|job|marketing""), "&amp;"""Finance"",
  REGEXMATCH(LOWER(VLOOKUP(A11, Data1_Raw_Slack!A:B, 2, FALSE)), ""auto|automotive""), ""Auto"",
  REGEXMATCH(LOWER(VLOOKUP(A11, Data1_Raw_Slack!A:B, 2, FALSE)), ""parenting|moms|dads|kids|toddlers|baby|parent|children""), ""Parenting"",
 "&amp;" REGEXMATCH(LOWER(VLOOKUP(A11, Data1_Raw_Slack!A:B, 2, FALSE)), ""education|students|learning|school|teachers|college|university|academics""), ""Education"",
  REGEXMATCH(LOWER(VLOOKUP(A11, Data1_Raw_Slack!A:B, 2, FALSE)), ""age|gender|demographic|family|"&amp;"household""), ""Demographics"",
  REGEXMATCH(LOWER(VLOOKUP(A11, Data1_Raw_Slack!A:B, 2, FALSE)), ""mortgage|real estate""), ""Real Estate"",REGEXMATCH(LOWER(VLOOKUP(A11, Data1_Raw_Slack!A:B, 2, FALSE)), ""technology|tech|gadgets|smartphone|electro|apps|de"&amp;"vices|computing|ai|robots|software|computer|internet|tele|mobile|tablet""), ""Technology"", REGEXMATCH(LOWER(VLOOKUP(A11, Data1_Raw_Slack!A:B, 2, FALSE)), ""entertainment|purchas|movies|tv|netflix|streaming|celebrity|movie lovers|tv fans|media|hobb|photo|"&amp;"art|shop""), ""Entertainment"", REGEXMATCH(LOWER(VLOOKUP(A11, Data1_Raw_Slack!A:B, 2, FALSE)), ""law|government|""), ""Law and Government"",
  TRUE, ""Other""
)"),"Fashion and Beauty")</f>
        <v>Fashion and Beauty</v>
      </c>
      <c r="G11" s="9" t="s">
        <v>105</v>
      </c>
      <c r="H11" s="9" t="s">
        <v>32</v>
      </c>
      <c r="I11" s="9" t="s">
        <v>107</v>
      </c>
      <c r="J11" s="9" t="s">
        <v>80</v>
      </c>
      <c r="K11" s="9" t="s">
        <v>56</v>
      </c>
      <c r="L11" s="9" t="s">
        <v>57</v>
      </c>
      <c r="M11" s="10" t="s">
        <v>108</v>
      </c>
      <c r="N11" s="9" t="str">
        <f ca="1">IFERROR(__xludf.DUMMYFUNCTION("REGEXEXTRACT(LOWER(M11), ""([a-z0-9\-]+)\.(?:co|net|org|io|gg)"")"),"dotesports")</f>
        <v>dotesports</v>
      </c>
      <c r="O11" s="9" t="s">
        <v>109</v>
      </c>
      <c r="P11" s="9" t="s">
        <v>39</v>
      </c>
      <c r="Q11" s="9">
        <v>18022</v>
      </c>
      <c r="R11" s="9">
        <v>30</v>
      </c>
      <c r="S11" s="9">
        <v>10618</v>
      </c>
      <c r="T11" s="9">
        <v>16643</v>
      </c>
      <c r="U11" s="9">
        <v>15</v>
      </c>
      <c r="V11" s="11">
        <v>4051.1587490000002</v>
      </c>
      <c r="W11" s="12">
        <f t="shared" si="0"/>
        <v>270.07724993333335</v>
      </c>
      <c r="X11" s="12">
        <f t="shared" si="1"/>
        <v>0.1664632116302297</v>
      </c>
      <c r="Y11" s="12">
        <f t="shared" si="2"/>
        <v>58.916879369659306</v>
      </c>
      <c r="Z11" s="12">
        <f t="shared" si="3"/>
        <v>381.53689480128082</v>
      </c>
      <c r="AA11" s="12">
        <f t="shared" si="4"/>
        <v>224.78963206081457</v>
      </c>
      <c r="AB11" s="12">
        <f t="shared" si="5"/>
        <v>135.03862496666667</v>
      </c>
      <c r="AC11" s="12">
        <f t="shared" si="6"/>
        <v>50</v>
      </c>
      <c r="AE11" s="13"/>
      <c r="AF11" s="13"/>
    </row>
    <row r="12" spans="1:32">
      <c r="A12" s="8" t="s">
        <v>110</v>
      </c>
      <c r="B12" s="9" t="s">
        <v>41</v>
      </c>
      <c r="C12" s="9" t="s">
        <v>85</v>
      </c>
      <c r="D12" s="9" t="s">
        <v>99</v>
      </c>
      <c r="E12" s="9"/>
      <c r="F12" s="9" t="str">
        <f ca="1">IFERROR(__xludf.DUMMYFUNCTION("IFS(
  REGEXMATCH(LOWER(VLOOKUP(A12, Data1_Raw_Slack!A:B, 2, FALSE)), ""news|weather""), ""News and Weather"", REGEXMATCH(LOWER(VLOOKUP(A12, Data1_Raw_Slack!A:B, 2, FALSE)), ""sports|ufc|nba|nfl|mlb|soccer|sports fans""), ""Sports"",
  REGEXMATCH(LOWER(VL"&amp;"OOKUP(A12, Data1_Raw_Slack!A:B, 2, FALSE)), ""fashion|style|clothing|apparel|shoes|accessories|beauty|cosmetics|fashionistas""), ""Fashion and Beauty"",
  REGEXMATCH(LOWER(VLOOKUP(A12, Data1_Raw_Slack!A:B, 2, FALSE)), ""food|cooking|recipe|restaurant|snac"&amp;"k|grocery|foodies""), ""Food"",
  REGEXMATCH(LOWER(VLOOKUP(A12, Data1_Raw_Slack!A:B, 2, FALSE)), ""travel|vacation|airline|hotel|trip|flights|travelers""), ""Travel"",
  REGEXMATCH(LOWER(VLOOKUP(A12, Data1_Raw_Slack!A:B, 2, FALSE)), ""fitness|workout|gym|"&amp;"exercise|yoga|wellness|fitness enthusiasts""), ""Fitness"",
  REGEXMATCH(LOWER(VLOOKUP(A12, Data1_Raw_Slack!A:B, 2, FALSE)), ""health|medical|pharmacy|mental health|doctor|health-conscious""), ""Health"",
  REGEXMATCH(LOWER(VLOOKUP(A12, Data1_Raw_Slack!A:"&amp;"B, 2, FALSE)), ""pets|dogs|cats|animals|pet care|pet lovers""), ""Pets"",
  REGEXMATCH(LOWER(VLOOKUP(A12, Data1_Raw_Slack!A:B, 2, FALSE)), ""games|gaming|game|xbox|playstation|nintendo|gamers""), ""Gaming"",
  REGEXMATCH(LOWER(VLOOKUP(A12, Data1_Raw_Slack"&amp;"!A:B, 2, FALSE)), ""entertainment|movies|tv|netflix|streaming|celebrity|movie lovers|tv fans|hobb|photo|art""), ""Entertainment"",
  REGEXMATCH(LOWER(VLOOKUP(A12, Data1_Raw_Slack!A:B, 2, FALSE)), ""lifestyle|home|interior|decor|living|lifestyle enthusiast"&amp;"s""), ""Lifestyle"",
  REGEXMATCH(LOWER(VLOOKUP(A12, Data1_Raw_Slack!A:B, 2, FALSE)), ""financial|finance|investing|stocks|retirement|banking|credit|debt|loans|savings|personal finance|insurance|econ|ecom|business|retail|occupation|sale|job|marketing""), "&amp;"""Finance"",
  REGEXMATCH(LOWER(VLOOKUP(A12, Data1_Raw_Slack!A:B, 2, FALSE)), ""auto|automotive""), ""Auto"",
  REGEXMATCH(LOWER(VLOOKUP(A12, Data1_Raw_Slack!A:B, 2, FALSE)), ""parenting|moms|dads|kids|toddlers|baby|parent|children""), ""Parenting"",
 "&amp;" REGEXMATCH(LOWER(VLOOKUP(A12, Data1_Raw_Slack!A:B, 2, FALSE)), ""education|students|learning|school|teachers|college|university|academics""), ""Education"",
  REGEXMATCH(LOWER(VLOOKUP(A12, Data1_Raw_Slack!A:B, 2, FALSE)), ""age|gender|demographic|family|"&amp;"household""), ""Demographics"",
  REGEXMATCH(LOWER(VLOOKUP(A12, Data1_Raw_Slack!A:B, 2, FALSE)), ""mortgage|real estate""), ""Real Estate"",REGEXMATCH(LOWER(VLOOKUP(A12, Data1_Raw_Slack!A:B, 2, FALSE)), ""technology|tech|gadgets|smartphone|electro|apps|de"&amp;"vices|computing|ai|robots|software|computer|internet|tele|mobile|tablet""), ""Technology"", REGEXMATCH(LOWER(VLOOKUP(A12, Data1_Raw_Slack!A:B, 2, FALSE)), ""entertainment|purchas|movies|tv|netflix|streaming|celebrity|movie lovers|tv fans|media|hobb|photo|"&amp;"art|shop""), ""Entertainment"", REGEXMATCH(LOWER(VLOOKUP(A12, Data1_Raw_Slack!A:B, 2, FALSE)), ""law|government|""), ""Law and Government"",
  TRUE, ""Other""
)"),"Travel")</f>
        <v>Travel</v>
      </c>
      <c r="G12" s="9" t="s">
        <v>85</v>
      </c>
      <c r="H12" s="9" t="s">
        <v>44</v>
      </c>
      <c r="I12" s="9" t="s">
        <v>111</v>
      </c>
      <c r="J12" s="9" t="s">
        <v>34</v>
      </c>
      <c r="K12" s="9" t="s">
        <v>56</v>
      </c>
      <c r="L12" s="9" t="s">
        <v>57</v>
      </c>
      <c r="M12" s="10" t="s">
        <v>112</v>
      </c>
      <c r="N12" s="9" t="str">
        <f ca="1">IFERROR(__xludf.DUMMYFUNCTION("REGEXEXTRACT(LOWER(M12), ""([a-z0-9\-]+)\.(?:co|net|org|io|gg)"")"),"ebay")</f>
        <v>ebay</v>
      </c>
      <c r="O12" s="9" t="s">
        <v>50</v>
      </c>
      <c r="P12" s="9" t="s">
        <v>39</v>
      </c>
      <c r="Q12" s="9">
        <v>325152</v>
      </c>
      <c r="R12" s="9">
        <v>854</v>
      </c>
      <c r="S12" s="9">
        <v>138319</v>
      </c>
      <c r="T12" s="9">
        <v>300133</v>
      </c>
      <c r="U12" s="9">
        <v>55</v>
      </c>
      <c r="V12" s="11">
        <v>7887.6126619999995</v>
      </c>
      <c r="W12" s="12">
        <f t="shared" si="0"/>
        <v>143.41113930909091</v>
      </c>
      <c r="X12" s="12">
        <f t="shared" si="1"/>
        <v>0.26264639307154808</v>
      </c>
      <c r="Y12" s="12">
        <f t="shared" si="2"/>
        <v>42.539796771971261</v>
      </c>
      <c r="Z12" s="12">
        <f t="shared" si="3"/>
        <v>57.02479530650163</v>
      </c>
      <c r="AA12" s="12">
        <f t="shared" si="4"/>
        <v>24.258232033018402</v>
      </c>
      <c r="AB12" s="12">
        <f t="shared" si="5"/>
        <v>9.2360804004683832</v>
      </c>
      <c r="AC12" s="12">
        <f t="shared" si="6"/>
        <v>6.4402810304449654</v>
      </c>
      <c r="AE12" s="13"/>
      <c r="AF12" s="13"/>
    </row>
    <row r="13" spans="1:32">
      <c r="A13" s="8" t="s">
        <v>113</v>
      </c>
      <c r="B13" s="9" t="s">
        <v>41</v>
      </c>
      <c r="C13" s="9" t="s">
        <v>114</v>
      </c>
      <c r="D13" s="9" t="s">
        <v>115</v>
      </c>
      <c r="E13" s="9"/>
      <c r="F13" s="9" t="str">
        <f ca="1">IFERROR(__xludf.DUMMYFUNCTION("IFS(
  REGEXMATCH(LOWER(VLOOKUP(A13, Data1_Raw_Slack!A:B, 2, FALSE)), ""news|weather""), ""News and Weather"", REGEXMATCH(LOWER(VLOOKUP(A13, Data1_Raw_Slack!A:B, 2, FALSE)), ""sports|ufc|nba|nfl|mlb|soccer|sports fans""), ""Sports"",
  REGEXMATCH(LOWER(VL"&amp;"OOKUP(A13, Data1_Raw_Slack!A:B, 2, FALSE)), ""fashion|style|clothing|apparel|shoes|accessories|beauty|cosmetics|fashionistas""), ""Fashion and Beauty"",
  REGEXMATCH(LOWER(VLOOKUP(A13, Data1_Raw_Slack!A:B, 2, FALSE)), ""food|cooking|recipe|restaurant|snac"&amp;"k|grocery|foodies""), ""Food"",
  REGEXMATCH(LOWER(VLOOKUP(A13, Data1_Raw_Slack!A:B, 2, FALSE)), ""travel|vacation|airline|hotel|trip|flights|travelers""), ""Travel"",
  REGEXMATCH(LOWER(VLOOKUP(A13, Data1_Raw_Slack!A:B, 2, FALSE)), ""fitness|workout|gym|"&amp;"exercise|yoga|wellness|fitness enthusiasts""), ""Fitness"",
  REGEXMATCH(LOWER(VLOOKUP(A13, Data1_Raw_Slack!A:B, 2, FALSE)), ""health|medical|pharmacy|mental health|doctor|health-conscious""), ""Health"",
  REGEXMATCH(LOWER(VLOOKUP(A13, Data1_Raw_Slack!A:"&amp;"B, 2, FALSE)), ""pets|dogs|cats|animals|pet care|pet lovers""), ""Pets"",
  REGEXMATCH(LOWER(VLOOKUP(A13, Data1_Raw_Slack!A:B, 2, FALSE)), ""games|gaming|game|xbox|playstation|nintendo|gamers""), ""Gaming"",
  REGEXMATCH(LOWER(VLOOKUP(A13, Data1_Raw_Slack"&amp;"!A:B, 2, FALSE)), ""entertainment|movies|tv|netflix|streaming|celebrity|movie lovers|tv fans|hobb|photo|art""), ""Entertainment"",
  REGEXMATCH(LOWER(VLOOKUP(A13, Data1_Raw_Slack!A:B, 2, FALSE)), ""lifestyle|home|interior|decor|living|lifestyle enthusiast"&amp;"s""), ""Lifestyle"",
  REGEXMATCH(LOWER(VLOOKUP(A13, Data1_Raw_Slack!A:B, 2, FALSE)), ""financial|finance|investing|stocks|retirement|banking|credit|debt|loans|savings|personal finance|insurance|econ|ecom|business|retail|occupation|sale|job|marketing""), "&amp;"""Finance"",
  REGEXMATCH(LOWER(VLOOKUP(A13, Data1_Raw_Slack!A:B, 2, FALSE)), ""auto|automotive""), ""Auto"",
  REGEXMATCH(LOWER(VLOOKUP(A13, Data1_Raw_Slack!A:B, 2, FALSE)), ""parenting|moms|dads|kids|toddlers|baby|parent|children""), ""Parenting"",
 "&amp;" REGEXMATCH(LOWER(VLOOKUP(A13, Data1_Raw_Slack!A:B, 2, FALSE)), ""education|students|learning|school|teachers|college|university|academics""), ""Education"",
  REGEXMATCH(LOWER(VLOOKUP(A13, Data1_Raw_Slack!A:B, 2, FALSE)), ""age|gender|demographic|family|"&amp;"household""), ""Demographics"",
  REGEXMATCH(LOWER(VLOOKUP(A13, Data1_Raw_Slack!A:B, 2, FALSE)), ""mortgage|real estate""), ""Real Estate"",REGEXMATCH(LOWER(VLOOKUP(A13, Data1_Raw_Slack!A:B, 2, FALSE)), ""technology|tech|gadgets|smartphone|electro|apps|de"&amp;"vices|computing|ai|robots|software|computer|internet|tele|mobile|tablet""), ""Technology"", REGEXMATCH(LOWER(VLOOKUP(A13, Data1_Raw_Slack!A:B, 2, FALSE)), ""entertainment|purchas|movies|tv|netflix|streaming|celebrity|movie lovers|tv fans|media|hobb|photo|"&amp;"art|shop""), ""Entertainment"", REGEXMATCH(LOWER(VLOOKUP(A13, Data1_Raw_Slack!A:B, 2, FALSE)), ""law|government|""), ""Law and Government"",
  TRUE, ""Other""
)"),"Law and Government")</f>
        <v>Law and Government</v>
      </c>
      <c r="G13" s="9"/>
      <c r="H13" s="9" t="s">
        <v>32</v>
      </c>
      <c r="I13" s="9" t="s">
        <v>116</v>
      </c>
      <c r="J13" s="9" t="s">
        <v>80</v>
      </c>
      <c r="K13" s="9" t="s">
        <v>35</v>
      </c>
      <c r="L13" s="9" t="s">
        <v>36</v>
      </c>
      <c r="M13" s="10" t="s">
        <v>117</v>
      </c>
      <c r="N13" s="9" t="str">
        <f ca="1">IFERROR(__xludf.DUMMYFUNCTION("REGEXEXTRACT(LOWER(M13), ""([a-z0-9\-]+)\.(?:co|net|org|io|gg)"")"),"businessinsider")</f>
        <v>businessinsider</v>
      </c>
      <c r="O13" s="9" t="s">
        <v>118</v>
      </c>
      <c r="P13" s="9" t="s">
        <v>39</v>
      </c>
      <c r="Q13" s="9">
        <v>11919</v>
      </c>
      <c r="R13" s="9">
        <v>69</v>
      </c>
      <c r="S13" s="9">
        <v>8100</v>
      </c>
      <c r="T13" s="9">
        <v>11524</v>
      </c>
      <c r="U13" s="9">
        <v>2</v>
      </c>
      <c r="V13" s="11">
        <v>6350.916905</v>
      </c>
      <c r="W13" s="12">
        <f t="shared" si="0"/>
        <v>3175.4584525</v>
      </c>
      <c r="X13" s="12">
        <f t="shared" si="1"/>
        <v>0.5789076264787314</v>
      </c>
      <c r="Y13" s="12">
        <f t="shared" si="2"/>
        <v>67.958721369242383</v>
      </c>
      <c r="Z13" s="12">
        <f t="shared" si="3"/>
        <v>784.06381543209875</v>
      </c>
      <c r="AA13" s="12">
        <f t="shared" si="4"/>
        <v>532.83974368655083</v>
      </c>
      <c r="AB13" s="12">
        <f t="shared" si="5"/>
        <v>92.042273985507251</v>
      </c>
      <c r="AC13" s="12">
        <f t="shared" si="6"/>
        <v>2.8985507246376812</v>
      </c>
      <c r="AE13" s="13"/>
      <c r="AF13" s="13"/>
    </row>
    <row r="14" spans="1:32">
      <c r="A14" s="8" t="s">
        <v>119</v>
      </c>
      <c r="B14" s="9" t="s">
        <v>41</v>
      </c>
      <c r="C14" s="9" t="s">
        <v>120</v>
      </c>
      <c r="D14" s="9" t="s">
        <v>121</v>
      </c>
      <c r="E14" s="9"/>
      <c r="F14" s="9" t="str">
        <f ca="1">IFERROR(__xludf.DUMMYFUNCTION("IFS(
  REGEXMATCH(LOWER(VLOOKUP(A14, Data1_Raw_Slack!A:B, 2, FALSE)), ""news|weather""), ""News and Weather"", REGEXMATCH(LOWER(VLOOKUP(A14, Data1_Raw_Slack!A:B, 2, FALSE)), ""sports|ufc|nba|nfl|mlb|soccer|sports fans""), ""Sports"",
  REGEXMATCH(LOWER(VL"&amp;"OOKUP(A14, Data1_Raw_Slack!A:B, 2, FALSE)), ""fashion|style|clothing|apparel|shoes|accessories|beauty|cosmetics|fashionistas""), ""Fashion and Beauty"",
  REGEXMATCH(LOWER(VLOOKUP(A14, Data1_Raw_Slack!A:B, 2, FALSE)), ""food|cooking|recipe|restaurant|snac"&amp;"k|grocery|foodies""), ""Food"",
  REGEXMATCH(LOWER(VLOOKUP(A14, Data1_Raw_Slack!A:B, 2, FALSE)), ""travel|vacation|airline|hotel|trip|flights|travelers""), ""Travel"",
  REGEXMATCH(LOWER(VLOOKUP(A14, Data1_Raw_Slack!A:B, 2, FALSE)), ""fitness|workout|gym|"&amp;"exercise|yoga|wellness|fitness enthusiasts""), ""Fitness"",
  REGEXMATCH(LOWER(VLOOKUP(A14, Data1_Raw_Slack!A:B, 2, FALSE)), ""health|medical|pharmacy|mental health|doctor|health-conscious""), ""Health"",
  REGEXMATCH(LOWER(VLOOKUP(A14, Data1_Raw_Slack!A:"&amp;"B, 2, FALSE)), ""pets|dogs|cats|animals|pet care|pet lovers""), ""Pets"",
  REGEXMATCH(LOWER(VLOOKUP(A14, Data1_Raw_Slack!A:B, 2, FALSE)), ""games|gaming|game|xbox|playstation|nintendo|gamers""), ""Gaming"",
  REGEXMATCH(LOWER(VLOOKUP(A14, Data1_Raw_Slack"&amp;"!A:B, 2, FALSE)), ""entertainment|movies|tv|netflix|streaming|celebrity|movie lovers|tv fans|hobb|photo|art""), ""Entertainment"",
  REGEXMATCH(LOWER(VLOOKUP(A14, Data1_Raw_Slack!A:B, 2, FALSE)), ""lifestyle|home|interior|decor|living|lifestyle enthusiast"&amp;"s""), ""Lifestyle"",
  REGEXMATCH(LOWER(VLOOKUP(A14, Data1_Raw_Slack!A:B, 2, FALSE)), ""financial|finance|investing|stocks|retirement|banking|credit|debt|loans|savings|personal finance|insurance|econ|ecom|business|retail|occupation|sale|job|marketing""), "&amp;"""Finance"",
  REGEXMATCH(LOWER(VLOOKUP(A14, Data1_Raw_Slack!A:B, 2, FALSE)), ""auto|automotive""), ""Auto"",
  REGEXMATCH(LOWER(VLOOKUP(A14, Data1_Raw_Slack!A:B, 2, FALSE)), ""parenting|moms|dads|kids|toddlers|baby|parent|children""), ""Parenting"",
 "&amp;" REGEXMATCH(LOWER(VLOOKUP(A14, Data1_Raw_Slack!A:B, 2, FALSE)), ""education|students|learning|school|teachers|college|university|academics""), ""Education"",
  REGEXMATCH(LOWER(VLOOKUP(A14, Data1_Raw_Slack!A:B, 2, FALSE)), ""age|gender|demographic|family|"&amp;"household""), ""Demographics"",
  REGEXMATCH(LOWER(VLOOKUP(A14, Data1_Raw_Slack!A:B, 2, FALSE)), ""mortgage|real estate""), ""Real Estate"",REGEXMATCH(LOWER(VLOOKUP(A14, Data1_Raw_Slack!A:B, 2, FALSE)), ""technology|tech|gadgets|smartphone|electro|apps|de"&amp;"vices|computing|ai|robots|software|computer|internet|tele|mobile|tablet""), ""Technology"", REGEXMATCH(LOWER(VLOOKUP(A14, Data1_Raw_Slack!A:B, 2, FALSE)), ""entertainment|purchas|movies|tv|netflix|streaming|celebrity|movie lovers|tv fans|media|hobb|photo|"&amp;"art|shop""), ""Entertainment"", REGEXMATCH(LOWER(VLOOKUP(A14, Data1_Raw_Slack!A:B, 2, FALSE)), ""law|government|""), ""Law and Government"",
  TRUE, ""Other""
)"),"Auto")</f>
        <v>Auto</v>
      </c>
      <c r="G14" s="9" t="s">
        <v>122</v>
      </c>
      <c r="H14" s="9" t="s">
        <v>123</v>
      </c>
      <c r="I14" s="9" t="s">
        <v>124</v>
      </c>
      <c r="J14" s="9" t="s">
        <v>34</v>
      </c>
      <c r="K14" s="9" t="s">
        <v>56</v>
      </c>
      <c r="L14" s="9" t="s">
        <v>57</v>
      </c>
      <c r="M14" s="10" t="s">
        <v>125</v>
      </c>
      <c r="N14" s="9" t="str">
        <f ca="1">IFERROR(__xludf.DUMMYFUNCTION("REGEXEXTRACT(LOWER(M14), ""([a-z0-9\-]+)\.(?:co|net|org|io|gg)"")"),"hindustantimes")</f>
        <v>hindustantimes</v>
      </c>
      <c r="O14" s="9" t="s">
        <v>50</v>
      </c>
      <c r="P14" s="9" t="s">
        <v>39</v>
      </c>
      <c r="Q14" s="9">
        <v>17518</v>
      </c>
      <c r="R14" s="9">
        <v>60</v>
      </c>
      <c r="S14" s="9">
        <v>11513</v>
      </c>
      <c r="T14" s="9">
        <v>16192</v>
      </c>
      <c r="U14" s="9">
        <v>12</v>
      </c>
      <c r="V14" s="11">
        <v>6765.0003999999999</v>
      </c>
      <c r="W14" s="12">
        <f t="shared" si="0"/>
        <v>563.75003333333336</v>
      </c>
      <c r="X14" s="12">
        <f t="shared" si="1"/>
        <v>0.34250485215207216</v>
      </c>
      <c r="Y14" s="12">
        <f t="shared" si="2"/>
        <v>65.720972713780114</v>
      </c>
      <c r="Z14" s="12">
        <f t="shared" si="3"/>
        <v>587.59666463997223</v>
      </c>
      <c r="AA14" s="12">
        <f t="shared" si="4"/>
        <v>386.17424363511816</v>
      </c>
      <c r="AB14" s="12">
        <f t="shared" si="5"/>
        <v>112.75000666666666</v>
      </c>
      <c r="AC14" s="12">
        <f t="shared" si="6"/>
        <v>20</v>
      </c>
      <c r="AE14" s="13"/>
      <c r="AF14" s="13"/>
    </row>
    <row r="15" spans="1:32">
      <c r="A15" s="8" t="s">
        <v>126</v>
      </c>
      <c r="B15" s="9" t="s">
        <v>41</v>
      </c>
      <c r="C15" s="9" t="s">
        <v>127</v>
      </c>
      <c r="D15" s="9" t="s">
        <v>53</v>
      </c>
      <c r="E15" s="9" t="s">
        <v>128</v>
      </c>
      <c r="F15" s="9" t="str">
        <f ca="1">IFERROR(__xludf.DUMMYFUNCTION("IFS(
  REGEXMATCH(LOWER(VLOOKUP(A15, Data1_Raw_Slack!A:B, 2, FALSE)), ""news|weather""), ""News and Weather"", REGEXMATCH(LOWER(VLOOKUP(A15, Data1_Raw_Slack!A:B, 2, FALSE)), ""sports|ufc|nba|nfl|mlb|soccer|sports fans""), ""Sports"",
  REGEXMATCH(LOWER(VL"&amp;"OOKUP(A15, Data1_Raw_Slack!A:B, 2, FALSE)), ""fashion|style|clothing|apparel|shoes|accessories|beauty|cosmetics|fashionistas""), ""Fashion and Beauty"",
  REGEXMATCH(LOWER(VLOOKUP(A15, Data1_Raw_Slack!A:B, 2, FALSE)), ""food|cooking|recipe|restaurant|snac"&amp;"k|grocery|foodies""), ""Food"",
  REGEXMATCH(LOWER(VLOOKUP(A15, Data1_Raw_Slack!A:B, 2, FALSE)), ""travel|vacation|airline|hotel|trip|flights|travelers""), ""Travel"",
  REGEXMATCH(LOWER(VLOOKUP(A15, Data1_Raw_Slack!A:B, 2, FALSE)), ""fitness|workout|gym|"&amp;"exercise|yoga|wellness|fitness enthusiasts""), ""Fitness"",
  REGEXMATCH(LOWER(VLOOKUP(A15, Data1_Raw_Slack!A:B, 2, FALSE)), ""health|medical|pharmacy|mental health|doctor|health-conscious""), ""Health"",
  REGEXMATCH(LOWER(VLOOKUP(A15, Data1_Raw_Slack!A:"&amp;"B, 2, FALSE)), ""pets|dogs|cats|animals|pet care|pet lovers""), ""Pets"",
  REGEXMATCH(LOWER(VLOOKUP(A15, Data1_Raw_Slack!A:B, 2, FALSE)), ""games|gaming|game|xbox|playstation|nintendo|gamers""), ""Gaming"",
  REGEXMATCH(LOWER(VLOOKUP(A15, Data1_Raw_Slack"&amp;"!A:B, 2, FALSE)), ""entertainment|movies|tv|netflix|streaming|celebrity|movie lovers|tv fans|hobb|photo|art""), ""Entertainment"",
  REGEXMATCH(LOWER(VLOOKUP(A15, Data1_Raw_Slack!A:B, 2, FALSE)), ""lifestyle|home|interior|decor|living|lifestyle enthusiast"&amp;"s""), ""Lifestyle"",
  REGEXMATCH(LOWER(VLOOKUP(A15, Data1_Raw_Slack!A:B, 2, FALSE)), ""financial|finance|investing|stocks|retirement|banking|credit|debt|loans|savings|personal finance|insurance|econ|ecom|business|retail|occupation|sale|job|marketing""), "&amp;"""Finance"",
  REGEXMATCH(LOWER(VLOOKUP(A15, Data1_Raw_Slack!A:B, 2, FALSE)), ""auto|automotive""), ""Auto"",
  REGEXMATCH(LOWER(VLOOKUP(A15, Data1_Raw_Slack!A:B, 2, FALSE)), ""parenting|moms|dads|kids|toddlers|baby|parent|children""), ""Parenting"",
 "&amp;" REGEXMATCH(LOWER(VLOOKUP(A15, Data1_Raw_Slack!A:B, 2, FALSE)), ""education|students|learning|school|teachers|college|university|academics""), ""Education"",
  REGEXMATCH(LOWER(VLOOKUP(A15, Data1_Raw_Slack!A:B, 2, FALSE)), ""age|gender|demographic|family|"&amp;"household""), ""Demographics"",
  REGEXMATCH(LOWER(VLOOKUP(A15, Data1_Raw_Slack!A:B, 2, FALSE)), ""mortgage|real estate""), ""Real Estate"",REGEXMATCH(LOWER(VLOOKUP(A15, Data1_Raw_Slack!A:B, 2, FALSE)), ""technology|tech|gadgets|smartphone|electro|apps|de"&amp;"vices|computing|ai|robots|software|computer|internet|tele|mobile|tablet""), ""Technology"", REGEXMATCH(LOWER(VLOOKUP(A15, Data1_Raw_Slack!A:B, 2, FALSE)), ""entertainment|purchas|movies|tv|netflix|streaming|celebrity|movie lovers|tv fans|media|hobb|photo|"&amp;"art|shop""), ""Entertainment"", REGEXMATCH(LOWER(VLOOKUP(A15, Data1_Raw_Slack!A:B, 2, FALSE)), ""law|government|""), ""Law and Government"",
  TRUE, ""Other""
)"),"Travel")</f>
        <v>Travel</v>
      </c>
      <c r="G15" s="9" t="s">
        <v>127</v>
      </c>
      <c r="H15" s="9" t="s">
        <v>44</v>
      </c>
      <c r="I15" s="9" t="s">
        <v>129</v>
      </c>
      <c r="J15" s="9" t="s">
        <v>62</v>
      </c>
      <c r="K15" s="9" t="s">
        <v>35</v>
      </c>
      <c r="L15" s="9" t="s">
        <v>36</v>
      </c>
      <c r="M15" s="10" t="s">
        <v>130</v>
      </c>
      <c r="N15" s="9" t="str">
        <f ca="1">IFERROR(__xludf.DUMMYFUNCTION("REGEXEXTRACT(LOWER(M15), ""([a-z0-9\-]+)\.(?:co|net|org|io|gg)"")"),"weather")</f>
        <v>weather</v>
      </c>
      <c r="O15" s="9" t="s">
        <v>131</v>
      </c>
      <c r="P15" s="9" t="s">
        <v>39</v>
      </c>
      <c r="Q15" s="9">
        <v>61574</v>
      </c>
      <c r="R15" s="9">
        <v>280</v>
      </c>
      <c r="S15" s="9">
        <v>18717</v>
      </c>
      <c r="T15" s="9">
        <v>46367</v>
      </c>
      <c r="U15" s="9">
        <v>8</v>
      </c>
      <c r="V15" s="11">
        <v>4999.6652050000002</v>
      </c>
      <c r="W15" s="12">
        <f t="shared" si="0"/>
        <v>624.95815062500003</v>
      </c>
      <c r="X15" s="12">
        <f t="shared" si="1"/>
        <v>0.45473738915776141</v>
      </c>
      <c r="Y15" s="12">
        <f t="shared" si="2"/>
        <v>30.397570403092217</v>
      </c>
      <c r="Z15" s="12">
        <f t="shared" si="3"/>
        <v>267.11894026820539</v>
      </c>
      <c r="AA15" s="12">
        <f t="shared" si="4"/>
        <v>81.197667928021573</v>
      </c>
      <c r="AB15" s="12">
        <f t="shared" si="5"/>
        <v>17.855947160714287</v>
      </c>
      <c r="AC15" s="12">
        <f t="shared" si="6"/>
        <v>2.8571428571428572</v>
      </c>
      <c r="AE15" s="13"/>
      <c r="AF15" s="13"/>
    </row>
    <row r="16" spans="1:32">
      <c r="A16" s="8" t="s">
        <v>132</v>
      </c>
      <c r="B16" s="9" t="s">
        <v>133</v>
      </c>
      <c r="C16" s="9" t="s">
        <v>134</v>
      </c>
      <c r="D16" s="9"/>
      <c r="E16" s="9"/>
      <c r="F16" s="9" t="str">
        <f ca="1">IFERROR(__xludf.DUMMYFUNCTION("IFS(
  REGEXMATCH(LOWER(VLOOKUP(A16, Data1_Raw_Slack!A:B, 2, FALSE)), ""news|weather""), ""News and Weather"", REGEXMATCH(LOWER(VLOOKUP(A16, Data1_Raw_Slack!A:B, 2, FALSE)), ""sports|ufc|nba|nfl|mlb|soccer|sports fans""), ""Sports"",
  REGEXMATCH(LOWER(VL"&amp;"OOKUP(A16, Data1_Raw_Slack!A:B, 2, FALSE)), ""fashion|style|clothing|apparel|shoes|accessories|beauty|cosmetics|fashionistas""), ""Fashion and Beauty"",
  REGEXMATCH(LOWER(VLOOKUP(A16, Data1_Raw_Slack!A:B, 2, FALSE)), ""food|cooking|recipe|restaurant|snac"&amp;"k|grocery|foodies""), ""Food"",
  REGEXMATCH(LOWER(VLOOKUP(A16, Data1_Raw_Slack!A:B, 2, FALSE)), ""travel|vacation|airline|hotel|trip|flights|travelers""), ""Travel"",
  REGEXMATCH(LOWER(VLOOKUP(A16, Data1_Raw_Slack!A:B, 2, FALSE)), ""fitness|workout|gym|"&amp;"exercise|yoga|wellness|fitness enthusiasts""), ""Fitness"",
  REGEXMATCH(LOWER(VLOOKUP(A16, Data1_Raw_Slack!A:B, 2, FALSE)), ""health|medical|pharmacy|mental health|doctor|health-conscious""), ""Health"",
  REGEXMATCH(LOWER(VLOOKUP(A16, Data1_Raw_Slack!A:"&amp;"B, 2, FALSE)), ""pets|dogs|cats|animals|pet care|pet lovers""), ""Pets"",
  REGEXMATCH(LOWER(VLOOKUP(A16, Data1_Raw_Slack!A:B, 2, FALSE)), ""games|gaming|game|xbox|playstation|nintendo|gamers""), ""Gaming"",
  REGEXMATCH(LOWER(VLOOKUP(A16, Data1_Raw_Slack"&amp;"!A:B, 2, FALSE)), ""entertainment|movies|tv|netflix|streaming|celebrity|movie lovers|tv fans|hobb|photo|art""), ""Entertainment"",
  REGEXMATCH(LOWER(VLOOKUP(A16, Data1_Raw_Slack!A:B, 2, FALSE)), ""lifestyle|home|interior|decor|living|lifestyle enthusiast"&amp;"s""), ""Lifestyle"",
  REGEXMATCH(LOWER(VLOOKUP(A16, Data1_Raw_Slack!A:B, 2, FALSE)), ""financial|finance|investing|stocks|retirement|banking|credit|debt|loans|savings|personal finance|insurance|econ|ecom|business|retail|occupation|sale|job|marketing""), "&amp;"""Finance"",
  REGEXMATCH(LOWER(VLOOKUP(A16, Data1_Raw_Slack!A:B, 2, FALSE)), ""auto|automotive""), ""Auto"",
  REGEXMATCH(LOWER(VLOOKUP(A16, Data1_Raw_Slack!A:B, 2, FALSE)), ""parenting|moms|dads|kids|toddlers|baby|parent|children""), ""Parenting"",
 "&amp;" REGEXMATCH(LOWER(VLOOKUP(A16, Data1_Raw_Slack!A:B, 2, FALSE)), ""education|students|learning|school|teachers|college|university|academics""), ""Education"",
  REGEXMATCH(LOWER(VLOOKUP(A16, Data1_Raw_Slack!A:B, 2, FALSE)), ""age|gender|demographic|family|"&amp;"household""), ""Demographics"",
  REGEXMATCH(LOWER(VLOOKUP(A16, Data1_Raw_Slack!A:B, 2, FALSE)), ""mortgage|real estate""), ""Real Estate"",REGEXMATCH(LOWER(VLOOKUP(A16, Data1_Raw_Slack!A:B, 2, FALSE)), ""technology|tech|gadgets|smartphone|electro|apps|de"&amp;"vices|computing|ai|robots|software|computer|internet|tele|mobile|tablet""), ""Technology"", REGEXMATCH(LOWER(VLOOKUP(A16, Data1_Raw_Slack!A:B, 2, FALSE)), ""entertainment|purchas|movies|tv|netflix|streaming|celebrity|movie lovers|tv fans|media|hobb|photo|"&amp;"art|shop""), ""Entertainment"", REGEXMATCH(LOWER(VLOOKUP(A16, Data1_Raw_Slack!A:B, 2, FALSE)), ""law|government|""), ""Law and Government"",
  TRUE, ""Other""
)"),"Finance")</f>
        <v>Finance</v>
      </c>
      <c r="G16" s="9" t="s">
        <v>135</v>
      </c>
      <c r="H16" s="9" t="s">
        <v>32</v>
      </c>
      <c r="I16" s="9" t="s">
        <v>136</v>
      </c>
      <c r="J16" s="9" t="s">
        <v>46</v>
      </c>
      <c r="K16" s="9" t="s">
        <v>137</v>
      </c>
      <c r="L16" s="9" t="s">
        <v>72</v>
      </c>
      <c r="M16" s="10" t="s">
        <v>138</v>
      </c>
      <c r="N16" s="9" t="str">
        <f ca="1">IFERROR(__xludf.DUMMYFUNCTION("REGEXEXTRACT(LOWER(M16), ""([a-z0-9\-]+)\.(?:co|net|org|io|gg)"")"),"dailydot")</f>
        <v>dailydot</v>
      </c>
      <c r="O16" s="9" t="s">
        <v>50</v>
      </c>
      <c r="P16" s="9" t="s">
        <v>39</v>
      </c>
      <c r="Q16" s="9">
        <v>29393</v>
      </c>
      <c r="R16" s="9">
        <v>70</v>
      </c>
      <c r="S16" s="9">
        <v>3277</v>
      </c>
      <c r="T16" s="9">
        <v>25959</v>
      </c>
      <c r="U16" s="9">
        <v>19</v>
      </c>
      <c r="V16" s="11">
        <v>2120.7576979999999</v>
      </c>
      <c r="W16" s="12">
        <f t="shared" si="0"/>
        <v>111.61882621052631</v>
      </c>
      <c r="X16" s="12">
        <f t="shared" si="1"/>
        <v>0.23815194093831865</v>
      </c>
      <c r="Y16" s="12">
        <f t="shared" si="2"/>
        <v>11.148913006498146</v>
      </c>
      <c r="Z16" s="12">
        <f t="shared" si="3"/>
        <v>647.16438754958801</v>
      </c>
      <c r="AA16" s="12">
        <f t="shared" si="4"/>
        <v>72.151794576940091</v>
      </c>
      <c r="AB16" s="12">
        <f t="shared" si="5"/>
        <v>30.296538542857142</v>
      </c>
      <c r="AC16" s="12">
        <f t="shared" si="6"/>
        <v>27.142857142857142</v>
      </c>
      <c r="AE16" s="13"/>
      <c r="AF16" s="13"/>
    </row>
    <row r="17" spans="1:32">
      <c r="A17" s="8" t="s">
        <v>139</v>
      </c>
      <c r="B17" s="9" t="s">
        <v>41</v>
      </c>
      <c r="C17" s="9" t="s">
        <v>114</v>
      </c>
      <c r="D17" s="9" t="s">
        <v>140</v>
      </c>
      <c r="E17" s="9"/>
      <c r="F17" s="9" t="str">
        <f ca="1">IFERROR(__xludf.DUMMYFUNCTION("IFS(
  REGEXMATCH(LOWER(VLOOKUP(A17, Data1_Raw_Slack!A:B, 2, FALSE)), ""news|weather""), ""News and Weather"", REGEXMATCH(LOWER(VLOOKUP(A17, Data1_Raw_Slack!A:B, 2, FALSE)), ""sports|ufc|nba|nfl|mlb|soccer|sports fans""), ""Sports"",
  REGEXMATCH(LOWER(VL"&amp;"OOKUP(A17, Data1_Raw_Slack!A:B, 2, FALSE)), ""fashion|style|clothing|apparel|shoes|accessories|beauty|cosmetics|fashionistas""), ""Fashion and Beauty"",
  REGEXMATCH(LOWER(VLOOKUP(A17, Data1_Raw_Slack!A:B, 2, FALSE)), ""food|cooking|recipe|restaurant|snac"&amp;"k|grocery|foodies""), ""Food"",
  REGEXMATCH(LOWER(VLOOKUP(A17, Data1_Raw_Slack!A:B, 2, FALSE)), ""travel|vacation|airline|hotel|trip|flights|travelers""), ""Travel"",
  REGEXMATCH(LOWER(VLOOKUP(A17, Data1_Raw_Slack!A:B, 2, FALSE)), ""fitness|workout|gym|"&amp;"exercise|yoga|wellness|fitness enthusiasts""), ""Fitness"",
  REGEXMATCH(LOWER(VLOOKUP(A17, Data1_Raw_Slack!A:B, 2, FALSE)), ""health|medical|pharmacy|mental health|doctor|health-conscious""), ""Health"",
  REGEXMATCH(LOWER(VLOOKUP(A17, Data1_Raw_Slack!A:"&amp;"B, 2, FALSE)), ""pets|dogs|cats|animals|pet care|pet lovers""), ""Pets"",
  REGEXMATCH(LOWER(VLOOKUP(A17, Data1_Raw_Slack!A:B, 2, FALSE)), ""games|gaming|game|xbox|playstation|nintendo|gamers""), ""Gaming"",
  REGEXMATCH(LOWER(VLOOKUP(A17, Data1_Raw_Slack"&amp;"!A:B, 2, FALSE)), ""entertainment|movies|tv|netflix|streaming|celebrity|movie lovers|tv fans|hobb|photo|art""), ""Entertainment"",
  REGEXMATCH(LOWER(VLOOKUP(A17, Data1_Raw_Slack!A:B, 2, FALSE)), ""lifestyle|home|interior|decor|living|lifestyle enthusiast"&amp;"s""), ""Lifestyle"",
  REGEXMATCH(LOWER(VLOOKUP(A17, Data1_Raw_Slack!A:B, 2, FALSE)), ""financial|finance|investing|stocks|retirement|banking|credit|debt|loans|savings|personal finance|insurance|econ|ecom|business|retail|occupation|sale|job|marketing""), "&amp;"""Finance"",
  REGEXMATCH(LOWER(VLOOKUP(A17, Data1_Raw_Slack!A:B, 2, FALSE)), ""auto|automotive""), ""Auto"",
  REGEXMATCH(LOWER(VLOOKUP(A17, Data1_Raw_Slack!A:B, 2, FALSE)), ""parenting|moms|dads|kids|toddlers|baby|parent|children""), ""Parenting"",
 "&amp;" REGEXMATCH(LOWER(VLOOKUP(A17, Data1_Raw_Slack!A:B, 2, FALSE)), ""education|students|learning|school|teachers|college|university|academics""), ""Education"",
  REGEXMATCH(LOWER(VLOOKUP(A17, Data1_Raw_Slack!A:B, 2, FALSE)), ""age|gender|demographic|family|"&amp;"household""), ""Demographics"",
  REGEXMATCH(LOWER(VLOOKUP(A17, Data1_Raw_Slack!A:B, 2, FALSE)), ""mortgage|real estate""), ""Real Estate"",REGEXMATCH(LOWER(VLOOKUP(A17, Data1_Raw_Slack!A:B, 2, FALSE)), ""technology|tech|gadgets|smartphone|electro|apps|de"&amp;"vices|computing|ai|robots|software|computer|internet|tele|mobile|tablet""), ""Technology"", REGEXMATCH(LOWER(VLOOKUP(A17, Data1_Raw_Slack!A:B, 2, FALSE)), ""entertainment|purchas|movies|tv|netflix|streaming|celebrity|movie lovers|tv fans|media|hobb|photo|"&amp;"art|shop""), ""Entertainment"", REGEXMATCH(LOWER(VLOOKUP(A17, Data1_Raw_Slack!A:B, 2, FALSE)), ""law|government|""), ""Law and Government"",
  TRUE, ""Other""
)"),"Demographics")</f>
        <v>Demographics</v>
      </c>
      <c r="G17" s="9"/>
      <c r="H17" s="9" t="s">
        <v>32</v>
      </c>
      <c r="I17" s="9" t="s">
        <v>141</v>
      </c>
      <c r="J17" s="9" t="s">
        <v>46</v>
      </c>
      <c r="K17" s="9" t="s">
        <v>142</v>
      </c>
      <c r="L17" s="9" t="s">
        <v>72</v>
      </c>
      <c r="M17" s="10" t="s">
        <v>117</v>
      </c>
      <c r="N17" s="9" t="str">
        <f ca="1">IFERROR(__xludf.DUMMYFUNCTION("REGEXEXTRACT(LOWER(M17), ""([a-z0-9\-]+)\.(?:co|net|org|io|gg)"")"),"businessinsider")</f>
        <v>businessinsider</v>
      </c>
      <c r="O17" s="9" t="s">
        <v>50</v>
      </c>
      <c r="P17" s="9" t="s">
        <v>39</v>
      </c>
      <c r="Q17" s="9">
        <v>35163</v>
      </c>
      <c r="R17" s="9">
        <v>250</v>
      </c>
      <c r="S17" s="9">
        <v>21222</v>
      </c>
      <c r="T17" s="9">
        <v>33671</v>
      </c>
      <c r="U17" s="9">
        <v>15</v>
      </c>
      <c r="V17" s="11">
        <v>6336.7181</v>
      </c>
      <c r="W17" s="12">
        <f t="shared" si="0"/>
        <v>422.44787333333335</v>
      </c>
      <c r="X17" s="12">
        <f t="shared" si="1"/>
        <v>0.71097460398714563</v>
      </c>
      <c r="Y17" s="12">
        <f t="shared" si="2"/>
        <v>60.353212183260815</v>
      </c>
      <c r="Z17" s="12">
        <f t="shared" si="3"/>
        <v>298.59193761191216</v>
      </c>
      <c r="AA17" s="12">
        <f t="shared" si="4"/>
        <v>180.20982566902711</v>
      </c>
      <c r="AB17" s="12">
        <f t="shared" si="5"/>
        <v>25.346872399999999</v>
      </c>
      <c r="AC17" s="12">
        <f t="shared" si="6"/>
        <v>6</v>
      </c>
      <c r="AE17" s="13"/>
      <c r="AF17" s="13"/>
    </row>
    <row r="18" spans="1:32">
      <c r="A18" s="8" t="s">
        <v>143</v>
      </c>
      <c r="B18" s="9" t="s">
        <v>144</v>
      </c>
      <c r="C18" s="9" t="s">
        <v>145</v>
      </c>
      <c r="D18" s="9" t="s">
        <v>146</v>
      </c>
      <c r="E18" s="9"/>
      <c r="F18" s="9" t="str">
        <f ca="1">IFERROR(__xludf.DUMMYFUNCTION("IFS(
  REGEXMATCH(LOWER(VLOOKUP(A18, Data1_Raw_Slack!A:B, 2, FALSE)), ""news|weather""), ""News and Weather"", REGEXMATCH(LOWER(VLOOKUP(A18, Data1_Raw_Slack!A:B, 2, FALSE)), ""sports|ufc|nba|nfl|mlb|soccer|sports fans""), ""Sports"",
  REGEXMATCH(LOWER(VL"&amp;"OOKUP(A18, Data1_Raw_Slack!A:B, 2, FALSE)), ""fashion|style|clothing|apparel|shoes|accessories|beauty|cosmetics|fashionistas""), ""Fashion and Beauty"",
  REGEXMATCH(LOWER(VLOOKUP(A18, Data1_Raw_Slack!A:B, 2, FALSE)), ""food|cooking|recipe|restaurant|snac"&amp;"k|grocery|foodies""), ""Food"",
  REGEXMATCH(LOWER(VLOOKUP(A18, Data1_Raw_Slack!A:B, 2, FALSE)), ""travel|vacation|airline|hotel|trip|flights|travelers""), ""Travel"",
  REGEXMATCH(LOWER(VLOOKUP(A18, Data1_Raw_Slack!A:B, 2, FALSE)), ""fitness|workout|gym|"&amp;"exercise|yoga|wellness|fitness enthusiasts""), ""Fitness"",
  REGEXMATCH(LOWER(VLOOKUP(A18, Data1_Raw_Slack!A:B, 2, FALSE)), ""health|medical|pharmacy|mental health|doctor|health-conscious""), ""Health"",
  REGEXMATCH(LOWER(VLOOKUP(A18, Data1_Raw_Slack!A:"&amp;"B, 2, FALSE)), ""pets|dogs|cats|animals|pet care|pet lovers""), ""Pets"",
  REGEXMATCH(LOWER(VLOOKUP(A18, Data1_Raw_Slack!A:B, 2, FALSE)), ""games|gaming|game|xbox|playstation|nintendo|gamers""), ""Gaming"",
  REGEXMATCH(LOWER(VLOOKUP(A18, Data1_Raw_Slack"&amp;"!A:B, 2, FALSE)), ""entertainment|movies|tv|netflix|streaming|celebrity|movie lovers|tv fans|hobb|photo|art""), ""Entertainment"",
  REGEXMATCH(LOWER(VLOOKUP(A18, Data1_Raw_Slack!A:B, 2, FALSE)), ""lifestyle|home|interior|decor|living|lifestyle enthusiast"&amp;"s""), ""Lifestyle"",
  REGEXMATCH(LOWER(VLOOKUP(A18, Data1_Raw_Slack!A:B, 2, FALSE)), ""financial|finance|investing|stocks|retirement|banking|credit|debt|loans|savings|personal finance|insurance|econ|ecom|business|retail|occupation|sale|job|marketing""), "&amp;"""Finance"",
  REGEXMATCH(LOWER(VLOOKUP(A18, Data1_Raw_Slack!A:B, 2, FALSE)), ""auto|automotive""), ""Auto"",
  REGEXMATCH(LOWER(VLOOKUP(A18, Data1_Raw_Slack!A:B, 2, FALSE)), ""parenting|moms|dads|kids|toddlers|baby|parent|children""), ""Parenting"",
 "&amp;" REGEXMATCH(LOWER(VLOOKUP(A18, Data1_Raw_Slack!A:B, 2, FALSE)), ""education|students|learning|school|teachers|college|university|academics""), ""Education"",
  REGEXMATCH(LOWER(VLOOKUP(A18, Data1_Raw_Slack!A:B, 2, FALSE)), ""age|gender|demographic|family|"&amp;"household""), ""Demographics"",
  REGEXMATCH(LOWER(VLOOKUP(A18, Data1_Raw_Slack!A:B, 2, FALSE)), ""mortgage|real estate""), ""Real Estate"",REGEXMATCH(LOWER(VLOOKUP(A18, Data1_Raw_Slack!A:B, 2, FALSE)), ""technology|tech|gadgets|smartphone|electro|apps|de"&amp;"vices|computing|ai|robots|software|computer|internet|tele|mobile|tablet""), ""Technology"", REGEXMATCH(LOWER(VLOOKUP(A18, Data1_Raw_Slack!A:B, 2, FALSE)), ""entertainment|purchas|movies|tv|netflix|streaming|celebrity|movie lovers|tv fans|media|hobb|photo|"&amp;"art|shop""), ""Entertainment"", REGEXMATCH(LOWER(VLOOKUP(A18, Data1_Raw_Slack!A:B, 2, FALSE)), ""law|government|""), ""Law and Government"",
  TRUE, ""Other""
)"),"News and Weather")</f>
        <v>News and Weather</v>
      </c>
      <c r="G18" s="9" t="s">
        <v>145</v>
      </c>
      <c r="H18" s="9" t="s">
        <v>123</v>
      </c>
      <c r="I18" s="9" t="s">
        <v>147</v>
      </c>
      <c r="J18" s="9" t="s">
        <v>34</v>
      </c>
      <c r="K18" s="9" t="s">
        <v>148</v>
      </c>
      <c r="L18" s="9" t="s">
        <v>89</v>
      </c>
      <c r="M18" s="10" t="s">
        <v>149</v>
      </c>
      <c r="N18" s="9" t="str">
        <f ca="1">IFERROR(__xludf.DUMMYFUNCTION("REGEXEXTRACT(LOWER(M18), ""([a-z0-9\-]+)\.(?:co|net|org|io|gg)"")"),"greedyfinance")</f>
        <v>greedyfinance</v>
      </c>
      <c r="O18" s="9" t="s">
        <v>50</v>
      </c>
      <c r="P18" s="9" t="s">
        <v>39</v>
      </c>
      <c r="Q18" s="9">
        <v>20537</v>
      </c>
      <c r="R18" s="9">
        <v>84</v>
      </c>
      <c r="S18" s="9">
        <v>15587</v>
      </c>
      <c r="T18" s="9">
        <v>19288</v>
      </c>
      <c r="U18" s="9">
        <v>10</v>
      </c>
      <c r="V18" s="11">
        <v>1609.880674</v>
      </c>
      <c r="W18" s="12">
        <f t="shared" si="0"/>
        <v>160.98806740000001</v>
      </c>
      <c r="X18" s="12">
        <f t="shared" si="1"/>
        <v>0.40901787018551883</v>
      </c>
      <c r="Y18" s="12">
        <f t="shared" si="2"/>
        <v>75.897161221210496</v>
      </c>
      <c r="Z18" s="12">
        <f t="shared" si="3"/>
        <v>103.28354872650286</v>
      </c>
      <c r="AA18" s="12">
        <f t="shared" si="4"/>
        <v>78.389281491941361</v>
      </c>
      <c r="AB18" s="12">
        <f t="shared" si="5"/>
        <v>19.16524611904762</v>
      </c>
      <c r="AC18" s="12">
        <f t="shared" si="6"/>
        <v>11.904761904761903</v>
      </c>
      <c r="AE18" s="13"/>
      <c r="AF18" s="13"/>
    </row>
    <row r="19" spans="1:32">
      <c r="A19" s="8" t="s">
        <v>150</v>
      </c>
      <c r="B19" s="9" t="s">
        <v>67</v>
      </c>
      <c r="C19" s="9" t="s">
        <v>151</v>
      </c>
      <c r="D19" s="9" t="s">
        <v>152</v>
      </c>
      <c r="E19" s="9" t="s">
        <v>153</v>
      </c>
      <c r="F19" s="9" t="str">
        <f ca="1">IFERROR(__xludf.DUMMYFUNCTION("IFS(
  REGEXMATCH(LOWER(VLOOKUP(A19, Data1_Raw_Slack!A:B, 2, FALSE)), ""news|weather""), ""News and Weather"", REGEXMATCH(LOWER(VLOOKUP(A19, Data1_Raw_Slack!A:B, 2, FALSE)), ""sports|ufc|nba|nfl|mlb|soccer|sports fans""), ""Sports"",
  REGEXMATCH(LOWER(VL"&amp;"OOKUP(A19, Data1_Raw_Slack!A:B, 2, FALSE)), ""fashion|style|clothing|apparel|shoes|accessories|beauty|cosmetics|fashionistas""), ""Fashion and Beauty"",
  REGEXMATCH(LOWER(VLOOKUP(A19, Data1_Raw_Slack!A:B, 2, FALSE)), ""food|cooking|recipe|restaurant|snac"&amp;"k|grocery|foodies""), ""Food"",
  REGEXMATCH(LOWER(VLOOKUP(A19, Data1_Raw_Slack!A:B, 2, FALSE)), ""travel|vacation|airline|hotel|trip|flights|travelers""), ""Travel"",
  REGEXMATCH(LOWER(VLOOKUP(A19, Data1_Raw_Slack!A:B, 2, FALSE)), ""fitness|workout|gym|"&amp;"exercise|yoga|wellness|fitness enthusiasts""), ""Fitness"",
  REGEXMATCH(LOWER(VLOOKUP(A19, Data1_Raw_Slack!A:B, 2, FALSE)), ""health|medical|pharmacy|mental health|doctor|health-conscious""), ""Health"",
  REGEXMATCH(LOWER(VLOOKUP(A19, Data1_Raw_Slack!A:"&amp;"B, 2, FALSE)), ""pets|dogs|cats|animals|pet care|pet lovers""), ""Pets"",
  REGEXMATCH(LOWER(VLOOKUP(A19, Data1_Raw_Slack!A:B, 2, FALSE)), ""games|gaming|game|xbox|playstation|nintendo|gamers""), ""Gaming"",
  REGEXMATCH(LOWER(VLOOKUP(A19, Data1_Raw_Slack"&amp;"!A:B, 2, FALSE)), ""entertainment|movies|tv|netflix|streaming|celebrity|movie lovers|tv fans|hobb|photo|art""), ""Entertainment"",
  REGEXMATCH(LOWER(VLOOKUP(A19, Data1_Raw_Slack!A:B, 2, FALSE)), ""lifestyle|home|interior|decor|living|lifestyle enthusiast"&amp;"s""), ""Lifestyle"",
  REGEXMATCH(LOWER(VLOOKUP(A19, Data1_Raw_Slack!A:B, 2, FALSE)), ""financial|finance|investing|stocks|retirement|banking|credit|debt|loans|savings|personal finance|insurance|econ|ecom|business|retail|occupation|sale|job|marketing""), "&amp;"""Finance"",
  REGEXMATCH(LOWER(VLOOKUP(A19, Data1_Raw_Slack!A:B, 2, FALSE)), ""auto|automotive""), ""Auto"",
  REGEXMATCH(LOWER(VLOOKUP(A19, Data1_Raw_Slack!A:B, 2, FALSE)), ""parenting|moms|dads|kids|toddlers|baby|parent|children""), ""Parenting"",
 "&amp;" REGEXMATCH(LOWER(VLOOKUP(A19, Data1_Raw_Slack!A:B, 2, FALSE)), ""education|students|learning|school|teachers|college|university|academics""), ""Education"",
  REGEXMATCH(LOWER(VLOOKUP(A19, Data1_Raw_Slack!A:B, 2, FALSE)), ""age|gender|demographic|family|"&amp;"household""), ""Demographics"",
  REGEXMATCH(LOWER(VLOOKUP(A19, Data1_Raw_Slack!A:B, 2, FALSE)), ""mortgage|real estate""), ""Real Estate"",REGEXMATCH(LOWER(VLOOKUP(A19, Data1_Raw_Slack!A:B, 2, FALSE)), ""technology|tech|gadgets|smartphone|electro|apps|de"&amp;"vices|computing|ai|robots|software|computer|internet|tele|mobile|tablet""), ""Technology"", REGEXMATCH(LOWER(VLOOKUP(A19, Data1_Raw_Slack!A:B, 2, FALSE)), ""entertainment|purchas|movies|tv|netflix|streaming|celebrity|movie lovers|tv fans|media|hobb|photo|"&amp;"art|shop""), ""Entertainment"", REGEXMATCH(LOWER(VLOOKUP(A19, Data1_Raw_Slack!A:B, 2, FALSE)), ""law|government|""), ""Law and Government"",
  TRUE, ""Other""
)"),"Sports")</f>
        <v>Sports</v>
      </c>
      <c r="G19" s="9" t="s">
        <v>154</v>
      </c>
      <c r="H19" s="9" t="s">
        <v>44</v>
      </c>
      <c r="I19" s="9" t="s">
        <v>155</v>
      </c>
      <c r="J19" s="9" t="s">
        <v>80</v>
      </c>
      <c r="K19" s="9" t="s">
        <v>81</v>
      </c>
      <c r="L19" s="9" t="s">
        <v>82</v>
      </c>
      <c r="M19" s="10" t="s">
        <v>156</v>
      </c>
      <c r="N19" s="9" t="str">
        <f ca="1">IFERROR(__xludf.DUMMYFUNCTION("REGEXEXTRACT(LOWER(M19), ""([a-z0-9\-]+)\.(?:co|net|org|io|gg)"")"),"aol")</f>
        <v>aol</v>
      </c>
      <c r="O19" s="9" t="s">
        <v>157</v>
      </c>
      <c r="P19" s="9" t="s">
        <v>39</v>
      </c>
      <c r="Q19" s="9">
        <v>11062</v>
      </c>
      <c r="R19" s="9">
        <v>78</v>
      </c>
      <c r="S19" s="9">
        <v>6539</v>
      </c>
      <c r="T19" s="9">
        <v>9391</v>
      </c>
      <c r="U19" s="9">
        <v>2</v>
      </c>
      <c r="V19" s="11">
        <v>1500.09932</v>
      </c>
      <c r="W19" s="12">
        <f t="shared" si="0"/>
        <v>750.04966000000002</v>
      </c>
      <c r="X19" s="12">
        <f t="shared" si="1"/>
        <v>0.70511661544024584</v>
      </c>
      <c r="Y19" s="12">
        <f t="shared" si="2"/>
        <v>59.112276261073951</v>
      </c>
      <c r="Z19" s="12">
        <f t="shared" si="3"/>
        <v>229.40806239486162</v>
      </c>
      <c r="AA19" s="12">
        <f t="shared" si="4"/>
        <v>135.60832760802748</v>
      </c>
      <c r="AB19" s="12">
        <f t="shared" si="5"/>
        <v>19.232042564102564</v>
      </c>
      <c r="AC19" s="12">
        <f t="shared" si="6"/>
        <v>2.5641025641025639</v>
      </c>
      <c r="AE19" s="13"/>
      <c r="AF19" s="13"/>
    </row>
    <row r="20" spans="1:32">
      <c r="A20" s="8" t="s">
        <v>158</v>
      </c>
      <c r="B20" s="9" t="s">
        <v>144</v>
      </c>
      <c r="C20" s="9"/>
      <c r="D20" s="9"/>
      <c r="E20" s="9"/>
      <c r="F20" s="9" t="str">
        <f ca="1">IFERROR(__xludf.DUMMYFUNCTION("IFS(
  REGEXMATCH(LOWER(VLOOKUP(A20, Data1_Raw_Slack!A:B, 2, FALSE)), ""news|weather""), ""News and Weather"", REGEXMATCH(LOWER(VLOOKUP(A20, Data1_Raw_Slack!A:B, 2, FALSE)), ""sports|ufc|nba|nfl|mlb|soccer|sports fans""), ""Sports"",
  REGEXMATCH(LOWER(VL"&amp;"OOKUP(A20, Data1_Raw_Slack!A:B, 2, FALSE)), ""fashion|style|clothing|apparel|shoes|accessories|beauty|cosmetics|fashionistas""), ""Fashion and Beauty"",
  REGEXMATCH(LOWER(VLOOKUP(A20, Data1_Raw_Slack!A:B, 2, FALSE)), ""food|cooking|recipe|restaurant|snac"&amp;"k|grocery|foodies""), ""Food"",
  REGEXMATCH(LOWER(VLOOKUP(A20, Data1_Raw_Slack!A:B, 2, FALSE)), ""travel|vacation|airline|hotel|trip|flights|travelers""), ""Travel"",
  REGEXMATCH(LOWER(VLOOKUP(A20, Data1_Raw_Slack!A:B, 2, FALSE)), ""fitness|workout|gym|"&amp;"exercise|yoga|wellness|fitness enthusiasts""), ""Fitness"",
  REGEXMATCH(LOWER(VLOOKUP(A20, Data1_Raw_Slack!A:B, 2, FALSE)), ""health|medical|pharmacy|mental health|doctor|health-conscious""), ""Health"",
  REGEXMATCH(LOWER(VLOOKUP(A20, Data1_Raw_Slack!A:"&amp;"B, 2, FALSE)), ""pets|dogs|cats|animals|pet care|pet lovers""), ""Pets"",
  REGEXMATCH(LOWER(VLOOKUP(A20, Data1_Raw_Slack!A:B, 2, FALSE)), ""games|gaming|game|xbox|playstation|nintendo|gamers""), ""Gaming"",
  REGEXMATCH(LOWER(VLOOKUP(A20, Data1_Raw_Slack"&amp;"!A:B, 2, FALSE)), ""entertainment|movies|tv|netflix|streaming|celebrity|movie lovers|tv fans|hobb|photo|art""), ""Entertainment"",
  REGEXMATCH(LOWER(VLOOKUP(A20, Data1_Raw_Slack!A:B, 2, FALSE)), ""lifestyle|home|interior|decor|living|lifestyle enthusiast"&amp;"s""), ""Lifestyle"",
  REGEXMATCH(LOWER(VLOOKUP(A20, Data1_Raw_Slack!A:B, 2, FALSE)), ""financial|finance|investing|stocks|retirement|banking|credit|debt|loans|savings|personal finance|insurance|econ|ecom|business|retail|occupation|sale|job|marketing""), "&amp;"""Finance"",
  REGEXMATCH(LOWER(VLOOKUP(A20, Data1_Raw_Slack!A:B, 2, FALSE)), ""auto|automotive""), ""Auto"",
  REGEXMATCH(LOWER(VLOOKUP(A20, Data1_Raw_Slack!A:B, 2, FALSE)), ""parenting|moms|dads|kids|toddlers|baby|parent|children""), ""Parenting"",
 "&amp;" REGEXMATCH(LOWER(VLOOKUP(A20, Data1_Raw_Slack!A:B, 2, FALSE)), ""education|students|learning|school|teachers|college|university|academics""), ""Education"",
  REGEXMATCH(LOWER(VLOOKUP(A20, Data1_Raw_Slack!A:B, 2, FALSE)), ""age|gender|demographic|family|"&amp;"household""), ""Demographics"",
  REGEXMATCH(LOWER(VLOOKUP(A20, Data1_Raw_Slack!A:B, 2, FALSE)), ""mortgage|real estate""), ""Real Estate"",REGEXMATCH(LOWER(VLOOKUP(A20, Data1_Raw_Slack!A:B, 2, FALSE)), ""technology|tech|gadgets|smartphone|electro|apps|de"&amp;"vices|computing|ai|robots|software|computer|internet|tele|mobile|tablet""), ""Technology"", REGEXMATCH(LOWER(VLOOKUP(A20, Data1_Raw_Slack!A:B, 2, FALSE)), ""entertainment|purchas|movies|tv|netflix|streaming|celebrity|movie lovers|tv fans|media|hobb|photo|"&amp;"art|shop""), ""Entertainment"", REGEXMATCH(LOWER(VLOOKUP(A20, Data1_Raw_Slack!A:B, 2, FALSE)), ""law|government|""), ""Law and Government"",
  TRUE, ""Other""
)"),"Law and Government")</f>
        <v>Law and Government</v>
      </c>
      <c r="G20" s="9"/>
      <c r="H20" s="9" t="s">
        <v>44</v>
      </c>
      <c r="I20" s="9" t="s">
        <v>159</v>
      </c>
      <c r="J20" s="9" t="s">
        <v>46</v>
      </c>
      <c r="K20" s="9" t="s">
        <v>56</v>
      </c>
      <c r="L20" s="9" t="s">
        <v>57</v>
      </c>
      <c r="M20" s="10" t="s">
        <v>160</v>
      </c>
      <c r="N20" s="9" t="str">
        <f ca="1">IFERROR(__xludf.DUMMYFUNCTION("REGEXEXTRACT(LOWER(M20), ""([a-z0-9\-]+)\.(?:co|net|org|io|gg)"")"),"tomsguide")</f>
        <v>tomsguide</v>
      </c>
      <c r="O20" s="9" t="s">
        <v>131</v>
      </c>
      <c r="P20" s="9" t="s">
        <v>39</v>
      </c>
      <c r="Q20" s="9">
        <v>11343</v>
      </c>
      <c r="R20" s="9">
        <v>69</v>
      </c>
      <c r="S20" s="9">
        <v>5900</v>
      </c>
      <c r="T20" s="9">
        <v>10175</v>
      </c>
      <c r="U20" s="9">
        <v>3</v>
      </c>
      <c r="V20" s="11">
        <v>2178.1537750000002</v>
      </c>
      <c r="W20" s="12">
        <f t="shared" si="0"/>
        <v>726.05125833333341</v>
      </c>
      <c r="X20" s="12">
        <f t="shared" si="1"/>
        <v>0.60830468130124304</v>
      </c>
      <c r="Y20" s="12">
        <f t="shared" si="2"/>
        <v>52.014458256193251</v>
      </c>
      <c r="Z20" s="12">
        <f t="shared" si="3"/>
        <v>369.17860593220342</v>
      </c>
      <c r="AA20" s="12">
        <f t="shared" si="4"/>
        <v>192.02625187340212</v>
      </c>
      <c r="AB20" s="12">
        <f t="shared" si="5"/>
        <v>31.567446014492756</v>
      </c>
      <c r="AC20" s="12">
        <f t="shared" si="6"/>
        <v>4.3478260869565215</v>
      </c>
      <c r="AE20" s="13"/>
      <c r="AF20" s="13"/>
    </row>
    <row r="21" spans="1:32">
      <c r="A21" s="8" t="s">
        <v>161</v>
      </c>
      <c r="B21" s="9" t="s">
        <v>41</v>
      </c>
      <c r="C21" s="9" t="s">
        <v>162</v>
      </c>
      <c r="D21" s="9" t="s">
        <v>163</v>
      </c>
      <c r="E21" s="9" t="s">
        <v>164</v>
      </c>
      <c r="F21" s="9" t="str">
        <f ca="1">IFERROR(__xludf.DUMMYFUNCTION("IFS(
  REGEXMATCH(LOWER(VLOOKUP(A21, Data1_Raw_Slack!A:B, 2, FALSE)), ""news|weather""), ""News and Weather"", REGEXMATCH(LOWER(VLOOKUP(A21, Data1_Raw_Slack!A:B, 2, FALSE)), ""sports|ufc|nba|nfl|mlb|soccer|sports fans""), ""Sports"",
  REGEXMATCH(LOWER(VL"&amp;"OOKUP(A21, Data1_Raw_Slack!A:B, 2, FALSE)), ""fashion|style|clothing|apparel|shoes|accessories|beauty|cosmetics|fashionistas""), ""Fashion and Beauty"",
  REGEXMATCH(LOWER(VLOOKUP(A21, Data1_Raw_Slack!A:B, 2, FALSE)), ""food|cooking|recipe|restaurant|snac"&amp;"k|grocery|foodies""), ""Food"",
  REGEXMATCH(LOWER(VLOOKUP(A21, Data1_Raw_Slack!A:B, 2, FALSE)), ""travel|vacation|airline|hotel|trip|flights|travelers""), ""Travel"",
  REGEXMATCH(LOWER(VLOOKUP(A21, Data1_Raw_Slack!A:B, 2, FALSE)), ""fitness|workout|gym|"&amp;"exercise|yoga|wellness|fitness enthusiasts""), ""Fitness"",
  REGEXMATCH(LOWER(VLOOKUP(A21, Data1_Raw_Slack!A:B, 2, FALSE)), ""health|medical|pharmacy|mental health|doctor|health-conscious""), ""Health"",
  REGEXMATCH(LOWER(VLOOKUP(A21, Data1_Raw_Slack!A:"&amp;"B, 2, FALSE)), ""pets|dogs|cats|animals|pet care|pet lovers""), ""Pets"",
  REGEXMATCH(LOWER(VLOOKUP(A21, Data1_Raw_Slack!A:B, 2, FALSE)), ""games|gaming|game|xbox|playstation|nintendo|gamers""), ""Gaming"",
  REGEXMATCH(LOWER(VLOOKUP(A21, Data1_Raw_Slack"&amp;"!A:B, 2, FALSE)), ""entertainment|movies|tv|netflix|streaming|celebrity|movie lovers|tv fans|hobb|photo|art""), ""Entertainment"",
  REGEXMATCH(LOWER(VLOOKUP(A21, Data1_Raw_Slack!A:B, 2, FALSE)), ""lifestyle|home|interior|decor|living|lifestyle enthusiast"&amp;"s""), ""Lifestyle"",
  REGEXMATCH(LOWER(VLOOKUP(A21, Data1_Raw_Slack!A:B, 2, FALSE)), ""financial|finance|investing|stocks|retirement|banking|credit|debt|loans|savings|personal finance|insurance|econ|ecom|business|retail|occupation|sale|job|marketing""), "&amp;"""Finance"",
  REGEXMATCH(LOWER(VLOOKUP(A21, Data1_Raw_Slack!A:B, 2, FALSE)), ""auto|automotive""), ""Auto"",
  REGEXMATCH(LOWER(VLOOKUP(A21, Data1_Raw_Slack!A:B, 2, FALSE)), ""parenting|moms|dads|kids|toddlers|baby|parent|children""), ""Parenting"",
 "&amp;" REGEXMATCH(LOWER(VLOOKUP(A21, Data1_Raw_Slack!A:B, 2, FALSE)), ""education|students|learning|school|teachers|college|university|academics""), ""Education"",
  REGEXMATCH(LOWER(VLOOKUP(A21, Data1_Raw_Slack!A:B, 2, FALSE)), ""age|gender|demographic|family|"&amp;"household""), ""Demographics"",
  REGEXMATCH(LOWER(VLOOKUP(A21, Data1_Raw_Slack!A:B, 2, FALSE)), ""mortgage|real estate""), ""Real Estate"",REGEXMATCH(LOWER(VLOOKUP(A21, Data1_Raw_Slack!A:B, 2, FALSE)), ""technology|tech|gadgets|smartphone|electro|apps|de"&amp;"vices|computing|ai|robots|software|computer|internet|tele|mobile|tablet""), ""Technology"", REGEXMATCH(LOWER(VLOOKUP(A21, Data1_Raw_Slack!A:B, 2, FALSE)), ""entertainment|purchas|movies|tv|netflix|streaming|celebrity|movie lovers|tv fans|media|hobb|photo|"&amp;"art|shop""), ""Entertainment"", REGEXMATCH(LOWER(VLOOKUP(A21, Data1_Raw_Slack!A:B, 2, FALSE)), ""law|government|""), ""Law and Government"",
  TRUE, ""Other""
)"),"Auto")</f>
        <v>Auto</v>
      </c>
      <c r="G21" s="9" t="s">
        <v>122</v>
      </c>
      <c r="H21" s="9" t="s">
        <v>32</v>
      </c>
      <c r="I21" s="9" t="s">
        <v>165</v>
      </c>
      <c r="J21" s="9" t="s">
        <v>34</v>
      </c>
      <c r="K21" s="9" t="s">
        <v>88</v>
      </c>
      <c r="L21" s="9" t="s">
        <v>89</v>
      </c>
      <c r="M21" s="10" t="s">
        <v>166</v>
      </c>
      <c r="N21" s="9" t="str">
        <f ca="1">IFERROR(__xludf.DUMMYFUNCTION("REGEXEXTRACT(LOWER(M21), ""([a-z0-9\-]+)\.(?:co|net|org|io|gg)"")"),"nypost")</f>
        <v>nypost</v>
      </c>
      <c r="O21" s="9" t="s">
        <v>50</v>
      </c>
      <c r="P21" s="9" t="s">
        <v>39</v>
      </c>
      <c r="Q21" s="9">
        <v>14038</v>
      </c>
      <c r="R21" s="9">
        <v>63</v>
      </c>
      <c r="S21" s="9">
        <v>1600</v>
      </c>
      <c r="T21" s="9">
        <v>11345</v>
      </c>
      <c r="U21" s="9">
        <v>8</v>
      </c>
      <c r="V21" s="11">
        <v>6368.8629129999999</v>
      </c>
      <c r="W21" s="12">
        <f t="shared" si="0"/>
        <v>796.10786412499999</v>
      </c>
      <c r="X21" s="12">
        <f t="shared" si="1"/>
        <v>0.44878187776036477</v>
      </c>
      <c r="Y21" s="12">
        <f t="shared" si="2"/>
        <v>11.397634990739421</v>
      </c>
      <c r="Z21" s="12">
        <f t="shared" si="3"/>
        <v>3980.5393206250001</v>
      </c>
      <c r="AA21" s="12">
        <f t="shared" si="4"/>
        <v>453.68734242769625</v>
      </c>
      <c r="AB21" s="12">
        <f t="shared" si="5"/>
        <v>101.09306211111111</v>
      </c>
      <c r="AC21" s="12">
        <f t="shared" si="6"/>
        <v>12.698412698412698</v>
      </c>
      <c r="AE21" s="13"/>
      <c r="AF21" s="13"/>
    </row>
    <row r="22" spans="1:32">
      <c r="A22" s="8" t="s">
        <v>167</v>
      </c>
      <c r="B22" s="9" t="s">
        <v>41</v>
      </c>
      <c r="C22" s="9" t="s">
        <v>42</v>
      </c>
      <c r="D22" s="9" t="s">
        <v>168</v>
      </c>
      <c r="E22" s="9"/>
      <c r="F22" s="9" t="str">
        <f ca="1">IFERROR(__xludf.DUMMYFUNCTION("IFS(
  REGEXMATCH(LOWER(VLOOKUP(A22, Data1_Raw_Slack!A:B, 2, FALSE)), ""news|weather""), ""News and Weather"", REGEXMATCH(LOWER(VLOOKUP(A22, Data1_Raw_Slack!A:B, 2, FALSE)), ""sports|ufc|nba|nfl|mlb|soccer|sports fans""), ""Sports"",
  REGEXMATCH(LOWER(VL"&amp;"OOKUP(A22, Data1_Raw_Slack!A:B, 2, FALSE)), ""fashion|style|clothing|apparel|shoes|accessories|beauty|cosmetics|fashionistas""), ""Fashion and Beauty"",
  REGEXMATCH(LOWER(VLOOKUP(A22, Data1_Raw_Slack!A:B, 2, FALSE)), ""food|cooking|recipe|restaurant|snac"&amp;"k|grocery|foodies""), ""Food"",
  REGEXMATCH(LOWER(VLOOKUP(A22, Data1_Raw_Slack!A:B, 2, FALSE)), ""travel|vacation|airline|hotel|trip|flights|travelers""), ""Travel"",
  REGEXMATCH(LOWER(VLOOKUP(A22, Data1_Raw_Slack!A:B, 2, FALSE)), ""fitness|workout|gym|"&amp;"exercise|yoga|wellness|fitness enthusiasts""), ""Fitness"",
  REGEXMATCH(LOWER(VLOOKUP(A22, Data1_Raw_Slack!A:B, 2, FALSE)), ""health|medical|pharmacy|mental health|doctor|health-conscious""), ""Health"",
  REGEXMATCH(LOWER(VLOOKUP(A22, Data1_Raw_Slack!A:"&amp;"B, 2, FALSE)), ""pets|dogs|cats|animals|pet care|pet lovers""), ""Pets"",
  REGEXMATCH(LOWER(VLOOKUP(A22, Data1_Raw_Slack!A:B, 2, FALSE)), ""games|gaming|game|xbox|playstation|nintendo|gamers""), ""Gaming"",
  REGEXMATCH(LOWER(VLOOKUP(A22, Data1_Raw_Slack"&amp;"!A:B, 2, FALSE)), ""entertainment|movies|tv|netflix|streaming|celebrity|movie lovers|tv fans|hobb|photo|art""), ""Entertainment"",
  REGEXMATCH(LOWER(VLOOKUP(A22, Data1_Raw_Slack!A:B, 2, FALSE)), ""lifestyle|home|interior|decor|living|lifestyle enthusiast"&amp;"s""), ""Lifestyle"",
  REGEXMATCH(LOWER(VLOOKUP(A22, Data1_Raw_Slack!A:B, 2, FALSE)), ""financial|finance|investing|stocks|retirement|banking|credit|debt|loans|savings|personal finance|insurance|econ|ecom|business|retail|occupation|sale|job|marketing""), "&amp;"""Finance"",
  REGEXMATCH(LOWER(VLOOKUP(A22, Data1_Raw_Slack!A:B, 2, FALSE)), ""auto|automotive""), ""Auto"",
  REGEXMATCH(LOWER(VLOOKUP(A22, Data1_Raw_Slack!A:B, 2, FALSE)), ""parenting|moms|dads|kids|toddlers|baby|parent|children""), ""Parenting"",
 "&amp;" REGEXMATCH(LOWER(VLOOKUP(A22, Data1_Raw_Slack!A:B, 2, FALSE)), ""education|students|learning|school|teachers|college|university|academics""), ""Education"",
  REGEXMATCH(LOWER(VLOOKUP(A22, Data1_Raw_Slack!A:B, 2, FALSE)), ""age|gender|demographic|family|"&amp;"household""), ""Demographics"",
  REGEXMATCH(LOWER(VLOOKUP(A22, Data1_Raw_Slack!A:B, 2, FALSE)), ""mortgage|real estate""), ""Real Estate"",REGEXMATCH(LOWER(VLOOKUP(A22, Data1_Raw_Slack!A:B, 2, FALSE)), ""technology|tech|gadgets|smartphone|electro|apps|de"&amp;"vices|computing|ai|robots|software|computer|internet|tele|mobile|tablet""), ""Technology"", REGEXMATCH(LOWER(VLOOKUP(A22, Data1_Raw_Slack!A:B, 2, FALSE)), ""entertainment|purchas|movies|tv|netflix|streaming|celebrity|movie lovers|tv fans|media|hobb|photo|"&amp;"art|shop""), ""Entertainment"", REGEXMATCH(LOWER(VLOOKUP(A22, Data1_Raw_Slack!A:B, 2, FALSE)), ""law|government|""), ""Law and Government"",
  TRUE, ""Other""
)"),"Entertainment")</f>
        <v>Entertainment</v>
      </c>
      <c r="G22" s="9"/>
      <c r="H22" s="9" t="s">
        <v>32</v>
      </c>
      <c r="I22" s="9" t="s">
        <v>169</v>
      </c>
      <c r="J22" s="9" t="s">
        <v>46</v>
      </c>
      <c r="K22" s="9" t="s">
        <v>170</v>
      </c>
      <c r="L22" s="9" t="s">
        <v>72</v>
      </c>
      <c r="M22" s="10" t="s">
        <v>171</v>
      </c>
      <c r="N22" s="9" t="str">
        <f ca="1">IFERROR(__xludf.DUMMYFUNCTION("REGEXEXTRACT(LOWER(M22), ""([a-z0-9\-]+)\.(?:co|net|org|io|gg)"")"),"yahoo")</f>
        <v>yahoo</v>
      </c>
      <c r="O22" s="9" t="s">
        <v>50</v>
      </c>
      <c r="P22" s="9" t="s">
        <v>39</v>
      </c>
      <c r="Q22" s="9">
        <v>9709</v>
      </c>
      <c r="R22" s="9">
        <v>58</v>
      </c>
      <c r="S22" s="9">
        <v>3339</v>
      </c>
      <c r="T22" s="9">
        <v>7891</v>
      </c>
      <c r="U22" s="9">
        <v>3</v>
      </c>
      <c r="V22" s="11">
        <v>6994.0853530000004</v>
      </c>
      <c r="W22" s="12">
        <f t="shared" si="0"/>
        <v>2331.3617843333336</v>
      </c>
      <c r="X22" s="12">
        <f t="shared" si="1"/>
        <v>0.59738387063549281</v>
      </c>
      <c r="Y22" s="12">
        <f t="shared" si="2"/>
        <v>34.39077144917087</v>
      </c>
      <c r="Z22" s="12">
        <f t="shared" si="3"/>
        <v>2094.6646759508835</v>
      </c>
      <c r="AA22" s="12">
        <f t="shared" si="4"/>
        <v>720.37134133278403</v>
      </c>
      <c r="AB22" s="12">
        <f t="shared" si="5"/>
        <v>120.58767850000001</v>
      </c>
      <c r="AC22" s="12">
        <f t="shared" si="6"/>
        <v>5.1724137931034484</v>
      </c>
      <c r="AE22" s="13"/>
      <c r="AF22" s="13"/>
    </row>
    <row r="23" spans="1:32">
      <c r="A23" s="8" t="s">
        <v>172</v>
      </c>
      <c r="B23" s="9" t="s">
        <v>52</v>
      </c>
      <c r="C23" s="9" t="s">
        <v>173</v>
      </c>
      <c r="D23" s="9" t="s">
        <v>174</v>
      </c>
      <c r="E23" s="9"/>
      <c r="F23" s="9" t="str">
        <f ca="1">IFERROR(__xludf.DUMMYFUNCTION("IFS(
  REGEXMATCH(LOWER(VLOOKUP(A23, Data1_Raw_Slack!A:B, 2, FALSE)), ""news|weather""), ""News and Weather"", REGEXMATCH(LOWER(VLOOKUP(A23, Data1_Raw_Slack!A:B, 2, FALSE)), ""sports|ufc|nba|nfl|mlb|soccer|sports fans""), ""Sports"",
  REGEXMATCH(LOWER(VL"&amp;"OOKUP(A23, Data1_Raw_Slack!A:B, 2, FALSE)), ""fashion|style|clothing|apparel|shoes|accessories|beauty|cosmetics|fashionistas""), ""Fashion and Beauty"",
  REGEXMATCH(LOWER(VLOOKUP(A23, Data1_Raw_Slack!A:B, 2, FALSE)), ""food|cooking|recipe|restaurant|snac"&amp;"k|grocery|foodies""), ""Food"",
  REGEXMATCH(LOWER(VLOOKUP(A23, Data1_Raw_Slack!A:B, 2, FALSE)), ""travel|vacation|airline|hotel|trip|flights|travelers""), ""Travel"",
  REGEXMATCH(LOWER(VLOOKUP(A23, Data1_Raw_Slack!A:B, 2, FALSE)), ""fitness|workout|gym|"&amp;"exercise|yoga|wellness|fitness enthusiasts""), ""Fitness"",
  REGEXMATCH(LOWER(VLOOKUP(A23, Data1_Raw_Slack!A:B, 2, FALSE)), ""health|medical|pharmacy|mental health|doctor|health-conscious""), ""Health"",
  REGEXMATCH(LOWER(VLOOKUP(A23, Data1_Raw_Slack!A:"&amp;"B, 2, FALSE)), ""pets|dogs|cats|animals|pet care|pet lovers""), ""Pets"",
  REGEXMATCH(LOWER(VLOOKUP(A23, Data1_Raw_Slack!A:B, 2, FALSE)), ""games|gaming|game|xbox|playstation|nintendo|gamers""), ""Gaming"",
  REGEXMATCH(LOWER(VLOOKUP(A23, Data1_Raw_Slack"&amp;"!A:B, 2, FALSE)), ""entertainment|movies|tv|netflix|streaming|celebrity|movie lovers|tv fans|hobb|photo|art""), ""Entertainment"",
  REGEXMATCH(LOWER(VLOOKUP(A23, Data1_Raw_Slack!A:B, 2, FALSE)), ""lifestyle|home|interior|decor|living|lifestyle enthusiast"&amp;"s""), ""Lifestyle"",
  REGEXMATCH(LOWER(VLOOKUP(A23, Data1_Raw_Slack!A:B, 2, FALSE)), ""financial|finance|investing|stocks|retirement|banking|credit|debt|loans|savings|personal finance|insurance|econ|ecom|business|retail|occupation|sale|job|marketing""), "&amp;"""Finance"",
  REGEXMATCH(LOWER(VLOOKUP(A23, Data1_Raw_Slack!A:B, 2, FALSE)), ""auto|automotive""), ""Auto"",
  REGEXMATCH(LOWER(VLOOKUP(A23, Data1_Raw_Slack!A:B, 2, FALSE)), ""parenting|moms|dads|kids|toddlers|baby|parent|children""), ""Parenting"",
 "&amp;" REGEXMATCH(LOWER(VLOOKUP(A23, Data1_Raw_Slack!A:B, 2, FALSE)), ""education|students|learning|school|teachers|college|university|academics""), ""Education"",
  REGEXMATCH(LOWER(VLOOKUP(A23, Data1_Raw_Slack!A:B, 2, FALSE)), ""age|gender|demographic|family|"&amp;"household""), ""Demographics"",
  REGEXMATCH(LOWER(VLOOKUP(A23, Data1_Raw_Slack!A:B, 2, FALSE)), ""mortgage|real estate""), ""Real Estate"",REGEXMATCH(LOWER(VLOOKUP(A23, Data1_Raw_Slack!A:B, 2, FALSE)), ""technology|tech|gadgets|smartphone|electro|apps|de"&amp;"vices|computing|ai|robots|software|computer|internet|tele|mobile|tablet""), ""Technology"", REGEXMATCH(LOWER(VLOOKUP(A23, Data1_Raw_Slack!A:B, 2, FALSE)), ""entertainment|purchas|movies|tv|netflix|streaming|celebrity|movie lovers|tv fans|media|hobb|photo|"&amp;"art|shop""), ""Entertainment"", REGEXMATCH(LOWER(VLOOKUP(A23, Data1_Raw_Slack!A:B, 2, FALSE)), ""law|government|""), ""Law and Government"",
  TRUE, ""Other""
)"),"Law and Government")</f>
        <v>Law and Government</v>
      </c>
      <c r="G23" s="9" t="s">
        <v>69</v>
      </c>
      <c r="H23" s="9" t="s">
        <v>32</v>
      </c>
      <c r="I23" s="9" t="s">
        <v>175</v>
      </c>
      <c r="J23" s="9" t="s">
        <v>46</v>
      </c>
      <c r="K23" s="9" t="s">
        <v>176</v>
      </c>
      <c r="L23" s="9" t="s">
        <v>36</v>
      </c>
      <c r="M23" s="10" t="s">
        <v>130</v>
      </c>
      <c r="N23" s="9" t="str">
        <f ca="1">IFERROR(__xludf.DUMMYFUNCTION("REGEXEXTRACT(LOWER(M23), ""([a-z0-9\-]+)\.(?:co|net|org|io|gg)"")"),"weather")</f>
        <v>weather</v>
      </c>
      <c r="O23" s="9" t="s">
        <v>50</v>
      </c>
      <c r="P23" s="9" t="s">
        <v>39</v>
      </c>
      <c r="Q23" s="9">
        <v>254780</v>
      </c>
      <c r="R23" s="9">
        <v>699</v>
      </c>
      <c r="S23" s="9">
        <v>19169</v>
      </c>
      <c r="T23" s="9">
        <v>182583</v>
      </c>
      <c r="U23" s="9">
        <v>4</v>
      </c>
      <c r="V23" s="11">
        <v>1561.021915</v>
      </c>
      <c r="W23" s="12">
        <f t="shared" si="0"/>
        <v>390.25547875000001</v>
      </c>
      <c r="X23" s="12">
        <f t="shared" si="1"/>
        <v>0.27435434492503336</v>
      </c>
      <c r="Y23" s="12">
        <f t="shared" si="2"/>
        <v>7.5237459769212656</v>
      </c>
      <c r="Z23" s="12">
        <f t="shared" si="3"/>
        <v>81.434707861651617</v>
      </c>
      <c r="AA23" s="12">
        <f t="shared" si="4"/>
        <v>6.1269405565585995</v>
      </c>
      <c r="AB23" s="12">
        <f t="shared" si="5"/>
        <v>2.2332216237482116</v>
      </c>
      <c r="AC23" s="12">
        <f t="shared" si="6"/>
        <v>0.57224606580829751</v>
      </c>
      <c r="AE23" s="13"/>
      <c r="AF23" s="13"/>
    </row>
    <row r="24" spans="1:32">
      <c r="A24" s="8" t="s">
        <v>177</v>
      </c>
      <c r="B24" s="9" t="s">
        <v>92</v>
      </c>
      <c r="C24" s="9" t="s">
        <v>178</v>
      </c>
      <c r="D24" s="9" t="s">
        <v>154</v>
      </c>
      <c r="E24" s="9" t="s">
        <v>179</v>
      </c>
      <c r="F24" s="9" t="str">
        <f ca="1">IFERROR(__xludf.DUMMYFUNCTION("IFS(
  REGEXMATCH(LOWER(VLOOKUP(A24, Data1_Raw_Slack!A:B, 2, FALSE)), ""news|weather""), ""News and Weather"", REGEXMATCH(LOWER(VLOOKUP(A24, Data1_Raw_Slack!A:B, 2, FALSE)), ""sports|ufc|nba|nfl|mlb|soccer|sports fans""), ""Sports"",
  REGEXMATCH(LOWER(VL"&amp;"OOKUP(A24, Data1_Raw_Slack!A:B, 2, FALSE)), ""fashion|style|clothing|apparel|shoes|accessories|beauty|cosmetics|fashionistas""), ""Fashion and Beauty"",
  REGEXMATCH(LOWER(VLOOKUP(A24, Data1_Raw_Slack!A:B, 2, FALSE)), ""food|cooking|recipe|restaurant|snac"&amp;"k|grocery|foodies""), ""Food"",
  REGEXMATCH(LOWER(VLOOKUP(A24, Data1_Raw_Slack!A:B, 2, FALSE)), ""travel|vacation|airline|hotel|trip|flights|travelers""), ""Travel"",
  REGEXMATCH(LOWER(VLOOKUP(A24, Data1_Raw_Slack!A:B, 2, FALSE)), ""fitness|workout|gym|"&amp;"exercise|yoga|wellness|fitness enthusiasts""), ""Fitness"",
  REGEXMATCH(LOWER(VLOOKUP(A24, Data1_Raw_Slack!A:B, 2, FALSE)), ""health|medical|pharmacy|mental health|doctor|health-conscious""), ""Health"",
  REGEXMATCH(LOWER(VLOOKUP(A24, Data1_Raw_Slack!A:"&amp;"B, 2, FALSE)), ""pets|dogs|cats|animals|pet care|pet lovers""), ""Pets"",
  REGEXMATCH(LOWER(VLOOKUP(A24, Data1_Raw_Slack!A:B, 2, FALSE)), ""games|gaming|game|xbox|playstation|nintendo|gamers""), ""Gaming"",
  REGEXMATCH(LOWER(VLOOKUP(A24, Data1_Raw_Slack"&amp;"!A:B, 2, FALSE)), ""entertainment|movies|tv|netflix|streaming|celebrity|movie lovers|tv fans|hobb|photo|art""), ""Entertainment"",
  REGEXMATCH(LOWER(VLOOKUP(A24, Data1_Raw_Slack!A:B, 2, FALSE)), ""lifestyle|home|interior|decor|living|lifestyle enthusiast"&amp;"s""), ""Lifestyle"",
  REGEXMATCH(LOWER(VLOOKUP(A24, Data1_Raw_Slack!A:B, 2, FALSE)), ""financial|finance|investing|stocks|retirement|banking|credit|debt|loans|savings|personal finance|insurance|econ|ecom|business|retail|occupation|sale|job|marketing""), "&amp;"""Finance"",
  REGEXMATCH(LOWER(VLOOKUP(A24, Data1_Raw_Slack!A:B, 2, FALSE)), ""auto|automotive""), ""Auto"",
  REGEXMATCH(LOWER(VLOOKUP(A24, Data1_Raw_Slack!A:B, 2, FALSE)), ""parenting|moms|dads|kids|toddlers|baby|parent|children""), ""Parenting"",
 "&amp;" REGEXMATCH(LOWER(VLOOKUP(A24, Data1_Raw_Slack!A:B, 2, FALSE)), ""education|students|learning|school|teachers|college|university|academics""), ""Education"",
  REGEXMATCH(LOWER(VLOOKUP(A24, Data1_Raw_Slack!A:B, 2, FALSE)), ""age|gender|demographic|family|"&amp;"household""), ""Demographics"",
  REGEXMATCH(LOWER(VLOOKUP(A24, Data1_Raw_Slack!A:B, 2, FALSE)), ""mortgage|real estate""), ""Real Estate"",REGEXMATCH(LOWER(VLOOKUP(A24, Data1_Raw_Slack!A:B, 2, FALSE)), ""technology|tech|gadgets|smartphone|electro|apps|de"&amp;"vices|computing|ai|robots|software|computer|internet|tele|mobile|tablet""), ""Technology"", REGEXMATCH(LOWER(VLOOKUP(A24, Data1_Raw_Slack!A:B, 2, FALSE)), ""entertainment|purchas|movies|tv|netflix|streaming|celebrity|movie lovers|tv fans|media|hobb|photo|"&amp;"art|shop""), ""Entertainment"", REGEXMATCH(LOWER(VLOOKUP(A24, Data1_Raw_Slack!A:B, 2, FALSE)), ""law|government|""), ""Law and Government"",
  TRUE, ""Other""
)"),"Sports")</f>
        <v>Sports</v>
      </c>
      <c r="G24" s="9" t="s">
        <v>154</v>
      </c>
      <c r="H24" s="9" t="s">
        <v>44</v>
      </c>
      <c r="I24" s="9" t="s">
        <v>180</v>
      </c>
      <c r="J24" s="9" t="s">
        <v>62</v>
      </c>
      <c r="K24" s="9" t="s">
        <v>181</v>
      </c>
      <c r="L24" s="9" t="s">
        <v>48</v>
      </c>
      <c r="M24" s="10" t="s">
        <v>102</v>
      </c>
      <c r="N24" s="9" t="str">
        <f ca="1">IFERROR(__xludf.DUMMYFUNCTION("REGEXEXTRACT(LOWER(M24), ""([a-z0-9\-]+)\.(?:co|net|org|io|gg)"")"),"cbsnews")</f>
        <v>cbsnews</v>
      </c>
      <c r="O24" s="9" t="s">
        <v>103</v>
      </c>
      <c r="P24" s="9" t="s">
        <v>39</v>
      </c>
      <c r="Q24" s="9">
        <v>510778</v>
      </c>
      <c r="R24" s="9">
        <v>1290</v>
      </c>
      <c r="S24" s="9">
        <v>70777</v>
      </c>
      <c r="T24" s="9">
        <v>436133</v>
      </c>
      <c r="U24" s="9">
        <v>6</v>
      </c>
      <c r="V24" s="11">
        <v>3870.2538669999999</v>
      </c>
      <c r="W24" s="12">
        <f t="shared" si="0"/>
        <v>645.04231116666665</v>
      </c>
      <c r="X24" s="12">
        <f t="shared" si="1"/>
        <v>0.25255590491368074</v>
      </c>
      <c r="Y24" s="12">
        <f t="shared" si="2"/>
        <v>13.85670486982603</v>
      </c>
      <c r="Z24" s="12">
        <f t="shared" si="3"/>
        <v>54.682366686918066</v>
      </c>
      <c r="AA24" s="12">
        <f t="shared" si="4"/>
        <v>7.577174167642303</v>
      </c>
      <c r="AB24" s="12">
        <f t="shared" si="5"/>
        <v>3.000196796124031</v>
      </c>
      <c r="AC24" s="12">
        <f t="shared" si="6"/>
        <v>0.46511627906976744</v>
      </c>
      <c r="AE24" s="13"/>
      <c r="AF24" s="13"/>
    </row>
    <row r="25" spans="1:32">
      <c r="A25" s="8" t="s">
        <v>182</v>
      </c>
      <c r="B25" s="9" t="s">
        <v>41</v>
      </c>
      <c r="C25" s="9" t="s">
        <v>85</v>
      </c>
      <c r="D25" s="9" t="s">
        <v>183</v>
      </c>
      <c r="E25" s="9"/>
      <c r="F25" s="9" t="str">
        <f ca="1">IFERROR(__xludf.DUMMYFUNCTION("IFS(
  REGEXMATCH(LOWER(VLOOKUP(A25, Data1_Raw_Slack!A:B, 2, FALSE)), ""news|weather""), ""News and Weather"", REGEXMATCH(LOWER(VLOOKUP(A25, Data1_Raw_Slack!A:B, 2, FALSE)), ""sports|ufc|nba|nfl|mlb|soccer|sports fans""), ""Sports"",
  REGEXMATCH(LOWER(VL"&amp;"OOKUP(A25, Data1_Raw_Slack!A:B, 2, FALSE)), ""fashion|style|clothing|apparel|shoes|accessories|beauty|cosmetics|fashionistas""), ""Fashion and Beauty"",
  REGEXMATCH(LOWER(VLOOKUP(A25, Data1_Raw_Slack!A:B, 2, FALSE)), ""food|cooking|recipe|restaurant|snac"&amp;"k|grocery|foodies""), ""Food"",
  REGEXMATCH(LOWER(VLOOKUP(A25, Data1_Raw_Slack!A:B, 2, FALSE)), ""travel|vacation|airline|hotel|trip|flights|travelers""), ""Travel"",
  REGEXMATCH(LOWER(VLOOKUP(A25, Data1_Raw_Slack!A:B, 2, FALSE)), ""fitness|workout|gym|"&amp;"exercise|yoga|wellness|fitness enthusiasts""), ""Fitness"",
  REGEXMATCH(LOWER(VLOOKUP(A25, Data1_Raw_Slack!A:B, 2, FALSE)), ""health|medical|pharmacy|mental health|doctor|health-conscious""), ""Health"",
  REGEXMATCH(LOWER(VLOOKUP(A25, Data1_Raw_Slack!A:"&amp;"B, 2, FALSE)), ""pets|dogs|cats|animals|pet care|pet lovers""), ""Pets"",
  REGEXMATCH(LOWER(VLOOKUP(A25, Data1_Raw_Slack!A:B, 2, FALSE)), ""games|gaming|game|xbox|playstation|nintendo|gamers""), ""Gaming"",
  REGEXMATCH(LOWER(VLOOKUP(A25, Data1_Raw_Slack"&amp;"!A:B, 2, FALSE)), ""entertainment|movies|tv|netflix|streaming|celebrity|movie lovers|tv fans|hobb|photo|art""), ""Entertainment"",
  REGEXMATCH(LOWER(VLOOKUP(A25, Data1_Raw_Slack!A:B, 2, FALSE)), ""lifestyle|home|interior|decor|living|lifestyle enthusiast"&amp;"s""), ""Lifestyle"",
  REGEXMATCH(LOWER(VLOOKUP(A25, Data1_Raw_Slack!A:B, 2, FALSE)), ""financial|finance|investing|stocks|retirement|banking|credit|debt|loans|savings|personal finance|insurance|econ|ecom|business|retail|occupation|sale|job|marketing""), "&amp;"""Finance"",
  REGEXMATCH(LOWER(VLOOKUP(A25, Data1_Raw_Slack!A:B, 2, FALSE)), ""auto|automotive""), ""Auto"",
  REGEXMATCH(LOWER(VLOOKUP(A25, Data1_Raw_Slack!A:B, 2, FALSE)), ""parenting|moms|dads|kids|toddlers|baby|parent|children""), ""Parenting"",
 "&amp;" REGEXMATCH(LOWER(VLOOKUP(A25, Data1_Raw_Slack!A:B, 2, FALSE)), ""education|students|learning|school|teachers|college|university|academics""), ""Education"",
  REGEXMATCH(LOWER(VLOOKUP(A25, Data1_Raw_Slack!A:B, 2, FALSE)), ""age|gender|demographic|family|"&amp;"household""), ""Demographics"",
  REGEXMATCH(LOWER(VLOOKUP(A25, Data1_Raw_Slack!A:B, 2, FALSE)), ""mortgage|real estate""), ""Real Estate"",REGEXMATCH(LOWER(VLOOKUP(A25, Data1_Raw_Slack!A:B, 2, FALSE)), ""technology|tech|gadgets|smartphone|electro|apps|de"&amp;"vices|computing|ai|robots|software|computer|internet|tele|mobile|tablet""), ""Technology"", REGEXMATCH(LOWER(VLOOKUP(A25, Data1_Raw_Slack!A:B, 2, FALSE)), ""entertainment|purchas|movies|tv|netflix|streaming|celebrity|movie lovers|tv fans|media|hobb|photo|"&amp;"art|shop""), ""Entertainment"", REGEXMATCH(LOWER(VLOOKUP(A25, Data1_Raw_Slack!A:B, 2, FALSE)), ""law|government|""), ""Law and Government"",
  TRUE, ""Other""
)"),"Travel")</f>
        <v>Travel</v>
      </c>
      <c r="G25" s="9" t="s">
        <v>85</v>
      </c>
      <c r="H25" s="9" t="s">
        <v>123</v>
      </c>
      <c r="I25" s="9" t="s">
        <v>184</v>
      </c>
      <c r="J25" s="9" t="s">
        <v>80</v>
      </c>
      <c r="K25" s="9" t="s">
        <v>88</v>
      </c>
      <c r="L25" s="9" t="s">
        <v>89</v>
      </c>
      <c r="M25" s="10" t="s">
        <v>185</v>
      </c>
      <c r="N25" s="9" t="str">
        <f ca="1">IFERROR(__xludf.DUMMYFUNCTION("REGEXEXTRACT(LOWER(M25), ""([a-z0-9\-]+)\.(?:co|net|org|io|gg)"")"),"doctoreport")</f>
        <v>doctoreport</v>
      </c>
      <c r="O25" s="9" t="s">
        <v>186</v>
      </c>
      <c r="P25" s="9" t="s">
        <v>39</v>
      </c>
      <c r="Q25" s="9">
        <v>9560</v>
      </c>
      <c r="R25" s="9">
        <v>98</v>
      </c>
      <c r="S25" s="9">
        <v>3076</v>
      </c>
      <c r="T25" s="9">
        <v>6252</v>
      </c>
      <c r="U25" s="9">
        <v>17</v>
      </c>
      <c r="V25" s="11">
        <v>6420.2181229999997</v>
      </c>
      <c r="W25" s="12">
        <f t="shared" si="0"/>
        <v>377.65988958823527</v>
      </c>
      <c r="X25" s="12">
        <f t="shared" si="1"/>
        <v>1.0251046025104602</v>
      </c>
      <c r="Y25" s="12">
        <f t="shared" si="2"/>
        <v>32.17573221757322</v>
      </c>
      <c r="Z25" s="12">
        <f t="shared" si="3"/>
        <v>2087.1970490897265</v>
      </c>
      <c r="AA25" s="12">
        <f t="shared" si="4"/>
        <v>671.57093336820083</v>
      </c>
      <c r="AB25" s="12">
        <f t="shared" si="5"/>
        <v>65.512429826530607</v>
      </c>
      <c r="AC25" s="12">
        <f t="shared" si="6"/>
        <v>17.346938775510203</v>
      </c>
      <c r="AE25" s="13"/>
      <c r="AF25" s="13"/>
    </row>
    <row r="26" spans="1:32">
      <c r="A26" s="8" t="s">
        <v>187</v>
      </c>
      <c r="B26" s="9" t="s">
        <v>41</v>
      </c>
      <c r="C26" s="9" t="s">
        <v>154</v>
      </c>
      <c r="D26" s="9" t="s">
        <v>188</v>
      </c>
      <c r="E26" s="9" t="s">
        <v>189</v>
      </c>
      <c r="F26" s="9" t="str">
        <f ca="1">IFERROR(__xludf.DUMMYFUNCTION("IFS(
  REGEXMATCH(LOWER(VLOOKUP(A26, Data1_Raw_Slack!A:B, 2, FALSE)), ""news|weather""), ""News and Weather"", REGEXMATCH(LOWER(VLOOKUP(A26, Data1_Raw_Slack!A:B, 2, FALSE)), ""sports|ufc|nba|nfl|mlb|soccer|sports fans""), ""Sports"",
  REGEXMATCH(LOWER(VL"&amp;"OOKUP(A26, Data1_Raw_Slack!A:B, 2, FALSE)), ""fashion|style|clothing|apparel|shoes|accessories|beauty|cosmetics|fashionistas""), ""Fashion and Beauty"",
  REGEXMATCH(LOWER(VLOOKUP(A26, Data1_Raw_Slack!A:B, 2, FALSE)), ""food|cooking|recipe|restaurant|snac"&amp;"k|grocery|foodies""), ""Food"",
  REGEXMATCH(LOWER(VLOOKUP(A26, Data1_Raw_Slack!A:B, 2, FALSE)), ""travel|vacation|airline|hotel|trip|flights|travelers""), ""Travel"",
  REGEXMATCH(LOWER(VLOOKUP(A26, Data1_Raw_Slack!A:B, 2, FALSE)), ""fitness|workout|gym|"&amp;"exercise|yoga|wellness|fitness enthusiasts""), ""Fitness"",
  REGEXMATCH(LOWER(VLOOKUP(A26, Data1_Raw_Slack!A:B, 2, FALSE)), ""health|medical|pharmacy|mental health|doctor|health-conscious""), ""Health"",
  REGEXMATCH(LOWER(VLOOKUP(A26, Data1_Raw_Slack!A:"&amp;"B, 2, FALSE)), ""pets|dogs|cats|animals|pet care|pet lovers""), ""Pets"",
  REGEXMATCH(LOWER(VLOOKUP(A26, Data1_Raw_Slack!A:B, 2, FALSE)), ""games|gaming|game|xbox|playstation|nintendo|gamers""), ""Gaming"",
  REGEXMATCH(LOWER(VLOOKUP(A26, Data1_Raw_Slack"&amp;"!A:B, 2, FALSE)), ""entertainment|movies|tv|netflix|streaming|celebrity|movie lovers|tv fans|hobb|photo|art""), ""Entertainment"",
  REGEXMATCH(LOWER(VLOOKUP(A26, Data1_Raw_Slack!A:B, 2, FALSE)), ""lifestyle|home|interior|decor|living|lifestyle enthusiast"&amp;"s""), ""Lifestyle"",
  REGEXMATCH(LOWER(VLOOKUP(A26, Data1_Raw_Slack!A:B, 2, FALSE)), ""financial|finance|investing|stocks|retirement|banking|credit|debt|loans|savings|personal finance|insurance|econ|ecom|business|retail|occupation|sale|job|marketing""), "&amp;"""Finance"",
  REGEXMATCH(LOWER(VLOOKUP(A26, Data1_Raw_Slack!A:B, 2, FALSE)), ""auto|automotive""), ""Auto"",
  REGEXMATCH(LOWER(VLOOKUP(A26, Data1_Raw_Slack!A:B, 2, FALSE)), ""parenting|moms|dads|kids|toddlers|baby|parent|children""), ""Parenting"",
 "&amp;" REGEXMATCH(LOWER(VLOOKUP(A26, Data1_Raw_Slack!A:B, 2, FALSE)), ""education|students|learning|school|teachers|college|university|academics""), ""Education"",
  REGEXMATCH(LOWER(VLOOKUP(A26, Data1_Raw_Slack!A:B, 2, FALSE)), ""age|gender|demographic|family|"&amp;"household""), ""Demographics"",
  REGEXMATCH(LOWER(VLOOKUP(A26, Data1_Raw_Slack!A:B, 2, FALSE)), ""mortgage|real estate""), ""Real Estate"",REGEXMATCH(LOWER(VLOOKUP(A26, Data1_Raw_Slack!A:B, 2, FALSE)), ""technology|tech|gadgets|smartphone|electro|apps|de"&amp;"vices|computing|ai|robots|software|computer|internet|tele|mobile|tablet""), ""Technology"", REGEXMATCH(LOWER(VLOOKUP(A26, Data1_Raw_Slack!A:B, 2, FALSE)), ""entertainment|purchas|movies|tv|netflix|streaming|celebrity|movie lovers|tv fans|media|hobb|photo|"&amp;"art|shop""), ""Entertainment"", REGEXMATCH(LOWER(VLOOKUP(A26, Data1_Raw_Slack!A:B, 2, FALSE)), ""law|government|""), ""Law and Government"",
  TRUE, ""Other""
)"),"Sports")</f>
        <v>Sports</v>
      </c>
      <c r="G26" s="9" t="s">
        <v>154</v>
      </c>
      <c r="H26" s="9" t="s">
        <v>32</v>
      </c>
      <c r="I26" s="9" t="s">
        <v>190</v>
      </c>
      <c r="J26" s="9" t="s">
        <v>62</v>
      </c>
      <c r="K26" s="9" t="s">
        <v>56</v>
      </c>
      <c r="L26" s="9" t="s">
        <v>57</v>
      </c>
      <c r="M26" s="10" t="s">
        <v>191</v>
      </c>
      <c r="N26" s="9" t="str">
        <f ca="1">IFERROR(__xludf.DUMMYFUNCTION("REGEXEXTRACT(LOWER(M26), ""([a-z0-9\-]+)\.(?:co|net|org|io|gg)"")"),"autotrader")</f>
        <v>autotrader</v>
      </c>
      <c r="O26" s="9" t="s">
        <v>50</v>
      </c>
      <c r="P26" s="9" t="s">
        <v>39</v>
      </c>
      <c r="Q26" s="9">
        <v>19093</v>
      </c>
      <c r="R26" s="9">
        <v>50</v>
      </c>
      <c r="S26" s="9">
        <v>9626</v>
      </c>
      <c r="T26" s="9">
        <v>17815</v>
      </c>
      <c r="U26" s="9">
        <v>10</v>
      </c>
      <c r="V26" s="11">
        <v>6612.1456900000003</v>
      </c>
      <c r="W26" s="12">
        <f t="shared" si="0"/>
        <v>661.21456899999998</v>
      </c>
      <c r="X26" s="12">
        <f t="shared" si="1"/>
        <v>0.26187608023883097</v>
      </c>
      <c r="Y26" s="12">
        <f t="shared" si="2"/>
        <v>50.416382967579743</v>
      </c>
      <c r="Z26" s="12">
        <f t="shared" si="3"/>
        <v>686.90480885102841</v>
      </c>
      <c r="AA26" s="12">
        <f t="shared" si="4"/>
        <v>346.31255905305613</v>
      </c>
      <c r="AB26" s="12">
        <f t="shared" si="5"/>
        <v>132.2429138</v>
      </c>
      <c r="AC26" s="12">
        <f t="shared" si="6"/>
        <v>20</v>
      </c>
      <c r="AE26" s="13"/>
      <c r="AF26" s="13"/>
    </row>
    <row r="27" spans="1:32">
      <c r="A27" s="8" t="s">
        <v>192</v>
      </c>
      <c r="B27" s="9" t="s">
        <v>41</v>
      </c>
      <c r="C27" s="9" t="s">
        <v>193</v>
      </c>
      <c r="D27" s="9" t="s">
        <v>194</v>
      </c>
      <c r="E27" s="9"/>
      <c r="F27" s="9" t="str">
        <f ca="1">IFERROR(__xludf.DUMMYFUNCTION("IFS(
  REGEXMATCH(LOWER(VLOOKUP(A27, Data1_Raw_Slack!A:B, 2, FALSE)), ""news|weather""), ""News and Weather"", REGEXMATCH(LOWER(VLOOKUP(A27, Data1_Raw_Slack!A:B, 2, FALSE)), ""sports|ufc|nba|nfl|mlb|soccer|sports fans""), ""Sports"",
  REGEXMATCH(LOWER(VL"&amp;"OOKUP(A27, Data1_Raw_Slack!A:B, 2, FALSE)), ""fashion|style|clothing|apparel|shoes|accessories|beauty|cosmetics|fashionistas""), ""Fashion and Beauty"",
  REGEXMATCH(LOWER(VLOOKUP(A27, Data1_Raw_Slack!A:B, 2, FALSE)), ""food|cooking|recipe|restaurant|snac"&amp;"k|grocery|foodies""), ""Food"",
  REGEXMATCH(LOWER(VLOOKUP(A27, Data1_Raw_Slack!A:B, 2, FALSE)), ""travel|vacation|airline|hotel|trip|flights|travelers""), ""Travel"",
  REGEXMATCH(LOWER(VLOOKUP(A27, Data1_Raw_Slack!A:B, 2, FALSE)), ""fitness|workout|gym|"&amp;"exercise|yoga|wellness|fitness enthusiasts""), ""Fitness"",
  REGEXMATCH(LOWER(VLOOKUP(A27, Data1_Raw_Slack!A:B, 2, FALSE)), ""health|medical|pharmacy|mental health|doctor|health-conscious""), ""Health"",
  REGEXMATCH(LOWER(VLOOKUP(A27, Data1_Raw_Slack!A:"&amp;"B, 2, FALSE)), ""pets|dogs|cats|animals|pet care|pet lovers""), ""Pets"",
  REGEXMATCH(LOWER(VLOOKUP(A27, Data1_Raw_Slack!A:B, 2, FALSE)), ""games|gaming|game|xbox|playstation|nintendo|gamers""), ""Gaming"",
  REGEXMATCH(LOWER(VLOOKUP(A27, Data1_Raw_Slack"&amp;"!A:B, 2, FALSE)), ""entertainment|movies|tv|netflix|streaming|celebrity|movie lovers|tv fans|hobb|photo|art""), ""Entertainment"",
  REGEXMATCH(LOWER(VLOOKUP(A27, Data1_Raw_Slack!A:B, 2, FALSE)), ""lifestyle|home|interior|decor|living|lifestyle enthusiast"&amp;"s""), ""Lifestyle"",
  REGEXMATCH(LOWER(VLOOKUP(A27, Data1_Raw_Slack!A:B, 2, FALSE)), ""financial|finance|investing|stocks|retirement|banking|credit|debt|loans|savings|personal finance|insurance|econ|ecom|business|retail|occupation|sale|job|marketing""), "&amp;"""Finance"",
  REGEXMATCH(LOWER(VLOOKUP(A27, Data1_Raw_Slack!A:B, 2, FALSE)), ""auto|automotive""), ""Auto"",
  REGEXMATCH(LOWER(VLOOKUP(A27, Data1_Raw_Slack!A:B, 2, FALSE)), ""parenting|moms|dads|kids|toddlers|baby|parent|children""), ""Parenting"",
 "&amp;" REGEXMATCH(LOWER(VLOOKUP(A27, Data1_Raw_Slack!A:B, 2, FALSE)), ""education|students|learning|school|teachers|college|university|academics""), ""Education"",
  REGEXMATCH(LOWER(VLOOKUP(A27, Data1_Raw_Slack!A:B, 2, FALSE)), ""age|gender|demographic|family|"&amp;"household""), ""Demographics"",
  REGEXMATCH(LOWER(VLOOKUP(A27, Data1_Raw_Slack!A:B, 2, FALSE)), ""mortgage|real estate""), ""Real Estate"",REGEXMATCH(LOWER(VLOOKUP(A27, Data1_Raw_Slack!A:B, 2, FALSE)), ""technology|tech|gadgets|smartphone|electro|apps|de"&amp;"vices|computing|ai|robots|software|computer|internet|tele|mobile|tablet""), ""Technology"", REGEXMATCH(LOWER(VLOOKUP(A27, Data1_Raw_Slack!A:B, 2, FALSE)), ""entertainment|purchas|movies|tv|netflix|streaming|celebrity|movie lovers|tv fans|media|hobb|photo|"&amp;"art|shop""), ""Entertainment"", REGEXMATCH(LOWER(VLOOKUP(A27, Data1_Raw_Slack!A:B, 2, FALSE)), ""law|government|""), ""Law and Government"",
  TRUE, ""Other""
)"),"Entertainment")</f>
        <v>Entertainment</v>
      </c>
      <c r="G27" s="9" t="s">
        <v>69</v>
      </c>
      <c r="H27" s="9" t="s">
        <v>44</v>
      </c>
      <c r="I27" s="9" t="s">
        <v>195</v>
      </c>
      <c r="J27" s="9" t="s">
        <v>46</v>
      </c>
      <c r="K27" s="9" t="s">
        <v>170</v>
      </c>
      <c r="L27" s="9" t="s">
        <v>72</v>
      </c>
      <c r="M27" s="10" t="s">
        <v>196</v>
      </c>
      <c r="N27" s="9" t="str">
        <f ca="1">IFERROR(__xludf.DUMMYFUNCTION("REGEXEXTRACT(LOWER(M27), ""([a-z0-9\-]+)\.(?:co|net|org|io|gg)"")"),"chicagotribune")</f>
        <v>chicagotribune</v>
      </c>
      <c r="O27" s="9" t="s">
        <v>50</v>
      </c>
      <c r="P27" s="9" t="s">
        <v>39</v>
      </c>
      <c r="Q27" s="9">
        <v>7628</v>
      </c>
      <c r="R27" s="9">
        <v>19</v>
      </c>
      <c r="S27" s="9">
        <v>5048</v>
      </c>
      <c r="T27" s="9">
        <v>7154</v>
      </c>
      <c r="U27" s="9">
        <v>5</v>
      </c>
      <c r="V27" s="11">
        <v>6684.0628040000001</v>
      </c>
      <c r="W27" s="12">
        <f t="shared" si="0"/>
        <v>1336.8125608</v>
      </c>
      <c r="X27" s="12">
        <f t="shared" si="1"/>
        <v>0.24908232826428944</v>
      </c>
      <c r="Y27" s="12">
        <f t="shared" si="2"/>
        <v>66.177241740954372</v>
      </c>
      <c r="Z27" s="12">
        <f t="shared" si="3"/>
        <v>1324.1011893819334</v>
      </c>
      <c r="AA27" s="12">
        <f t="shared" si="4"/>
        <v>876.25364499213424</v>
      </c>
      <c r="AB27" s="12">
        <f t="shared" si="5"/>
        <v>351.79277915789476</v>
      </c>
      <c r="AC27" s="12">
        <f t="shared" si="6"/>
        <v>26.315789473684209</v>
      </c>
      <c r="AE27" s="13"/>
      <c r="AF27" s="13"/>
    </row>
    <row r="28" spans="1:32">
      <c r="A28" s="8" t="s">
        <v>197</v>
      </c>
      <c r="B28" s="9" t="s">
        <v>198</v>
      </c>
      <c r="C28" s="9" t="s">
        <v>199</v>
      </c>
      <c r="D28" s="9"/>
      <c r="E28" s="9"/>
      <c r="F28" s="9" t="str">
        <f ca="1">IFERROR(__xludf.DUMMYFUNCTION("IFS(
  REGEXMATCH(LOWER(VLOOKUP(A28, Data1_Raw_Slack!A:B, 2, FALSE)), ""news|weather""), ""News and Weather"", REGEXMATCH(LOWER(VLOOKUP(A28, Data1_Raw_Slack!A:B, 2, FALSE)), ""sports|ufc|nba|nfl|mlb|soccer|sports fans""), ""Sports"",
  REGEXMATCH(LOWER(VL"&amp;"OOKUP(A28, Data1_Raw_Slack!A:B, 2, FALSE)), ""fashion|style|clothing|apparel|shoes|accessories|beauty|cosmetics|fashionistas""), ""Fashion and Beauty"",
  REGEXMATCH(LOWER(VLOOKUP(A28, Data1_Raw_Slack!A:B, 2, FALSE)), ""food|cooking|recipe|restaurant|snac"&amp;"k|grocery|foodies""), ""Food"",
  REGEXMATCH(LOWER(VLOOKUP(A28, Data1_Raw_Slack!A:B, 2, FALSE)), ""travel|vacation|airline|hotel|trip|flights|travelers""), ""Travel"",
  REGEXMATCH(LOWER(VLOOKUP(A28, Data1_Raw_Slack!A:B, 2, FALSE)), ""fitness|workout|gym|"&amp;"exercise|yoga|wellness|fitness enthusiasts""), ""Fitness"",
  REGEXMATCH(LOWER(VLOOKUP(A28, Data1_Raw_Slack!A:B, 2, FALSE)), ""health|medical|pharmacy|mental health|doctor|health-conscious""), ""Health"",
  REGEXMATCH(LOWER(VLOOKUP(A28, Data1_Raw_Slack!A:"&amp;"B, 2, FALSE)), ""pets|dogs|cats|animals|pet care|pet lovers""), ""Pets"",
  REGEXMATCH(LOWER(VLOOKUP(A28, Data1_Raw_Slack!A:B, 2, FALSE)), ""games|gaming|game|xbox|playstation|nintendo|gamers""), ""Gaming"",
  REGEXMATCH(LOWER(VLOOKUP(A28, Data1_Raw_Slack"&amp;"!A:B, 2, FALSE)), ""entertainment|movies|tv|netflix|streaming|celebrity|movie lovers|tv fans|hobb|photo|art""), ""Entertainment"",
  REGEXMATCH(LOWER(VLOOKUP(A28, Data1_Raw_Slack!A:B, 2, FALSE)), ""lifestyle|home|interior|decor|living|lifestyle enthusiast"&amp;"s""), ""Lifestyle"",
  REGEXMATCH(LOWER(VLOOKUP(A28, Data1_Raw_Slack!A:B, 2, FALSE)), ""financial|finance|investing|stocks|retirement|banking|credit|debt|loans|savings|personal finance|insurance|econ|ecom|business|retail|occupation|sale|job|marketing""), "&amp;"""Finance"",
  REGEXMATCH(LOWER(VLOOKUP(A28, Data1_Raw_Slack!A:B, 2, FALSE)), ""auto|automotive""), ""Auto"",
  REGEXMATCH(LOWER(VLOOKUP(A28, Data1_Raw_Slack!A:B, 2, FALSE)), ""parenting|moms|dads|kids|toddlers|baby|parent|children""), ""Parenting"",
 "&amp;" REGEXMATCH(LOWER(VLOOKUP(A28, Data1_Raw_Slack!A:B, 2, FALSE)), ""education|students|learning|school|teachers|college|university|academics""), ""Education"",
  REGEXMATCH(LOWER(VLOOKUP(A28, Data1_Raw_Slack!A:B, 2, FALSE)), ""age|gender|demographic|family|"&amp;"household""), ""Demographics"",
  REGEXMATCH(LOWER(VLOOKUP(A28, Data1_Raw_Slack!A:B, 2, FALSE)), ""mortgage|real estate""), ""Real Estate"",REGEXMATCH(LOWER(VLOOKUP(A28, Data1_Raw_Slack!A:B, 2, FALSE)), ""technology|tech|gadgets|smartphone|electro|apps|de"&amp;"vices|computing|ai|robots|software|computer|internet|tele|mobile|tablet""), ""Technology"", REGEXMATCH(LOWER(VLOOKUP(A28, Data1_Raw_Slack!A:B, 2, FALSE)), ""entertainment|purchas|movies|tv|netflix|streaming|celebrity|movie lovers|tv fans|media|hobb|photo|"&amp;"art|shop""), ""Entertainment"", REGEXMATCH(LOWER(VLOOKUP(A28, Data1_Raw_Slack!A:B, 2, FALSE)), ""law|government|""), ""Law and Government"",
  TRUE, ""Other""
)"),"Real Estate")</f>
        <v>Real Estate</v>
      </c>
      <c r="G28" s="9" t="s">
        <v>200</v>
      </c>
      <c r="H28" s="9" t="s">
        <v>44</v>
      </c>
      <c r="I28" s="9" t="s">
        <v>201</v>
      </c>
      <c r="J28" s="9" t="s">
        <v>62</v>
      </c>
      <c r="K28" s="9" t="s">
        <v>170</v>
      </c>
      <c r="L28" s="9" t="s">
        <v>72</v>
      </c>
      <c r="M28" s="10" t="s">
        <v>202</v>
      </c>
      <c r="N28" s="9" t="str">
        <f ca="1">IFERROR(__xludf.DUMMYFUNCTION("REGEXEXTRACT(LOWER(M28), ""([a-z0-9\-]+)\.(?:co|net|org|io|gg)"")"),"zillow")</f>
        <v>zillow</v>
      </c>
      <c r="O28" s="9" t="s">
        <v>103</v>
      </c>
      <c r="P28" s="9" t="s">
        <v>39</v>
      </c>
      <c r="Q28" s="9">
        <v>9790</v>
      </c>
      <c r="R28" s="9">
        <v>24</v>
      </c>
      <c r="S28" s="9">
        <v>1295</v>
      </c>
      <c r="T28" s="9">
        <v>9196</v>
      </c>
      <c r="U28" s="9">
        <v>2</v>
      </c>
      <c r="V28" s="11">
        <v>1532.1488810000001</v>
      </c>
      <c r="W28" s="12">
        <f t="shared" si="0"/>
        <v>766.07444050000004</v>
      </c>
      <c r="X28" s="12">
        <f t="shared" si="1"/>
        <v>0.24514811031664963</v>
      </c>
      <c r="Y28" s="12">
        <f t="shared" si="2"/>
        <v>13.227783452502553</v>
      </c>
      <c r="Z28" s="12">
        <f t="shared" si="3"/>
        <v>1183.1265490347491</v>
      </c>
      <c r="AA28" s="12">
        <f t="shared" si="4"/>
        <v>156.50141787538305</v>
      </c>
      <c r="AB28" s="12">
        <f t="shared" si="5"/>
        <v>63.839536708333334</v>
      </c>
      <c r="AC28" s="12">
        <f t="shared" si="6"/>
        <v>8.3333333333333321</v>
      </c>
      <c r="AE28" s="13"/>
      <c r="AF28" s="13"/>
    </row>
    <row r="29" spans="1:32">
      <c r="A29" s="8" t="s">
        <v>203</v>
      </c>
      <c r="B29" s="9" t="s">
        <v>52</v>
      </c>
      <c r="C29" s="9" t="s">
        <v>204</v>
      </c>
      <c r="D29" s="9" t="s">
        <v>205</v>
      </c>
      <c r="E29" s="9"/>
      <c r="F29" s="9" t="str">
        <f ca="1">IFERROR(__xludf.DUMMYFUNCTION("IFS(
  REGEXMATCH(LOWER(VLOOKUP(A29, Data1_Raw_Slack!A:B, 2, FALSE)), ""news|weather""), ""News and Weather"", REGEXMATCH(LOWER(VLOOKUP(A29, Data1_Raw_Slack!A:B, 2, FALSE)), ""sports|ufc|nba|nfl|mlb|soccer|sports fans""), ""Sports"",
  REGEXMATCH(LOWER(VL"&amp;"OOKUP(A29, Data1_Raw_Slack!A:B, 2, FALSE)), ""fashion|style|clothing|apparel|shoes|accessories|beauty|cosmetics|fashionistas""), ""Fashion and Beauty"",
  REGEXMATCH(LOWER(VLOOKUP(A29, Data1_Raw_Slack!A:B, 2, FALSE)), ""food|cooking|recipe|restaurant|snac"&amp;"k|grocery|foodies""), ""Food"",
  REGEXMATCH(LOWER(VLOOKUP(A29, Data1_Raw_Slack!A:B, 2, FALSE)), ""travel|vacation|airline|hotel|trip|flights|travelers""), ""Travel"",
  REGEXMATCH(LOWER(VLOOKUP(A29, Data1_Raw_Slack!A:B, 2, FALSE)), ""fitness|workout|gym|"&amp;"exercise|yoga|wellness|fitness enthusiasts""), ""Fitness"",
  REGEXMATCH(LOWER(VLOOKUP(A29, Data1_Raw_Slack!A:B, 2, FALSE)), ""health|medical|pharmacy|mental health|doctor|health-conscious""), ""Health"",
  REGEXMATCH(LOWER(VLOOKUP(A29, Data1_Raw_Slack!A:"&amp;"B, 2, FALSE)), ""pets|dogs|cats|animals|pet care|pet lovers""), ""Pets"",
  REGEXMATCH(LOWER(VLOOKUP(A29, Data1_Raw_Slack!A:B, 2, FALSE)), ""games|gaming|game|xbox|playstation|nintendo|gamers""), ""Gaming"",
  REGEXMATCH(LOWER(VLOOKUP(A29, Data1_Raw_Slack"&amp;"!A:B, 2, FALSE)), ""entertainment|movies|tv|netflix|streaming|celebrity|movie lovers|tv fans|hobb|photo|art""), ""Entertainment"",
  REGEXMATCH(LOWER(VLOOKUP(A29, Data1_Raw_Slack!A:B, 2, FALSE)), ""lifestyle|home|interior|decor|living|lifestyle enthusiast"&amp;"s""), ""Lifestyle"",
  REGEXMATCH(LOWER(VLOOKUP(A29, Data1_Raw_Slack!A:B, 2, FALSE)), ""financial|finance|investing|stocks|retirement|banking|credit|debt|loans|savings|personal finance|insurance|econ|ecom|business|retail|occupation|sale|job|marketing""), "&amp;"""Finance"",
  REGEXMATCH(LOWER(VLOOKUP(A29, Data1_Raw_Slack!A:B, 2, FALSE)), ""auto|automotive""), ""Auto"",
  REGEXMATCH(LOWER(VLOOKUP(A29, Data1_Raw_Slack!A:B, 2, FALSE)), ""parenting|moms|dads|kids|toddlers|baby|parent|children""), ""Parenting"",
 "&amp;" REGEXMATCH(LOWER(VLOOKUP(A29, Data1_Raw_Slack!A:B, 2, FALSE)), ""education|students|learning|school|teachers|college|university|academics""), ""Education"",
  REGEXMATCH(LOWER(VLOOKUP(A29, Data1_Raw_Slack!A:B, 2, FALSE)), ""age|gender|demographic|family|"&amp;"household""), ""Demographics"",
  REGEXMATCH(LOWER(VLOOKUP(A29, Data1_Raw_Slack!A:B, 2, FALSE)), ""mortgage|real estate""), ""Real Estate"",REGEXMATCH(LOWER(VLOOKUP(A29, Data1_Raw_Slack!A:B, 2, FALSE)), ""technology|tech|gadgets|smartphone|electro|apps|de"&amp;"vices|computing|ai|robots|software|computer|internet|tele|mobile|tablet""), ""Technology"", REGEXMATCH(LOWER(VLOOKUP(A29, Data1_Raw_Slack!A:B, 2, FALSE)), ""entertainment|purchas|movies|tv|netflix|streaming|celebrity|movie lovers|tv fans|media|hobb|photo|"&amp;"art|shop""), ""Entertainment"", REGEXMATCH(LOWER(VLOOKUP(A29, Data1_Raw_Slack!A:B, 2, FALSE)), ""law|government|""), ""Law and Government"",
  TRUE, ""Other""
)"),"Entertainment")</f>
        <v>Entertainment</v>
      </c>
      <c r="G29" s="9"/>
      <c r="H29" s="9" t="s">
        <v>32</v>
      </c>
      <c r="I29" s="9" t="s">
        <v>206</v>
      </c>
      <c r="J29" s="9" t="s">
        <v>80</v>
      </c>
      <c r="K29" s="9" t="s">
        <v>142</v>
      </c>
      <c r="L29" s="9" t="s">
        <v>72</v>
      </c>
      <c r="M29" s="10" t="s">
        <v>207</v>
      </c>
      <c r="N29" s="9" t="str">
        <f ca="1">IFERROR(__xludf.DUMMYFUNCTION("REGEXEXTRACT(LOWER(M29), ""([a-z0-9\-]+)\.(?:co|net|org|io|gg)"")"),"realtor")</f>
        <v>realtor</v>
      </c>
      <c r="O29" s="9" t="s">
        <v>50</v>
      </c>
      <c r="P29" s="9" t="s">
        <v>39</v>
      </c>
      <c r="Q29" s="9">
        <v>104814</v>
      </c>
      <c r="R29" s="9">
        <v>369</v>
      </c>
      <c r="S29" s="9">
        <v>55984</v>
      </c>
      <c r="T29" s="9">
        <v>99432</v>
      </c>
      <c r="U29" s="9">
        <v>5</v>
      </c>
      <c r="V29" s="11">
        <v>1942.8475129999999</v>
      </c>
      <c r="W29" s="12">
        <f t="shared" si="0"/>
        <v>388.56950259999996</v>
      </c>
      <c r="X29" s="12">
        <f t="shared" si="1"/>
        <v>0.35205220676627169</v>
      </c>
      <c r="Y29" s="12">
        <f t="shared" si="2"/>
        <v>53.412712042284426</v>
      </c>
      <c r="Z29" s="12">
        <f t="shared" si="3"/>
        <v>34.703620909545585</v>
      </c>
      <c r="AA29" s="12">
        <f t="shared" si="4"/>
        <v>18.536145104661589</v>
      </c>
      <c r="AB29" s="12">
        <f t="shared" si="5"/>
        <v>5.265169411924119</v>
      </c>
      <c r="AC29" s="12">
        <f t="shared" si="6"/>
        <v>1.3550135501355014</v>
      </c>
      <c r="AE29" s="13"/>
      <c r="AF29" s="13"/>
    </row>
    <row r="30" spans="1:32">
      <c r="A30" s="8" t="s">
        <v>208</v>
      </c>
      <c r="B30" s="9" t="s">
        <v>41</v>
      </c>
      <c r="C30" s="9" t="s">
        <v>209</v>
      </c>
      <c r="D30" s="9" t="s">
        <v>210</v>
      </c>
      <c r="E30" s="9"/>
      <c r="F30" s="9" t="str">
        <f ca="1">IFERROR(__xludf.DUMMYFUNCTION("IFS(
  REGEXMATCH(LOWER(VLOOKUP(A30, Data1_Raw_Slack!A:B, 2, FALSE)), ""news|weather""), ""News and Weather"", REGEXMATCH(LOWER(VLOOKUP(A30, Data1_Raw_Slack!A:B, 2, FALSE)), ""sports|ufc|nba|nfl|mlb|soccer|sports fans""), ""Sports"",
  REGEXMATCH(LOWER(VL"&amp;"OOKUP(A30, Data1_Raw_Slack!A:B, 2, FALSE)), ""fashion|style|clothing|apparel|shoes|accessories|beauty|cosmetics|fashionistas""), ""Fashion and Beauty"",
  REGEXMATCH(LOWER(VLOOKUP(A30, Data1_Raw_Slack!A:B, 2, FALSE)), ""food|cooking|recipe|restaurant|snac"&amp;"k|grocery|foodies""), ""Food"",
  REGEXMATCH(LOWER(VLOOKUP(A30, Data1_Raw_Slack!A:B, 2, FALSE)), ""travel|vacation|airline|hotel|trip|flights|travelers""), ""Travel"",
  REGEXMATCH(LOWER(VLOOKUP(A30, Data1_Raw_Slack!A:B, 2, FALSE)), ""fitness|workout|gym|"&amp;"exercise|yoga|wellness|fitness enthusiasts""), ""Fitness"",
  REGEXMATCH(LOWER(VLOOKUP(A30, Data1_Raw_Slack!A:B, 2, FALSE)), ""health|medical|pharmacy|mental health|doctor|health-conscious""), ""Health"",
  REGEXMATCH(LOWER(VLOOKUP(A30, Data1_Raw_Slack!A:"&amp;"B, 2, FALSE)), ""pets|dogs|cats|animals|pet care|pet lovers""), ""Pets"",
  REGEXMATCH(LOWER(VLOOKUP(A30, Data1_Raw_Slack!A:B, 2, FALSE)), ""games|gaming|game|xbox|playstation|nintendo|gamers""), ""Gaming"",
  REGEXMATCH(LOWER(VLOOKUP(A30, Data1_Raw_Slack"&amp;"!A:B, 2, FALSE)), ""entertainment|movies|tv|netflix|streaming|celebrity|movie lovers|tv fans|hobb|photo|art""), ""Entertainment"",
  REGEXMATCH(LOWER(VLOOKUP(A30, Data1_Raw_Slack!A:B, 2, FALSE)), ""lifestyle|home|interior|decor|living|lifestyle enthusiast"&amp;"s""), ""Lifestyle"",
  REGEXMATCH(LOWER(VLOOKUP(A30, Data1_Raw_Slack!A:B, 2, FALSE)), ""financial|finance|investing|stocks|retirement|banking|credit|debt|loans|savings|personal finance|insurance|econ|ecom|business|retail|occupation|sale|job|marketing""), "&amp;"""Finance"",
  REGEXMATCH(LOWER(VLOOKUP(A30, Data1_Raw_Slack!A:B, 2, FALSE)), ""auto|automotive""), ""Auto"",
  REGEXMATCH(LOWER(VLOOKUP(A30, Data1_Raw_Slack!A:B, 2, FALSE)), ""parenting|moms|dads|kids|toddlers|baby|parent|children""), ""Parenting"",
 "&amp;" REGEXMATCH(LOWER(VLOOKUP(A30, Data1_Raw_Slack!A:B, 2, FALSE)), ""education|students|learning|school|teachers|college|university|academics""), ""Education"",
  REGEXMATCH(LOWER(VLOOKUP(A30, Data1_Raw_Slack!A:B, 2, FALSE)), ""age|gender|demographic|family|"&amp;"household""), ""Demographics"",
  REGEXMATCH(LOWER(VLOOKUP(A30, Data1_Raw_Slack!A:B, 2, FALSE)), ""mortgage|real estate""), ""Real Estate"",REGEXMATCH(LOWER(VLOOKUP(A30, Data1_Raw_Slack!A:B, 2, FALSE)), ""technology|tech|gadgets|smartphone|electro|apps|de"&amp;"vices|computing|ai|robots|software|computer|internet|tele|mobile|tablet""), ""Technology"", REGEXMATCH(LOWER(VLOOKUP(A30, Data1_Raw_Slack!A:B, 2, FALSE)), ""entertainment|purchas|movies|tv|netflix|streaming|celebrity|movie lovers|tv fans|media|hobb|photo|"&amp;"art|shop""), ""Entertainment"", REGEXMATCH(LOWER(VLOOKUP(A30, Data1_Raw_Slack!A:B, 2, FALSE)), ""law|government|""), ""Law and Government"",
  TRUE, ""Other""
)"),"Finance")</f>
        <v>Finance</v>
      </c>
      <c r="G30" s="9" t="s">
        <v>209</v>
      </c>
      <c r="H30" s="9" t="s">
        <v>32</v>
      </c>
      <c r="I30" s="9" t="s">
        <v>211</v>
      </c>
      <c r="J30" s="9" t="s">
        <v>34</v>
      </c>
      <c r="K30" s="9" t="s">
        <v>81</v>
      </c>
      <c r="L30" s="9" t="s">
        <v>82</v>
      </c>
      <c r="M30" s="10" t="s">
        <v>212</v>
      </c>
      <c r="N30" s="9" t="str">
        <f ca="1">IFERROR(__xludf.DUMMYFUNCTION("REGEXEXTRACT(LOWER(M30), ""([a-z0-9\-]+)\.(?:co|net|org|io|gg)"")"),"tastesbetterfromscratch")</f>
        <v>tastesbetterfromscratch</v>
      </c>
      <c r="O30" s="9" t="s">
        <v>103</v>
      </c>
      <c r="P30" s="9" t="s">
        <v>39</v>
      </c>
      <c r="Q30" s="9">
        <v>21962</v>
      </c>
      <c r="R30" s="9">
        <v>120</v>
      </c>
      <c r="S30" s="9">
        <v>10702</v>
      </c>
      <c r="T30" s="9">
        <v>21034</v>
      </c>
      <c r="U30" s="9">
        <v>11</v>
      </c>
      <c r="V30" s="11">
        <v>6404.0031280000003</v>
      </c>
      <c r="W30" s="12">
        <f t="shared" si="0"/>
        <v>582.18210254545454</v>
      </c>
      <c r="X30" s="12">
        <f t="shared" si="1"/>
        <v>0.54639832437847191</v>
      </c>
      <c r="Y30" s="12">
        <f t="shared" si="2"/>
        <v>48.729623895820055</v>
      </c>
      <c r="Z30" s="12">
        <f t="shared" si="3"/>
        <v>598.39311605307421</v>
      </c>
      <c r="AA30" s="12">
        <f t="shared" si="4"/>
        <v>291.59471487114109</v>
      </c>
      <c r="AB30" s="12">
        <f t="shared" si="5"/>
        <v>53.366692733333338</v>
      </c>
      <c r="AC30" s="12">
        <f t="shared" si="6"/>
        <v>9.1666666666666661</v>
      </c>
      <c r="AE30" s="13"/>
      <c r="AF30" s="13"/>
    </row>
    <row r="31" spans="1:32">
      <c r="A31" s="8" t="s">
        <v>213</v>
      </c>
      <c r="B31" s="9" t="s">
        <v>41</v>
      </c>
      <c r="C31" s="9" t="s">
        <v>214</v>
      </c>
      <c r="D31" s="9" t="s">
        <v>215</v>
      </c>
      <c r="E31" s="9" t="s">
        <v>216</v>
      </c>
      <c r="F31" s="9" t="str">
        <f ca="1">IFERROR(__xludf.DUMMYFUNCTION("IFS(
  REGEXMATCH(LOWER(VLOOKUP(A31, Data1_Raw_Slack!A:B, 2, FALSE)), ""news|weather""), ""News and Weather"", REGEXMATCH(LOWER(VLOOKUP(A31, Data1_Raw_Slack!A:B, 2, FALSE)), ""sports|ufc|nba|nfl|mlb|soccer|sports fans""), ""Sports"",
  REGEXMATCH(LOWER(VL"&amp;"OOKUP(A31, Data1_Raw_Slack!A:B, 2, FALSE)), ""fashion|style|clothing|apparel|shoes|accessories|beauty|cosmetics|fashionistas""), ""Fashion and Beauty"",
  REGEXMATCH(LOWER(VLOOKUP(A31, Data1_Raw_Slack!A:B, 2, FALSE)), ""food|cooking|recipe|restaurant|snac"&amp;"k|grocery|foodies""), ""Food"",
  REGEXMATCH(LOWER(VLOOKUP(A31, Data1_Raw_Slack!A:B, 2, FALSE)), ""travel|vacation|airline|hotel|trip|flights|travelers""), ""Travel"",
  REGEXMATCH(LOWER(VLOOKUP(A31, Data1_Raw_Slack!A:B, 2, FALSE)), ""fitness|workout|gym|"&amp;"exercise|yoga|wellness|fitness enthusiasts""), ""Fitness"",
  REGEXMATCH(LOWER(VLOOKUP(A31, Data1_Raw_Slack!A:B, 2, FALSE)), ""health|medical|pharmacy|mental health|doctor|health-conscious""), ""Health"",
  REGEXMATCH(LOWER(VLOOKUP(A31, Data1_Raw_Slack!A:"&amp;"B, 2, FALSE)), ""pets|dogs|cats|animals|pet care|pet lovers""), ""Pets"",
  REGEXMATCH(LOWER(VLOOKUP(A31, Data1_Raw_Slack!A:B, 2, FALSE)), ""games|gaming|game|xbox|playstation|nintendo|gamers""), ""Gaming"",
  REGEXMATCH(LOWER(VLOOKUP(A31, Data1_Raw_Slack"&amp;"!A:B, 2, FALSE)), ""entertainment|movies|tv|netflix|streaming|celebrity|movie lovers|tv fans|hobb|photo|art""), ""Entertainment"",
  REGEXMATCH(LOWER(VLOOKUP(A31, Data1_Raw_Slack!A:B, 2, FALSE)), ""lifestyle|home|interior|decor|living|lifestyle enthusiast"&amp;"s""), ""Lifestyle"",
  REGEXMATCH(LOWER(VLOOKUP(A31, Data1_Raw_Slack!A:B, 2, FALSE)), ""financial|finance|investing|stocks|retirement|banking|credit|debt|loans|savings|personal finance|insurance|econ|ecom|business|retail|occupation|sale|job|marketing""), "&amp;"""Finance"",
  REGEXMATCH(LOWER(VLOOKUP(A31, Data1_Raw_Slack!A:B, 2, FALSE)), ""auto|automotive""), ""Auto"",
  REGEXMATCH(LOWER(VLOOKUP(A31, Data1_Raw_Slack!A:B, 2, FALSE)), ""parenting|moms|dads|kids|toddlers|baby|parent|children""), ""Parenting"",
 "&amp;" REGEXMATCH(LOWER(VLOOKUP(A31, Data1_Raw_Slack!A:B, 2, FALSE)), ""education|students|learning|school|teachers|college|university|academics""), ""Education"",
  REGEXMATCH(LOWER(VLOOKUP(A31, Data1_Raw_Slack!A:B, 2, FALSE)), ""age|gender|demographic|family|"&amp;"household""), ""Demographics"",
  REGEXMATCH(LOWER(VLOOKUP(A31, Data1_Raw_Slack!A:B, 2, FALSE)), ""mortgage|real estate""), ""Real Estate"",REGEXMATCH(LOWER(VLOOKUP(A31, Data1_Raw_Slack!A:B, 2, FALSE)), ""technology|tech|gadgets|smartphone|electro|apps|de"&amp;"vices|computing|ai|robots|software|computer|internet|tele|mobile|tablet""), ""Technology"", REGEXMATCH(LOWER(VLOOKUP(A31, Data1_Raw_Slack!A:B, 2, FALSE)), ""entertainment|purchas|movies|tv|netflix|streaming|celebrity|movie lovers|tv fans|media|hobb|photo|"&amp;"art|shop""), ""Entertainment"", REGEXMATCH(LOWER(VLOOKUP(A31, Data1_Raw_Slack!A:B, 2, FALSE)), ""law|government|""), ""Law and Government"",
  TRUE, ""Other""
)"),"Demographics")</f>
        <v>Demographics</v>
      </c>
      <c r="G31" s="9"/>
      <c r="H31" s="9" t="s">
        <v>44</v>
      </c>
      <c r="I31" s="9" t="s">
        <v>217</v>
      </c>
      <c r="J31" s="9" t="s">
        <v>80</v>
      </c>
      <c r="K31" s="9" t="s">
        <v>148</v>
      </c>
      <c r="L31" s="9" t="s">
        <v>89</v>
      </c>
      <c r="M31" s="10" t="s">
        <v>218</v>
      </c>
      <c r="N31" s="9" t="str">
        <f ca="1">IFERROR(__xludf.DUMMYFUNCTION("REGEXEXTRACT(LOWER(M31), ""([a-z0-9\-]+)\.(?:co|net|org|io|gg)"")"),"yahoo")</f>
        <v>yahoo</v>
      </c>
      <c r="O31" s="9" t="s">
        <v>50</v>
      </c>
      <c r="P31" s="9" t="s">
        <v>39</v>
      </c>
      <c r="Q31" s="9">
        <v>52006</v>
      </c>
      <c r="R31" s="9">
        <v>160</v>
      </c>
      <c r="S31" s="9">
        <v>24711</v>
      </c>
      <c r="T31" s="9">
        <v>48019</v>
      </c>
      <c r="U31" s="9">
        <v>12</v>
      </c>
      <c r="V31" s="11">
        <v>5200.0101180000001</v>
      </c>
      <c r="W31" s="12">
        <f t="shared" si="0"/>
        <v>433.33417650000001</v>
      </c>
      <c r="X31" s="12">
        <f t="shared" si="1"/>
        <v>0.30765680882975044</v>
      </c>
      <c r="Y31" s="12">
        <f t="shared" si="2"/>
        <v>47.515671268699769</v>
      </c>
      <c r="Z31" s="12">
        <f t="shared" si="3"/>
        <v>210.43301031929101</v>
      </c>
      <c r="AA31" s="12">
        <f t="shared" si="4"/>
        <v>99.988657424143369</v>
      </c>
      <c r="AB31" s="12">
        <f t="shared" si="5"/>
        <v>32.500063237500001</v>
      </c>
      <c r="AC31" s="12">
        <f t="shared" si="6"/>
        <v>7.5</v>
      </c>
      <c r="AE31" s="13"/>
      <c r="AF31" s="13"/>
    </row>
    <row r="32" spans="1:32">
      <c r="A32" s="8" t="s">
        <v>219</v>
      </c>
      <c r="B32" s="9" t="s">
        <v>41</v>
      </c>
      <c r="C32" s="9" t="s">
        <v>162</v>
      </c>
      <c r="D32" s="9" t="s">
        <v>163</v>
      </c>
      <c r="E32" s="9" t="s">
        <v>220</v>
      </c>
      <c r="F32" s="9" t="str">
        <f ca="1">IFERROR(__xludf.DUMMYFUNCTION("IFS(
  REGEXMATCH(LOWER(VLOOKUP(A32, Data1_Raw_Slack!A:B, 2, FALSE)), ""news|weather""), ""News and Weather"", REGEXMATCH(LOWER(VLOOKUP(A32, Data1_Raw_Slack!A:B, 2, FALSE)), ""sports|ufc|nba|nfl|mlb|soccer|sports fans""), ""Sports"",
  REGEXMATCH(LOWER(VL"&amp;"OOKUP(A32, Data1_Raw_Slack!A:B, 2, FALSE)), ""fashion|style|clothing|apparel|shoes|accessories|beauty|cosmetics|fashionistas""), ""Fashion and Beauty"",
  REGEXMATCH(LOWER(VLOOKUP(A32, Data1_Raw_Slack!A:B, 2, FALSE)), ""food|cooking|recipe|restaurant|snac"&amp;"k|grocery|foodies""), ""Food"",
  REGEXMATCH(LOWER(VLOOKUP(A32, Data1_Raw_Slack!A:B, 2, FALSE)), ""travel|vacation|airline|hotel|trip|flights|travelers""), ""Travel"",
  REGEXMATCH(LOWER(VLOOKUP(A32, Data1_Raw_Slack!A:B, 2, FALSE)), ""fitness|workout|gym|"&amp;"exercise|yoga|wellness|fitness enthusiasts""), ""Fitness"",
  REGEXMATCH(LOWER(VLOOKUP(A32, Data1_Raw_Slack!A:B, 2, FALSE)), ""health|medical|pharmacy|mental health|doctor|health-conscious""), ""Health"",
  REGEXMATCH(LOWER(VLOOKUP(A32, Data1_Raw_Slack!A:"&amp;"B, 2, FALSE)), ""pets|dogs|cats|animals|pet care|pet lovers""), ""Pets"",
  REGEXMATCH(LOWER(VLOOKUP(A32, Data1_Raw_Slack!A:B, 2, FALSE)), ""games|gaming|game|xbox|playstation|nintendo|gamers""), ""Gaming"",
  REGEXMATCH(LOWER(VLOOKUP(A32, Data1_Raw_Slack"&amp;"!A:B, 2, FALSE)), ""entertainment|movies|tv|netflix|streaming|celebrity|movie lovers|tv fans|hobb|photo|art""), ""Entertainment"",
  REGEXMATCH(LOWER(VLOOKUP(A32, Data1_Raw_Slack!A:B, 2, FALSE)), ""lifestyle|home|interior|decor|living|lifestyle enthusiast"&amp;"s""), ""Lifestyle"",
  REGEXMATCH(LOWER(VLOOKUP(A32, Data1_Raw_Slack!A:B, 2, FALSE)), ""financial|finance|investing|stocks|retirement|banking|credit|debt|loans|savings|personal finance|insurance|econ|ecom|business|retail|occupation|sale|job|marketing""), "&amp;"""Finance"",
  REGEXMATCH(LOWER(VLOOKUP(A32, Data1_Raw_Slack!A:B, 2, FALSE)), ""auto|automotive""), ""Auto"",
  REGEXMATCH(LOWER(VLOOKUP(A32, Data1_Raw_Slack!A:B, 2, FALSE)), ""parenting|moms|dads|kids|toddlers|baby|parent|children""), ""Parenting"",
 "&amp;" REGEXMATCH(LOWER(VLOOKUP(A32, Data1_Raw_Slack!A:B, 2, FALSE)), ""education|students|learning|school|teachers|college|university|academics""), ""Education"",
  REGEXMATCH(LOWER(VLOOKUP(A32, Data1_Raw_Slack!A:B, 2, FALSE)), ""age|gender|demographic|family|"&amp;"household""), ""Demographics"",
  REGEXMATCH(LOWER(VLOOKUP(A32, Data1_Raw_Slack!A:B, 2, FALSE)), ""mortgage|real estate""), ""Real Estate"",REGEXMATCH(LOWER(VLOOKUP(A32, Data1_Raw_Slack!A:B, 2, FALSE)), ""technology|tech|gadgets|smartphone|electro|apps|de"&amp;"vices|computing|ai|robots|software|computer|internet|tele|mobile|tablet""), ""Technology"", REGEXMATCH(LOWER(VLOOKUP(A32, Data1_Raw_Slack!A:B, 2, FALSE)), ""entertainment|purchas|movies|tv|netflix|streaming|celebrity|movie lovers|tv fans|media|hobb|photo|"&amp;"art|shop""), ""Entertainment"", REGEXMATCH(LOWER(VLOOKUP(A32, Data1_Raw_Slack!A:B, 2, FALSE)), ""law|government|""), ""Law and Government"",
  TRUE, ""Other""
)"),"Auto")</f>
        <v>Auto</v>
      </c>
      <c r="G32" s="9" t="s">
        <v>122</v>
      </c>
      <c r="H32" s="9" t="s">
        <v>44</v>
      </c>
      <c r="I32" s="9" t="s">
        <v>221</v>
      </c>
      <c r="J32" s="9" t="s">
        <v>46</v>
      </c>
      <c r="K32" s="9" t="s">
        <v>56</v>
      </c>
      <c r="L32" s="9" t="s">
        <v>57</v>
      </c>
      <c r="M32" s="10" t="s">
        <v>222</v>
      </c>
      <c r="N32" s="9" t="str">
        <f ca="1">IFERROR(__xludf.DUMMYFUNCTION("REGEXEXTRACT(LOWER(M32), ""([a-z0-9\-]+)\.(?:co|net|org|io|gg)"")"),"usatoday")</f>
        <v>usatoday</v>
      </c>
      <c r="O32" s="9" t="s">
        <v>50</v>
      </c>
      <c r="P32" s="9" t="s">
        <v>39</v>
      </c>
      <c r="Q32" s="9">
        <v>186404</v>
      </c>
      <c r="R32" s="9">
        <v>940</v>
      </c>
      <c r="S32" s="9">
        <v>30885</v>
      </c>
      <c r="T32" s="9">
        <v>151358</v>
      </c>
      <c r="U32" s="9">
        <v>3</v>
      </c>
      <c r="V32" s="11">
        <v>4702.027505</v>
      </c>
      <c r="W32" s="12">
        <f t="shared" si="0"/>
        <v>1567.3425016666667</v>
      </c>
      <c r="X32" s="12">
        <f t="shared" si="1"/>
        <v>0.50428102401236019</v>
      </c>
      <c r="Y32" s="12">
        <f t="shared" si="2"/>
        <v>16.568850453852921</v>
      </c>
      <c r="Z32" s="12">
        <f t="shared" si="3"/>
        <v>152.24307932653392</v>
      </c>
      <c r="AA32" s="12">
        <f t="shared" si="4"/>
        <v>25.224928139954077</v>
      </c>
      <c r="AB32" s="12">
        <f t="shared" si="5"/>
        <v>5.0021569202127658</v>
      </c>
      <c r="AC32" s="12">
        <f t="shared" si="6"/>
        <v>0.31914893617021273</v>
      </c>
      <c r="AE32" s="13"/>
      <c r="AF32" s="13"/>
    </row>
    <row r="33" spans="1:32">
      <c r="A33" s="8" t="s">
        <v>223</v>
      </c>
      <c r="B33" s="9" t="s">
        <v>52</v>
      </c>
      <c r="C33" s="9" t="s">
        <v>224</v>
      </c>
      <c r="D33" s="9" t="s">
        <v>225</v>
      </c>
      <c r="E33" s="9"/>
      <c r="F33" s="9" t="str">
        <f ca="1">IFERROR(__xludf.DUMMYFUNCTION("IFS(
  REGEXMATCH(LOWER(VLOOKUP(A33, Data1_Raw_Slack!A:B, 2, FALSE)), ""news|weather""), ""News and Weather"", REGEXMATCH(LOWER(VLOOKUP(A33, Data1_Raw_Slack!A:B, 2, FALSE)), ""sports|ufc|nba|nfl|mlb|soccer|sports fans""), ""Sports"",
  REGEXMATCH(LOWER(VL"&amp;"OOKUP(A33, Data1_Raw_Slack!A:B, 2, FALSE)), ""fashion|style|clothing|apparel|shoes|accessories|beauty|cosmetics|fashionistas""), ""Fashion and Beauty"",
  REGEXMATCH(LOWER(VLOOKUP(A33, Data1_Raw_Slack!A:B, 2, FALSE)), ""food|cooking|recipe|restaurant|snac"&amp;"k|grocery|foodies""), ""Food"",
  REGEXMATCH(LOWER(VLOOKUP(A33, Data1_Raw_Slack!A:B, 2, FALSE)), ""travel|vacation|airline|hotel|trip|flights|travelers""), ""Travel"",
  REGEXMATCH(LOWER(VLOOKUP(A33, Data1_Raw_Slack!A:B, 2, FALSE)), ""fitness|workout|gym|"&amp;"exercise|yoga|wellness|fitness enthusiasts""), ""Fitness"",
  REGEXMATCH(LOWER(VLOOKUP(A33, Data1_Raw_Slack!A:B, 2, FALSE)), ""health|medical|pharmacy|mental health|doctor|health-conscious""), ""Health"",
  REGEXMATCH(LOWER(VLOOKUP(A33, Data1_Raw_Slack!A:"&amp;"B, 2, FALSE)), ""pets|dogs|cats|animals|pet care|pet lovers""), ""Pets"",
  REGEXMATCH(LOWER(VLOOKUP(A33, Data1_Raw_Slack!A:B, 2, FALSE)), ""games|gaming|game|xbox|playstation|nintendo|gamers""), ""Gaming"",
  REGEXMATCH(LOWER(VLOOKUP(A33, Data1_Raw_Slack"&amp;"!A:B, 2, FALSE)), ""entertainment|movies|tv|netflix|streaming|celebrity|movie lovers|tv fans|hobb|photo|art""), ""Entertainment"",
  REGEXMATCH(LOWER(VLOOKUP(A33, Data1_Raw_Slack!A:B, 2, FALSE)), ""lifestyle|home|interior|decor|living|lifestyle enthusiast"&amp;"s""), ""Lifestyle"",
  REGEXMATCH(LOWER(VLOOKUP(A33, Data1_Raw_Slack!A:B, 2, FALSE)), ""financial|finance|investing|stocks|retirement|banking|credit|debt|loans|savings|personal finance|insurance|econ|ecom|business|retail|occupation|sale|job|marketing""), "&amp;"""Finance"",
  REGEXMATCH(LOWER(VLOOKUP(A33, Data1_Raw_Slack!A:B, 2, FALSE)), ""auto|automotive""), ""Auto"",
  REGEXMATCH(LOWER(VLOOKUP(A33, Data1_Raw_Slack!A:B, 2, FALSE)), ""parenting|moms|dads|kids|toddlers|baby|parent|children""), ""Parenting"",
 "&amp;" REGEXMATCH(LOWER(VLOOKUP(A33, Data1_Raw_Slack!A:B, 2, FALSE)), ""education|students|learning|school|teachers|college|university|academics""), ""Education"",
  REGEXMATCH(LOWER(VLOOKUP(A33, Data1_Raw_Slack!A:B, 2, FALSE)), ""age|gender|demographic|family|"&amp;"household""), ""Demographics"",
  REGEXMATCH(LOWER(VLOOKUP(A33, Data1_Raw_Slack!A:B, 2, FALSE)), ""mortgage|real estate""), ""Real Estate"",REGEXMATCH(LOWER(VLOOKUP(A33, Data1_Raw_Slack!A:B, 2, FALSE)), ""technology|tech|gadgets|smartphone|electro|apps|de"&amp;"vices|computing|ai|robots|software|computer|internet|tele|mobile|tablet""), ""Technology"", REGEXMATCH(LOWER(VLOOKUP(A33, Data1_Raw_Slack!A:B, 2, FALSE)), ""entertainment|purchas|movies|tv|netflix|streaming|celebrity|movie lovers|tv fans|media|hobb|photo|"&amp;"art|shop""), ""Entertainment"", REGEXMATCH(LOWER(VLOOKUP(A33, Data1_Raw_Slack!A:B, 2, FALSE)), ""law|government|""), ""Law and Government"",
  TRUE, ""Other""
)"),"Education")</f>
        <v>Education</v>
      </c>
      <c r="G33" s="9" t="s">
        <v>127</v>
      </c>
      <c r="H33" s="9" t="s">
        <v>32</v>
      </c>
      <c r="I33" s="9" t="s">
        <v>226</v>
      </c>
      <c r="J33" s="9" t="s">
        <v>80</v>
      </c>
      <c r="K33" s="9" t="s">
        <v>227</v>
      </c>
      <c r="L33" s="9" t="s">
        <v>228</v>
      </c>
      <c r="M33" s="10" t="s">
        <v>229</v>
      </c>
      <c r="N33" s="9" t="str">
        <f ca="1">IFERROR(__xludf.DUMMYFUNCTION("REGEXEXTRACT(LOWER(M33), ""([a-z0-9\-]+)\.(?:co|net|org|io|gg)"")"),"msn")</f>
        <v>msn</v>
      </c>
      <c r="O33" s="9" t="s">
        <v>109</v>
      </c>
      <c r="P33" s="9" t="s">
        <v>39</v>
      </c>
      <c r="Q33" s="9">
        <v>171575</v>
      </c>
      <c r="R33" s="9">
        <v>499</v>
      </c>
      <c r="S33" s="9">
        <v>101487</v>
      </c>
      <c r="T33" s="9">
        <v>136036</v>
      </c>
      <c r="U33" s="9">
        <v>8</v>
      </c>
      <c r="V33" s="11">
        <v>1658.3324259999999</v>
      </c>
      <c r="W33" s="12">
        <f t="shared" si="0"/>
        <v>207.29155324999999</v>
      </c>
      <c r="X33" s="12">
        <f t="shared" si="1"/>
        <v>0.29083491184613142</v>
      </c>
      <c r="Y33" s="12">
        <f t="shared" si="2"/>
        <v>59.150225848754189</v>
      </c>
      <c r="Z33" s="12">
        <f t="shared" si="3"/>
        <v>16.340343354321242</v>
      </c>
      <c r="AA33" s="12">
        <f t="shared" si="4"/>
        <v>9.6653499985429114</v>
      </c>
      <c r="AB33" s="12">
        <f t="shared" si="5"/>
        <v>3.3233114749498998</v>
      </c>
      <c r="AC33" s="12">
        <f t="shared" si="6"/>
        <v>1.6032064128256511</v>
      </c>
      <c r="AE33" s="13"/>
      <c r="AF33" s="13"/>
    </row>
    <row r="34" spans="1:32">
      <c r="A34" s="8" t="s">
        <v>230</v>
      </c>
      <c r="B34" s="9" t="s">
        <v>41</v>
      </c>
      <c r="C34" s="9" t="s">
        <v>85</v>
      </c>
      <c r="D34" s="9" t="s">
        <v>231</v>
      </c>
      <c r="E34" s="9"/>
      <c r="F34" s="9" t="str">
        <f ca="1">IFERROR(__xludf.DUMMYFUNCTION("IFS(
  REGEXMATCH(LOWER(VLOOKUP(A34, Data1_Raw_Slack!A:B, 2, FALSE)), ""news|weather""), ""News and Weather"", REGEXMATCH(LOWER(VLOOKUP(A34, Data1_Raw_Slack!A:B, 2, FALSE)), ""sports|ufc|nba|nfl|mlb|soccer|sports fans""), ""Sports"",
  REGEXMATCH(LOWER(VL"&amp;"OOKUP(A34, Data1_Raw_Slack!A:B, 2, FALSE)), ""fashion|style|clothing|apparel|shoes|accessories|beauty|cosmetics|fashionistas""), ""Fashion and Beauty"",
  REGEXMATCH(LOWER(VLOOKUP(A34, Data1_Raw_Slack!A:B, 2, FALSE)), ""food|cooking|recipe|restaurant|snac"&amp;"k|grocery|foodies""), ""Food"",
  REGEXMATCH(LOWER(VLOOKUP(A34, Data1_Raw_Slack!A:B, 2, FALSE)), ""travel|vacation|airline|hotel|trip|flights|travelers""), ""Travel"",
  REGEXMATCH(LOWER(VLOOKUP(A34, Data1_Raw_Slack!A:B, 2, FALSE)), ""fitness|workout|gym|"&amp;"exercise|yoga|wellness|fitness enthusiasts""), ""Fitness"",
  REGEXMATCH(LOWER(VLOOKUP(A34, Data1_Raw_Slack!A:B, 2, FALSE)), ""health|medical|pharmacy|mental health|doctor|health-conscious""), ""Health"",
  REGEXMATCH(LOWER(VLOOKUP(A34, Data1_Raw_Slack!A:"&amp;"B, 2, FALSE)), ""pets|dogs|cats|animals|pet care|pet lovers""), ""Pets"",
  REGEXMATCH(LOWER(VLOOKUP(A34, Data1_Raw_Slack!A:B, 2, FALSE)), ""games|gaming|game|xbox|playstation|nintendo|gamers""), ""Gaming"",
  REGEXMATCH(LOWER(VLOOKUP(A34, Data1_Raw_Slack"&amp;"!A:B, 2, FALSE)), ""entertainment|movies|tv|netflix|streaming|celebrity|movie lovers|tv fans|hobb|photo|art""), ""Entertainment"",
  REGEXMATCH(LOWER(VLOOKUP(A34, Data1_Raw_Slack!A:B, 2, FALSE)), ""lifestyle|home|interior|decor|living|lifestyle enthusiast"&amp;"s""), ""Lifestyle"",
  REGEXMATCH(LOWER(VLOOKUP(A34, Data1_Raw_Slack!A:B, 2, FALSE)), ""financial|finance|investing|stocks|retirement|banking|credit|debt|loans|savings|personal finance|insurance|econ|ecom|business|retail|occupation|sale|job|marketing""), "&amp;"""Finance"",
  REGEXMATCH(LOWER(VLOOKUP(A34, Data1_Raw_Slack!A:B, 2, FALSE)), ""auto|automotive""), ""Auto"",
  REGEXMATCH(LOWER(VLOOKUP(A34, Data1_Raw_Slack!A:B, 2, FALSE)), ""parenting|moms|dads|kids|toddlers|baby|parent|children""), ""Parenting"",
 "&amp;" REGEXMATCH(LOWER(VLOOKUP(A34, Data1_Raw_Slack!A:B, 2, FALSE)), ""education|students|learning|school|teachers|college|university|academics""), ""Education"",
  REGEXMATCH(LOWER(VLOOKUP(A34, Data1_Raw_Slack!A:B, 2, FALSE)), ""age|gender|demographic|family|"&amp;"household""), ""Demographics"",
  REGEXMATCH(LOWER(VLOOKUP(A34, Data1_Raw_Slack!A:B, 2, FALSE)), ""mortgage|real estate""), ""Real Estate"",REGEXMATCH(LOWER(VLOOKUP(A34, Data1_Raw_Slack!A:B, 2, FALSE)), ""technology|tech|gadgets|smartphone|electro|apps|de"&amp;"vices|computing|ai|robots|software|computer|internet|tele|mobile|tablet""), ""Technology"", REGEXMATCH(LOWER(VLOOKUP(A34, Data1_Raw_Slack!A:B, 2, FALSE)), ""entertainment|purchas|movies|tv|netflix|streaming|celebrity|movie lovers|tv fans|media|hobb|photo|"&amp;"art|shop""), ""Entertainment"", REGEXMATCH(LOWER(VLOOKUP(A34, Data1_Raw_Slack!A:B, 2, FALSE)), ""law|government|""), ""Law and Government"",
  TRUE, ""Other""
)"),"Travel")</f>
        <v>Travel</v>
      </c>
      <c r="G34" s="9" t="s">
        <v>85</v>
      </c>
      <c r="H34" s="9" t="s">
        <v>44</v>
      </c>
      <c r="I34" s="9" t="s">
        <v>232</v>
      </c>
      <c r="J34" s="9" t="s">
        <v>34</v>
      </c>
      <c r="K34" s="9" t="s">
        <v>148</v>
      </c>
      <c r="L34" s="9" t="s">
        <v>89</v>
      </c>
      <c r="M34" s="10" t="s">
        <v>112</v>
      </c>
      <c r="N34" s="9" t="str">
        <f ca="1">IFERROR(__xludf.DUMMYFUNCTION("REGEXEXTRACT(LOWER(M34), ""([a-z0-9\-]+)\.(?:co|net|org|io|gg)"")"),"ebay")</f>
        <v>ebay</v>
      </c>
      <c r="O34" s="9" t="s">
        <v>131</v>
      </c>
      <c r="P34" s="9" t="s">
        <v>64</v>
      </c>
      <c r="Q34" s="9">
        <v>161222</v>
      </c>
      <c r="R34" s="9">
        <v>500</v>
      </c>
      <c r="S34" s="9">
        <v>66740</v>
      </c>
      <c r="T34" s="9">
        <v>149743</v>
      </c>
      <c r="U34" s="9">
        <v>19</v>
      </c>
      <c r="V34" s="11">
        <v>5767.7973810000003</v>
      </c>
      <c r="W34" s="12">
        <f t="shared" si="0"/>
        <v>303.56828321052632</v>
      </c>
      <c r="X34" s="12">
        <f t="shared" si="1"/>
        <v>0.31013137164903049</v>
      </c>
      <c r="Y34" s="12">
        <f t="shared" si="2"/>
        <v>41.396335487712591</v>
      </c>
      <c r="Z34" s="12">
        <f t="shared" si="3"/>
        <v>86.421896628708424</v>
      </c>
      <c r="AA34" s="12">
        <f t="shared" si="4"/>
        <v>35.775498263264325</v>
      </c>
      <c r="AB34" s="12">
        <f t="shared" si="5"/>
        <v>11.535594762000001</v>
      </c>
      <c r="AC34" s="12">
        <f t="shared" si="6"/>
        <v>3.8</v>
      </c>
      <c r="AE34" s="13"/>
      <c r="AF34" s="13"/>
    </row>
    <row r="35" spans="1:32">
      <c r="A35" s="8" t="s">
        <v>233</v>
      </c>
      <c r="B35" s="9" t="s">
        <v>41</v>
      </c>
      <c r="C35" s="9" t="s">
        <v>42</v>
      </c>
      <c r="D35" s="9" t="s">
        <v>234</v>
      </c>
      <c r="E35" s="9"/>
      <c r="F35" s="9" t="str">
        <f ca="1">IFERROR(__xludf.DUMMYFUNCTION("IFS(
  REGEXMATCH(LOWER(VLOOKUP(A35, Data1_Raw_Slack!A:B, 2, FALSE)), ""news|weather""), ""News and Weather"", REGEXMATCH(LOWER(VLOOKUP(A35, Data1_Raw_Slack!A:B, 2, FALSE)), ""sports|ufc|nba|nfl|mlb|soccer|sports fans""), ""Sports"",
  REGEXMATCH(LOWER(VL"&amp;"OOKUP(A35, Data1_Raw_Slack!A:B, 2, FALSE)), ""fashion|style|clothing|apparel|shoes|accessories|beauty|cosmetics|fashionistas""), ""Fashion and Beauty"",
  REGEXMATCH(LOWER(VLOOKUP(A35, Data1_Raw_Slack!A:B, 2, FALSE)), ""food|cooking|recipe|restaurant|snac"&amp;"k|grocery|foodies""), ""Food"",
  REGEXMATCH(LOWER(VLOOKUP(A35, Data1_Raw_Slack!A:B, 2, FALSE)), ""travel|vacation|airline|hotel|trip|flights|travelers""), ""Travel"",
  REGEXMATCH(LOWER(VLOOKUP(A35, Data1_Raw_Slack!A:B, 2, FALSE)), ""fitness|workout|gym|"&amp;"exercise|yoga|wellness|fitness enthusiasts""), ""Fitness"",
  REGEXMATCH(LOWER(VLOOKUP(A35, Data1_Raw_Slack!A:B, 2, FALSE)), ""health|medical|pharmacy|mental health|doctor|health-conscious""), ""Health"",
  REGEXMATCH(LOWER(VLOOKUP(A35, Data1_Raw_Slack!A:"&amp;"B, 2, FALSE)), ""pets|dogs|cats|animals|pet care|pet lovers""), ""Pets"",
  REGEXMATCH(LOWER(VLOOKUP(A35, Data1_Raw_Slack!A:B, 2, FALSE)), ""games|gaming|game|xbox|playstation|nintendo|gamers""), ""Gaming"",
  REGEXMATCH(LOWER(VLOOKUP(A35, Data1_Raw_Slack"&amp;"!A:B, 2, FALSE)), ""entertainment|movies|tv|netflix|streaming|celebrity|movie lovers|tv fans|hobb|photo|art""), ""Entertainment"",
  REGEXMATCH(LOWER(VLOOKUP(A35, Data1_Raw_Slack!A:B, 2, FALSE)), ""lifestyle|home|interior|decor|living|lifestyle enthusiast"&amp;"s""), ""Lifestyle"",
  REGEXMATCH(LOWER(VLOOKUP(A35, Data1_Raw_Slack!A:B, 2, FALSE)), ""financial|finance|investing|stocks|retirement|banking|credit|debt|loans|savings|personal finance|insurance|econ|ecom|business|retail|occupation|sale|job|marketing""), "&amp;"""Finance"",
  REGEXMATCH(LOWER(VLOOKUP(A35, Data1_Raw_Slack!A:B, 2, FALSE)), ""auto|automotive""), ""Auto"",
  REGEXMATCH(LOWER(VLOOKUP(A35, Data1_Raw_Slack!A:B, 2, FALSE)), ""parenting|moms|dads|kids|toddlers|baby|parent|children""), ""Parenting"",
 "&amp;" REGEXMATCH(LOWER(VLOOKUP(A35, Data1_Raw_Slack!A:B, 2, FALSE)), ""education|students|learning|school|teachers|college|university|academics""), ""Education"",
  REGEXMATCH(LOWER(VLOOKUP(A35, Data1_Raw_Slack!A:B, 2, FALSE)), ""age|gender|demographic|family|"&amp;"household""), ""Demographics"",
  REGEXMATCH(LOWER(VLOOKUP(A35, Data1_Raw_Slack!A:B, 2, FALSE)), ""mortgage|real estate""), ""Real Estate"",REGEXMATCH(LOWER(VLOOKUP(A35, Data1_Raw_Slack!A:B, 2, FALSE)), ""technology|tech|gadgets|smartphone|electro|apps|de"&amp;"vices|computing|ai|robots|software|computer|internet|tele|mobile|tablet""), ""Technology"", REGEXMATCH(LOWER(VLOOKUP(A35, Data1_Raw_Slack!A:B, 2, FALSE)), ""entertainment|purchas|movies|tv|netflix|streaming|celebrity|movie lovers|tv fans|media|hobb|photo|"&amp;"art|shop""), ""Entertainment"", REGEXMATCH(LOWER(VLOOKUP(A35, Data1_Raw_Slack!A:B, 2, FALSE)), ""law|government|""), ""Law and Government"",
  TRUE, ""Other""
)"),"Technology")</f>
        <v>Technology</v>
      </c>
      <c r="G35" s="9"/>
      <c r="H35" s="9" t="s">
        <v>44</v>
      </c>
      <c r="I35" s="9" t="s">
        <v>235</v>
      </c>
      <c r="J35" s="9" t="s">
        <v>62</v>
      </c>
      <c r="K35" s="9" t="s">
        <v>236</v>
      </c>
      <c r="L35" s="9" t="s">
        <v>82</v>
      </c>
      <c r="M35" s="10" t="s">
        <v>117</v>
      </c>
      <c r="N35" s="9" t="str">
        <f ca="1">IFERROR(__xludf.DUMMYFUNCTION("REGEXEXTRACT(LOWER(M35), ""([a-z0-9\-]+)\.(?:co|net|org|io|gg)"")"),"businessinsider")</f>
        <v>businessinsider</v>
      </c>
      <c r="O35" s="9" t="s">
        <v>50</v>
      </c>
      <c r="P35" s="9" t="s">
        <v>75</v>
      </c>
      <c r="Q35" s="9">
        <v>27202</v>
      </c>
      <c r="R35" s="9">
        <v>70</v>
      </c>
      <c r="S35" s="9">
        <v>5202</v>
      </c>
      <c r="T35" s="9">
        <v>23474</v>
      </c>
      <c r="U35" s="9">
        <v>11</v>
      </c>
      <c r="V35" s="11">
        <v>4253.9791160000004</v>
      </c>
      <c r="W35" s="12">
        <f t="shared" si="0"/>
        <v>386.72537418181821</v>
      </c>
      <c r="X35" s="12">
        <f t="shared" si="1"/>
        <v>0.2573340195573855</v>
      </c>
      <c r="Y35" s="12">
        <f t="shared" si="2"/>
        <v>19.123593853393135</v>
      </c>
      <c r="Z35" s="12">
        <f t="shared" si="3"/>
        <v>817.75838446751254</v>
      </c>
      <c r="AA35" s="12">
        <f t="shared" si="4"/>
        <v>156.38479214763623</v>
      </c>
      <c r="AB35" s="12">
        <f t="shared" si="5"/>
        <v>60.771130228571437</v>
      </c>
      <c r="AC35" s="12">
        <f t="shared" si="6"/>
        <v>15.714285714285714</v>
      </c>
      <c r="AE35" s="13"/>
      <c r="AF35" s="13"/>
    </row>
    <row r="36" spans="1:32">
      <c r="A36" s="8" t="s">
        <v>237</v>
      </c>
      <c r="B36" s="9" t="s">
        <v>144</v>
      </c>
      <c r="C36" s="9" t="s">
        <v>238</v>
      </c>
      <c r="D36" s="9" t="s">
        <v>239</v>
      </c>
      <c r="E36" s="9"/>
      <c r="F36" s="9" t="str">
        <f ca="1">IFERROR(__xludf.DUMMYFUNCTION("IFS(
  REGEXMATCH(LOWER(VLOOKUP(A36, Data1_Raw_Slack!A:B, 2, FALSE)), ""news|weather""), ""News and Weather"", REGEXMATCH(LOWER(VLOOKUP(A36, Data1_Raw_Slack!A:B, 2, FALSE)), ""sports|ufc|nba|nfl|mlb|soccer|sports fans""), ""Sports"",
  REGEXMATCH(LOWER(VL"&amp;"OOKUP(A36, Data1_Raw_Slack!A:B, 2, FALSE)), ""fashion|style|clothing|apparel|shoes|accessories|beauty|cosmetics|fashionistas""), ""Fashion and Beauty"",
  REGEXMATCH(LOWER(VLOOKUP(A36, Data1_Raw_Slack!A:B, 2, FALSE)), ""food|cooking|recipe|restaurant|snac"&amp;"k|grocery|foodies""), ""Food"",
  REGEXMATCH(LOWER(VLOOKUP(A36, Data1_Raw_Slack!A:B, 2, FALSE)), ""travel|vacation|airline|hotel|trip|flights|travelers""), ""Travel"",
  REGEXMATCH(LOWER(VLOOKUP(A36, Data1_Raw_Slack!A:B, 2, FALSE)), ""fitness|workout|gym|"&amp;"exercise|yoga|wellness|fitness enthusiasts""), ""Fitness"",
  REGEXMATCH(LOWER(VLOOKUP(A36, Data1_Raw_Slack!A:B, 2, FALSE)), ""health|medical|pharmacy|mental health|doctor|health-conscious""), ""Health"",
  REGEXMATCH(LOWER(VLOOKUP(A36, Data1_Raw_Slack!A:"&amp;"B, 2, FALSE)), ""pets|dogs|cats|animals|pet care|pet lovers""), ""Pets"",
  REGEXMATCH(LOWER(VLOOKUP(A36, Data1_Raw_Slack!A:B, 2, FALSE)), ""games|gaming|game|xbox|playstation|nintendo|gamers""), ""Gaming"",
  REGEXMATCH(LOWER(VLOOKUP(A36, Data1_Raw_Slack"&amp;"!A:B, 2, FALSE)), ""entertainment|movies|tv|netflix|streaming|celebrity|movie lovers|tv fans|hobb|photo|art""), ""Entertainment"",
  REGEXMATCH(LOWER(VLOOKUP(A36, Data1_Raw_Slack!A:B, 2, FALSE)), ""lifestyle|home|interior|decor|living|lifestyle enthusiast"&amp;"s""), ""Lifestyle"",
  REGEXMATCH(LOWER(VLOOKUP(A36, Data1_Raw_Slack!A:B, 2, FALSE)), ""financial|finance|investing|stocks|retirement|banking|credit|debt|loans|savings|personal finance|insurance|econ|ecom|business|retail|occupation|sale|job|marketing""), "&amp;"""Finance"",
  REGEXMATCH(LOWER(VLOOKUP(A36, Data1_Raw_Slack!A:B, 2, FALSE)), ""auto|automotive""), ""Auto"",
  REGEXMATCH(LOWER(VLOOKUP(A36, Data1_Raw_Slack!A:B, 2, FALSE)), ""parenting|moms|dads|kids|toddlers|baby|parent|children""), ""Parenting"",
 "&amp;" REGEXMATCH(LOWER(VLOOKUP(A36, Data1_Raw_Slack!A:B, 2, FALSE)), ""education|students|learning|school|teachers|college|university|academics""), ""Education"",
  REGEXMATCH(LOWER(VLOOKUP(A36, Data1_Raw_Slack!A:B, 2, FALSE)), ""age|gender|demographic|family|"&amp;"household""), ""Demographics"",
  REGEXMATCH(LOWER(VLOOKUP(A36, Data1_Raw_Slack!A:B, 2, FALSE)), ""mortgage|real estate""), ""Real Estate"",REGEXMATCH(LOWER(VLOOKUP(A36, Data1_Raw_Slack!A:B, 2, FALSE)), ""technology|tech|gadgets|smartphone|electro|apps|de"&amp;"vices|computing|ai|robots|software|computer|internet|tele|mobile|tablet""), ""Technology"", REGEXMATCH(LOWER(VLOOKUP(A36, Data1_Raw_Slack!A:B, 2, FALSE)), ""entertainment|purchas|movies|tv|netflix|streaming|celebrity|movie lovers|tv fans|media|hobb|photo|"&amp;"art|shop""), ""Entertainment"", REGEXMATCH(LOWER(VLOOKUP(A36, Data1_Raw_Slack!A:B, 2, FALSE)), ""law|government|""), ""Law and Government"",
  TRUE, ""Other""
)"),"Parenting")</f>
        <v>Parenting</v>
      </c>
      <c r="G36" s="9"/>
      <c r="H36" s="9" t="s">
        <v>44</v>
      </c>
      <c r="I36" s="9" t="s">
        <v>240</v>
      </c>
      <c r="J36" s="9" t="s">
        <v>62</v>
      </c>
      <c r="K36" s="9" t="s">
        <v>241</v>
      </c>
      <c r="L36" s="9" t="s">
        <v>242</v>
      </c>
      <c r="M36" s="10" t="s">
        <v>243</v>
      </c>
      <c r="N36" s="9" t="str">
        <f ca="1">IFERROR(__xludf.DUMMYFUNCTION("REGEXEXTRACT(LOWER(M36), ""([a-z0-9\-]+)\.(?:co|net|org|io|gg)"")"),"poshland")</f>
        <v>poshland</v>
      </c>
      <c r="O36" s="9" t="s">
        <v>131</v>
      </c>
      <c r="P36" s="9" t="s">
        <v>75</v>
      </c>
      <c r="Q36" s="9">
        <v>16669</v>
      </c>
      <c r="R36" s="9">
        <v>26</v>
      </c>
      <c r="S36" s="9">
        <v>10961</v>
      </c>
      <c r="T36" s="9">
        <v>15451</v>
      </c>
      <c r="U36" s="9">
        <v>5</v>
      </c>
      <c r="V36" s="11">
        <v>1658.358536</v>
      </c>
      <c r="W36" s="12">
        <f t="shared" si="0"/>
        <v>331.67170720000001</v>
      </c>
      <c r="X36" s="12">
        <f t="shared" si="1"/>
        <v>0.15597816305717199</v>
      </c>
      <c r="Y36" s="12">
        <f t="shared" si="2"/>
        <v>65.756794048833171</v>
      </c>
      <c r="Z36" s="12">
        <f t="shared" si="3"/>
        <v>151.29628099625947</v>
      </c>
      <c r="AA36" s="12">
        <f t="shared" si="4"/>
        <v>99.487583898254243</v>
      </c>
      <c r="AB36" s="12">
        <f t="shared" si="5"/>
        <v>63.783020615384615</v>
      </c>
      <c r="AC36" s="12">
        <f t="shared" si="6"/>
        <v>19.230769230769234</v>
      </c>
      <c r="AE36" s="13"/>
      <c r="AF36" s="13"/>
    </row>
    <row r="37" spans="1:32">
      <c r="A37" s="8" t="s">
        <v>244</v>
      </c>
      <c r="B37" s="9"/>
      <c r="C37" s="9" t="s">
        <v>144</v>
      </c>
      <c r="D37" s="9"/>
      <c r="E37" s="9"/>
      <c r="F37" s="9" t="str">
        <f ca="1">IFERROR(__xludf.DUMMYFUNCTION("IFS(
  REGEXMATCH(LOWER(VLOOKUP(A37, Data1_Raw_Slack!A:B, 2, FALSE)), ""news|weather""), ""News and Weather"", REGEXMATCH(LOWER(VLOOKUP(A37, Data1_Raw_Slack!A:B, 2, FALSE)), ""sports|ufc|nba|nfl|mlb|soccer|sports fans""), ""Sports"",
  REGEXMATCH(LOWER(VL"&amp;"OOKUP(A37, Data1_Raw_Slack!A:B, 2, FALSE)), ""fashion|style|clothing|apparel|shoes|accessories|beauty|cosmetics|fashionistas""), ""Fashion and Beauty"",
  REGEXMATCH(LOWER(VLOOKUP(A37, Data1_Raw_Slack!A:B, 2, FALSE)), ""food|cooking|recipe|restaurant|snac"&amp;"k|grocery|foodies""), ""Food"",
  REGEXMATCH(LOWER(VLOOKUP(A37, Data1_Raw_Slack!A:B, 2, FALSE)), ""travel|vacation|airline|hotel|trip|flights|travelers""), ""Travel"",
  REGEXMATCH(LOWER(VLOOKUP(A37, Data1_Raw_Slack!A:B, 2, FALSE)), ""fitness|workout|gym|"&amp;"exercise|yoga|wellness|fitness enthusiasts""), ""Fitness"",
  REGEXMATCH(LOWER(VLOOKUP(A37, Data1_Raw_Slack!A:B, 2, FALSE)), ""health|medical|pharmacy|mental health|doctor|health-conscious""), ""Health"",
  REGEXMATCH(LOWER(VLOOKUP(A37, Data1_Raw_Slack!A:"&amp;"B, 2, FALSE)), ""pets|dogs|cats|animals|pet care|pet lovers""), ""Pets"",
  REGEXMATCH(LOWER(VLOOKUP(A37, Data1_Raw_Slack!A:B, 2, FALSE)), ""games|gaming|game|xbox|playstation|nintendo|gamers""), ""Gaming"",
  REGEXMATCH(LOWER(VLOOKUP(A37, Data1_Raw_Slack"&amp;"!A:B, 2, FALSE)), ""entertainment|movies|tv|netflix|streaming|celebrity|movie lovers|tv fans|hobb|photo|art""), ""Entertainment"",
  REGEXMATCH(LOWER(VLOOKUP(A37, Data1_Raw_Slack!A:B, 2, FALSE)), ""lifestyle|home|interior|decor|living|lifestyle enthusiast"&amp;"s""), ""Lifestyle"",
  REGEXMATCH(LOWER(VLOOKUP(A37, Data1_Raw_Slack!A:B, 2, FALSE)), ""financial|finance|investing|stocks|retirement|banking|credit|debt|loans|savings|personal finance|insurance|econ|ecom|business|retail|occupation|sale|job|marketing""), "&amp;"""Finance"",
  REGEXMATCH(LOWER(VLOOKUP(A37, Data1_Raw_Slack!A:B, 2, FALSE)), ""auto|automotive""), ""Auto"",
  REGEXMATCH(LOWER(VLOOKUP(A37, Data1_Raw_Slack!A:B, 2, FALSE)), ""parenting|moms|dads|kids|toddlers|baby|parent|children""), ""Parenting"",
 "&amp;" REGEXMATCH(LOWER(VLOOKUP(A37, Data1_Raw_Slack!A:B, 2, FALSE)), ""education|students|learning|school|teachers|college|university|academics""), ""Education"",
  REGEXMATCH(LOWER(VLOOKUP(A37, Data1_Raw_Slack!A:B, 2, FALSE)), ""age|gender|demographic|family|"&amp;"household""), ""Demographics"",
  REGEXMATCH(LOWER(VLOOKUP(A37, Data1_Raw_Slack!A:B, 2, FALSE)), ""mortgage|real estate""), ""Real Estate"",REGEXMATCH(LOWER(VLOOKUP(A37, Data1_Raw_Slack!A:B, 2, FALSE)), ""technology|tech|gadgets|smartphone|electro|apps|de"&amp;"vices|computing|ai|robots|software|computer|internet|tele|mobile|tablet""), ""Technology"", REGEXMATCH(LOWER(VLOOKUP(A37, Data1_Raw_Slack!A:B, 2, FALSE)), ""entertainment|purchas|movies|tv|netflix|streaming|celebrity|movie lovers|tv fans|media|hobb|photo|"&amp;"art|shop""), ""Entertainment"", REGEXMATCH(LOWER(VLOOKUP(A37, Data1_Raw_Slack!A:B, 2, FALSE)), ""law|government|""), ""Law and Government"",
  TRUE, ""Other""
)"),"Law and Government")</f>
        <v>Law and Government</v>
      </c>
      <c r="G37" s="9"/>
      <c r="H37" s="9" t="s">
        <v>44</v>
      </c>
      <c r="I37" s="9" t="s">
        <v>245</v>
      </c>
      <c r="J37" s="9" t="s">
        <v>46</v>
      </c>
      <c r="K37" s="9" t="s">
        <v>88</v>
      </c>
      <c r="L37" s="9" t="s">
        <v>89</v>
      </c>
      <c r="M37" s="10" t="s">
        <v>246</v>
      </c>
      <c r="N37" s="9" t="str">
        <f ca="1">IFERROR(__xludf.DUMMYFUNCTION("REGEXEXTRACT(LOWER(M37), ""([a-z0-9\-]+)\.(?:co|net|org|io|gg)"")"),"clutchpoints")</f>
        <v>clutchpoints</v>
      </c>
      <c r="O37" s="9" t="s">
        <v>50</v>
      </c>
      <c r="P37" s="9" t="s">
        <v>39</v>
      </c>
      <c r="Q37" s="9">
        <v>7472</v>
      </c>
      <c r="R37" s="9">
        <v>10</v>
      </c>
      <c r="S37" s="9">
        <v>1191</v>
      </c>
      <c r="T37" s="9">
        <v>5883</v>
      </c>
      <c r="U37" s="9">
        <v>1</v>
      </c>
      <c r="V37" s="11">
        <v>2183.952037</v>
      </c>
      <c r="W37" s="12">
        <f t="shared" si="0"/>
        <v>2183.952037</v>
      </c>
      <c r="X37" s="12">
        <f t="shared" si="1"/>
        <v>0.13383297644539613</v>
      </c>
      <c r="Y37" s="12">
        <f t="shared" si="2"/>
        <v>15.939507494646682</v>
      </c>
      <c r="Z37" s="12">
        <f t="shared" si="3"/>
        <v>1833.712877413938</v>
      </c>
      <c r="AA37" s="12">
        <f t="shared" si="4"/>
        <v>292.28480152569591</v>
      </c>
      <c r="AB37" s="12">
        <f t="shared" si="5"/>
        <v>218.3952037</v>
      </c>
      <c r="AC37" s="12">
        <f t="shared" si="6"/>
        <v>10</v>
      </c>
      <c r="AE37" s="13"/>
      <c r="AF37" s="13"/>
    </row>
    <row r="38" spans="1:32">
      <c r="A38" s="8" t="s">
        <v>247</v>
      </c>
      <c r="B38" s="9" t="s">
        <v>41</v>
      </c>
      <c r="C38" s="9" t="s">
        <v>162</v>
      </c>
      <c r="D38" s="9" t="s">
        <v>248</v>
      </c>
      <c r="E38" s="9" t="s">
        <v>249</v>
      </c>
      <c r="F38" s="9" t="str">
        <f ca="1">IFERROR(__xludf.DUMMYFUNCTION("IFS(
  REGEXMATCH(LOWER(VLOOKUP(A38, Data1_Raw_Slack!A:B, 2, FALSE)), ""news|weather""), ""News and Weather"", REGEXMATCH(LOWER(VLOOKUP(A38, Data1_Raw_Slack!A:B, 2, FALSE)), ""sports|ufc|nba|nfl|mlb|soccer|sports fans""), ""Sports"",
  REGEXMATCH(LOWER(VL"&amp;"OOKUP(A38, Data1_Raw_Slack!A:B, 2, FALSE)), ""fashion|style|clothing|apparel|shoes|accessories|beauty|cosmetics|fashionistas""), ""Fashion and Beauty"",
  REGEXMATCH(LOWER(VLOOKUP(A38, Data1_Raw_Slack!A:B, 2, FALSE)), ""food|cooking|recipe|restaurant|snac"&amp;"k|grocery|foodies""), ""Food"",
  REGEXMATCH(LOWER(VLOOKUP(A38, Data1_Raw_Slack!A:B, 2, FALSE)), ""travel|vacation|airline|hotel|trip|flights|travelers""), ""Travel"",
  REGEXMATCH(LOWER(VLOOKUP(A38, Data1_Raw_Slack!A:B, 2, FALSE)), ""fitness|workout|gym|"&amp;"exercise|yoga|wellness|fitness enthusiasts""), ""Fitness"",
  REGEXMATCH(LOWER(VLOOKUP(A38, Data1_Raw_Slack!A:B, 2, FALSE)), ""health|medical|pharmacy|mental health|doctor|health-conscious""), ""Health"",
  REGEXMATCH(LOWER(VLOOKUP(A38, Data1_Raw_Slack!A:"&amp;"B, 2, FALSE)), ""pets|dogs|cats|animals|pet care|pet lovers""), ""Pets"",
  REGEXMATCH(LOWER(VLOOKUP(A38, Data1_Raw_Slack!A:B, 2, FALSE)), ""games|gaming|game|xbox|playstation|nintendo|gamers""), ""Gaming"",
  REGEXMATCH(LOWER(VLOOKUP(A38, Data1_Raw_Slack"&amp;"!A:B, 2, FALSE)), ""entertainment|movies|tv|netflix|streaming|celebrity|movie lovers|tv fans|hobb|photo|art""), ""Entertainment"",
  REGEXMATCH(LOWER(VLOOKUP(A38, Data1_Raw_Slack!A:B, 2, FALSE)), ""lifestyle|home|interior|decor|living|lifestyle enthusiast"&amp;"s""), ""Lifestyle"",
  REGEXMATCH(LOWER(VLOOKUP(A38, Data1_Raw_Slack!A:B, 2, FALSE)), ""financial|finance|investing|stocks|retirement|banking|credit|debt|loans|savings|personal finance|insurance|econ|ecom|business|retail|occupation|sale|job|marketing""), "&amp;"""Finance"",
  REGEXMATCH(LOWER(VLOOKUP(A38, Data1_Raw_Slack!A:B, 2, FALSE)), ""auto|automotive""), ""Auto"",
  REGEXMATCH(LOWER(VLOOKUP(A38, Data1_Raw_Slack!A:B, 2, FALSE)), ""parenting|moms|dads|kids|toddlers|baby|parent|children""), ""Parenting"",
 "&amp;" REGEXMATCH(LOWER(VLOOKUP(A38, Data1_Raw_Slack!A:B, 2, FALSE)), ""education|students|learning|school|teachers|college|university|academics""), ""Education"",
  REGEXMATCH(LOWER(VLOOKUP(A38, Data1_Raw_Slack!A:B, 2, FALSE)), ""age|gender|demographic|family|"&amp;"household""), ""Demographics"",
  REGEXMATCH(LOWER(VLOOKUP(A38, Data1_Raw_Slack!A:B, 2, FALSE)), ""mortgage|real estate""), ""Real Estate"",REGEXMATCH(LOWER(VLOOKUP(A38, Data1_Raw_Slack!A:B, 2, FALSE)), ""technology|tech|gadgets|smartphone|electro|apps|de"&amp;"vices|computing|ai|robots|software|computer|internet|tele|mobile|tablet""), ""Technology"", REGEXMATCH(LOWER(VLOOKUP(A38, Data1_Raw_Slack!A:B, 2, FALSE)), ""entertainment|purchas|movies|tv|netflix|streaming|celebrity|movie lovers|tv fans|media|hobb|photo|"&amp;"art|shop""), ""Entertainment"", REGEXMATCH(LOWER(VLOOKUP(A38, Data1_Raw_Slack!A:B, 2, FALSE)), ""law|government|""), ""Law and Government"",
  TRUE, ""Other""
)"),"Auto")</f>
        <v>Auto</v>
      </c>
      <c r="G38" s="9" t="s">
        <v>122</v>
      </c>
      <c r="H38" s="9" t="s">
        <v>44</v>
      </c>
      <c r="I38" s="9" t="s">
        <v>250</v>
      </c>
      <c r="J38" s="9" t="s">
        <v>46</v>
      </c>
      <c r="K38" s="9" t="s">
        <v>56</v>
      </c>
      <c r="L38" s="9" t="s">
        <v>57</v>
      </c>
      <c r="M38" s="10" t="s">
        <v>251</v>
      </c>
      <c r="N38" s="9" t="str">
        <f ca="1">IFERROR(__xludf.DUMMYFUNCTION("REGEXEXTRACT(LOWER(M38), ""([a-z0-9\-]+)\.(?:co|net|org|io|gg)"")"),"homeaddict")</f>
        <v>homeaddict</v>
      </c>
      <c r="O38" s="9" t="s">
        <v>103</v>
      </c>
      <c r="P38" s="9" t="s">
        <v>75</v>
      </c>
      <c r="Q38" s="9">
        <v>99205</v>
      </c>
      <c r="R38" s="9">
        <v>230</v>
      </c>
      <c r="S38" s="9">
        <v>49240</v>
      </c>
      <c r="T38" s="9">
        <v>72687</v>
      </c>
      <c r="U38" s="9">
        <v>21</v>
      </c>
      <c r="V38" s="11">
        <v>6185.0024860000003</v>
      </c>
      <c r="W38" s="12">
        <f t="shared" si="0"/>
        <v>294.52392790476193</v>
      </c>
      <c r="X38" s="12">
        <f t="shared" si="1"/>
        <v>0.23184315306688172</v>
      </c>
      <c r="Y38" s="12">
        <f t="shared" si="2"/>
        <v>49.634595030492413</v>
      </c>
      <c r="Z38" s="12">
        <f t="shared" si="3"/>
        <v>125.60931125101543</v>
      </c>
      <c r="AA38" s="12">
        <f t="shared" si="4"/>
        <v>62.34567296003226</v>
      </c>
      <c r="AB38" s="12">
        <f t="shared" si="5"/>
        <v>26.891315156521742</v>
      </c>
      <c r="AC38" s="12">
        <f t="shared" si="6"/>
        <v>9.1304347826086953</v>
      </c>
      <c r="AE38" s="13"/>
      <c r="AF38" s="13"/>
    </row>
    <row r="39" spans="1:32">
      <c r="A39" s="8" t="s">
        <v>252</v>
      </c>
      <c r="B39" s="9" t="s">
        <v>41</v>
      </c>
      <c r="C39" s="9" t="s">
        <v>253</v>
      </c>
      <c r="D39" s="9" t="s">
        <v>254</v>
      </c>
      <c r="E39" s="9" t="s">
        <v>255</v>
      </c>
      <c r="F39" s="9" t="str">
        <f ca="1">IFERROR(__xludf.DUMMYFUNCTION("IFS(
  REGEXMATCH(LOWER(VLOOKUP(A39, Data1_Raw_Slack!A:B, 2, FALSE)), ""news|weather""), ""News and Weather"", REGEXMATCH(LOWER(VLOOKUP(A39, Data1_Raw_Slack!A:B, 2, FALSE)), ""sports|ufc|nba|nfl|mlb|soccer|sports fans""), ""Sports"",
  REGEXMATCH(LOWER(VL"&amp;"OOKUP(A39, Data1_Raw_Slack!A:B, 2, FALSE)), ""fashion|style|clothing|apparel|shoes|accessories|beauty|cosmetics|fashionistas""), ""Fashion and Beauty"",
  REGEXMATCH(LOWER(VLOOKUP(A39, Data1_Raw_Slack!A:B, 2, FALSE)), ""food|cooking|recipe|restaurant|snac"&amp;"k|grocery|foodies""), ""Food"",
  REGEXMATCH(LOWER(VLOOKUP(A39, Data1_Raw_Slack!A:B, 2, FALSE)), ""travel|vacation|airline|hotel|trip|flights|travelers""), ""Travel"",
  REGEXMATCH(LOWER(VLOOKUP(A39, Data1_Raw_Slack!A:B, 2, FALSE)), ""fitness|workout|gym|"&amp;"exercise|yoga|wellness|fitness enthusiasts""), ""Fitness"",
  REGEXMATCH(LOWER(VLOOKUP(A39, Data1_Raw_Slack!A:B, 2, FALSE)), ""health|medical|pharmacy|mental health|doctor|health-conscious""), ""Health"",
  REGEXMATCH(LOWER(VLOOKUP(A39, Data1_Raw_Slack!A:"&amp;"B, 2, FALSE)), ""pets|dogs|cats|animals|pet care|pet lovers""), ""Pets"",
  REGEXMATCH(LOWER(VLOOKUP(A39, Data1_Raw_Slack!A:B, 2, FALSE)), ""games|gaming|game|xbox|playstation|nintendo|gamers""), ""Gaming"",
  REGEXMATCH(LOWER(VLOOKUP(A39, Data1_Raw_Slack"&amp;"!A:B, 2, FALSE)), ""entertainment|movies|tv|netflix|streaming|celebrity|movie lovers|tv fans|hobb|photo|art""), ""Entertainment"",
  REGEXMATCH(LOWER(VLOOKUP(A39, Data1_Raw_Slack!A:B, 2, FALSE)), ""lifestyle|home|interior|decor|living|lifestyle enthusiast"&amp;"s""), ""Lifestyle"",
  REGEXMATCH(LOWER(VLOOKUP(A39, Data1_Raw_Slack!A:B, 2, FALSE)), ""financial|finance|investing|stocks|retirement|banking|credit|debt|loans|savings|personal finance|insurance|econ|ecom|business|retail|occupation|sale|job|marketing""), "&amp;"""Finance"",
  REGEXMATCH(LOWER(VLOOKUP(A39, Data1_Raw_Slack!A:B, 2, FALSE)), ""auto|automotive""), ""Auto"",
  REGEXMATCH(LOWER(VLOOKUP(A39, Data1_Raw_Slack!A:B, 2, FALSE)), ""parenting|moms|dads|kids|toddlers|baby|parent|children""), ""Parenting"",
 "&amp;" REGEXMATCH(LOWER(VLOOKUP(A39, Data1_Raw_Slack!A:B, 2, FALSE)), ""education|students|learning|school|teachers|college|university|academics""), ""Education"",
  REGEXMATCH(LOWER(VLOOKUP(A39, Data1_Raw_Slack!A:B, 2, FALSE)), ""age|gender|demographic|family|"&amp;"household""), ""Demographics"",
  REGEXMATCH(LOWER(VLOOKUP(A39, Data1_Raw_Slack!A:B, 2, FALSE)), ""mortgage|real estate""), ""Real Estate"",REGEXMATCH(LOWER(VLOOKUP(A39, Data1_Raw_Slack!A:B, 2, FALSE)), ""technology|tech|gadgets|smartphone|electro|apps|de"&amp;"vices|computing|ai|robots|software|computer|internet|tele|mobile|tablet""), ""Technology"", REGEXMATCH(LOWER(VLOOKUP(A39, Data1_Raw_Slack!A:B, 2, FALSE)), ""entertainment|purchas|movies|tv|netflix|streaming|celebrity|movie lovers|tv fans|media|hobb|photo|"&amp;"art|shop""), ""Entertainment"", REGEXMATCH(LOWER(VLOOKUP(A39, Data1_Raw_Slack!A:B, 2, FALSE)), ""law|government|""), ""Law and Government"",
  TRUE, ""Other""
)"),"Entertainment")</f>
        <v>Entertainment</v>
      </c>
      <c r="G39" s="9"/>
      <c r="H39" s="9" t="s">
        <v>44</v>
      </c>
      <c r="I39" s="9" t="s">
        <v>256</v>
      </c>
      <c r="J39" s="9" t="s">
        <v>46</v>
      </c>
      <c r="K39" s="9" t="s">
        <v>236</v>
      </c>
      <c r="L39" s="9" t="s">
        <v>82</v>
      </c>
      <c r="M39" s="10" t="s">
        <v>257</v>
      </c>
      <c r="N39" s="9" t="str">
        <f ca="1">IFERROR(__xludf.DUMMYFUNCTION("REGEXEXTRACT(LOWER(M39), ""([a-z0-9\-]+)\.(?:co|net|org|io|gg)"")"),"gameofglam")</f>
        <v>gameofglam</v>
      </c>
      <c r="O39" s="9" t="s">
        <v>103</v>
      </c>
      <c r="P39" s="9" t="s">
        <v>39</v>
      </c>
      <c r="Q39" s="9">
        <v>11681</v>
      </c>
      <c r="R39" s="9">
        <v>88</v>
      </c>
      <c r="S39" s="9">
        <v>4713</v>
      </c>
      <c r="T39" s="9">
        <v>8230</v>
      </c>
      <c r="U39" s="9">
        <v>4</v>
      </c>
      <c r="V39" s="11">
        <v>5216.6488790000003</v>
      </c>
      <c r="W39" s="12">
        <f t="shared" si="0"/>
        <v>1304.1622197500001</v>
      </c>
      <c r="X39" s="12">
        <f t="shared" si="1"/>
        <v>0.75336015752076024</v>
      </c>
      <c r="Y39" s="12">
        <f t="shared" si="2"/>
        <v>40.347572981765261</v>
      </c>
      <c r="Z39" s="12">
        <f t="shared" si="3"/>
        <v>1106.8637553575218</v>
      </c>
      <c r="AA39" s="12">
        <f t="shared" si="4"/>
        <v>446.59266150158379</v>
      </c>
      <c r="AB39" s="12">
        <f t="shared" si="5"/>
        <v>59.280100897727273</v>
      </c>
      <c r="AC39" s="12">
        <f t="shared" si="6"/>
        <v>4.5454545454545459</v>
      </c>
      <c r="AE39" s="13"/>
      <c r="AF39" s="13"/>
    </row>
    <row r="40" spans="1:32">
      <c r="A40" s="8" t="s">
        <v>258</v>
      </c>
      <c r="B40" s="9" t="s">
        <v>41</v>
      </c>
      <c r="C40" s="9" t="s">
        <v>209</v>
      </c>
      <c r="D40" s="9" t="s">
        <v>259</v>
      </c>
      <c r="E40" s="9"/>
      <c r="F40" s="9" t="str">
        <f ca="1">IFERROR(__xludf.DUMMYFUNCTION("IFS(
  REGEXMATCH(LOWER(VLOOKUP(A40, Data1_Raw_Slack!A:B, 2, FALSE)), ""news|weather""), ""News and Weather"", REGEXMATCH(LOWER(VLOOKUP(A40, Data1_Raw_Slack!A:B, 2, FALSE)), ""sports|ufc|nba|nfl|mlb|soccer|sports fans""), ""Sports"",
  REGEXMATCH(LOWER(VL"&amp;"OOKUP(A40, Data1_Raw_Slack!A:B, 2, FALSE)), ""fashion|style|clothing|apparel|shoes|accessories|beauty|cosmetics|fashionistas""), ""Fashion and Beauty"",
  REGEXMATCH(LOWER(VLOOKUP(A40, Data1_Raw_Slack!A:B, 2, FALSE)), ""food|cooking|recipe|restaurant|snac"&amp;"k|grocery|foodies""), ""Food"",
  REGEXMATCH(LOWER(VLOOKUP(A40, Data1_Raw_Slack!A:B, 2, FALSE)), ""travel|vacation|airline|hotel|trip|flights|travelers""), ""Travel"",
  REGEXMATCH(LOWER(VLOOKUP(A40, Data1_Raw_Slack!A:B, 2, FALSE)), ""fitness|workout|gym|"&amp;"exercise|yoga|wellness|fitness enthusiasts""), ""Fitness"",
  REGEXMATCH(LOWER(VLOOKUP(A40, Data1_Raw_Slack!A:B, 2, FALSE)), ""health|medical|pharmacy|mental health|doctor|health-conscious""), ""Health"",
  REGEXMATCH(LOWER(VLOOKUP(A40, Data1_Raw_Slack!A:"&amp;"B, 2, FALSE)), ""pets|dogs|cats|animals|pet care|pet lovers""), ""Pets"",
  REGEXMATCH(LOWER(VLOOKUP(A40, Data1_Raw_Slack!A:B, 2, FALSE)), ""games|gaming|game|xbox|playstation|nintendo|gamers""), ""Gaming"",
  REGEXMATCH(LOWER(VLOOKUP(A40, Data1_Raw_Slack"&amp;"!A:B, 2, FALSE)), ""entertainment|movies|tv|netflix|streaming|celebrity|movie lovers|tv fans|hobb|photo|art""), ""Entertainment"",
  REGEXMATCH(LOWER(VLOOKUP(A40, Data1_Raw_Slack!A:B, 2, FALSE)), ""lifestyle|home|interior|decor|living|lifestyle enthusiast"&amp;"s""), ""Lifestyle"",
  REGEXMATCH(LOWER(VLOOKUP(A40, Data1_Raw_Slack!A:B, 2, FALSE)), ""financial|finance|investing|stocks|retirement|banking|credit|debt|loans|savings|personal finance|insurance|econ|ecom|business|retail|occupation|sale|job|marketing""), "&amp;"""Finance"",
  REGEXMATCH(LOWER(VLOOKUP(A40, Data1_Raw_Slack!A:B, 2, FALSE)), ""auto|automotive""), ""Auto"",
  REGEXMATCH(LOWER(VLOOKUP(A40, Data1_Raw_Slack!A:B, 2, FALSE)), ""parenting|moms|dads|kids|toddlers|baby|parent|children""), ""Parenting"",
 "&amp;" REGEXMATCH(LOWER(VLOOKUP(A40, Data1_Raw_Slack!A:B, 2, FALSE)), ""education|students|learning|school|teachers|college|university|academics""), ""Education"",
  REGEXMATCH(LOWER(VLOOKUP(A40, Data1_Raw_Slack!A:B, 2, FALSE)), ""age|gender|demographic|family|"&amp;"household""), ""Demographics"",
  REGEXMATCH(LOWER(VLOOKUP(A40, Data1_Raw_Slack!A:B, 2, FALSE)), ""mortgage|real estate""), ""Real Estate"",REGEXMATCH(LOWER(VLOOKUP(A40, Data1_Raw_Slack!A:B, 2, FALSE)), ""technology|tech|gadgets|smartphone|electro|apps|de"&amp;"vices|computing|ai|robots|software|computer|internet|tele|mobile|tablet""), ""Technology"", REGEXMATCH(LOWER(VLOOKUP(A40, Data1_Raw_Slack!A:B, 2, FALSE)), ""entertainment|purchas|movies|tv|netflix|streaming|celebrity|movie lovers|tv fans|media|hobb|photo|"&amp;"art|shop""), ""Entertainment"", REGEXMATCH(LOWER(VLOOKUP(A40, Data1_Raw_Slack!A:B, 2, FALSE)), ""law|government|""), ""Law and Government"",
  TRUE, ""Other""
)"),"Finance")</f>
        <v>Finance</v>
      </c>
      <c r="G40" s="9" t="s">
        <v>209</v>
      </c>
      <c r="H40" s="9" t="s">
        <v>44</v>
      </c>
      <c r="I40" s="9" t="s">
        <v>260</v>
      </c>
      <c r="J40" s="9" t="s">
        <v>62</v>
      </c>
      <c r="K40" s="9" t="s">
        <v>88</v>
      </c>
      <c r="L40" s="9" t="s">
        <v>89</v>
      </c>
      <c r="M40" s="10" t="s">
        <v>112</v>
      </c>
      <c r="N40" s="9" t="str">
        <f ca="1">IFERROR(__xludf.DUMMYFUNCTION("REGEXEXTRACT(LOWER(M40), ""([a-z0-9\-]+)\.(?:co|net|org|io|gg)"")"),"ebay")</f>
        <v>ebay</v>
      </c>
      <c r="O40" s="9" t="s">
        <v>50</v>
      </c>
      <c r="P40" s="9" t="s">
        <v>75</v>
      </c>
      <c r="Q40" s="9">
        <v>39163</v>
      </c>
      <c r="R40" s="9">
        <v>113</v>
      </c>
      <c r="S40" s="9">
        <v>16254</v>
      </c>
      <c r="T40" s="9">
        <v>36526</v>
      </c>
      <c r="U40" s="9">
        <v>15</v>
      </c>
      <c r="V40" s="11">
        <v>5692.765813</v>
      </c>
      <c r="W40" s="12">
        <f t="shared" si="0"/>
        <v>379.51772086666665</v>
      </c>
      <c r="X40" s="12">
        <f t="shared" si="1"/>
        <v>0.28853765033322271</v>
      </c>
      <c r="Y40" s="12">
        <f t="shared" si="2"/>
        <v>41.503459898373464</v>
      </c>
      <c r="Z40" s="12">
        <f t="shared" si="3"/>
        <v>350.23783763996551</v>
      </c>
      <c r="AA40" s="12">
        <f t="shared" si="4"/>
        <v>145.36082049383347</v>
      </c>
      <c r="AB40" s="12">
        <f t="shared" si="5"/>
        <v>50.378458522123893</v>
      </c>
      <c r="AC40" s="12">
        <f t="shared" si="6"/>
        <v>13.274336283185843</v>
      </c>
      <c r="AE40" s="13"/>
      <c r="AF40" s="13"/>
    </row>
    <row r="41" spans="1:32">
      <c r="A41" s="8" t="s">
        <v>261</v>
      </c>
      <c r="B41" s="9"/>
      <c r="C41" s="9" t="s">
        <v>262</v>
      </c>
      <c r="D41" s="9"/>
      <c r="E41" s="9"/>
      <c r="F41" s="9" t="str">
        <f ca="1">IFERROR(__xludf.DUMMYFUNCTION("IFS(
  REGEXMATCH(LOWER(VLOOKUP(A41, Data1_Raw_Slack!A:B, 2, FALSE)), ""news|weather""), ""News and Weather"", REGEXMATCH(LOWER(VLOOKUP(A41, Data1_Raw_Slack!A:B, 2, FALSE)), ""sports|ufc|nba|nfl|mlb|soccer|sports fans""), ""Sports"",
  REGEXMATCH(LOWER(VL"&amp;"OOKUP(A41, Data1_Raw_Slack!A:B, 2, FALSE)), ""fashion|style|clothing|apparel|shoes|accessories|beauty|cosmetics|fashionistas""), ""Fashion and Beauty"",
  REGEXMATCH(LOWER(VLOOKUP(A41, Data1_Raw_Slack!A:B, 2, FALSE)), ""food|cooking|recipe|restaurant|snac"&amp;"k|grocery|foodies""), ""Food"",
  REGEXMATCH(LOWER(VLOOKUP(A41, Data1_Raw_Slack!A:B, 2, FALSE)), ""travel|vacation|airline|hotel|trip|flights|travelers""), ""Travel"",
  REGEXMATCH(LOWER(VLOOKUP(A41, Data1_Raw_Slack!A:B, 2, FALSE)), ""fitness|workout|gym|"&amp;"exercise|yoga|wellness|fitness enthusiasts""), ""Fitness"",
  REGEXMATCH(LOWER(VLOOKUP(A41, Data1_Raw_Slack!A:B, 2, FALSE)), ""health|medical|pharmacy|mental health|doctor|health-conscious""), ""Health"",
  REGEXMATCH(LOWER(VLOOKUP(A41, Data1_Raw_Slack!A:"&amp;"B, 2, FALSE)), ""pets|dogs|cats|animals|pet care|pet lovers""), ""Pets"",
  REGEXMATCH(LOWER(VLOOKUP(A41, Data1_Raw_Slack!A:B, 2, FALSE)), ""games|gaming|game|xbox|playstation|nintendo|gamers""), ""Gaming"",
  REGEXMATCH(LOWER(VLOOKUP(A41, Data1_Raw_Slack"&amp;"!A:B, 2, FALSE)), ""entertainment|movies|tv|netflix|streaming|celebrity|movie lovers|tv fans|hobb|photo|art""), ""Entertainment"",
  REGEXMATCH(LOWER(VLOOKUP(A41, Data1_Raw_Slack!A:B, 2, FALSE)), ""lifestyle|home|interior|decor|living|lifestyle enthusiast"&amp;"s""), ""Lifestyle"",
  REGEXMATCH(LOWER(VLOOKUP(A41, Data1_Raw_Slack!A:B, 2, FALSE)), ""financial|finance|investing|stocks|retirement|banking|credit|debt|loans|savings|personal finance|insurance|econ|ecom|business|retail|occupation|sale|job|marketing""), "&amp;"""Finance"",
  REGEXMATCH(LOWER(VLOOKUP(A41, Data1_Raw_Slack!A:B, 2, FALSE)), ""auto|automotive""), ""Auto"",
  REGEXMATCH(LOWER(VLOOKUP(A41, Data1_Raw_Slack!A:B, 2, FALSE)), ""parenting|moms|dads|kids|toddlers|baby|parent|children""), ""Parenting"",
 "&amp;" REGEXMATCH(LOWER(VLOOKUP(A41, Data1_Raw_Slack!A:B, 2, FALSE)), ""education|students|learning|school|teachers|college|university|academics""), ""Education"",
  REGEXMATCH(LOWER(VLOOKUP(A41, Data1_Raw_Slack!A:B, 2, FALSE)), ""age|gender|demographic|family|"&amp;"household""), ""Demographics"",
  REGEXMATCH(LOWER(VLOOKUP(A41, Data1_Raw_Slack!A:B, 2, FALSE)), ""mortgage|real estate""), ""Real Estate"",REGEXMATCH(LOWER(VLOOKUP(A41, Data1_Raw_Slack!A:B, 2, FALSE)), ""technology|tech|gadgets|smartphone|electro|apps|de"&amp;"vices|computing|ai|robots|software|computer|internet|tele|mobile|tablet""), ""Technology"", REGEXMATCH(LOWER(VLOOKUP(A41, Data1_Raw_Slack!A:B, 2, FALSE)), ""entertainment|purchas|movies|tv|netflix|streaming|celebrity|movie lovers|tv fans|media|hobb|photo|"&amp;"art|shop""), ""Entertainment"", REGEXMATCH(LOWER(VLOOKUP(A41, Data1_Raw_Slack!A:B, 2, FALSE)), ""law|government|""), ""Law and Government"",
  TRUE, ""Other""
)"),"Finance")</f>
        <v>Finance</v>
      </c>
      <c r="G41" s="9"/>
      <c r="H41" s="9" t="s">
        <v>32</v>
      </c>
      <c r="I41" s="9" t="s">
        <v>263</v>
      </c>
      <c r="J41" s="9" t="s">
        <v>46</v>
      </c>
      <c r="K41" s="9" t="s">
        <v>264</v>
      </c>
      <c r="L41" s="9" t="s">
        <v>265</v>
      </c>
      <c r="M41" s="10" t="s">
        <v>130</v>
      </c>
      <c r="N41" s="9" t="str">
        <f ca="1">IFERROR(__xludf.DUMMYFUNCTION("REGEXEXTRACT(LOWER(M41), ""([a-z0-9\-]+)\.(?:co|net|org|io|gg)"")"),"weather")</f>
        <v>weather</v>
      </c>
      <c r="O41" s="9" t="s">
        <v>74</v>
      </c>
      <c r="P41" s="9" t="s">
        <v>39</v>
      </c>
      <c r="Q41" s="9">
        <v>239164</v>
      </c>
      <c r="R41" s="9">
        <v>699</v>
      </c>
      <c r="S41" s="9">
        <v>86250</v>
      </c>
      <c r="T41" s="9">
        <v>198209</v>
      </c>
      <c r="U41" s="9">
        <v>41</v>
      </c>
      <c r="V41" s="11">
        <v>2819.935266</v>
      </c>
      <c r="W41" s="12">
        <f t="shared" si="0"/>
        <v>68.778908926829274</v>
      </c>
      <c r="X41" s="12">
        <f t="shared" si="1"/>
        <v>0.29226806710039971</v>
      </c>
      <c r="Y41" s="12">
        <f t="shared" si="2"/>
        <v>36.063119867538589</v>
      </c>
      <c r="Z41" s="12">
        <f t="shared" si="3"/>
        <v>32.69490163478261</v>
      </c>
      <c r="AA41" s="12">
        <f t="shared" si="4"/>
        <v>11.790801567125488</v>
      </c>
      <c r="AB41" s="12">
        <f t="shared" si="5"/>
        <v>4.0342421545064377</v>
      </c>
      <c r="AC41" s="12">
        <f t="shared" si="6"/>
        <v>5.8655221745350508</v>
      </c>
      <c r="AE41" s="13"/>
      <c r="AF41" s="13"/>
    </row>
    <row r="42" spans="1:32">
      <c r="A42" s="8" t="s">
        <v>266</v>
      </c>
      <c r="B42" s="9" t="s">
        <v>41</v>
      </c>
      <c r="C42" s="9" t="s">
        <v>193</v>
      </c>
      <c r="D42" s="9" t="s">
        <v>267</v>
      </c>
      <c r="E42" s="9" t="s">
        <v>268</v>
      </c>
      <c r="F42" s="9" t="str">
        <f ca="1">IFERROR(__xludf.DUMMYFUNCTION("IFS(
  REGEXMATCH(LOWER(VLOOKUP(A42, Data1_Raw_Slack!A:B, 2, FALSE)), ""news|weather""), ""News and Weather"", REGEXMATCH(LOWER(VLOOKUP(A42, Data1_Raw_Slack!A:B, 2, FALSE)), ""sports|ufc|nba|nfl|mlb|soccer|sports fans""), ""Sports"",
  REGEXMATCH(LOWER(VL"&amp;"OOKUP(A42, Data1_Raw_Slack!A:B, 2, FALSE)), ""fashion|style|clothing|apparel|shoes|accessories|beauty|cosmetics|fashionistas""), ""Fashion and Beauty"",
  REGEXMATCH(LOWER(VLOOKUP(A42, Data1_Raw_Slack!A:B, 2, FALSE)), ""food|cooking|recipe|restaurant|snac"&amp;"k|grocery|foodies""), ""Food"",
  REGEXMATCH(LOWER(VLOOKUP(A42, Data1_Raw_Slack!A:B, 2, FALSE)), ""travel|vacation|airline|hotel|trip|flights|travelers""), ""Travel"",
  REGEXMATCH(LOWER(VLOOKUP(A42, Data1_Raw_Slack!A:B, 2, FALSE)), ""fitness|workout|gym|"&amp;"exercise|yoga|wellness|fitness enthusiasts""), ""Fitness"",
  REGEXMATCH(LOWER(VLOOKUP(A42, Data1_Raw_Slack!A:B, 2, FALSE)), ""health|medical|pharmacy|mental health|doctor|health-conscious""), ""Health"",
  REGEXMATCH(LOWER(VLOOKUP(A42, Data1_Raw_Slack!A:"&amp;"B, 2, FALSE)), ""pets|dogs|cats|animals|pet care|pet lovers""), ""Pets"",
  REGEXMATCH(LOWER(VLOOKUP(A42, Data1_Raw_Slack!A:B, 2, FALSE)), ""games|gaming|game|xbox|playstation|nintendo|gamers""), ""Gaming"",
  REGEXMATCH(LOWER(VLOOKUP(A42, Data1_Raw_Slack"&amp;"!A:B, 2, FALSE)), ""entertainment|movies|tv|netflix|streaming|celebrity|movie lovers|tv fans|hobb|photo|art""), ""Entertainment"",
  REGEXMATCH(LOWER(VLOOKUP(A42, Data1_Raw_Slack!A:B, 2, FALSE)), ""lifestyle|home|interior|decor|living|lifestyle enthusiast"&amp;"s""), ""Lifestyle"",
  REGEXMATCH(LOWER(VLOOKUP(A42, Data1_Raw_Slack!A:B, 2, FALSE)), ""financial|finance|investing|stocks|retirement|banking|credit|debt|loans|savings|personal finance|insurance|econ|ecom|business|retail|occupation|sale|job|marketing""), "&amp;"""Finance"",
  REGEXMATCH(LOWER(VLOOKUP(A42, Data1_Raw_Slack!A:B, 2, FALSE)), ""auto|automotive""), ""Auto"",
  REGEXMATCH(LOWER(VLOOKUP(A42, Data1_Raw_Slack!A:B, 2, FALSE)), ""parenting|moms|dads|kids|toddlers|baby|parent|children""), ""Parenting"",
 "&amp;" REGEXMATCH(LOWER(VLOOKUP(A42, Data1_Raw_Slack!A:B, 2, FALSE)), ""education|students|learning|school|teachers|college|university|academics""), ""Education"",
  REGEXMATCH(LOWER(VLOOKUP(A42, Data1_Raw_Slack!A:B, 2, FALSE)), ""age|gender|demographic|family|"&amp;"household""), ""Demographics"",
  REGEXMATCH(LOWER(VLOOKUP(A42, Data1_Raw_Slack!A:B, 2, FALSE)), ""mortgage|real estate""), ""Real Estate"",REGEXMATCH(LOWER(VLOOKUP(A42, Data1_Raw_Slack!A:B, 2, FALSE)), ""technology|tech|gadgets|smartphone|electro|apps|de"&amp;"vices|computing|ai|robots|software|computer|internet|tele|mobile|tablet""), ""Technology"", REGEXMATCH(LOWER(VLOOKUP(A42, Data1_Raw_Slack!A:B, 2, FALSE)), ""entertainment|purchas|movies|tv|netflix|streaming|celebrity|movie lovers|tv fans|media|hobb|photo|"&amp;"art|shop""), ""Entertainment"", REGEXMATCH(LOWER(VLOOKUP(A42, Data1_Raw_Slack!A:B, 2, FALSE)), ""law|government|""), ""Law and Government"",
  TRUE, ""Other""
)"),"Entertainment")</f>
        <v>Entertainment</v>
      </c>
      <c r="G42" s="9" t="s">
        <v>69</v>
      </c>
      <c r="H42" s="9" t="s">
        <v>44</v>
      </c>
      <c r="I42" s="9" t="s">
        <v>269</v>
      </c>
      <c r="J42" s="9" t="s">
        <v>80</v>
      </c>
      <c r="K42" s="9" t="s">
        <v>148</v>
      </c>
      <c r="L42" s="9" t="s">
        <v>89</v>
      </c>
      <c r="M42" s="10" t="s">
        <v>202</v>
      </c>
      <c r="N42" s="9" t="str">
        <f ca="1">IFERROR(__xludf.DUMMYFUNCTION("REGEXEXTRACT(LOWER(M42), ""([a-z0-9\-]+)\.(?:co|net|org|io|gg)"")"),"zillow")</f>
        <v>zillow</v>
      </c>
      <c r="O42" s="9" t="s">
        <v>50</v>
      </c>
      <c r="P42" s="9" t="s">
        <v>64</v>
      </c>
      <c r="Q42" s="9">
        <v>20833</v>
      </c>
      <c r="R42" s="9">
        <v>87</v>
      </c>
      <c r="S42" s="9">
        <v>1777</v>
      </c>
      <c r="T42" s="9">
        <v>17211</v>
      </c>
      <c r="U42" s="9">
        <v>9</v>
      </c>
      <c r="V42" s="11">
        <v>5542.5121810000001</v>
      </c>
      <c r="W42" s="12">
        <f t="shared" si="0"/>
        <v>615.83468677777773</v>
      </c>
      <c r="X42" s="12">
        <f t="shared" si="1"/>
        <v>0.41760668170690729</v>
      </c>
      <c r="Y42" s="12">
        <f t="shared" si="2"/>
        <v>8.5297364757836132</v>
      </c>
      <c r="Z42" s="12">
        <f t="shared" si="3"/>
        <v>3119.0276764209343</v>
      </c>
      <c r="AA42" s="12">
        <f t="shared" si="4"/>
        <v>266.04484140546248</v>
      </c>
      <c r="AB42" s="12">
        <f t="shared" si="5"/>
        <v>63.707036563218388</v>
      </c>
      <c r="AC42" s="12">
        <f t="shared" si="6"/>
        <v>10.344827586206897</v>
      </c>
      <c r="AE42" s="13"/>
      <c r="AF42" s="13"/>
    </row>
    <row r="43" spans="1:32">
      <c r="A43" s="8" t="s">
        <v>270</v>
      </c>
      <c r="B43" s="9" t="s">
        <v>67</v>
      </c>
      <c r="C43" s="9" t="s">
        <v>271</v>
      </c>
      <c r="D43" s="9" t="s">
        <v>272</v>
      </c>
      <c r="E43" s="9"/>
      <c r="F43" s="9" t="str">
        <f ca="1">IFERROR(__xludf.DUMMYFUNCTION("IFS(
  REGEXMATCH(LOWER(VLOOKUP(A43, Data1_Raw_Slack!A:B, 2, FALSE)), ""news|weather""), ""News and Weather"", REGEXMATCH(LOWER(VLOOKUP(A43, Data1_Raw_Slack!A:B, 2, FALSE)), ""sports|ufc|nba|nfl|mlb|soccer|sports fans""), ""Sports"",
  REGEXMATCH(LOWER(VL"&amp;"OOKUP(A43, Data1_Raw_Slack!A:B, 2, FALSE)), ""fashion|style|clothing|apparel|shoes|accessories|beauty|cosmetics|fashionistas""), ""Fashion and Beauty"",
  REGEXMATCH(LOWER(VLOOKUP(A43, Data1_Raw_Slack!A:B, 2, FALSE)), ""food|cooking|recipe|restaurant|snac"&amp;"k|grocery|foodies""), ""Food"",
  REGEXMATCH(LOWER(VLOOKUP(A43, Data1_Raw_Slack!A:B, 2, FALSE)), ""travel|vacation|airline|hotel|trip|flights|travelers""), ""Travel"",
  REGEXMATCH(LOWER(VLOOKUP(A43, Data1_Raw_Slack!A:B, 2, FALSE)), ""fitness|workout|gym|"&amp;"exercise|yoga|wellness|fitness enthusiasts""), ""Fitness"",
  REGEXMATCH(LOWER(VLOOKUP(A43, Data1_Raw_Slack!A:B, 2, FALSE)), ""health|medical|pharmacy|mental health|doctor|health-conscious""), ""Health"",
  REGEXMATCH(LOWER(VLOOKUP(A43, Data1_Raw_Slack!A:"&amp;"B, 2, FALSE)), ""pets|dogs|cats|animals|pet care|pet lovers""), ""Pets"",
  REGEXMATCH(LOWER(VLOOKUP(A43, Data1_Raw_Slack!A:B, 2, FALSE)), ""games|gaming|game|xbox|playstation|nintendo|gamers""), ""Gaming"",
  REGEXMATCH(LOWER(VLOOKUP(A43, Data1_Raw_Slack"&amp;"!A:B, 2, FALSE)), ""entertainment|movies|tv|netflix|streaming|celebrity|movie lovers|tv fans|hobb|photo|art""), ""Entertainment"",
  REGEXMATCH(LOWER(VLOOKUP(A43, Data1_Raw_Slack!A:B, 2, FALSE)), ""lifestyle|home|interior|decor|living|lifestyle enthusiast"&amp;"s""), ""Lifestyle"",
  REGEXMATCH(LOWER(VLOOKUP(A43, Data1_Raw_Slack!A:B, 2, FALSE)), ""financial|finance|investing|stocks|retirement|banking|credit|debt|loans|savings|personal finance|insurance|econ|ecom|business|retail|occupation|sale|job|marketing""), "&amp;"""Finance"",
  REGEXMATCH(LOWER(VLOOKUP(A43, Data1_Raw_Slack!A:B, 2, FALSE)), ""auto|automotive""), ""Auto"",
  REGEXMATCH(LOWER(VLOOKUP(A43, Data1_Raw_Slack!A:B, 2, FALSE)), ""parenting|moms|dads|kids|toddlers|baby|parent|children""), ""Parenting"",
 "&amp;" REGEXMATCH(LOWER(VLOOKUP(A43, Data1_Raw_Slack!A:B, 2, FALSE)), ""education|students|learning|school|teachers|college|university|academics""), ""Education"",
  REGEXMATCH(LOWER(VLOOKUP(A43, Data1_Raw_Slack!A:B, 2, FALSE)), ""age|gender|demographic|family|"&amp;"household""), ""Demographics"",
  REGEXMATCH(LOWER(VLOOKUP(A43, Data1_Raw_Slack!A:B, 2, FALSE)), ""mortgage|real estate""), ""Real Estate"",REGEXMATCH(LOWER(VLOOKUP(A43, Data1_Raw_Slack!A:B, 2, FALSE)), ""technology|tech|gadgets|smartphone|electro|apps|de"&amp;"vices|computing|ai|robots|software|computer|internet|tele|mobile|tablet""), ""Technology"", REGEXMATCH(LOWER(VLOOKUP(A43, Data1_Raw_Slack!A:B, 2, FALSE)), ""entertainment|purchas|movies|tv|netflix|streaming|celebrity|movie lovers|tv fans|media|hobb|photo|"&amp;"art|shop""), ""Entertainment"", REGEXMATCH(LOWER(VLOOKUP(A43, Data1_Raw_Slack!A:B, 2, FALSE)), ""law|government|""), ""Law and Government"",
  TRUE, ""Other""
)"),"News and Weather")</f>
        <v>News and Weather</v>
      </c>
      <c r="G43" s="9"/>
      <c r="H43" s="9" t="s">
        <v>32</v>
      </c>
      <c r="I43" s="9" t="s">
        <v>273</v>
      </c>
      <c r="J43" s="9" t="s">
        <v>34</v>
      </c>
      <c r="K43" s="9" t="s">
        <v>274</v>
      </c>
      <c r="L43" s="9" t="s">
        <v>48</v>
      </c>
      <c r="M43" s="10" t="s">
        <v>275</v>
      </c>
      <c r="N43" s="9" t="str">
        <f ca="1">IFERROR(__xludf.DUMMYFUNCTION("REGEXEXTRACT(LOWER(M43), ""([a-z0-9\-]+)\.(?:co|net|org|io|gg)"")"),"newsharper")</f>
        <v>newsharper</v>
      </c>
      <c r="O43" s="9" t="s">
        <v>118</v>
      </c>
      <c r="P43" s="9" t="s">
        <v>39</v>
      </c>
      <c r="Q43" s="9">
        <v>16288</v>
      </c>
      <c r="R43" s="9">
        <v>56</v>
      </c>
      <c r="S43" s="9">
        <v>5304</v>
      </c>
      <c r="T43" s="9">
        <v>10731</v>
      </c>
      <c r="U43" s="9">
        <v>3</v>
      </c>
      <c r="V43" s="11">
        <v>2030.142709</v>
      </c>
      <c r="W43" s="12">
        <f t="shared" si="0"/>
        <v>676.71423633333336</v>
      </c>
      <c r="X43" s="12">
        <f t="shared" si="1"/>
        <v>0.34381139489194501</v>
      </c>
      <c r="Y43" s="12">
        <f t="shared" si="2"/>
        <v>32.563850687622789</v>
      </c>
      <c r="Z43" s="12">
        <f t="shared" si="3"/>
        <v>382.75692100301654</v>
      </c>
      <c r="AA43" s="12">
        <f t="shared" si="4"/>
        <v>124.64039225196463</v>
      </c>
      <c r="AB43" s="12">
        <f t="shared" si="5"/>
        <v>36.252548374999996</v>
      </c>
      <c r="AC43" s="12">
        <f t="shared" si="6"/>
        <v>5.3571428571428568</v>
      </c>
      <c r="AE43" s="13"/>
      <c r="AF43" s="13"/>
    </row>
    <row r="44" spans="1:32">
      <c r="A44" s="8" t="s">
        <v>276</v>
      </c>
      <c r="B44" s="9" t="s">
        <v>92</v>
      </c>
      <c r="C44" s="9" t="s">
        <v>178</v>
      </c>
      <c r="D44" s="9" t="s">
        <v>277</v>
      </c>
      <c r="E44" s="9"/>
      <c r="F44" s="9" t="str">
        <f ca="1">IFERROR(__xludf.DUMMYFUNCTION("IFS(
  REGEXMATCH(LOWER(VLOOKUP(A44, Data1_Raw_Slack!A:B, 2, FALSE)), ""news|weather""), ""News and Weather"", REGEXMATCH(LOWER(VLOOKUP(A44, Data1_Raw_Slack!A:B, 2, FALSE)), ""sports|ufc|nba|nfl|mlb|soccer|sports fans""), ""Sports"",
  REGEXMATCH(LOWER(VL"&amp;"OOKUP(A44, Data1_Raw_Slack!A:B, 2, FALSE)), ""fashion|style|clothing|apparel|shoes|accessories|beauty|cosmetics|fashionistas""), ""Fashion and Beauty"",
  REGEXMATCH(LOWER(VLOOKUP(A44, Data1_Raw_Slack!A:B, 2, FALSE)), ""food|cooking|recipe|restaurant|snac"&amp;"k|grocery|foodies""), ""Food"",
  REGEXMATCH(LOWER(VLOOKUP(A44, Data1_Raw_Slack!A:B, 2, FALSE)), ""travel|vacation|airline|hotel|trip|flights|travelers""), ""Travel"",
  REGEXMATCH(LOWER(VLOOKUP(A44, Data1_Raw_Slack!A:B, 2, FALSE)), ""fitness|workout|gym|"&amp;"exercise|yoga|wellness|fitness enthusiasts""), ""Fitness"",
  REGEXMATCH(LOWER(VLOOKUP(A44, Data1_Raw_Slack!A:B, 2, FALSE)), ""health|medical|pharmacy|mental health|doctor|health-conscious""), ""Health"",
  REGEXMATCH(LOWER(VLOOKUP(A44, Data1_Raw_Slack!A:"&amp;"B, 2, FALSE)), ""pets|dogs|cats|animals|pet care|pet lovers""), ""Pets"",
  REGEXMATCH(LOWER(VLOOKUP(A44, Data1_Raw_Slack!A:B, 2, FALSE)), ""games|gaming|game|xbox|playstation|nintendo|gamers""), ""Gaming"",
  REGEXMATCH(LOWER(VLOOKUP(A44, Data1_Raw_Slack"&amp;"!A:B, 2, FALSE)), ""entertainment|movies|tv|netflix|streaming|celebrity|movie lovers|tv fans|hobb|photo|art""), ""Entertainment"",
  REGEXMATCH(LOWER(VLOOKUP(A44, Data1_Raw_Slack!A:B, 2, FALSE)), ""lifestyle|home|interior|decor|living|lifestyle enthusiast"&amp;"s""), ""Lifestyle"",
  REGEXMATCH(LOWER(VLOOKUP(A44, Data1_Raw_Slack!A:B, 2, FALSE)), ""financial|finance|investing|stocks|retirement|banking|credit|debt|loans|savings|personal finance|insurance|econ|ecom|business|retail|occupation|sale|job|marketing""), "&amp;"""Finance"",
  REGEXMATCH(LOWER(VLOOKUP(A44, Data1_Raw_Slack!A:B, 2, FALSE)), ""auto|automotive""), ""Auto"",
  REGEXMATCH(LOWER(VLOOKUP(A44, Data1_Raw_Slack!A:B, 2, FALSE)), ""parenting|moms|dads|kids|toddlers|baby|parent|children""), ""Parenting"",
 "&amp;" REGEXMATCH(LOWER(VLOOKUP(A44, Data1_Raw_Slack!A:B, 2, FALSE)), ""education|students|learning|school|teachers|college|university|academics""), ""Education"",
  REGEXMATCH(LOWER(VLOOKUP(A44, Data1_Raw_Slack!A:B, 2, FALSE)), ""age|gender|demographic|family|"&amp;"household""), ""Demographics"",
  REGEXMATCH(LOWER(VLOOKUP(A44, Data1_Raw_Slack!A:B, 2, FALSE)), ""mortgage|real estate""), ""Real Estate"",REGEXMATCH(LOWER(VLOOKUP(A44, Data1_Raw_Slack!A:B, 2, FALSE)), ""technology|tech|gadgets|smartphone|electro|apps|de"&amp;"vices|computing|ai|robots|software|computer|internet|tele|mobile|tablet""), ""Technology"", REGEXMATCH(LOWER(VLOOKUP(A44, Data1_Raw_Slack!A:B, 2, FALSE)), ""entertainment|purchas|movies|tv|netflix|streaming|celebrity|movie lovers|tv fans|media|hobb|photo|"&amp;"art|shop""), ""Entertainment"", REGEXMATCH(LOWER(VLOOKUP(A44, Data1_Raw_Slack!A:B, 2, FALSE)), ""law|government|""), ""Law and Government"",
  TRUE, ""Other""
)"),"Entertainment")</f>
        <v>Entertainment</v>
      </c>
      <c r="G44" s="9"/>
      <c r="H44" s="9" t="s">
        <v>44</v>
      </c>
      <c r="I44" s="9" t="s">
        <v>278</v>
      </c>
      <c r="J44" s="9" t="s">
        <v>34</v>
      </c>
      <c r="K44" s="9" t="s">
        <v>148</v>
      </c>
      <c r="L44" s="9" t="s">
        <v>89</v>
      </c>
      <c r="M44" s="10" t="s">
        <v>279</v>
      </c>
      <c r="N44" s="9" t="str">
        <f ca="1">IFERROR(__xludf.DUMMYFUNCTION("REGEXEXTRACT(LOWER(M44), ""([a-z0-9\-]+)\.(?:co|net|org|io|gg)"")"),"boattrader")</f>
        <v>boattrader</v>
      </c>
      <c r="O44" s="9" t="s">
        <v>103</v>
      </c>
      <c r="P44" s="9" t="s">
        <v>39</v>
      </c>
      <c r="Q44" s="9">
        <v>20278</v>
      </c>
      <c r="R44" s="9">
        <v>74</v>
      </c>
      <c r="S44" s="9">
        <v>14227</v>
      </c>
      <c r="T44" s="9">
        <v>19480</v>
      </c>
      <c r="U44" s="9">
        <v>3</v>
      </c>
      <c r="V44" s="11">
        <v>2921.1102070000002</v>
      </c>
      <c r="W44" s="12">
        <f t="shared" si="0"/>
        <v>973.70340233333343</v>
      </c>
      <c r="X44" s="12">
        <f t="shared" si="1"/>
        <v>0.36492750764375187</v>
      </c>
      <c r="Y44" s="12">
        <f t="shared" si="2"/>
        <v>70.159779070914297</v>
      </c>
      <c r="Z44" s="12">
        <f t="shared" si="3"/>
        <v>205.32158620932032</v>
      </c>
      <c r="AA44" s="12">
        <f t="shared" si="4"/>
        <v>144.05317126935597</v>
      </c>
      <c r="AB44" s="12">
        <f t="shared" si="5"/>
        <v>39.474462256756759</v>
      </c>
      <c r="AC44" s="12">
        <f t="shared" si="6"/>
        <v>4.0540540540540544</v>
      </c>
      <c r="AE44" s="13"/>
      <c r="AF44" s="13"/>
    </row>
    <row r="45" spans="1:32">
      <c r="A45" s="8" t="s">
        <v>280</v>
      </c>
      <c r="B45" s="9" t="s">
        <v>41</v>
      </c>
      <c r="C45" s="9" t="s">
        <v>281</v>
      </c>
      <c r="D45" s="9" t="s">
        <v>282</v>
      </c>
      <c r="E45" s="9"/>
      <c r="F45" s="9" t="str">
        <f ca="1">IFERROR(__xludf.DUMMYFUNCTION("IFS(
  REGEXMATCH(LOWER(VLOOKUP(A45, Data1_Raw_Slack!A:B, 2, FALSE)), ""news|weather""), ""News and Weather"", REGEXMATCH(LOWER(VLOOKUP(A45, Data1_Raw_Slack!A:B, 2, FALSE)), ""sports|ufc|nba|nfl|mlb|soccer|sports fans""), ""Sports"",
  REGEXMATCH(LOWER(VL"&amp;"OOKUP(A45, Data1_Raw_Slack!A:B, 2, FALSE)), ""fashion|style|clothing|apparel|shoes|accessories|beauty|cosmetics|fashionistas""), ""Fashion and Beauty"",
  REGEXMATCH(LOWER(VLOOKUP(A45, Data1_Raw_Slack!A:B, 2, FALSE)), ""food|cooking|recipe|restaurant|snac"&amp;"k|grocery|foodies""), ""Food"",
  REGEXMATCH(LOWER(VLOOKUP(A45, Data1_Raw_Slack!A:B, 2, FALSE)), ""travel|vacation|airline|hotel|trip|flights|travelers""), ""Travel"",
  REGEXMATCH(LOWER(VLOOKUP(A45, Data1_Raw_Slack!A:B, 2, FALSE)), ""fitness|workout|gym|"&amp;"exercise|yoga|wellness|fitness enthusiasts""), ""Fitness"",
  REGEXMATCH(LOWER(VLOOKUP(A45, Data1_Raw_Slack!A:B, 2, FALSE)), ""health|medical|pharmacy|mental health|doctor|health-conscious""), ""Health"",
  REGEXMATCH(LOWER(VLOOKUP(A45, Data1_Raw_Slack!A:"&amp;"B, 2, FALSE)), ""pets|dogs|cats|animals|pet care|pet lovers""), ""Pets"",
  REGEXMATCH(LOWER(VLOOKUP(A45, Data1_Raw_Slack!A:B, 2, FALSE)), ""games|gaming|game|xbox|playstation|nintendo|gamers""), ""Gaming"",
  REGEXMATCH(LOWER(VLOOKUP(A45, Data1_Raw_Slack"&amp;"!A:B, 2, FALSE)), ""entertainment|movies|tv|netflix|streaming|celebrity|movie lovers|tv fans|hobb|photo|art""), ""Entertainment"",
  REGEXMATCH(LOWER(VLOOKUP(A45, Data1_Raw_Slack!A:B, 2, FALSE)), ""lifestyle|home|interior|decor|living|lifestyle enthusiast"&amp;"s""), ""Lifestyle"",
  REGEXMATCH(LOWER(VLOOKUP(A45, Data1_Raw_Slack!A:B, 2, FALSE)), ""financial|finance|investing|stocks|retirement|banking|credit|debt|loans|savings|personal finance|insurance|econ|ecom|business|retail|occupation|sale|job|marketing""), "&amp;"""Finance"",
  REGEXMATCH(LOWER(VLOOKUP(A45, Data1_Raw_Slack!A:B, 2, FALSE)), ""auto|automotive""), ""Auto"",
  REGEXMATCH(LOWER(VLOOKUP(A45, Data1_Raw_Slack!A:B, 2, FALSE)), ""parenting|moms|dads|kids|toddlers|baby|parent|children""), ""Parenting"",
 "&amp;" REGEXMATCH(LOWER(VLOOKUP(A45, Data1_Raw_Slack!A:B, 2, FALSE)), ""education|students|learning|school|teachers|college|university|academics""), ""Education"",
  REGEXMATCH(LOWER(VLOOKUP(A45, Data1_Raw_Slack!A:B, 2, FALSE)), ""age|gender|demographic|family|"&amp;"household""), ""Demographics"",
  REGEXMATCH(LOWER(VLOOKUP(A45, Data1_Raw_Slack!A:B, 2, FALSE)), ""mortgage|real estate""), ""Real Estate"",REGEXMATCH(LOWER(VLOOKUP(A45, Data1_Raw_Slack!A:B, 2, FALSE)), ""technology|tech|gadgets|smartphone|electro|apps|de"&amp;"vices|computing|ai|robots|software|computer|internet|tele|mobile|tablet""), ""Technology"", REGEXMATCH(LOWER(VLOOKUP(A45, Data1_Raw_Slack!A:B, 2, FALSE)), ""entertainment|purchas|movies|tv|netflix|streaming|celebrity|movie lovers|tv fans|media|hobb|photo|"&amp;"art|shop""), ""Entertainment"", REGEXMATCH(LOWER(VLOOKUP(A45, Data1_Raw_Slack!A:B, 2, FALSE)), ""law|government|""), ""Law and Government"",
  TRUE, ""Other""
)"),"Gaming")</f>
        <v>Gaming</v>
      </c>
      <c r="G45" s="9" t="s">
        <v>69</v>
      </c>
      <c r="H45" s="9" t="s">
        <v>44</v>
      </c>
      <c r="I45" s="9" t="s">
        <v>283</v>
      </c>
      <c r="J45" s="9" t="s">
        <v>80</v>
      </c>
      <c r="K45" s="9" t="s">
        <v>236</v>
      </c>
      <c r="L45" s="9" t="s">
        <v>82</v>
      </c>
      <c r="M45" s="10" t="s">
        <v>284</v>
      </c>
      <c r="N45" s="9" t="str">
        <f ca="1">IFERROR(__xludf.DUMMYFUNCTION("REGEXEXTRACT(LOWER(M45), ""([a-z0-9\-]+)\.(?:co|net|org|io|gg)"")"),"bbc")</f>
        <v>bbc</v>
      </c>
      <c r="O45" s="9" t="s">
        <v>74</v>
      </c>
      <c r="P45" s="9" t="s">
        <v>64</v>
      </c>
      <c r="Q45" s="9">
        <v>26558</v>
      </c>
      <c r="R45" s="9">
        <v>111</v>
      </c>
      <c r="S45" s="9">
        <v>15761</v>
      </c>
      <c r="T45" s="9">
        <v>23532</v>
      </c>
      <c r="U45" s="9">
        <v>14</v>
      </c>
      <c r="V45" s="11">
        <v>6751.5589810000001</v>
      </c>
      <c r="W45" s="12">
        <f t="shared" si="0"/>
        <v>482.25421292857146</v>
      </c>
      <c r="X45" s="12">
        <f t="shared" si="1"/>
        <v>0.41795315912342795</v>
      </c>
      <c r="Y45" s="12">
        <f t="shared" si="2"/>
        <v>59.345583251750888</v>
      </c>
      <c r="Z45" s="12">
        <f t="shared" si="3"/>
        <v>428.37123158429034</v>
      </c>
      <c r="AA45" s="12">
        <f t="shared" si="4"/>
        <v>254.21940586640562</v>
      </c>
      <c r="AB45" s="12">
        <f t="shared" si="5"/>
        <v>60.824855684684685</v>
      </c>
      <c r="AC45" s="12">
        <f t="shared" si="6"/>
        <v>12.612612612612612</v>
      </c>
      <c r="AE45" s="13"/>
      <c r="AF45" s="13"/>
    </row>
    <row r="46" spans="1:32">
      <c r="A46" s="8" t="s">
        <v>285</v>
      </c>
      <c r="B46" s="9" t="s">
        <v>41</v>
      </c>
      <c r="C46" s="9" t="s">
        <v>145</v>
      </c>
      <c r="D46" s="9" t="s">
        <v>286</v>
      </c>
      <c r="E46" s="9"/>
      <c r="F46" s="9" t="str">
        <f ca="1">IFERROR(__xludf.DUMMYFUNCTION("IFS(
  REGEXMATCH(LOWER(VLOOKUP(A46, Data1_Raw_Slack!A:B, 2, FALSE)), ""news|weather""), ""News and Weather"", REGEXMATCH(LOWER(VLOOKUP(A46, Data1_Raw_Slack!A:B, 2, FALSE)), ""sports|ufc|nba|nfl|mlb|soccer|sports fans""), ""Sports"",
  REGEXMATCH(LOWER(VL"&amp;"OOKUP(A46, Data1_Raw_Slack!A:B, 2, FALSE)), ""fashion|style|clothing|apparel|shoes|accessories|beauty|cosmetics|fashionistas""), ""Fashion and Beauty"",
  REGEXMATCH(LOWER(VLOOKUP(A46, Data1_Raw_Slack!A:B, 2, FALSE)), ""food|cooking|recipe|restaurant|snac"&amp;"k|grocery|foodies""), ""Food"",
  REGEXMATCH(LOWER(VLOOKUP(A46, Data1_Raw_Slack!A:B, 2, FALSE)), ""travel|vacation|airline|hotel|trip|flights|travelers""), ""Travel"",
  REGEXMATCH(LOWER(VLOOKUP(A46, Data1_Raw_Slack!A:B, 2, FALSE)), ""fitness|workout|gym|"&amp;"exercise|yoga|wellness|fitness enthusiasts""), ""Fitness"",
  REGEXMATCH(LOWER(VLOOKUP(A46, Data1_Raw_Slack!A:B, 2, FALSE)), ""health|medical|pharmacy|mental health|doctor|health-conscious""), ""Health"",
  REGEXMATCH(LOWER(VLOOKUP(A46, Data1_Raw_Slack!A:"&amp;"B, 2, FALSE)), ""pets|dogs|cats|animals|pet care|pet lovers""), ""Pets"",
  REGEXMATCH(LOWER(VLOOKUP(A46, Data1_Raw_Slack!A:B, 2, FALSE)), ""games|gaming|game|xbox|playstation|nintendo|gamers""), ""Gaming"",
  REGEXMATCH(LOWER(VLOOKUP(A46, Data1_Raw_Slack"&amp;"!A:B, 2, FALSE)), ""entertainment|movies|tv|netflix|streaming|celebrity|movie lovers|tv fans|hobb|photo|art""), ""Entertainment"",
  REGEXMATCH(LOWER(VLOOKUP(A46, Data1_Raw_Slack!A:B, 2, FALSE)), ""lifestyle|home|interior|decor|living|lifestyle enthusiast"&amp;"s""), ""Lifestyle"",
  REGEXMATCH(LOWER(VLOOKUP(A46, Data1_Raw_Slack!A:B, 2, FALSE)), ""financial|finance|investing|stocks|retirement|banking|credit|debt|loans|savings|personal finance|insurance|econ|ecom|business|retail|occupation|sale|job|marketing""), "&amp;"""Finance"",
  REGEXMATCH(LOWER(VLOOKUP(A46, Data1_Raw_Slack!A:B, 2, FALSE)), ""auto|automotive""), ""Auto"",
  REGEXMATCH(LOWER(VLOOKUP(A46, Data1_Raw_Slack!A:B, 2, FALSE)), ""parenting|moms|dads|kids|toddlers|baby|parent|children""), ""Parenting"",
 "&amp;" REGEXMATCH(LOWER(VLOOKUP(A46, Data1_Raw_Slack!A:B, 2, FALSE)), ""education|students|learning|school|teachers|college|university|academics""), ""Education"",
  REGEXMATCH(LOWER(VLOOKUP(A46, Data1_Raw_Slack!A:B, 2, FALSE)), ""age|gender|demographic|family|"&amp;"household""), ""Demographics"",
  REGEXMATCH(LOWER(VLOOKUP(A46, Data1_Raw_Slack!A:B, 2, FALSE)), ""mortgage|real estate""), ""Real Estate"",REGEXMATCH(LOWER(VLOOKUP(A46, Data1_Raw_Slack!A:B, 2, FALSE)), ""technology|tech|gadgets|smartphone|electro|apps|de"&amp;"vices|computing|ai|robots|software|computer|internet|tele|mobile|tablet""), ""Technology"", REGEXMATCH(LOWER(VLOOKUP(A46, Data1_Raw_Slack!A:B, 2, FALSE)), ""entertainment|purchas|movies|tv|netflix|streaming|celebrity|movie lovers|tv fans|media|hobb|photo|"&amp;"art|shop""), ""Entertainment"", REGEXMATCH(LOWER(VLOOKUP(A46, Data1_Raw_Slack!A:B, 2, FALSE)), ""law|government|""), ""Law and Government"",
  TRUE, ""Other""
)"),"News and Weather")</f>
        <v>News and Weather</v>
      </c>
      <c r="G46" s="9" t="s">
        <v>145</v>
      </c>
      <c r="H46" s="9" t="s">
        <v>123</v>
      </c>
      <c r="I46" s="9" t="s">
        <v>287</v>
      </c>
      <c r="J46" s="9" t="s">
        <v>62</v>
      </c>
      <c r="K46" s="9" t="s">
        <v>142</v>
      </c>
      <c r="L46" s="9" t="s">
        <v>72</v>
      </c>
      <c r="M46" s="10" t="s">
        <v>288</v>
      </c>
      <c r="N46" s="9" t="str">
        <f ca="1">IFERROR(__xludf.DUMMYFUNCTION("REGEXEXTRACT(LOWER(M46), ""([a-z0-9\-]+)\.(?:co|net|org|io|gg)"")"),"femanin")</f>
        <v>femanin</v>
      </c>
      <c r="O46" s="9" t="s">
        <v>103</v>
      </c>
      <c r="P46" s="9" t="s">
        <v>39</v>
      </c>
      <c r="Q46" s="9">
        <v>115412</v>
      </c>
      <c r="R46" s="9">
        <v>490</v>
      </c>
      <c r="S46" s="9">
        <v>71564</v>
      </c>
      <c r="T46" s="9">
        <v>81785</v>
      </c>
      <c r="U46" s="9">
        <v>21</v>
      </c>
      <c r="V46" s="11">
        <v>6861.5363799999996</v>
      </c>
      <c r="W46" s="12">
        <f t="shared" si="0"/>
        <v>326.73982761904762</v>
      </c>
      <c r="X46" s="12">
        <f t="shared" si="1"/>
        <v>0.42456590302568192</v>
      </c>
      <c r="Y46" s="12">
        <f t="shared" si="2"/>
        <v>62.007416906387547</v>
      </c>
      <c r="Z46" s="12">
        <f t="shared" si="3"/>
        <v>95.879721368285729</v>
      </c>
      <c r="AA46" s="12">
        <f t="shared" si="4"/>
        <v>59.45253855751568</v>
      </c>
      <c r="AB46" s="12">
        <f t="shared" si="5"/>
        <v>14.003135469387754</v>
      </c>
      <c r="AC46" s="12">
        <f t="shared" si="6"/>
        <v>4.2857142857142856</v>
      </c>
      <c r="AE46" s="13"/>
      <c r="AF46" s="13"/>
    </row>
    <row r="47" spans="1:32">
      <c r="A47" s="8" t="s">
        <v>289</v>
      </c>
      <c r="B47" s="9" t="s">
        <v>290</v>
      </c>
      <c r="C47" s="9" t="s">
        <v>291</v>
      </c>
      <c r="D47" s="9" t="s">
        <v>292</v>
      </c>
      <c r="E47" s="9" t="s">
        <v>293</v>
      </c>
      <c r="F47" s="9" t="str">
        <f ca="1">IFERROR(__xludf.DUMMYFUNCTION("IFS(
  REGEXMATCH(LOWER(VLOOKUP(A47, Data1_Raw_Slack!A:B, 2, FALSE)), ""news|weather""), ""News and Weather"", REGEXMATCH(LOWER(VLOOKUP(A47, Data1_Raw_Slack!A:B, 2, FALSE)), ""sports|ufc|nba|nfl|mlb|soccer|sports fans""), ""Sports"",
  REGEXMATCH(LOWER(VL"&amp;"OOKUP(A47, Data1_Raw_Slack!A:B, 2, FALSE)), ""fashion|style|clothing|apparel|shoes|accessories|beauty|cosmetics|fashionistas""), ""Fashion and Beauty"",
  REGEXMATCH(LOWER(VLOOKUP(A47, Data1_Raw_Slack!A:B, 2, FALSE)), ""food|cooking|recipe|restaurant|snac"&amp;"k|grocery|foodies""), ""Food"",
  REGEXMATCH(LOWER(VLOOKUP(A47, Data1_Raw_Slack!A:B, 2, FALSE)), ""travel|vacation|airline|hotel|trip|flights|travelers""), ""Travel"",
  REGEXMATCH(LOWER(VLOOKUP(A47, Data1_Raw_Slack!A:B, 2, FALSE)), ""fitness|workout|gym|"&amp;"exercise|yoga|wellness|fitness enthusiasts""), ""Fitness"",
  REGEXMATCH(LOWER(VLOOKUP(A47, Data1_Raw_Slack!A:B, 2, FALSE)), ""health|medical|pharmacy|mental health|doctor|health-conscious""), ""Health"",
  REGEXMATCH(LOWER(VLOOKUP(A47, Data1_Raw_Slack!A:"&amp;"B, 2, FALSE)), ""pets|dogs|cats|animals|pet care|pet lovers""), ""Pets"",
  REGEXMATCH(LOWER(VLOOKUP(A47, Data1_Raw_Slack!A:B, 2, FALSE)), ""games|gaming|game|xbox|playstation|nintendo|gamers""), ""Gaming"",
  REGEXMATCH(LOWER(VLOOKUP(A47, Data1_Raw_Slack"&amp;"!A:B, 2, FALSE)), ""entertainment|movies|tv|netflix|streaming|celebrity|movie lovers|tv fans|hobb|photo|art""), ""Entertainment"",
  REGEXMATCH(LOWER(VLOOKUP(A47, Data1_Raw_Slack!A:B, 2, FALSE)), ""lifestyle|home|interior|decor|living|lifestyle enthusiast"&amp;"s""), ""Lifestyle"",
  REGEXMATCH(LOWER(VLOOKUP(A47, Data1_Raw_Slack!A:B, 2, FALSE)), ""financial|finance|investing|stocks|retirement|banking|credit|debt|loans|savings|personal finance|insurance|econ|ecom|business|retail|occupation|sale|job|marketing""), "&amp;"""Finance"",
  REGEXMATCH(LOWER(VLOOKUP(A47, Data1_Raw_Slack!A:B, 2, FALSE)), ""auto|automotive""), ""Auto"",
  REGEXMATCH(LOWER(VLOOKUP(A47, Data1_Raw_Slack!A:B, 2, FALSE)), ""parenting|moms|dads|kids|toddlers|baby|parent|children""), ""Parenting"",
 "&amp;" REGEXMATCH(LOWER(VLOOKUP(A47, Data1_Raw_Slack!A:B, 2, FALSE)), ""education|students|learning|school|teachers|college|university|academics""), ""Education"",
  REGEXMATCH(LOWER(VLOOKUP(A47, Data1_Raw_Slack!A:B, 2, FALSE)), ""age|gender|demographic|family|"&amp;"household""), ""Demographics"",
  REGEXMATCH(LOWER(VLOOKUP(A47, Data1_Raw_Slack!A:B, 2, FALSE)), ""mortgage|real estate""), ""Real Estate"",REGEXMATCH(LOWER(VLOOKUP(A47, Data1_Raw_Slack!A:B, 2, FALSE)), ""technology|tech|gadgets|smartphone|electro|apps|de"&amp;"vices|computing|ai|robots|software|computer|internet|tele|mobile|tablet""), ""Technology"", REGEXMATCH(LOWER(VLOOKUP(A47, Data1_Raw_Slack!A:B, 2, FALSE)), ""entertainment|purchas|movies|tv|netflix|streaming|celebrity|movie lovers|tv fans|media|hobb|photo|"&amp;"art|shop""), ""Entertainment"", REGEXMATCH(LOWER(VLOOKUP(A47, Data1_Raw_Slack!A:B, 2, FALSE)), ""law|government|""), ""Law and Government"",
  TRUE, ""Other""
)"),"Entertainment")</f>
        <v>Entertainment</v>
      </c>
      <c r="G47" s="9" t="s">
        <v>135</v>
      </c>
      <c r="H47" s="9" t="s">
        <v>32</v>
      </c>
      <c r="I47" s="9" t="s">
        <v>294</v>
      </c>
      <c r="J47" s="9" t="s">
        <v>62</v>
      </c>
      <c r="K47" s="9" t="s">
        <v>56</v>
      </c>
      <c r="L47" s="9" t="s">
        <v>57</v>
      </c>
      <c r="M47" s="10" t="s">
        <v>295</v>
      </c>
      <c r="N47" s="9" t="str">
        <f ca="1">IFERROR(__xludf.DUMMYFUNCTION("REGEXEXTRACT(LOWER(M47), ""([a-z0-9\-]+)\.(?:co|net|org|io|gg)"")"),"yahoo")</f>
        <v>yahoo</v>
      </c>
      <c r="O47" s="9" t="s">
        <v>50</v>
      </c>
      <c r="P47" s="9" t="s">
        <v>39</v>
      </c>
      <c r="Q47" s="9">
        <v>22163</v>
      </c>
      <c r="R47" s="9">
        <v>55</v>
      </c>
      <c r="S47" s="9">
        <v>2368</v>
      </c>
      <c r="T47" s="9">
        <v>8130</v>
      </c>
      <c r="U47" s="9">
        <v>3</v>
      </c>
      <c r="V47" s="11">
        <v>1493.7793280000001</v>
      </c>
      <c r="W47" s="12">
        <f t="shared" si="0"/>
        <v>497.92644266666667</v>
      </c>
      <c r="X47" s="12">
        <f t="shared" si="1"/>
        <v>0.24816134999774397</v>
      </c>
      <c r="Y47" s="12">
        <f t="shared" si="2"/>
        <v>10.684474123539232</v>
      </c>
      <c r="Z47" s="12">
        <f t="shared" si="3"/>
        <v>630.81897297297292</v>
      </c>
      <c r="AA47" s="12">
        <f t="shared" si="4"/>
        <v>67.399689933673244</v>
      </c>
      <c r="AB47" s="12">
        <f t="shared" si="5"/>
        <v>27.159624145454547</v>
      </c>
      <c r="AC47" s="12">
        <f t="shared" si="6"/>
        <v>5.4545454545454541</v>
      </c>
      <c r="AE47" s="13"/>
      <c r="AF47" s="13"/>
    </row>
    <row r="48" spans="1:32">
      <c r="A48" s="8" t="s">
        <v>296</v>
      </c>
      <c r="B48" s="9" t="s">
        <v>144</v>
      </c>
      <c r="C48" s="9" t="s">
        <v>253</v>
      </c>
      <c r="D48" s="9" t="s">
        <v>297</v>
      </c>
      <c r="E48" s="9"/>
      <c r="F48" s="9" t="str">
        <f ca="1">IFERROR(__xludf.DUMMYFUNCTION("IFS(
  REGEXMATCH(LOWER(VLOOKUP(A48, Data1_Raw_Slack!A:B, 2, FALSE)), ""news|weather""), ""News and Weather"", REGEXMATCH(LOWER(VLOOKUP(A48, Data1_Raw_Slack!A:B, 2, FALSE)), ""sports|ufc|nba|nfl|mlb|soccer|sports fans""), ""Sports"",
  REGEXMATCH(LOWER(VL"&amp;"OOKUP(A48, Data1_Raw_Slack!A:B, 2, FALSE)), ""fashion|style|clothing|apparel|shoes|accessories|beauty|cosmetics|fashionistas""), ""Fashion and Beauty"",
  REGEXMATCH(LOWER(VLOOKUP(A48, Data1_Raw_Slack!A:B, 2, FALSE)), ""food|cooking|recipe|restaurant|snac"&amp;"k|grocery|foodies""), ""Food"",
  REGEXMATCH(LOWER(VLOOKUP(A48, Data1_Raw_Slack!A:B, 2, FALSE)), ""travel|vacation|airline|hotel|trip|flights|travelers""), ""Travel"",
  REGEXMATCH(LOWER(VLOOKUP(A48, Data1_Raw_Slack!A:B, 2, FALSE)), ""fitness|workout|gym|"&amp;"exercise|yoga|wellness|fitness enthusiasts""), ""Fitness"",
  REGEXMATCH(LOWER(VLOOKUP(A48, Data1_Raw_Slack!A:B, 2, FALSE)), ""health|medical|pharmacy|mental health|doctor|health-conscious""), ""Health"",
  REGEXMATCH(LOWER(VLOOKUP(A48, Data1_Raw_Slack!A:"&amp;"B, 2, FALSE)), ""pets|dogs|cats|animals|pet care|pet lovers""), ""Pets"",
  REGEXMATCH(LOWER(VLOOKUP(A48, Data1_Raw_Slack!A:B, 2, FALSE)), ""games|gaming|game|xbox|playstation|nintendo|gamers""), ""Gaming"",
  REGEXMATCH(LOWER(VLOOKUP(A48, Data1_Raw_Slack"&amp;"!A:B, 2, FALSE)), ""entertainment|movies|tv|netflix|streaming|celebrity|movie lovers|tv fans|hobb|photo|art""), ""Entertainment"",
  REGEXMATCH(LOWER(VLOOKUP(A48, Data1_Raw_Slack!A:B, 2, FALSE)), ""lifestyle|home|interior|decor|living|lifestyle enthusiast"&amp;"s""), ""Lifestyle"",
  REGEXMATCH(LOWER(VLOOKUP(A48, Data1_Raw_Slack!A:B, 2, FALSE)), ""financial|finance|investing|stocks|retirement|banking|credit|debt|loans|savings|personal finance|insurance|econ|ecom|business|retail|occupation|sale|job|marketing""), "&amp;"""Finance"",
  REGEXMATCH(LOWER(VLOOKUP(A48, Data1_Raw_Slack!A:B, 2, FALSE)), ""auto|automotive""), ""Auto"",
  REGEXMATCH(LOWER(VLOOKUP(A48, Data1_Raw_Slack!A:B, 2, FALSE)), ""parenting|moms|dads|kids|toddlers|baby|parent|children""), ""Parenting"",
 "&amp;" REGEXMATCH(LOWER(VLOOKUP(A48, Data1_Raw_Slack!A:B, 2, FALSE)), ""education|students|learning|school|teachers|college|university|academics""), ""Education"",
  REGEXMATCH(LOWER(VLOOKUP(A48, Data1_Raw_Slack!A:B, 2, FALSE)), ""age|gender|demographic|family|"&amp;"household""), ""Demographics"",
  REGEXMATCH(LOWER(VLOOKUP(A48, Data1_Raw_Slack!A:B, 2, FALSE)), ""mortgage|real estate""), ""Real Estate"",REGEXMATCH(LOWER(VLOOKUP(A48, Data1_Raw_Slack!A:B, 2, FALSE)), ""technology|tech|gadgets|smartphone|electro|apps|de"&amp;"vices|computing|ai|robots|software|computer|internet|tele|mobile|tablet""), ""Technology"", REGEXMATCH(LOWER(VLOOKUP(A48, Data1_Raw_Slack!A:B, 2, FALSE)), ""entertainment|purchas|movies|tv|netflix|streaming|celebrity|movie lovers|tv fans|media|hobb|photo|"&amp;"art|shop""), ""Entertainment"", REGEXMATCH(LOWER(VLOOKUP(A48, Data1_Raw_Slack!A:B, 2, FALSE)), ""law|government|""), ""Law and Government"",
  TRUE, ""Other""
)"),"Entertainment")</f>
        <v>Entertainment</v>
      </c>
      <c r="G48" s="9"/>
      <c r="H48" s="9" t="s">
        <v>32</v>
      </c>
      <c r="I48" s="9" t="s">
        <v>298</v>
      </c>
      <c r="J48" s="9" t="s">
        <v>62</v>
      </c>
      <c r="K48" s="9" t="s">
        <v>299</v>
      </c>
      <c r="L48" s="9" t="s">
        <v>72</v>
      </c>
      <c r="M48" s="10" t="s">
        <v>300</v>
      </c>
      <c r="N48" s="9" t="str">
        <f ca="1">IFERROR(__xludf.DUMMYFUNCTION("REGEXEXTRACT(LOWER(M48), ""([a-z0-9\-]+)\.(?:co|net|org|io|gg)"")"),"the-sun")</f>
        <v>the-sun</v>
      </c>
      <c r="O48" s="9" t="s">
        <v>50</v>
      </c>
      <c r="P48" s="9" t="s">
        <v>39</v>
      </c>
      <c r="Q48" s="9">
        <v>97346</v>
      </c>
      <c r="R48" s="9">
        <v>790</v>
      </c>
      <c r="S48" s="9">
        <v>44118</v>
      </c>
      <c r="T48" s="9">
        <v>91080</v>
      </c>
      <c r="U48" s="9">
        <v>19</v>
      </c>
      <c r="V48" s="11">
        <v>1657.5648699999999</v>
      </c>
      <c r="W48" s="12">
        <f t="shared" si="0"/>
        <v>87.240256315789466</v>
      </c>
      <c r="X48" s="12">
        <f t="shared" si="1"/>
        <v>0.81153822447763646</v>
      </c>
      <c r="Y48" s="12">
        <f t="shared" si="2"/>
        <v>45.320814414562491</v>
      </c>
      <c r="Z48" s="12">
        <f t="shared" si="3"/>
        <v>37.571169817308125</v>
      </c>
      <c r="AA48" s="12">
        <f t="shared" si="4"/>
        <v>17.027560146282333</v>
      </c>
      <c r="AB48" s="12">
        <f t="shared" si="5"/>
        <v>2.0981833797468354</v>
      </c>
      <c r="AC48" s="12">
        <f t="shared" si="6"/>
        <v>2.4050632911392404</v>
      </c>
      <c r="AE48" s="13"/>
      <c r="AF48" s="13"/>
    </row>
    <row r="49" spans="1:32">
      <c r="A49" s="8" t="s">
        <v>301</v>
      </c>
      <c r="B49" s="9" t="s">
        <v>144</v>
      </c>
      <c r="C49" s="9" t="s">
        <v>281</v>
      </c>
      <c r="D49" s="9"/>
      <c r="E49" s="9"/>
      <c r="F49" s="9" t="str">
        <f ca="1">IFERROR(__xludf.DUMMYFUNCTION("IFS(
  REGEXMATCH(LOWER(VLOOKUP(A49, Data1_Raw_Slack!A:B, 2, FALSE)), ""news|weather""), ""News and Weather"", REGEXMATCH(LOWER(VLOOKUP(A49, Data1_Raw_Slack!A:B, 2, FALSE)), ""sports|ufc|nba|nfl|mlb|soccer|sports fans""), ""Sports"",
  REGEXMATCH(LOWER(VL"&amp;"OOKUP(A49, Data1_Raw_Slack!A:B, 2, FALSE)), ""fashion|style|clothing|apparel|shoes|accessories|beauty|cosmetics|fashionistas""), ""Fashion and Beauty"",
  REGEXMATCH(LOWER(VLOOKUP(A49, Data1_Raw_Slack!A:B, 2, FALSE)), ""food|cooking|recipe|restaurant|snac"&amp;"k|grocery|foodies""), ""Food"",
  REGEXMATCH(LOWER(VLOOKUP(A49, Data1_Raw_Slack!A:B, 2, FALSE)), ""travel|vacation|airline|hotel|trip|flights|travelers""), ""Travel"",
  REGEXMATCH(LOWER(VLOOKUP(A49, Data1_Raw_Slack!A:B, 2, FALSE)), ""fitness|workout|gym|"&amp;"exercise|yoga|wellness|fitness enthusiasts""), ""Fitness"",
  REGEXMATCH(LOWER(VLOOKUP(A49, Data1_Raw_Slack!A:B, 2, FALSE)), ""health|medical|pharmacy|mental health|doctor|health-conscious""), ""Health"",
  REGEXMATCH(LOWER(VLOOKUP(A49, Data1_Raw_Slack!A:"&amp;"B, 2, FALSE)), ""pets|dogs|cats|animals|pet care|pet lovers""), ""Pets"",
  REGEXMATCH(LOWER(VLOOKUP(A49, Data1_Raw_Slack!A:B, 2, FALSE)), ""games|gaming|game|xbox|playstation|nintendo|gamers""), ""Gaming"",
  REGEXMATCH(LOWER(VLOOKUP(A49, Data1_Raw_Slack"&amp;"!A:B, 2, FALSE)), ""entertainment|movies|tv|netflix|streaming|celebrity|movie lovers|tv fans|hobb|photo|art""), ""Entertainment"",
  REGEXMATCH(LOWER(VLOOKUP(A49, Data1_Raw_Slack!A:B, 2, FALSE)), ""lifestyle|home|interior|decor|living|lifestyle enthusiast"&amp;"s""), ""Lifestyle"",
  REGEXMATCH(LOWER(VLOOKUP(A49, Data1_Raw_Slack!A:B, 2, FALSE)), ""financial|finance|investing|stocks|retirement|banking|credit|debt|loans|savings|personal finance|insurance|econ|ecom|business|retail|occupation|sale|job|marketing""), "&amp;"""Finance"",
  REGEXMATCH(LOWER(VLOOKUP(A49, Data1_Raw_Slack!A:B, 2, FALSE)), ""auto|automotive""), ""Auto"",
  REGEXMATCH(LOWER(VLOOKUP(A49, Data1_Raw_Slack!A:B, 2, FALSE)), ""parenting|moms|dads|kids|toddlers|baby|parent|children""), ""Parenting"",
 "&amp;" REGEXMATCH(LOWER(VLOOKUP(A49, Data1_Raw_Slack!A:B, 2, FALSE)), ""education|students|learning|school|teachers|college|university|academics""), ""Education"",
  REGEXMATCH(LOWER(VLOOKUP(A49, Data1_Raw_Slack!A:B, 2, FALSE)), ""age|gender|demographic|family|"&amp;"household""), ""Demographics"",
  REGEXMATCH(LOWER(VLOOKUP(A49, Data1_Raw_Slack!A:B, 2, FALSE)), ""mortgage|real estate""), ""Real Estate"",REGEXMATCH(LOWER(VLOOKUP(A49, Data1_Raw_Slack!A:B, 2, FALSE)), ""technology|tech|gadgets|smartphone|electro|apps|de"&amp;"vices|computing|ai|robots|software|computer|internet|tele|mobile|tablet""), ""Technology"", REGEXMATCH(LOWER(VLOOKUP(A49, Data1_Raw_Slack!A:B, 2, FALSE)), ""entertainment|purchas|movies|tv|netflix|streaming|celebrity|movie lovers|tv fans|media|hobb|photo|"&amp;"art|shop""), ""Entertainment"", REGEXMATCH(LOWER(VLOOKUP(A49, Data1_Raw_Slack!A:B, 2, FALSE)), ""law|government|""), ""Law and Government"",
  TRUE, ""Other""
)"),"Gaming")</f>
        <v>Gaming</v>
      </c>
      <c r="G49" s="9" t="s">
        <v>69</v>
      </c>
      <c r="H49" s="9" t="s">
        <v>32</v>
      </c>
      <c r="I49" s="9" t="s">
        <v>302</v>
      </c>
      <c r="J49" s="9" t="s">
        <v>34</v>
      </c>
      <c r="K49" s="9" t="s">
        <v>148</v>
      </c>
      <c r="L49" s="9" t="s">
        <v>89</v>
      </c>
      <c r="M49" s="10" t="s">
        <v>303</v>
      </c>
      <c r="N49" s="9" t="str">
        <f ca="1">IFERROR(__xludf.DUMMYFUNCTION("REGEXEXTRACT(LOWER(M49), ""([a-z0-9\-]+)\.(?:co|net|org|io|gg)"")"),"gamespot")</f>
        <v>gamespot</v>
      </c>
      <c r="O49" s="9" t="s">
        <v>103</v>
      </c>
      <c r="P49" s="9" t="s">
        <v>39</v>
      </c>
      <c r="Q49" s="9">
        <v>13779</v>
      </c>
      <c r="R49" s="9">
        <v>96</v>
      </c>
      <c r="S49" s="9">
        <v>3482</v>
      </c>
      <c r="T49" s="9">
        <v>12487</v>
      </c>
      <c r="U49" s="9">
        <v>4</v>
      </c>
      <c r="V49" s="11">
        <v>1530.041892</v>
      </c>
      <c r="W49" s="12">
        <f t="shared" si="0"/>
        <v>382.51047299999999</v>
      </c>
      <c r="X49" s="12">
        <f t="shared" si="1"/>
        <v>0.69671238841715655</v>
      </c>
      <c r="Y49" s="12">
        <f t="shared" si="2"/>
        <v>25.270338921547282</v>
      </c>
      <c r="Z49" s="12">
        <f t="shared" si="3"/>
        <v>439.41467317633544</v>
      </c>
      <c r="AA49" s="12">
        <f t="shared" si="4"/>
        <v>111.04157718266927</v>
      </c>
      <c r="AB49" s="12">
        <f t="shared" si="5"/>
        <v>15.937936375</v>
      </c>
      <c r="AC49" s="12">
        <f t="shared" si="6"/>
        <v>4.1666666666666661</v>
      </c>
      <c r="AE49" s="13"/>
      <c r="AF49" s="13"/>
    </row>
    <row r="50" spans="1:32">
      <c r="A50" s="8" t="s">
        <v>304</v>
      </c>
      <c r="B50" s="9" t="s">
        <v>305</v>
      </c>
      <c r="C50" s="9" t="s">
        <v>306</v>
      </c>
      <c r="D50" s="9"/>
      <c r="E50" s="9"/>
      <c r="F50" s="9" t="str">
        <f ca="1">IFERROR(__xludf.DUMMYFUNCTION("IFS(
  REGEXMATCH(LOWER(VLOOKUP(A50, Data1_Raw_Slack!A:B, 2, FALSE)), ""news|weather""), ""News and Weather"", REGEXMATCH(LOWER(VLOOKUP(A50, Data1_Raw_Slack!A:B, 2, FALSE)), ""sports|ufc|nba|nfl|mlb|soccer|sports fans""), ""Sports"",
  REGEXMATCH(LOWER(VL"&amp;"OOKUP(A50, Data1_Raw_Slack!A:B, 2, FALSE)), ""fashion|style|clothing|apparel|shoes|accessories|beauty|cosmetics|fashionistas""), ""Fashion and Beauty"",
  REGEXMATCH(LOWER(VLOOKUP(A50, Data1_Raw_Slack!A:B, 2, FALSE)), ""food|cooking|recipe|restaurant|snac"&amp;"k|grocery|foodies""), ""Food"",
  REGEXMATCH(LOWER(VLOOKUP(A50, Data1_Raw_Slack!A:B, 2, FALSE)), ""travel|vacation|airline|hotel|trip|flights|travelers""), ""Travel"",
  REGEXMATCH(LOWER(VLOOKUP(A50, Data1_Raw_Slack!A:B, 2, FALSE)), ""fitness|workout|gym|"&amp;"exercise|yoga|wellness|fitness enthusiasts""), ""Fitness"",
  REGEXMATCH(LOWER(VLOOKUP(A50, Data1_Raw_Slack!A:B, 2, FALSE)), ""health|medical|pharmacy|mental health|doctor|health-conscious""), ""Health"",
  REGEXMATCH(LOWER(VLOOKUP(A50, Data1_Raw_Slack!A:"&amp;"B, 2, FALSE)), ""pets|dogs|cats|animals|pet care|pet lovers""), ""Pets"",
  REGEXMATCH(LOWER(VLOOKUP(A50, Data1_Raw_Slack!A:B, 2, FALSE)), ""games|gaming|game|xbox|playstation|nintendo|gamers""), ""Gaming"",
  REGEXMATCH(LOWER(VLOOKUP(A50, Data1_Raw_Slack"&amp;"!A:B, 2, FALSE)), ""entertainment|movies|tv|netflix|streaming|celebrity|movie lovers|tv fans|hobb|photo|art""), ""Entertainment"",
  REGEXMATCH(LOWER(VLOOKUP(A50, Data1_Raw_Slack!A:B, 2, FALSE)), ""lifestyle|home|interior|decor|living|lifestyle enthusiast"&amp;"s""), ""Lifestyle"",
  REGEXMATCH(LOWER(VLOOKUP(A50, Data1_Raw_Slack!A:B, 2, FALSE)), ""financial|finance|investing|stocks|retirement|banking|credit|debt|loans|savings|personal finance|insurance|econ|ecom|business|retail|occupation|sale|job|marketing""), "&amp;"""Finance"",
  REGEXMATCH(LOWER(VLOOKUP(A50, Data1_Raw_Slack!A:B, 2, FALSE)), ""auto|automotive""), ""Auto"",
  REGEXMATCH(LOWER(VLOOKUP(A50, Data1_Raw_Slack!A:B, 2, FALSE)), ""parenting|moms|dads|kids|toddlers|baby|parent|children""), ""Parenting"",
 "&amp;" REGEXMATCH(LOWER(VLOOKUP(A50, Data1_Raw_Slack!A:B, 2, FALSE)), ""education|students|learning|school|teachers|college|university|academics""), ""Education"",
  REGEXMATCH(LOWER(VLOOKUP(A50, Data1_Raw_Slack!A:B, 2, FALSE)), ""age|gender|demographic|family|"&amp;"household""), ""Demographics"",
  REGEXMATCH(LOWER(VLOOKUP(A50, Data1_Raw_Slack!A:B, 2, FALSE)), ""mortgage|real estate""), ""Real Estate"",REGEXMATCH(LOWER(VLOOKUP(A50, Data1_Raw_Slack!A:B, 2, FALSE)), ""technology|tech|gadgets|smartphone|electro|apps|de"&amp;"vices|computing|ai|robots|software|computer|internet|tele|mobile|tablet""), ""Technology"", REGEXMATCH(LOWER(VLOOKUP(A50, Data1_Raw_Slack!A:B, 2, FALSE)), ""entertainment|purchas|movies|tv|netflix|streaming|celebrity|movie lovers|tv fans|media|hobb|photo|"&amp;"art|shop""), ""Entertainment"", REGEXMATCH(LOWER(VLOOKUP(A50, Data1_Raw_Slack!A:B, 2, FALSE)), ""law|government|""), ""Law and Government"",
  TRUE, ""Other""
)"),"Finance")</f>
        <v>Finance</v>
      </c>
      <c r="G50" s="9"/>
      <c r="H50" s="9" t="s">
        <v>32</v>
      </c>
      <c r="I50" s="9" t="s">
        <v>307</v>
      </c>
      <c r="J50" s="9" t="s">
        <v>62</v>
      </c>
      <c r="K50" s="9" t="s">
        <v>56</v>
      </c>
      <c r="L50" s="9" t="s">
        <v>57</v>
      </c>
      <c r="M50" s="10" t="s">
        <v>130</v>
      </c>
      <c r="N50" s="9" t="str">
        <f ca="1">IFERROR(__xludf.DUMMYFUNCTION("REGEXEXTRACT(LOWER(M50), ""([a-z0-9\-]+)\.(?:co|net|org|io|gg)"")"),"weather")</f>
        <v>weather</v>
      </c>
      <c r="O50" s="9" t="s">
        <v>50</v>
      </c>
      <c r="P50" s="9" t="s">
        <v>39</v>
      </c>
      <c r="Q50" s="9">
        <v>12512</v>
      </c>
      <c r="R50" s="9">
        <v>69</v>
      </c>
      <c r="S50" s="9">
        <v>6240</v>
      </c>
      <c r="T50" s="9">
        <v>9672</v>
      </c>
      <c r="U50" s="9">
        <v>1</v>
      </c>
      <c r="V50" s="11">
        <v>2298.8889650000001</v>
      </c>
      <c r="W50" s="12">
        <f t="shared" si="0"/>
        <v>2298.8889650000001</v>
      </c>
      <c r="X50" s="12">
        <f t="shared" si="1"/>
        <v>0.55147058823529416</v>
      </c>
      <c r="Y50" s="12">
        <f t="shared" si="2"/>
        <v>49.872122762148337</v>
      </c>
      <c r="Z50" s="12">
        <f t="shared" si="3"/>
        <v>368.41169310897436</v>
      </c>
      <c r="AA50" s="12">
        <f t="shared" si="4"/>
        <v>183.7347318574169</v>
      </c>
      <c r="AB50" s="12">
        <f t="shared" si="5"/>
        <v>33.317231376811598</v>
      </c>
      <c r="AC50" s="12">
        <f t="shared" si="6"/>
        <v>1.4492753623188406</v>
      </c>
      <c r="AE50" s="13"/>
      <c r="AF50" s="13"/>
    </row>
    <row r="51" spans="1:32">
      <c r="A51" s="8" t="s">
        <v>308</v>
      </c>
      <c r="B51" s="9" t="s">
        <v>144</v>
      </c>
      <c r="C51" s="9" t="s">
        <v>193</v>
      </c>
      <c r="D51" s="9" t="s">
        <v>309</v>
      </c>
      <c r="E51" s="9" t="s">
        <v>310</v>
      </c>
      <c r="F51" s="9" t="str">
        <f ca="1">IFERROR(__xludf.DUMMYFUNCTION("IFS(
  REGEXMATCH(LOWER(VLOOKUP(A51, Data1_Raw_Slack!A:B, 2, FALSE)), ""news|weather""), ""News and Weather"", REGEXMATCH(LOWER(VLOOKUP(A51, Data1_Raw_Slack!A:B, 2, FALSE)), ""sports|ufc|nba|nfl|mlb|soccer|sports fans""), ""Sports"",
  REGEXMATCH(LOWER(VL"&amp;"OOKUP(A51, Data1_Raw_Slack!A:B, 2, FALSE)), ""fashion|style|clothing|apparel|shoes|accessories|beauty|cosmetics|fashionistas""), ""Fashion and Beauty"",
  REGEXMATCH(LOWER(VLOOKUP(A51, Data1_Raw_Slack!A:B, 2, FALSE)), ""food|cooking|recipe|restaurant|snac"&amp;"k|grocery|foodies""), ""Food"",
  REGEXMATCH(LOWER(VLOOKUP(A51, Data1_Raw_Slack!A:B, 2, FALSE)), ""travel|vacation|airline|hotel|trip|flights|travelers""), ""Travel"",
  REGEXMATCH(LOWER(VLOOKUP(A51, Data1_Raw_Slack!A:B, 2, FALSE)), ""fitness|workout|gym|"&amp;"exercise|yoga|wellness|fitness enthusiasts""), ""Fitness"",
  REGEXMATCH(LOWER(VLOOKUP(A51, Data1_Raw_Slack!A:B, 2, FALSE)), ""health|medical|pharmacy|mental health|doctor|health-conscious""), ""Health"",
  REGEXMATCH(LOWER(VLOOKUP(A51, Data1_Raw_Slack!A:"&amp;"B, 2, FALSE)), ""pets|dogs|cats|animals|pet care|pet lovers""), ""Pets"",
  REGEXMATCH(LOWER(VLOOKUP(A51, Data1_Raw_Slack!A:B, 2, FALSE)), ""games|gaming|game|xbox|playstation|nintendo|gamers""), ""Gaming"",
  REGEXMATCH(LOWER(VLOOKUP(A51, Data1_Raw_Slack"&amp;"!A:B, 2, FALSE)), ""entertainment|movies|tv|netflix|streaming|celebrity|movie lovers|tv fans|hobb|photo|art""), ""Entertainment"",
  REGEXMATCH(LOWER(VLOOKUP(A51, Data1_Raw_Slack!A:B, 2, FALSE)), ""lifestyle|home|interior|decor|living|lifestyle enthusiast"&amp;"s""), ""Lifestyle"",
  REGEXMATCH(LOWER(VLOOKUP(A51, Data1_Raw_Slack!A:B, 2, FALSE)), ""financial|finance|investing|stocks|retirement|banking|credit|debt|loans|savings|personal finance|insurance|econ|ecom|business|retail|occupation|sale|job|marketing""), "&amp;"""Finance"",
  REGEXMATCH(LOWER(VLOOKUP(A51, Data1_Raw_Slack!A:B, 2, FALSE)), ""auto|automotive""), ""Auto"",
  REGEXMATCH(LOWER(VLOOKUP(A51, Data1_Raw_Slack!A:B, 2, FALSE)), ""parenting|moms|dads|kids|toddlers|baby|parent|children""), ""Parenting"",
 "&amp;" REGEXMATCH(LOWER(VLOOKUP(A51, Data1_Raw_Slack!A:B, 2, FALSE)), ""education|students|learning|school|teachers|college|university|academics""), ""Education"",
  REGEXMATCH(LOWER(VLOOKUP(A51, Data1_Raw_Slack!A:B, 2, FALSE)), ""age|gender|demographic|family|"&amp;"household""), ""Demographics"",
  REGEXMATCH(LOWER(VLOOKUP(A51, Data1_Raw_Slack!A:B, 2, FALSE)), ""mortgage|real estate""), ""Real Estate"",REGEXMATCH(LOWER(VLOOKUP(A51, Data1_Raw_Slack!A:B, 2, FALSE)), ""technology|tech|gadgets|smartphone|electro|apps|de"&amp;"vices|computing|ai|robots|software|computer|internet|tele|mobile|tablet""), ""Technology"", REGEXMATCH(LOWER(VLOOKUP(A51, Data1_Raw_Slack!A:B, 2, FALSE)), ""entertainment|purchas|movies|tv|netflix|streaming|celebrity|movie lovers|tv fans|media|hobb|photo|"&amp;"art|shop""), ""Entertainment"", REGEXMATCH(LOWER(VLOOKUP(A51, Data1_Raw_Slack!A:B, 2, FALSE)), ""law|government|""), ""Law and Government"",
  TRUE, ""Other""
)"),"Entertainment")</f>
        <v>Entertainment</v>
      </c>
      <c r="G51" s="9" t="s">
        <v>69</v>
      </c>
      <c r="H51" s="9" t="s">
        <v>44</v>
      </c>
      <c r="I51" s="9" t="s">
        <v>311</v>
      </c>
      <c r="J51" s="9" t="s">
        <v>80</v>
      </c>
      <c r="K51" s="9" t="s">
        <v>148</v>
      </c>
      <c r="L51" s="9" t="s">
        <v>89</v>
      </c>
      <c r="M51" s="10" t="s">
        <v>112</v>
      </c>
      <c r="N51" s="9" t="str">
        <f ca="1">IFERROR(__xludf.DUMMYFUNCTION("REGEXEXTRACT(LOWER(M51), ""([a-z0-9\-]+)\.(?:co|net|org|io|gg)"")"),"ebay")</f>
        <v>ebay</v>
      </c>
      <c r="O51" s="9" t="s">
        <v>103</v>
      </c>
      <c r="P51" s="9" t="s">
        <v>39</v>
      </c>
      <c r="Q51" s="9">
        <v>77703</v>
      </c>
      <c r="R51" s="9">
        <v>204</v>
      </c>
      <c r="S51" s="9">
        <v>33478</v>
      </c>
      <c r="T51" s="9">
        <v>72874</v>
      </c>
      <c r="U51" s="9">
        <v>3</v>
      </c>
      <c r="V51" s="11">
        <v>1566.9124059999999</v>
      </c>
      <c r="W51" s="12">
        <f t="shared" si="0"/>
        <v>522.30413533333331</v>
      </c>
      <c r="X51" s="12">
        <f t="shared" si="1"/>
        <v>0.26253812594108333</v>
      </c>
      <c r="Y51" s="12">
        <f t="shared" si="2"/>
        <v>43.084565589488179</v>
      </c>
      <c r="Z51" s="12">
        <f t="shared" si="3"/>
        <v>46.804241770715095</v>
      </c>
      <c r="AA51" s="12">
        <f t="shared" si="4"/>
        <v>20.165404244366368</v>
      </c>
      <c r="AB51" s="12">
        <f t="shared" si="5"/>
        <v>7.6809431666666663</v>
      </c>
      <c r="AC51" s="12">
        <f t="shared" si="6"/>
        <v>1.4705882352941175</v>
      </c>
      <c r="AE51" s="13"/>
      <c r="AF51" s="13"/>
    </row>
    <row r="52" spans="1:32">
      <c r="A52" s="8" t="s">
        <v>312</v>
      </c>
      <c r="B52" s="9" t="s">
        <v>144</v>
      </c>
      <c r="C52" s="9" t="s">
        <v>253</v>
      </c>
      <c r="D52" s="9" t="s">
        <v>313</v>
      </c>
      <c r="E52" s="9"/>
      <c r="F52" s="9" t="str">
        <f ca="1">IFERROR(__xludf.DUMMYFUNCTION("IFS(
  REGEXMATCH(LOWER(VLOOKUP(A52, Data1_Raw_Slack!A:B, 2, FALSE)), ""news|weather""), ""News and Weather"", REGEXMATCH(LOWER(VLOOKUP(A52, Data1_Raw_Slack!A:B, 2, FALSE)), ""sports|ufc|nba|nfl|mlb|soccer|sports fans""), ""Sports"",
  REGEXMATCH(LOWER(VL"&amp;"OOKUP(A52, Data1_Raw_Slack!A:B, 2, FALSE)), ""fashion|style|clothing|apparel|shoes|accessories|beauty|cosmetics|fashionistas""), ""Fashion and Beauty"",
  REGEXMATCH(LOWER(VLOOKUP(A52, Data1_Raw_Slack!A:B, 2, FALSE)), ""food|cooking|recipe|restaurant|snac"&amp;"k|grocery|foodies""), ""Food"",
  REGEXMATCH(LOWER(VLOOKUP(A52, Data1_Raw_Slack!A:B, 2, FALSE)), ""travel|vacation|airline|hotel|trip|flights|travelers""), ""Travel"",
  REGEXMATCH(LOWER(VLOOKUP(A52, Data1_Raw_Slack!A:B, 2, FALSE)), ""fitness|workout|gym|"&amp;"exercise|yoga|wellness|fitness enthusiasts""), ""Fitness"",
  REGEXMATCH(LOWER(VLOOKUP(A52, Data1_Raw_Slack!A:B, 2, FALSE)), ""health|medical|pharmacy|mental health|doctor|health-conscious""), ""Health"",
  REGEXMATCH(LOWER(VLOOKUP(A52, Data1_Raw_Slack!A:"&amp;"B, 2, FALSE)), ""pets|dogs|cats|animals|pet care|pet lovers""), ""Pets"",
  REGEXMATCH(LOWER(VLOOKUP(A52, Data1_Raw_Slack!A:B, 2, FALSE)), ""games|gaming|game|xbox|playstation|nintendo|gamers""), ""Gaming"",
  REGEXMATCH(LOWER(VLOOKUP(A52, Data1_Raw_Slack"&amp;"!A:B, 2, FALSE)), ""entertainment|movies|tv|netflix|streaming|celebrity|movie lovers|tv fans|hobb|photo|art""), ""Entertainment"",
  REGEXMATCH(LOWER(VLOOKUP(A52, Data1_Raw_Slack!A:B, 2, FALSE)), ""lifestyle|home|interior|decor|living|lifestyle enthusiast"&amp;"s""), ""Lifestyle"",
  REGEXMATCH(LOWER(VLOOKUP(A52, Data1_Raw_Slack!A:B, 2, FALSE)), ""financial|finance|investing|stocks|retirement|banking|credit|debt|loans|savings|personal finance|insurance|econ|ecom|business|retail|occupation|sale|job|marketing""), "&amp;"""Finance"",
  REGEXMATCH(LOWER(VLOOKUP(A52, Data1_Raw_Slack!A:B, 2, FALSE)), ""auto|automotive""), ""Auto"",
  REGEXMATCH(LOWER(VLOOKUP(A52, Data1_Raw_Slack!A:B, 2, FALSE)), ""parenting|moms|dads|kids|toddlers|baby|parent|children""), ""Parenting"",
 "&amp;" REGEXMATCH(LOWER(VLOOKUP(A52, Data1_Raw_Slack!A:B, 2, FALSE)), ""education|students|learning|school|teachers|college|university|academics""), ""Education"",
  REGEXMATCH(LOWER(VLOOKUP(A52, Data1_Raw_Slack!A:B, 2, FALSE)), ""age|gender|demographic|family|"&amp;"household""), ""Demographics"",
  REGEXMATCH(LOWER(VLOOKUP(A52, Data1_Raw_Slack!A:B, 2, FALSE)), ""mortgage|real estate""), ""Real Estate"",REGEXMATCH(LOWER(VLOOKUP(A52, Data1_Raw_Slack!A:B, 2, FALSE)), ""technology|tech|gadgets|smartphone|electro|apps|de"&amp;"vices|computing|ai|robots|software|computer|internet|tele|mobile|tablet""), ""Technology"", REGEXMATCH(LOWER(VLOOKUP(A52, Data1_Raw_Slack!A:B, 2, FALSE)), ""entertainment|purchas|movies|tv|netflix|streaming|celebrity|movie lovers|tv fans|media|hobb|photo|"&amp;"art|shop""), ""Entertainment"", REGEXMATCH(LOWER(VLOOKUP(A52, Data1_Raw_Slack!A:B, 2, FALSE)), ""law|government|""), ""Law and Government"",
  TRUE, ""Other""
)"),"Entertainment")</f>
        <v>Entertainment</v>
      </c>
      <c r="G52" s="9"/>
      <c r="H52" s="9" t="s">
        <v>44</v>
      </c>
      <c r="I52" s="9" t="s">
        <v>314</v>
      </c>
      <c r="J52" s="9" t="s">
        <v>34</v>
      </c>
      <c r="K52" s="9" t="s">
        <v>315</v>
      </c>
      <c r="L52" s="9" t="s">
        <v>36</v>
      </c>
      <c r="M52" s="10" t="s">
        <v>316</v>
      </c>
      <c r="N52" s="9" t="str">
        <f ca="1">IFERROR(__xludf.DUMMYFUNCTION("REGEXEXTRACT(LOWER(M52), ""([a-z0-9\-]+)\.(?:co|net|org|io|gg)"")"),"cargurus")</f>
        <v>cargurus</v>
      </c>
      <c r="O52" s="9" t="s">
        <v>317</v>
      </c>
      <c r="P52" s="9" t="s">
        <v>39</v>
      </c>
      <c r="Q52" s="9">
        <v>7409</v>
      </c>
      <c r="R52" s="9">
        <v>10</v>
      </c>
      <c r="S52" s="9">
        <v>5009</v>
      </c>
      <c r="T52" s="9">
        <v>7160</v>
      </c>
      <c r="U52" s="9">
        <v>12</v>
      </c>
      <c r="V52" s="11">
        <v>1472.110115</v>
      </c>
      <c r="W52" s="12">
        <f t="shared" si="0"/>
        <v>122.67584291666667</v>
      </c>
      <c r="X52" s="12">
        <f t="shared" si="1"/>
        <v>0.13497098123903362</v>
      </c>
      <c r="Y52" s="12">
        <f t="shared" si="2"/>
        <v>67.606964502631939</v>
      </c>
      <c r="Z52" s="12">
        <f t="shared" si="3"/>
        <v>293.89301557197047</v>
      </c>
      <c r="AA52" s="12">
        <f t="shared" si="4"/>
        <v>198.69214671345662</v>
      </c>
      <c r="AB52" s="12">
        <f t="shared" si="5"/>
        <v>147.21101149999998</v>
      </c>
      <c r="AC52" s="12">
        <f t="shared" si="6"/>
        <v>120</v>
      </c>
      <c r="AE52" s="13"/>
      <c r="AF52" s="13"/>
    </row>
    <row r="53" spans="1:32">
      <c r="A53" s="8" t="s">
        <v>318</v>
      </c>
      <c r="B53" s="9" t="s">
        <v>41</v>
      </c>
      <c r="C53" s="9" t="s">
        <v>319</v>
      </c>
      <c r="D53" s="9" t="s">
        <v>320</v>
      </c>
      <c r="E53" s="9" t="s">
        <v>321</v>
      </c>
      <c r="F53" s="9" t="str">
        <f ca="1">IFERROR(__xludf.DUMMYFUNCTION("IFS(
  REGEXMATCH(LOWER(VLOOKUP(A53, Data1_Raw_Slack!A:B, 2, FALSE)), ""news|weather""), ""News and Weather"", REGEXMATCH(LOWER(VLOOKUP(A53, Data1_Raw_Slack!A:B, 2, FALSE)), ""sports|ufc|nba|nfl|mlb|soccer|sports fans""), ""Sports"",
  REGEXMATCH(LOWER(VL"&amp;"OOKUP(A53, Data1_Raw_Slack!A:B, 2, FALSE)), ""fashion|style|clothing|apparel|shoes|accessories|beauty|cosmetics|fashionistas""), ""Fashion and Beauty"",
  REGEXMATCH(LOWER(VLOOKUP(A53, Data1_Raw_Slack!A:B, 2, FALSE)), ""food|cooking|recipe|restaurant|snac"&amp;"k|grocery|foodies""), ""Food"",
  REGEXMATCH(LOWER(VLOOKUP(A53, Data1_Raw_Slack!A:B, 2, FALSE)), ""travel|vacation|airline|hotel|trip|flights|travelers""), ""Travel"",
  REGEXMATCH(LOWER(VLOOKUP(A53, Data1_Raw_Slack!A:B, 2, FALSE)), ""fitness|workout|gym|"&amp;"exercise|yoga|wellness|fitness enthusiasts""), ""Fitness"",
  REGEXMATCH(LOWER(VLOOKUP(A53, Data1_Raw_Slack!A:B, 2, FALSE)), ""health|medical|pharmacy|mental health|doctor|health-conscious""), ""Health"",
  REGEXMATCH(LOWER(VLOOKUP(A53, Data1_Raw_Slack!A:"&amp;"B, 2, FALSE)), ""pets|dogs|cats|animals|pet care|pet lovers""), ""Pets"",
  REGEXMATCH(LOWER(VLOOKUP(A53, Data1_Raw_Slack!A:B, 2, FALSE)), ""games|gaming|game|xbox|playstation|nintendo|gamers""), ""Gaming"",
  REGEXMATCH(LOWER(VLOOKUP(A53, Data1_Raw_Slack"&amp;"!A:B, 2, FALSE)), ""entertainment|movies|tv|netflix|streaming|celebrity|movie lovers|tv fans|hobb|photo|art""), ""Entertainment"",
  REGEXMATCH(LOWER(VLOOKUP(A53, Data1_Raw_Slack!A:B, 2, FALSE)), ""lifestyle|home|interior|decor|living|lifestyle enthusiast"&amp;"s""), ""Lifestyle"",
  REGEXMATCH(LOWER(VLOOKUP(A53, Data1_Raw_Slack!A:B, 2, FALSE)), ""financial|finance|investing|stocks|retirement|banking|credit|debt|loans|savings|personal finance|insurance|econ|ecom|business|retail|occupation|sale|job|marketing""), "&amp;"""Finance"",
  REGEXMATCH(LOWER(VLOOKUP(A53, Data1_Raw_Slack!A:B, 2, FALSE)), ""auto|automotive""), ""Auto"",
  REGEXMATCH(LOWER(VLOOKUP(A53, Data1_Raw_Slack!A:B, 2, FALSE)), ""parenting|moms|dads|kids|toddlers|baby|parent|children""), ""Parenting"",
 "&amp;" REGEXMATCH(LOWER(VLOOKUP(A53, Data1_Raw_Slack!A:B, 2, FALSE)), ""education|students|learning|school|teachers|college|university|academics""), ""Education"",
  REGEXMATCH(LOWER(VLOOKUP(A53, Data1_Raw_Slack!A:B, 2, FALSE)), ""age|gender|demographic|family|"&amp;"household""), ""Demographics"",
  REGEXMATCH(LOWER(VLOOKUP(A53, Data1_Raw_Slack!A:B, 2, FALSE)), ""mortgage|real estate""), ""Real Estate"",REGEXMATCH(LOWER(VLOOKUP(A53, Data1_Raw_Slack!A:B, 2, FALSE)), ""technology|tech|gadgets|smartphone|electro|apps|de"&amp;"vices|computing|ai|robots|software|computer|internet|tele|mobile|tablet""), ""Technology"", REGEXMATCH(LOWER(VLOOKUP(A53, Data1_Raw_Slack!A:B, 2, FALSE)), ""entertainment|purchas|movies|tv|netflix|streaming|celebrity|movie lovers|tv fans|media|hobb|photo|"&amp;"art|shop""), ""Entertainment"", REGEXMATCH(LOWER(VLOOKUP(A53, Data1_Raw_Slack!A:B, 2, FALSE)), ""law|government|""), ""Law and Government"",
  TRUE, ""Other""
)"),"Food")</f>
        <v>Food</v>
      </c>
      <c r="G53" s="9"/>
      <c r="H53" s="9" t="s">
        <v>44</v>
      </c>
      <c r="I53" s="9" t="s">
        <v>322</v>
      </c>
      <c r="J53" s="9" t="s">
        <v>46</v>
      </c>
      <c r="K53" s="9" t="s">
        <v>176</v>
      </c>
      <c r="L53" s="9" t="s">
        <v>36</v>
      </c>
      <c r="M53" s="10" t="s">
        <v>323</v>
      </c>
      <c r="N53" s="9" t="str">
        <f ca="1">IFERROR(__xludf.DUMMYFUNCTION("REGEXEXTRACT(LOWER(M53), ""([a-z0-9\-]+)\.(?:co|net|org|io|gg)"")"),"lotterypost")</f>
        <v>lotterypost</v>
      </c>
      <c r="O53" s="9" t="s">
        <v>131</v>
      </c>
      <c r="P53" s="9" t="s">
        <v>39</v>
      </c>
      <c r="Q53" s="9">
        <v>150457</v>
      </c>
      <c r="R53" s="9">
        <v>420</v>
      </c>
      <c r="S53" s="9">
        <v>58372</v>
      </c>
      <c r="T53" s="9">
        <v>135099</v>
      </c>
      <c r="U53" s="9">
        <v>14</v>
      </c>
      <c r="V53" s="11">
        <v>5906.8300060000001</v>
      </c>
      <c r="W53" s="12">
        <f t="shared" si="0"/>
        <v>421.91642899999999</v>
      </c>
      <c r="X53" s="12">
        <f t="shared" si="1"/>
        <v>0.27914952444884583</v>
      </c>
      <c r="Y53" s="12">
        <f t="shared" si="2"/>
        <v>38.796466764590548</v>
      </c>
      <c r="Z53" s="12">
        <f t="shared" si="3"/>
        <v>101.19286654560405</v>
      </c>
      <c r="AA53" s="12">
        <f t="shared" si="4"/>
        <v>39.259256837501745</v>
      </c>
      <c r="AB53" s="12">
        <f t="shared" si="5"/>
        <v>14.063880966666668</v>
      </c>
      <c r="AC53" s="12">
        <f t="shared" si="6"/>
        <v>3.3333333333333335</v>
      </c>
      <c r="AE53" s="13"/>
      <c r="AF53" s="13"/>
    </row>
    <row r="54" spans="1:32">
      <c r="A54" s="8" t="s">
        <v>324</v>
      </c>
      <c r="B54" s="9" t="s">
        <v>325</v>
      </c>
      <c r="C54" s="9" t="s">
        <v>326</v>
      </c>
      <c r="D54" s="9" t="s">
        <v>327</v>
      </c>
      <c r="E54" s="9"/>
      <c r="F54" s="9" t="str">
        <f ca="1">IFERROR(__xludf.DUMMYFUNCTION("IFS(
  REGEXMATCH(LOWER(VLOOKUP(A54, Data1_Raw_Slack!A:B, 2, FALSE)), ""news|weather""), ""News and Weather"", REGEXMATCH(LOWER(VLOOKUP(A54, Data1_Raw_Slack!A:B, 2, FALSE)), ""sports|ufc|nba|nfl|mlb|soccer|sports fans""), ""Sports"",
  REGEXMATCH(LOWER(VL"&amp;"OOKUP(A54, Data1_Raw_Slack!A:B, 2, FALSE)), ""fashion|style|clothing|apparel|shoes|accessories|beauty|cosmetics|fashionistas""), ""Fashion and Beauty"",
  REGEXMATCH(LOWER(VLOOKUP(A54, Data1_Raw_Slack!A:B, 2, FALSE)), ""food|cooking|recipe|restaurant|snac"&amp;"k|grocery|foodies""), ""Food"",
  REGEXMATCH(LOWER(VLOOKUP(A54, Data1_Raw_Slack!A:B, 2, FALSE)), ""travel|vacation|airline|hotel|trip|flights|travelers""), ""Travel"",
  REGEXMATCH(LOWER(VLOOKUP(A54, Data1_Raw_Slack!A:B, 2, FALSE)), ""fitness|workout|gym|"&amp;"exercise|yoga|wellness|fitness enthusiasts""), ""Fitness"",
  REGEXMATCH(LOWER(VLOOKUP(A54, Data1_Raw_Slack!A:B, 2, FALSE)), ""health|medical|pharmacy|mental health|doctor|health-conscious""), ""Health"",
  REGEXMATCH(LOWER(VLOOKUP(A54, Data1_Raw_Slack!A:"&amp;"B, 2, FALSE)), ""pets|dogs|cats|animals|pet care|pet lovers""), ""Pets"",
  REGEXMATCH(LOWER(VLOOKUP(A54, Data1_Raw_Slack!A:B, 2, FALSE)), ""games|gaming|game|xbox|playstation|nintendo|gamers""), ""Gaming"",
  REGEXMATCH(LOWER(VLOOKUP(A54, Data1_Raw_Slack"&amp;"!A:B, 2, FALSE)), ""entertainment|movies|tv|netflix|streaming|celebrity|movie lovers|tv fans|hobb|photo|art""), ""Entertainment"",
  REGEXMATCH(LOWER(VLOOKUP(A54, Data1_Raw_Slack!A:B, 2, FALSE)), ""lifestyle|home|interior|decor|living|lifestyle enthusiast"&amp;"s""), ""Lifestyle"",
  REGEXMATCH(LOWER(VLOOKUP(A54, Data1_Raw_Slack!A:B, 2, FALSE)), ""financial|finance|investing|stocks|retirement|banking|credit|debt|loans|savings|personal finance|insurance|econ|ecom|business|retail|occupation|sale|job|marketing""), "&amp;"""Finance"",
  REGEXMATCH(LOWER(VLOOKUP(A54, Data1_Raw_Slack!A:B, 2, FALSE)), ""auto|automotive""), ""Auto"",
  REGEXMATCH(LOWER(VLOOKUP(A54, Data1_Raw_Slack!A:B, 2, FALSE)), ""parenting|moms|dads|kids|toddlers|baby|parent|children""), ""Parenting"",
 "&amp;" REGEXMATCH(LOWER(VLOOKUP(A54, Data1_Raw_Slack!A:B, 2, FALSE)), ""education|students|learning|school|teachers|college|university|academics""), ""Education"",
  REGEXMATCH(LOWER(VLOOKUP(A54, Data1_Raw_Slack!A:B, 2, FALSE)), ""age|gender|demographic|family|"&amp;"household""), ""Demographics"",
  REGEXMATCH(LOWER(VLOOKUP(A54, Data1_Raw_Slack!A:B, 2, FALSE)), ""mortgage|real estate""), ""Real Estate"",REGEXMATCH(LOWER(VLOOKUP(A54, Data1_Raw_Slack!A:B, 2, FALSE)), ""technology|tech|gadgets|smartphone|electro|apps|de"&amp;"vices|computing|ai|robots|software|computer|internet|tele|mobile|tablet""), ""Technology"", REGEXMATCH(LOWER(VLOOKUP(A54, Data1_Raw_Slack!A:B, 2, FALSE)), ""entertainment|purchas|movies|tv|netflix|streaming|celebrity|movie lovers|tv fans|media|hobb|photo|"&amp;"art|shop""), ""Entertainment"", REGEXMATCH(LOWER(VLOOKUP(A54, Data1_Raw_Slack!A:B, 2, FALSE)), ""law|government|""), ""Law and Government"",
  TRUE, ""Other""
)"),"Demographics")</f>
        <v>Demographics</v>
      </c>
      <c r="G54" s="9"/>
      <c r="H54" s="9" t="s">
        <v>44</v>
      </c>
      <c r="I54" s="9" t="s">
        <v>328</v>
      </c>
      <c r="J54" s="9" t="s">
        <v>80</v>
      </c>
      <c r="K54" s="9" t="s">
        <v>35</v>
      </c>
      <c r="L54" s="9" t="s">
        <v>36</v>
      </c>
      <c r="M54" s="10" t="s">
        <v>58</v>
      </c>
      <c r="N54" s="9" t="str">
        <f ca="1">IFERROR(__xludf.DUMMYFUNCTION("REGEXEXTRACT(LOWER(M54), ""([a-z0-9\-]+)\.(?:co|net|org|io|gg)"")"),"forbes")</f>
        <v>forbes</v>
      </c>
      <c r="O54" s="9" t="s">
        <v>50</v>
      </c>
      <c r="P54" s="9" t="s">
        <v>75</v>
      </c>
      <c r="Q54" s="9">
        <v>69239</v>
      </c>
      <c r="R54" s="9">
        <v>160</v>
      </c>
      <c r="S54" s="9">
        <v>23112</v>
      </c>
      <c r="T54" s="9">
        <v>65390</v>
      </c>
      <c r="U54" s="9">
        <v>1</v>
      </c>
      <c r="V54" s="11">
        <v>4514.9527239999998</v>
      </c>
      <c r="W54" s="12">
        <f t="shared" si="0"/>
        <v>4514.9527239999998</v>
      </c>
      <c r="X54" s="12">
        <f t="shared" si="1"/>
        <v>0.23108363783416863</v>
      </c>
      <c r="Y54" s="12">
        <f t="shared" si="2"/>
        <v>33.380031485145658</v>
      </c>
      <c r="Z54" s="12">
        <f t="shared" si="3"/>
        <v>195.35101782623747</v>
      </c>
      <c r="AA54" s="12">
        <f t="shared" si="4"/>
        <v>65.208231256950569</v>
      </c>
      <c r="AB54" s="12">
        <f t="shared" si="5"/>
        <v>28.218454524999999</v>
      </c>
      <c r="AC54" s="12">
        <f t="shared" si="6"/>
        <v>0.625</v>
      </c>
      <c r="AE54" s="13"/>
      <c r="AF54" s="13"/>
    </row>
    <row r="55" spans="1:32">
      <c r="A55" s="8" t="s">
        <v>329</v>
      </c>
      <c r="B55" s="9" t="s">
        <v>52</v>
      </c>
      <c r="C55" s="9" t="s">
        <v>224</v>
      </c>
      <c r="D55" s="9" t="s">
        <v>330</v>
      </c>
      <c r="E55" s="9"/>
      <c r="F55" s="9" t="str">
        <f ca="1">IFERROR(__xludf.DUMMYFUNCTION("IFS(
  REGEXMATCH(LOWER(VLOOKUP(A55, Data1_Raw_Slack!A:B, 2, FALSE)), ""news|weather""), ""News and Weather"", REGEXMATCH(LOWER(VLOOKUP(A55, Data1_Raw_Slack!A:B, 2, FALSE)), ""sports|ufc|nba|nfl|mlb|soccer|sports fans""), ""Sports"",
  REGEXMATCH(LOWER(VL"&amp;"OOKUP(A55, Data1_Raw_Slack!A:B, 2, FALSE)), ""fashion|style|clothing|apparel|shoes|accessories|beauty|cosmetics|fashionistas""), ""Fashion and Beauty"",
  REGEXMATCH(LOWER(VLOOKUP(A55, Data1_Raw_Slack!A:B, 2, FALSE)), ""food|cooking|recipe|restaurant|snac"&amp;"k|grocery|foodies""), ""Food"",
  REGEXMATCH(LOWER(VLOOKUP(A55, Data1_Raw_Slack!A:B, 2, FALSE)), ""travel|vacation|airline|hotel|trip|flights|travelers""), ""Travel"",
  REGEXMATCH(LOWER(VLOOKUP(A55, Data1_Raw_Slack!A:B, 2, FALSE)), ""fitness|workout|gym|"&amp;"exercise|yoga|wellness|fitness enthusiasts""), ""Fitness"",
  REGEXMATCH(LOWER(VLOOKUP(A55, Data1_Raw_Slack!A:B, 2, FALSE)), ""health|medical|pharmacy|mental health|doctor|health-conscious""), ""Health"",
  REGEXMATCH(LOWER(VLOOKUP(A55, Data1_Raw_Slack!A:"&amp;"B, 2, FALSE)), ""pets|dogs|cats|animals|pet care|pet lovers""), ""Pets"",
  REGEXMATCH(LOWER(VLOOKUP(A55, Data1_Raw_Slack!A:B, 2, FALSE)), ""games|gaming|game|xbox|playstation|nintendo|gamers""), ""Gaming"",
  REGEXMATCH(LOWER(VLOOKUP(A55, Data1_Raw_Slack"&amp;"!A:B, 2, FALSE)), ""entertainment|movies|tv|netflix|streaming|celebrity|movie lovers|tv fans|hobb|photo|art""), ""Entertainment"",
  REGEXMATCH(LOWER(VLOOKUP(A55, Data1_Raw_Slack!A:B, 2, FALSE)), ""lifestyle|home|interior|decor|living|lifestyle enthusiast"&amp;"s""), ""Lifestyle"",
  REGEXMATCH(LOWER(VLOOKUP(A55, Data1_Raw_Slack!A:B, 2, FALSE)), ""financial|finance|investing|stocks|retirement|banking|credit|debt|loans|savings|personal finance|insurance|econ|ecom|business|retail|occupation|sale|job|marketing""), "&amp;"""Finance"",
  REGEXMATCH(LOWER(VLOOKUP(A55, Data1_Raw_Slack!A:B, 2, FALSE)), ""auto|automotive""), ""Auto"",
  REGEXMATCH(LOWER(VLOOKUP(A55, Data1_Raw_Slack!A:B, 2, FALSE)), ""parenting|moms|dads|kids|toddlers|baby|parent|children""), ""Parenting"",
 "&amp;" REGEXMATCH(LOWER(VLOOKUP(A55, Data1_Raw_Slack!A:B, 2, FALSE)), ""education|students|learning|school|teachers|college|university|academics""), ""Education"",
  REGEXMATCH(LOWER(VLOOKUP(A55, Data1_Raw_Slack!A:B, 2, FALSE)), ""age|gender|demographic|family|"&amp;"household""), ""Demographics"",
  REGEXMATCH(LOWER(VLOOKUP(A55, Data1_Raw_Slack!A:B, 2, FALSE)), ""mortgage|real estate""), ""Real Estate"",REGEXMATCH(LOWER(VLOOKUP(A55, Data1_Raw_Slack!A:B, 2, FALSE)), ""technology|tech|gadgets|smartphone|electro|apps|de"&amp;"vices|computing|ai|robots|software|computer|internet|tele|mobile|tablet""), ""Technology"", REGEXMATCH(LOWER(VLOOKUP(A55, Data1_Raw_Slack!A:B, 2, FALSE)), ""entertainment|purchas|movies|tv|netflix|streaming|celebrity|movie lovers|tv fans|media|hobb|photo|"&amp;"art|shop""), ""Entertainment"", REGEXMATCH(LOWER(VLOOKUP(A55, Data1_Raw_Slack!A:B, 2, FALSE)), ""law|government|""), ""Law and Government"",
  TRUE, ""Other""
)"),"Finance")</f>
        <v>Finance</v>
      </c>
      <c r="G55" s="9" t="s">
        <v>127</v>
      </c>
      <c r="H55" s="9" t="s">
        <v>44</v>
      </c>
      <c r="I55" s="9" t="s">
        <v>331</v>
      </c>
      <c r="J55" s="9" t="s">
        <v>62</v>
      </c>
      <c r="K55" s="9" t="s">
        <v>148</v>
      </c>
      <c r="L55" s="9" t="s">
        <v>89</v>
      </c>
      <c r="M55" s="10" t="s">
        <v>332</v>
      </c>
      <c r="N55" s="9" t="str">
        <f ca="1">IFERROR(__xludf.DUMMYFUNCTION("REGEXEXTRACT(LOWER(M55), ""([a-z0-9\-]+)\.(?:co|net|org|io|gg)"")"),"apnews")</f>
        <v>apnews</v>
      </c>
      <c r="O55" s="9" t="s">
        <v>50</v>
      </c>
      <c r="P55" s="9" t="s">
        <v>39</v>
      </c>
      <c r="Q55" s="9">
        <v>12864</v>
      </c>
      <c r="R55" s="9">
        <v>84</v>
      </c>
      <c r="S55" s="9">
        <v>5549</v>
      </c>
      <c r="T55" s="9">
        <v>11852</v>
      </c>
      <c r="U55" s="9">
        <v>5</v>
      </c>
      <c r="V55" s="11">
        <v>1905.8896930000001</v>
      </c>
      <c r="W55" s="12">
        <f t="shared" si="0"/>
        <v>381.1779386</v>
      </c>
      <c r="X55" s="12">
        <f t="shared" si="1"/>
        <v>0.65298507462686561</v>
      </c>
      <c r="Y55" s="12">
        <f t="shared" si="2"/>
        <v>43.135883084577117</v>
      </c>
      <c r="Z55" s="12">
        <f t="shared" si="3"/>
        <v>343.46543395206345</v>
      </c>
      <c r="AA55" s="12">
        <f t="shared" si="4"/>
        <v>148.15684802549754</v>
      </c>
      <c r="AB55" s="12">
        <f t="shared" si="5"/>
        <v>22.689163011904764</v>
      </c>
      <c r="AC55" s="12">
        <f t="shared" si="6"/>
        <v>5.9523809523809517</v>
      </c>
      <c r="AE55" s="13"/>
      <c r="AF55" s="13"/>
    </row>
    <row r="56" spans="1:32">
      <c r="A56" s="8" t="s">
        <v>333</v>
      </c>
      <c r="B56" s="9" t="s">
        <v>334</v>
      </c>
      <c r="C56" s="9"/>
      <c r="D56" s="9"/>
      <c r="E56" s="9"/>
      <c r="F56" s="9" t="str">
        <f ca="1">IFERROR(__xludf.DUMMYFUNCTION("IFS(
  REGEXMATCH(LOWER(VLOOKUP(A56, Data1_Raw_Slack!A:B, 2, FALSE)), ""news|weather""), ""News and Weather"", REGEXMATCH(LOWER(VLOOKUP(A56, Data1_Raw_Slack!A:B, 2, FALSE)), ""sports|ufc|nba|nfl|mlb|soccer|sports fans""), ""Sports"",
  REGEXMATCH(LOWER(VL"&amp;"OOKUP(A56, Data1_Raw_Slack!A:B, 2, FALSE)), ""fashion|style|clothing|apparel|shoes|accessories|beauty|cosmetics|fashionistas""), ""Fashion and Beauty"",
  REGEXMATCH(LOWER(VLOOKUP(A56, Data1_Raw_Slack!A:B, 2, FALSE)), ""food|cooking|recipe|restaurant|snac"&amp;"k|grocery|foodies""), ""Food"",
  REGEXMATCH(LOWER(VLOOKUP(A56, Data1_Raw_Slack!A:B, 2, FALSE)), ""travel|vacation|airline|hotel|trip|flights|travelers""), ""Travel"",
  REGEXMATCH(LOWER(VLOOKUP(A56, Data1_Raw_Slack!A:B, 2, FALSE)), ""fitness|workout|gym|"&amp;"exercise|yoga|wellness|fitness enthusiasts""), ""Fitness"",
  REGEXMATCH(LOWER(VLOOKUP(A56, Data1_Raw_Slack!A:B, 2, FALSE)), ""health|medical|pharmacy|mental health|doctor|health-conscious""), ""Health"",
  REGEXMATCH(LOWER(VLOOKUP(A56, Data1_Raw_Slack!A:"&amp;"B, 2, FALSE)), ""pets|dogs|cats|animals|pet care|pet lovers""), ""Pets"",
  REGEXMATCH(LOWER(VLOOKUP(A56, Data1_Raw_Slack!A:B, 2, FALSE)), ""games|gaming|game|xbox|playstation|nintendo|gamers""), ""Gaming"",
  REGEXMATCH(LOWER(VLOOKUP(A56, Data1_Raw_Slack"&amp;"!A:B, 2, FALSE)), ""entertainment|movies|tv|netflix|streaming|celebrity|movie lovers|tv fans|hobb|photo|art""), ""Entertainment"",
  REGEXMATCH(LOWER(VLOOKUP(A56, Data1_Raw_Slack!A:B, 2, FALSE)), ""lifestyle|home|interior|decor|living|lifestyle enthusiast"&amp;"s""), ""Lifestyle"",
  REGEXMATCH(LOWER(VLOOKUP(A56, Data1_Raw_Slack!A:B, 2, FALSE)), ""financial|finance|investing|stocks|retirement|banking|credit|debt|loans|savings|personal finance|insurance|econ|ecom|business|retail|occupation|sale|job|marketing""), "&amp;"""Finance"",
  REGEXMATCH(LOWER(VLOOKUP(A56, Data1_Raw_Slack!A:B, 2, FALSE)), ""auto|automotive""), ""Auto"",
  REGEXMATCH(LOWER(VLOOKUP(A56, Data1_Raw_Slack!A:B, 2, FALSE)), ""parenting|moms|dads|kids|toddlers|baby|parent|children""), ""Parenting"",
 "&amp;" REGEXMATCH(LOWER(VLOOKUP(A56, Data1_Raw_Slack!A:B, 2, FALSE)), ""education|students|learning|school|teachers|college|university|academics""), ""Education"",
  REGEXMATCH(LOWER(VLOOKUP(A56, Data1_Raw_Slack!A:B, 2, FALSE)), ""age|gender|demographic|family|"&amp;"household""), ""Demographics"",
  REGEXMATCH(LOWER(VLOOKUP(A56, Data1_Raw_Slack!A:B, 2, FALSE)), ""mortgage|real estate""), ""Real Estate"",REGEXMATCH(LOWER(VLOOKUP(A56, Data1_Raw_Slack!A:B, 2, FALSE)), ""technology|tech|gadgets|smartphone|electro|apps|de"&amp;"vices|computing|ai|robots|software|computer|internet|tele|mobile|tablet""), ""Technology"", REGEXMATCH(LOWER(VLOOKUP(A56, Data1_Raw_Slack!A:B, 2, FALSE)), ""entertainment|purchas|movies|tv|netflix|streaming|celebrity|movie lovers|tv fans|media|hobb|photo|"&amp;"art|shop""), ""Entertainment"", REGEXMATCH(LOWER(VLOOKUP(A56, Data1_Raw_Slack!A:B, 2, FALSE)), ""law|government|""), ""Law and Government"",
  TRUE, ""Other""
)"),"Technology")</f>
        <v>Technology</v>
      </c>
      <c r="G56" s="9"/>
      <c r="H56" s="9" t="s">
        <v>44</v>
      </c>
      <c r="I56" s="9" t="s">
        <v>335</v>
      </c>
      <c r="J56" s="9" t="s">
        <v>80</v>
      </c>
      <c r="K56" s="9" t="s">
        <v>71</v>
      </c>
      <c r="L56" s="9" t="s">
        <v>72</v>
      </c>
      <c r="M56" s="10" t="s">
        <v>166</v>
      </c>
      <c r="N56" s="9" t="str">
        <f ca="1">IFERROR(__xludf.DUMMYFUNCTION("REGEXEXTRACT(LOWER(M56), ""([a-z0-9\-]+)\.(?:co|net|org|io|gg)"")"),"nypost")</f>
        <v>nypost</v>
      </c>
      <c r="O56" s="9" t="s">
        <v>74</v>
      </c>
      <c r="P56" s="9" t="s">
        <v>64</v>
      </c>
      <c r="Q56" s="9">
        <v>73567</v>
      </c>
      <c r="R56" s="9">
        <v>197</v>
      </c>
      <c r="S56" s="9">
        <v>28800</v>
      </c>
      <c r="T56" s="9">
        <v>68566</v>
      </c>
      <c r="U56" s="9">
        <v>2</v>
      </c>
      <c r="V56" s="11">
        <v>1567.3660709999999</v>
      </c>
      <c r="W56" s="12">
        <f t="shared" si="0"/>
        <v>783.68303549999996</v>
      </c>
      <c r="X56" s="12">
        <f t="shared" si="1"/>
        <v>0.26778310927453886</v>
      </c>
      <c r="Y56" s="12">
        <f t="shared" si="2"/>
        <v>39.147987548765073</v>
      </c>
      <c r="Z56" s="12">
        <f t="shared" si="3"/>
        <v>54.422433020833324</v>
      </c>
      <c r="AA56" s="12">
        <f t="shared" si="4"/>
        <v>21.305287302730843</v>
      </c>
      <c r="AB56" s="12">
        <f t="shared" si="5"/>
        <v>7.956172949238578</v>
      </c>
      <c r="AC56" s="12">
        <f t="shared" si="6"/>
        <v>1.015228426395939</v>
      </c>
      <c r="AE56" s="13"/>
      <c r="AF56" s="13"/>
    </row>
    <row r="57" spans="1:32">
      <c r="A57" s="8" t="s">
        <v>336</v>
      </c>
      <c r="B57" s="9" t="s">
        <v>144</v>
      </c>
      <c r="C57" s="9" t="s">
        <v>145</v>
      </c>
      <c r="D57" s="9" t="s">
        <v>337</v>
      </c>
      <c r="E57" s="9"/>
      <c r="F57" s="9" t="str">
        <f ca="1">IFERROR(__xludf.DUMMYFUNCTION("IFS(
  REGEXMATCH(LOWER(VLOOKUP(A57, Data1_Raw_Slack!A:B, 2, FALSE)), ""news|weather""), ""News and Weather"", REGEXMATCH(LOWER(VLOOKUP(A57, Data1_Raw_Slack!A:B, 2, FALSE)), ""sports|ufc|nba|nfl|mlb|soccer|sports fans""), ""Sports"",
  REGEXMATCH(LOWER(VL"&amp;"OOKUP(A57, Data1_Raw_Slack!A:B, 2, FALSE)), ""fashion|style|clothing|apparel|shoes|accessories|beauty|cosmetics|fashionistas""), ""Fashion and Beauty"",
  REGEXMATCH(LOWER(VLOOKUP(A57, Data1_Raw_Slack!A:B, 2, FALSE)), ""food|cooking|recipe|restaurant|snac"&amp;"k|grocery|foodies""), ""Food"",
  REGEXMATCH(LOWER(VLOOKUP(A57, Data1_Raw_Slack!A:B, 2, FALSE)), ""travel|vacation|airline|hotel|trip|flights|travelers""), ""Travel"",
  REGEXMATCH(LOWER(VLOOKUP(A57, Data1_Raw_Slack!A:B, 2, FALSE)), ""fitness|workout|gym|"&amp;"exercise|yoga|wellness|fitness enthusiasts""), ""Fitness"",
  REGEXMATCH(LOWER(VLOOKUP(A57, Data1_Raw_Slack!A:B, 2, FALSE)), ""health|medical|pharmacy|mental health|doctor|health-conscious""), ""Health"",
  REGEXMATCH(LOWER(VLOOKUP(A57, Data1_Raw_Slack!A:"&amp;"B, 2, FALSE)), ""pets|dogs|cats|animals|pet care|pet lovers""), ""Pets"",
  REGEXMATCH(LOWER(VLOOKUP(A57, Data1_Raw_Slack!A:B, 2, FALSE)), ""games|gaming|game|xbox|playstation|nintendo|gamers""), ""Gaming"",
  REGEXMATCH(LOWER(VLOOKUP(A57, Data1_Raw_Slack"&amp;"!A:B, 2, FALSE)), ""entertainment|movies|tv|netflix|streaming|celebrity|movie lovers|tv fans|hobb|photo|art""), ""Entertainment"",
  REGEXMATCH(LOWER(VLOOKUP(A57, Data1_Raw_Slack!A:B, 2, FALSE)), ""lifestyle|home|interior|decor|living|lifestyle enthusiast"&amp;"s""), ""Lifestyle"",
  REGEXMATCH(LOWER(VLOOKUP(A57, Data1_Raw_Slack!A:B, 2, FALSE)), ""financial|finance|investing|stocks|retirement|banking|credit|debt|loans|savings|personal finance|insurance|econ|ecom|business|retail|occupation|sale|job|marketing""), "&amp;"""Finance"",
  REGEXMATCH(LOWER(VLOOKUP(A57, Data1_Raw_Slack!A:B, 2, FALSE)), ""auto|automotive""), ""Auto"",
  REGEXMATCH(LOWER(VLOOKUP(A57, Data1_Raw_Slack!A:B, 2, FALSE)), ""parenting|moms|dads|kids|toddlers|baby|parent|children""), ""Parenting"",
 "&amp;" REGEXMATCH(LOWER(VLOOKUP(A57, Data1_Raw_Slack!A:B, 2, FALSE)), ""education|students|learning|school|teachers|college|university|academics""), ""Education"",
  REGEXMATCH(LOWER(VLOOKUP(A57, Data1_Raw_Slack!A:B, 2, FALSE)), ""age|gender|demographic|family|"&amp;"household""), ""Demographics"",
  REGEXMATCH(LOWER(VLOOKUP(A57, Data1_Raw_Slack!A:B, 2, FALSE)), ""mortgage|real estate""), ""Real Estate"",REGEXMATCH(LOWER(VLOOKUP(A57, Data1_Raw_Slack!A:B, 2, FALSE)), ""technology|tech|gadgets|smartphone|electro|apps|de"&amp;"vices|computing|ai|robots|software|computer|internet|tele|mobile|tablet""), ""Technology"", REGEXMATCH(LOWER(VLOOKUP(A57, Data1_Raw_Slack!A:B, 2, FALSE)), ""entertainment|purchas|movies|tv|netflix|streaming|celebrity|movie lovers|tv fans|media|hobb|photo|"&amp;"art|shop""), ""Entertainment"", REGEXMATCH(LOWER(VLOOKUP(A57, Data1_Raw_Slack!A:B, 2, FALSE)), ""law|government|""), ""Law and Government"",
  TRUE, ""Other""
)"),"News and Weather")</f>
        <v>News and Weather</v>
      </c>
      <c r="G57" s="9" t="s">
        <v>145</v>
      </c>
      <c r="H57" s="9" t="s">
        <v>123</v>
      </c>
      <c r="I57" s="9" t="s">
        <v>338</v>
      </c>
      <c r="J57" s="9" t="s">
        <v>34</v>
      </c>
      <c r="K57" s="9" t="s">
        <v>71</v>
      </c>
      <c r="L57" s="9" t="s">
        <v>72</v>
      </c>
      <c r="M57" s="10" t="s">
        <v>339</v>
      </c>
      <c r="N57" s="9" t="str">
        <f ca="1">IFERROR(__xludf.DUMMYFUNCTION("REGEXEXTRACT(LOWER(M57), ""([a-z0-9\-]+)\.(?:co|net|org|io|gg)"")"),"foxnews")</f>
        <v>foxnews</v>
      </c>
      <c r="O57" s="9" t="s">
        <v>103</v>
      </c>
      <c r="P57" s="9" t="s">
        <v>39</v>
      </c>
      <c r="Q57" s="9">
        <v>69722</v>
      </c>
      <c r="R57" s="9">
        <v>194</v>
      </c>
      <c r="S57" s="9">
        <v>40640</v>
      </c>
      <c r="T57" s="9">
        <v>64819</v>
      </c>
      <c r="U57" s="9">
        <v>10</v>
      </c>
      <c r="V57" s="11">
        <v>1667.6558950000001</v>
      </c>
      <c r="W57" s="12">
        <f t="shared" si="0"/>
        <v>166.7655895</v>
      </c>
      <c r="X57" s="12">
        <f t="shared" si="1"/>
        <v>0.27824789879808381</v>
      </c>
      <c r="Y57" s="12">
        <f t="shared" si="2"/>
        <v>58.288631995639825</v>
      </c>
      <c r="Z57" s="12">
        <f t="shared" si="3"/>
        <v>41.034839936023623</v>
      </c>
      <c r="AA57" s="12">
        <f t="shared" si="4"/>
        <v>23.918646840308654</v>
      </c>
      <c r="AB57" s="12">
        <f t="shared" si="5"/>
        <v>8.5961644072164951</v>
      </c>
      <c r="AC57" s="12">
        <f t="shared" si="6"/>
        <v>5.1546391752577314</v>
      </c>
      <c r="AE57" s="13"/>
      <c r="AF57" s="13"/>
    </row>
    <row r="58" spans="1:32">
      <c r="A58" s="8" t="s">
        <v>340</v>
      </c>
      <c r="B58" s="9" t="s">
        <v>341</v>
      </c>
      <c r="C58" s="9" t="s">
        <v>342</v>
      </c>
      <c r="D58" s="9"/>
      <c r="E58" s="9"/>
      <c r="F58" s="9" t="str">
        <f ca="1">IFERROR(__xludf.DUMMYFUNCTION("IFS(
  REGEXMATCH(LOWER(VLOOKUP(A58, Data1_Raw_Slack!A:B, 2, FALSE)), ""news|weather""), ""News and Weather"", REGEXMATCH(LOWER(VLOOKUP(A58, Data1_Raw_Slack!A:B, 2, FALSE)), ""sports|ufc|nba|nfl|mlb|soccer|sports fans""), ""Sports"",
  REGEXMATCH(LOWER(VL"&amp;"OOKUP(A58, Data1_Raw_Slack!A:B, 2, FALSE)), ""fashion|style|clothing|apparel|shoes|accessories|beauty|cosmetics|fashionistas""), ""Fashion and Beauty"",
  REGEXMATCH(LOWER(VLOOKUP(A58, Data1_Raw_Slack!A:B, 2, FALSE)), ""food|cooking|recipe|restaurant|snac"&amp;"k|grocery|foodies""), ""Food"",
  REGEXMATCH(LOWER(VLOOKUP(A58, Data1_Raw_Slack!A:B, 2, FALSE)), ""travel|vacation|airline|hotel|trip|flights|travelers""), ""Travel"",
  REGEXMATCH(LOWER(VLOOKUP(A58, Data1_Raw_Slack!A:B, 2, FALSE)), ""fitness|workout|gym|"&amp;"exercise|yoga|wellness|fitness enthusiasts""), ""Fitness"",
  REGEXMATCH(LOWER(VLOOKUP(A58, Data1_Raw_Slack!A:B, 2, FALSE)), ""health|medical|pharmacy|mental health|doctor|health-conscious""), ""Health"",
  REGEXMATCH(LOWER(VLOOKUP(A58, Data1_Raw_Slack!A:"&amp;"B, 2, FALSE)), ""pets|dogs|cats|animals|pet care|pet lovers""), ""Pets"",
  REGEXMATCH(LOWER(VLOOKUP(A58, Data1_Raw_Slack!A:B, 2, FALSE)), ""games|gaming|game|xbox|playstation|nintendo|gamers""), ""Gaming"",
  REGEXMATCH(LOWER(VLOOKUP(A58, Data1_Raw_Slack"&amp;"!A:B, 2, FALSE)), ""entertainment|movies|tv|netflix|streaming|celebrity|movie lovers|tv fans|hobb|photo|art""), ""Entertainment"",
  REGEXMATCH(LOWER(VLOOKUP(A58, Data1_Raw_Slack!A:B, 2, FALSE)), ""lifestyle|home|interior|decor|living|lifestyle enthusiast"&amp;"s""), ""Lifestyle"",
  REGEXMATCH(LOWER(VLOOKUP(A58, Data1_Raw_Slack!A:B, 2, FALSE)), ""financial|finance|investing|stocks|retirement|banking|credit|debt|loans|savings|personal finance|insurance|econ|ecom|business|retail|occupation|sale|job|marketing""), "&amp;"""Finance"",
  REGEXMATCH(LOWER(VLOOKUP(A58, Data1_Raw_Slack!A:B, 2, FALSE)), ""auto|automotive""), ""Auto"",
  REGEXMATCH(LOWER(VLOOKUP(A58, Data1_Raw_Slack!A:B, 2, FALSE)), ""parenting|moms|dads|kids|toddlers|baby|parent|children""), ""Parenting"",
 "&amp;" REGEXMATCH(LOWER(VLOOKUP(A58, Data1_Raw_Slack!A:B, 2, FALSE)), ""education|students|learning|school|teachers|college|university|academics""), ""Education"",
  REGEXMATCH(LOWER(VLOOKUP(A58, Data1_Raw_Slack!A:B, 2, FALSE)), ""age|gender|demographic|family|"&amp;"household""), ""Demographics"",
  REGEXMATCH(LOWER(VLOOKUP(A58, Data1_Raw_Slack!A:B, 2, FALSE)), ""mortgage|real estate""), ""Real Estate"",REGEXMATCH(LOWER(VLOOKUP(A58, Data1_Raw_Slack!A:B, 2, FALSE)), ""technology|tech|gadgets|smartphone|electro|apps|de"&amp;"vices|computing|ai|robots|software|computer|internet|tele|mobile|tablet""), ""Technology"", REGEXMATCH(LOWER(VLOOKUP(A58, Data1_Raw_Slack!A:B, 2, FALSE)), ""entertainment|purchas|movies|tv|netflix|streaming|celebrity|movie lovers|tv fans|media|hobb|photo|"&amp;"art|shop""), ""Entertainment"", REGEXMATCH(LOWER(VLOOKUP(A58, Data1_Raw_Slack!A:B, 2, FALSE)), ""law|government|""), ""Law and Government"",
  TRUE, ""Other""
)"),"Food")</f>
        <v>Food</v>
      </c>
      <c r="G58" s="9"/>
      <c r="H58" s="9" t="s">
        <v>44</v>
      </c>
      <c r="I58" s="9" t="s">
        <v>343</v>
      </c>
      <c r="J58" s="9" t="s">
        <v>46</v>
      </c>
      <c r="K58" s="9" t="s">
        <v>88</v>
      </c>
      <c r="L58" s="9" t="s">
        <v>89</v>
      </c>
      <c r="M58" s="10" t="s">
        <v>90</v>
      </c>
      <c r="N58" s="9" t="str">
        <f ca="1">IFERROR(__xludf.DUMMYFUNCTION("REGEXEXTRACT(LOWER(M58), ""([a-z0-9\-]+)\.(?:co|net|org|io|gg)"")"),"live")</f>
        <v>live</v>
      </c>
      <c r="O58" s="9" t="s">
        <v>50</v>
      </c>
      <c r="P58" s="9" t="s">
        <v>39</v>
      </c>
      <c r="Q58" s="9">
        <v>284783</v>
      </c>
      <c r="R58" s="9">
        <v>756</v>
      </c>
      <c r="S58" s="9">
        <v>239363</v>
      </c>
      <c r="T58" s="9">
        <v>261467</v>
      </c>
      <c r="U58" s="9">
        <v>9</v>
      </c>
      <c r="V58" s="11">
        <v>1605.5380720000001</v>
      </c>
      <c r="W58" s="12">
        <f t="shared" si="0"/>
        <v>178.3931191111111</v>
      </c>
      <c r="X58" s="12">
        <f t="shared" si="1"/>
        <v>0.26546528409350278</v>
      </c>
      <c r="Y58" s="12">
        <f t="shared" si="2"/>
        <v>84.051014281049078</v>
      </c>
      <c r="Z58" s="12">
        <f t="shared" si="3"/>
        <v>6.7075449087787176</v>
      </c>
      <c r="AA58" s="12">
        <f t="shared" si="4"/>
        <v>5.6377595291853799</v>
      </c>
      <c r="AB58" s="12">
        <f t="shared" si="5"/>
        <v>2.1237276084656087</v>
      </c>
      <c r="AC58" s="12">
        <f t="shared" si="6"/>
        <v>1.1904761904761905</v>
      </c>
      <c r="AE58" s="13"/>
      <c r="AF58" s="13"/>
    </row>
    <row r="59" spans="1:32">
      <c r="A59" s="8" t="s">
        <v>344</v>
      </c>
      <c r="B59" s="9" t="s">
        <v>200</v>
      </c>
      <c r="C59" s="9" t="s">
        <v>345</v>
      </c>
      <c r="D59" s="9" t="s">
        <v>346</v>
      </c>
      <c r="E59" s="9"/>
      <c r="F59" s="9" t="str">
        <f ca="1">IFERROR(__xludf.DUMMYFUNCTION("IFS(
  REGEXMATCH(LOWER(VLOOKUP(A59, Data1_Raw_Slack!A:B, 2, FALSE)), ""news|weather""), ""News and Weather"", REGEXMATCH(LOWER(VLOOKUP(A59, Data1_Raw_Slack!A:B, 2, FALSE)), ""sports|ufc|nba|nfl|mlb|soccer|sports fans""), ""Sports"",
  REGEXMATCH(LOWER(VL"&amp;"OOKUP(A59, Data1_Raw_Slack!A:B, 2, FALSE)), ""fashion|style|clothing|apparel|shoes|accessories|beauty|cosmetics|fashionistas""), ""Fashion and Beauty"",
  REGEXMATCH(LOWER(VLOOKUP(A59, Data1_Raw_Slack!A:B, 2, FALSE)), ""food|cooking|recipe|restaurant|snac"&amp;"k|grocery|foodies""), ""Food"",
  REGEXMATCH(LOWER(VLOOKUP(A59, Data1_Raw_Slack!A:B, 2, FALSE)), ""travel|vacation|airline|hotel|trip|flights|travelers""), ""Travel"",
  REGEXMATCH(LOWER(VLOOKUP(A59, Data1_Raw_Slack!A:B, 2, FALSE)), ""fitness|workout|gym|"&amp;"exercise|yoga|wellness|fitness enthusiasts""), ""Fitness"",
  REGEXMATCH(LOWER(VLOOKUP(A59, Data1_Raw_Slack!A:B, 2, FALSE)), ""health|medical|pharmacy|mental health|doctor|health-conscious""), ""Health"",
  REGEXMATCH(LOWER(VLOOKUP(A59, Data1_Raw_Slack!A:"&amp;"B, 2, FALSE)), ""pets|dogs|cats|animals|pet care|pet lovers""), ""Pets"",
  REGEXMATCH(LOWER(VLOOKUP(A59, Data1_Raw_Slack!A:B, 2, FALSE)), ""games|gaming|game|xbox|playstation|nintendo|gamers""), ""Gaming"",
  REGEXMATCH(LOWER(VLOOKUP(A59, Data1_Raw_Slack"&amp;"!A:B, 2, FALSE)), ""entertainment|movies|tv|netflix|streaming|celebrity|movie lovers|tv fans|hobb|photo|art""), ""Entertainment"",
  REGEXMATCH(LOWER(VLOOKUP(A59, Data1_Raw_Slack!A:B, 2, FALSE)), ""lifestyle|home|interior|decor|living|lifestyle enthusiast"&amp;"s""), ""Lifestyle"",
  REGEXMATCH(LOWER(VLOOKUP(A59, Data1_Raw_Slack!A:B, 2, FALSE)), ""financial|finance|investing|stocks|retirement|banking|credit|debt|loans|savings|personal finance|insurance|econ|ecom|business|retail|occupation|sale|job|marketing""), "&amp;"""Finance"",
  REGEXMATCH(LOWER(VLOOKUP(A59, Data1_Raw_Slack!A:B, 2, FALSE)), ""auto|automotive""), ""Auto"",
  REGEXMATCH(LOWER(VLOOKUP(A59, Data1_Raw_Slack!A:B, 2, FALSE)), ""parenting|moms|dads|kids|toddlers|baby|parent|children""), ""Parenting"",
 "&amp;" REGEXMATCH(LOWER(VLOOKUP(A59, Data1_Raw_Slack!A:B, 2, FALSE)), ""education|students|learning|school|teachers|college|university|academics""), ""Education"",
  REGEXMATCH(LOWER(VLOOKUP(A59, Data1_Raw_Slack!A:B, 2, FALSE)), ""age|gender|demographic|family|"&amp;"household""), ""Demographics"",
  REGEXMATCH(LOWER(VLOOKUP(A59, Data1_Raw_Slack!A:B, 2, FALSE)), ""mortgage|real estate""), ""Real Estate"",REGEXMATCH(LOWER(VLOOKUP(A59, Data1_Raw_Slack!A:B, 2, FALSE)), ""technology|tech|gadgets|smartphone|electro|apps|de"&amp;"vices|computing|ai|robots|software|computer|internet|tele|mobile|tablet""), ""Technology"", REGEXMATCH(LOWER(VLOOKUP(A59, Data1_Raw_Slack!A:B, 2, FALSE)), ""entertainment|purchas|movies|tv|netflix|streaming|celebrity|movie lovers|tv fans|media|hobb|photo|"&amp;"art|shop""), ""Entertainment"", REGEXMATCH(LOWER(VLOOKUP(A59, Data1_Raw_Slack!A:B, 2, FALSE)), ""law|government|""), ""Law and Government"",
  TRUE, ""Other""
)"),"Real Estate")</f>
        <v>Real Estate</v>
      </c>
      <c r="G59" s="9" t="s">
        <v>200</v>
      </c>
      <c r="H59" s="9" t="s">
        <v>44</v>
      </c>
      <c r="I59" s="9" t="s">
        <v>347</v>
      </c>
      <c r="J59" s="9" t="s">
        <v>62</v>
      </c>
      <c r="K59" s="9" t="s">
        <v>148</v>
      </c>
      <c r="L59" s="9" t="s">
        <v>89</v>
      </c>
      <c r="M59" s="10" t="s">
        <v>348</v>
      </c>
      <c r="N59" s="9" t="str">
        <f ca="1">IFERROR(__xludf.DUMMYFUNCTION("REGEXEXTRACT(LOWER(M59), ""([a-z0-9\-]+)\.(?:co|net|org|io|gg)"")"),"drugs")</f>
        <v>drugs</v>
      </c>
      <c r="O59" s="9" t="s">
        <v>349</v>
      </c>
      <c r="P59" s="9" t="s">
        <v>75</v>
      </c>
      <c r="Q59" s="9">
        <v>49415</v>
      </c>
      <c r="R59" s="9">
        <v>144</v>
      </c>
      <c r="S59" s="9">
        <v>24692</v>
      </c>
      <c r="T59" s="9">
        <v>45565</v>
      </c>
      <c r="U59" s="9">
        <v>3</v>
      </c>
      <c r="V59" s="11">
        <v>1471.1757279999999</v>
      </c>
      <c r="W59" s="12">
        <f t="shared" si="0"/>
        <v>490.39190933333333</v>
      </c>
      <c r="X59" s="12">
        <f t="shared" si="1"/>
        <v>0.29140949104522917</v>
      </c>
      <c r="Y59" s="12">
        <f t="shared" si="2"/>
        <v>49.968633006172212</v>
      </c>
      <c r="Z59" s="12">
        <f t="shared" si="3"/>
        <v>59.581067876235217</v>
      </c>
      <c r="AA59" s="12">
        <f t="shared" si="4"/>
        <v>29.771845148234341</v>
      </c>
      <c r="AB59" s="12">
        <f t="shared" si="5"/>
        <v>10.216498111111111</v>
      </c>
      <c r="AC59" s="12">
        <f t="shared" si="6"/>
        <v>2.083333333333333</v>
      </c>
      <c r="AE59" s="13"/>
      <c r="AF59" s="13"/>
    </row>
    <row r="60" spans="1:32">
      <c r="A60" s="8" t="s">
        <v>350</v>
      </c>
      <c r="B60" s="9" t="s">
        <v>66</v>
      </c>
      <c r="C60" s="9" t="s">
        <v>351</v>
      </c>
      <c r="D60" s="9" t="s">
        <v>352</v>
      </c>
      <c r="E60" s="9"/>
      <c r="F60" s="9" t="str">
        <f ca="1">IFERROR(__xludf.DUMMYFUNCTION("IFS(
  REGEXMATCH(LOWER(VLOOKUP(A60, Data1_Raw_Slack!A:B, 2, FALSE)), ""news|weather""), ""News and Weather"", REGEXMATCH(LOWER(VLOOKUP(A60, Data1_Raw_Slack!A:B, 2, FALSE)), ""sports|ufc|nba|nfl|mlb|soccer|sports fans""), ""Sports"",
  REGEXMATCH(LOWER(VL"&amp;"OOKUP(A60, Data1_Raw_Slack!A:B, 2, FALSE)), ""fashion|style|clothing|apparel|shoes|accessories|beauty|cosmetics|fashionistas""), ""Fashion and Beauty"",
  REGEXMATCH(LOWER(VLOOKUP(A60, Data1_Raw_Slack!A:B, 2, FALSE)), ""food|cooking|recipe|restaurant|snac"&amp;"k|grocery|foodies""), ""Food"",
  REGEXMATCH(LOWER(VLOOKUP(A60, Data1_Raw_Slack!A:B, 2, FALSE)), ""travel|vacation|airline|hotel|trip|flights|travelers""), ""Travel"",
  REGEXMATCH(LOWER(VLOOKUP(A60, Data1_Raw_Slack!A:B, 2, FALSE)), ""fitness|workout|gym|"&amp;"exercise|yoga|wellness|fitness enthusiasts""), ""Fitness"",
  REGEXMATCH(LOWER(VLOOKUP(A60, Data1_Raw_Slack!A:B, 2, FALSE)), ""health|medical|pharmacy|mental health|doctor|health-conscious""), ""Health"",
  REGEXMATCH(LOWER(VLOOKUP(A60, Data1_Raw_Slack!A:"&amp;"B, 2, FALSE)), ""pets|dogs|cats|animals|pet care|pet lovers""), ""Pets"",
  REGEXMATCH(LOWER(VLOOKUP(A60, Data1_Raw_Slack!A:B, 2, FALSE)), ""games|gaming|game|xbox|playstation|nintendo|gamers""), ""Gaming"",
  REGEXMATCH(LOWER(VLOOKUP(A60, Data1_Raw_Slack"&amp;"!A:B, 2, FALSE)), ""entertainment|movies|tv|netflix|streaming|celebrity|movie lovers|tv fans|hobb|photo|art""), ""Entertainment"",
  REGEXMATCH(LOWER(VLOOKUP(A60, Data1_Raw_Slack!A:B, 2, FALSE)), ""lifestyle|home|interior|decor|living|lifestyle enthusiast"&amp;"s""), ""Lifestyle"",
  REGEXMATCH(LOWER(VLOOKUP(A60, Data1_Raw_Slack!A:B, 2, FALSE)), ""financial|finance|investing|stocks|retirement|banking|credit|debt|loans|savings|personal finance|insurance|econ|ecom|business|retail|occupation|sale|job|marketing""), "&amp;"""Finance"",
  REGEXMATCH(LOWER(VLOOKUP(A60, Data1_Raw_Slack!A:B, 2, FALSE)), ""auto|automotive""), ""Auto"",
  REGEXMATCH(LOWER(VLOOKUP(A60, Data1_Raw_Slack!A:B, 2, FALSE)), ""parenting|moms|dads|kids|toddlers|baby|parent|children""), ""Parenting"",
 "&amp;" REGEXMATCH(LOWER(VLOOKUP(A60, Data1_Raw_Slack!A:B, 2, FALSE)), ""education|students|learning|school|teachers|college|university|academics""), ""Education"",
  REGEXMATCH(LOWER(VLOOKUP(A60, Data1_Raw_Slack!A:B, 2, FALSE)), ""age|gender|demographic|family|"&amp;"household""), ""Demographics"",
  REGEXMATCH(LOWER(VLOOKUP(A60, Data1_Raw_Slack!A:B, 2, FALSE)), ""mortgage|real estate""), ""Real Estate"",REGEXMATCH(LOWER(VLOOKUP(A60, Data1_Raw_Slack!A:B, 2, FALSE)), ""technology|tech|gadgets|smartphone|electro|apps|de"&amp;"vices|computing|ai|robots|software|computer|internet|tele|mobile|tablet""), ""Technology"", REGEXMATCH(LOWER(VLOOKUP(A60, Data1_Raw_Slack!A:B, 2, FALSE)), ""entertainment|purchas|movies|tv|netflix|streaming|celebrity|movie lovers|tv fans|media|hobb|photo|"&amp;"art|shop""), ""Entertainment"", REGEXMATCH(LOWER(VLOOKUP(A60, Data1_Raw_Slack!A:B, 2, FALSE)), ""law|government|""), ""Law and Government"",
  TRUE, ""Other""
)"),"Food")</f>
        <v>Food</v>
      </c>
      <c r="G60" s="9"/>
      <c r="H60" s="9" t="s">
        <v>44</v>
      </c>
      <c r="I60" s="9" t="s">
        <v>353</v>
      </c>
      <c r="J60" s="9" t="s">
        <v>34</v>
      </c>
      <c r="K60" s="9" t="s">
        <v>142</v>
      </c>
      <c r="L60" s="9" t="s">
        <v>72</v>
      </c>
      <c r="M60" s="10" t="s">
        <v>354</v>
      </c>
      <c r="N60" s="9" t="str">
        <f ca="1">IFERROR(__xludf.DUMMYFUNCTION("REGEXEXTRACT(LOWER(M60), ""([a-z0-9\-]+)\.(?:co|net|org|io|gg)"")"),"yahoo")</f>
        <v>yahoo</v>
      </c>
      <c r="O60" s="9" t="s">
        <v>103</v>
      </c>
      <c r="P60" s="9" t="s">
        <v>39</v>
      </c>
      <c r="Q60" s="9">
        <v>335664</v>
      </c>
      <c r="R60" s="9">
        <v>852</v>
      </c>
      <c r="S60" s="9">
        <v>148742</v>
      </c>
      <c r="T60" s="9">
        <v>313071</v>
      </c>
      <c r="U60" s="9">
        <v>25</v>
      </c>
      <c r="V60" s="11">
        <v>1542.5002159999999</v>
      </c>
      <c r="W60" s="12">
        <f t="shared" si="0"/>
        <v>61.700008639999993</v>
      </c>
      <c r="X60" s="12">
        <f t="shared" si="1"/>
        <v>0.25382525382525384</v>
      </c>
      <c r="Y60" s="12">
        <f t="shared" si="2"/>
        <v>44.312765146098485</v>
      </c>
      <c r="Z60" s="12">
        <f t="shared" si="3"/>
        <v>10.370307082061556</v>
      </c>
      <c r="AA60" s="12">
        <f t="shared" si="4"/>
        <v>4.5953698222031552</v>
      </c>
      <c r="AB60" s="12">
        <f t="shared" si="5"/>
        <v>1.810446262910798</v>
      </c>
      <c r="AC60" s="12">
        <f t="shared" si="6"/>
        <v>2.9342723004694835</v>
      </c>
      <c r="AE60" s="13"/>
      <c r="AF60" s="13"/>
    </row>
    <row r="61" spans="1:32">
      <c r="A61" s="8" t="s">
        <v>355</v>
      </c>
      <c r="B61" s="9" t="s">
        <v>41</v>
      </c>
      <c r="C61" s="9" t="s">
        <v>85</v>
      </c>
      <c r="D61" s="9" t="s">
        <v>356</v>
      </c>
      <c r="E61" s="9"/>
      <c r="F61" s="9" t="str">
        <f ca="1">IFERROR(__xludf.DUMMYFUNCTION("IFS(
  REGEXMATCH(LOWER(VLOOKUP(A61, Data1_Raw_Slack!A:B, 2, FALSE)), ""news|weather""), ""News and Weather"", REGEXMATCH(LOWER(VLOOKUP(A61, Data1_Raw_Slack!A:B, 2, FALSE)), ""sports|ufc|nba|nfl|mlb|soccer|sports fans""), ""Sports"",
  REGEXMATCH(LOWER(VL"&amp;"OOKUP(A61, Data1_Raw_Slack!A:B, 2, FALSE)), ""fashion|style|clothing|apparel|shoes|accessories|beauty|cosmetics|fashionistas""), ""Fashion and Beauty"",
  REGEXMATCH(LOWER(VLOOKUP(A61, Data1_Raw_Slack!A:B, 2, FALSE)), ""food|cooking|recipe|restaurant|snac"&amp;"k|grocery|foodies""), ""Food"",
  REGEXMATCH(LOWER(VLOOKUP(A61, Data1_Raw_Slack!A:B, 2, FALSE)), ""travel|vacation|airline|hotel|trip|flights|travelers""), ""Travel"",
  REGEXMATCH(LOWER(VLOOKUP(A61, Data1_Raw_Slack!A:B, 2, FALSE)), ""fitness|workout|gym|"&amp;"exercise|yoga|wellness|fitness enthusiasts""), ""Fitness"",
  REGEXMATCH(LOWER(VLOOKUP(A61, Data1_Raw_Slack!A:B, 2, FALSE)), ""health|medical|pharmacy|mental health|doctor|health-conscious""), ""Health"",
  REGEXMATCH(LOWER(VLOOKUP(A61, Data1_Raw_Slack!A:"&amp;"B, 2, FALSE)), ""pets|dogs|cats|animals|pet care|pet lovers""), ""Pets"",
  REGEXMATCH(LOWER(VLOOKUP(A61, Data1_Raw_Slack!A:B, 2, FALSE)), ""games|gaming|game|xbox|playstation|nintendo|gamers""), ""Gaming"",
  REGEXMATCH(LOWER(VLOOKUP(A61, Data1_Raw_Slack"&amp;"!A:B, 2, FALSE)), ""entertainment|movies|tv|netflix|streaming|celebrity|movie lovers|tv fans|hobb|photo|art""), ""Entertainment"",
  REGEXMATCH(LOWER(VLOOKUP(A61, Data1_Raw_Slack!A:B, 2, FALSE)), ""lifestyle|home|interior|decor|living|lifestyle enthusiast"&amp;"s""), ""Lifestyle"",
  REGEXMATCH(LOWER(VLOOKUP(A61, Data1_Raw_Slack!A:B, 2, FALSE)), ""financial|finance|investing|stocks|retirement|banking|credit|debt|loans|savings|personal finance|insurance|econ|ecom|business|retail|occupation|sale|job|marketing""), "&amp;"""Finance"",
  REGEXMATCH(LOWER(VLOOKUP(A61, Data1_Raw_Slack!A:B, 2, FALSE)), ""auto|automotive""), ""Auto"",
  REGEXMATCH(LOWER(VLOOKUP(A61, Data1_Raw_Slack!A:B, 2, FALSE)), ""parenting|moms|dads|kids|toddlers|baby|parent|children""), ""Parenting"",
 "&amp;" REGEXMATCH(LOWER(VLOOKUP(A61, Data1_Raw_Slack!A:B, 2, FALSE)), ""education|students|learning|school|teachers|college|university|academics""), ""Education"",
  REGEXMATCH(LOWER(VLOOKUP(A61, Data1_Raw_Slack!A:B, 2, FALSE)), ""age|gender|demographic|family|"&amp;"household""), ""Demographics"",
  REGEXMATCH(LOWER(VLOOKUP(A61, Data1_Raw_Slack!A:B, 2, FALSE)), ""mortgage|real estate""), ""Real Estate"",REGEXMATCH(LOWER(VLOOKUP(A61, Data1_Raw_Slack!A:B, 2, FALSE)), ""technology|tech|gadgets|smartphone|electro|apps|de"&amp;"vices|computing|ai|robots|software|computer|internet|tele|mobile|tablet""), ""Technology"", REGEXMATCH(LOWER(VLOOKUP(A61, Data1_Raw_Slack!A:B, 2, FALSE)), ""entertainment|purchas|movies|tv|netflix|streaming|celebrity|movie lovers|tv fans|media|hobb|photo|"&amp;"art|shop""), ""Entertainment"", REGEXMATCH(LOWER(VLOOKUP(A61, Data1_Raw_Slack!A:B, 2, FALSE)), ""law|government|""), ""Law and Government"",
  TRUE, ""Other""
)"),"Travel")</f>
        <v>Travel</v>
      </c>
      <c r="G61" s="9" t="s">
        <v>85</v>
      </c>
      <c r="H61" s="9" t="s">
        <v>32</v>
      </c>
      <c r="I61" s="9" t="s">
        <v>357</v>
      </c>
      <c r="J61" s="9" t="s">
        <v>46</v>
      </c>
      <c r="K61" s="9" t="s">
        <v>358</v>
      </c>
      <c r="L61" s="9" t="s">
        <v>359</v>
      </c>
      <c r="M61" s="10" t="s">
        <v>360</v>
      </c>
      <c r="N61" s="9" t="str">
        <f ca="1">IFERROR(__xludf.DUMMYFUNCTION("REGEXEXTRACT(LOWER(M61), ""([a-z0-9\-]+)\.(?:co|net|org|io|gg)"")"),"seedsgames")</f>
        <v>seedsgames</v>
      </c>
      <c r="O61" s="9" t="s">
        <v>50</v>
      </c>
      <c r="P61" s="9" t="s">
        <v>39</v>
      </c>
      <c r="Q61" s="9">
        <v>14509</v>
      </c>
      <c r="R61" s="9">
        <v>90</v>
      </c>
      <c r="S61" s="9">
        <v>866</v>
      </c>
      <c r="T61" s="9">
        <v>13268</v>
      </c>
      <c r="U61" s="9">
        <v>8</v>
      </c>
      <c r="V61" s="11">
        <v>5521.1891299999997</v>
      </c>
      <c r="W61" s="12">
        <f t="shared" si="0"/>
        <v>690.14864124999997</v>
      </c>
      <c r="X61" s="12">
        <f t="shared" si="1"/>
        <v>0.6203046385002412</v>
      </c>
      <c r="Y61" s="12">
        <f t="shared" si="2"/>
        <v>5.9687090771245437</v>
      </c>
      <c r="Z61" s="12">
        <f t="shared" si="3"/>
        <v>6375.5070785219395</v>
      </c>
      <c r="AA61" s="12">
        <f t="shared" si="4"/>
        <v>380.53546970845679</v>
      </c>
      <c r="AB61" s="12">
        <f t="shared" si="5"/>
        <v>61.346545888888883</v>
      </c>
      <c r="AC61" s="12">
        <f t="shared" si="6"/>
        <v>8.8888888888888893</v>
      </c>
      <c r="AE61" s="13"/>
      <c r="AF61" s="13"/>
    </row>
    <row r="62" spans="1:32">
      <c r="A62" s="8" t="s">
        <v>361</v>
      </c>
      <c r="B62" s="9" t="s">
        <v>41</v>
      </c>
      <c r="C62" s="9" t="s">
        <v>193</v>
      </c>
      <c r="D62" s="9" t="s">
        <v>362</v>
      </c>
      <c r="E62" s="9"/>
      <c r="F62" s="9" t="str">
        <f ca="1">IFERROR(__xludf.DUMMYFUNCTION("IFS(
  REGEXMATCH(LOWER(VLOOKUP(A62, Data1_Raw_Slack!A:B, 2, FALSE)), ""news|weather""), ""News and Weather"", REGEXMATCH(LOWER(VLOOKUP(A62, Data1_Raw_Slack!A:B, 2, FALSE)), ""sports|ufc|nba|nfl|mlb|soccer|sports fans""), ""Sports"",
  REGEXMATCH(LOWER(VL"&amp;"OOKUP(A62, Data1_Raw_Slack!A:B, 2, FALSE)), ""fashion|style|clothing|apparel|shoes|accessories|beauty|cosmetics|fashionistas""), ""Fashion and Beauty"",
  REGEXMATCH(LOWER(VLOOKUP(A62, Data1_Raw_Slack!A:B, 2, FALSE)), ""food|cooking|recipe|restaurant|snac"&amp;"k|grocery|foodies""), ""Food"",
  REGEXMATCH(LOWER(VLOOKUP(A62, Data1_Raw_Slack!A:B, 2, FALSE)), ""travel|vacation|airline|hotel|trip|flights|travelers""), ""Travel"",
  REGEXMATCH(LOWER(VLOOKUP(A62, Data1_Raw_Slack!A:B, 2, FALSE)), ""fitness|workout|gym|"&amp;"exercise|yoga|wellness|fitness enthusiasts""), ""Fitness"",
  REGEXMATCH(LOWER(VLOOKUP(A62, Data1_Raw_Slack!A:B, 2, FALSE)), ""health|medical|pharmacy|mental health|doctor|health-conscious""), ""Health"",
  REGEXMATCH(LOWER(VLOOKUP(A62, Data1_Raw_Slack!A:"&amp;"B, 2, FALSE)), ""pets|dogs|cats|animals|pet care|pet lovers""), ""Pets"",
  REGEXMATCH(LOWER(VLOOKUP(A62, Data1_Raw_Slack!A:B, 2, FALSE)), ""games|gaming|game|xbox|playstation|nintendo|gamers""), ""Gaming"",
  REGEXMATCH(LOWER(VLOOKUP(A62, Data1_Raw_Slack"&amp;"!A:B, 2, FALSE)), ""entertainment|movies|tv|netflix|streaming|celebrity|movie lovers|tv fans|hobb|photo|art""), ""Entertainment"",
  REGEXMATCH(LOWER(VLOOKUP(A62, Data1_Raw_Slack!A:B, 2, FALSE)), ""lifestyle|home|interior|decor|living|lifestyle enthusiast"&amp;"s""), ""Lifestyle"",
  REGEXMATCH(LOWER(VLOOKUP(A62, Data1_Raw_Slack!A:B, 2, FALSE)), ""financial|finance|investing|stocks|retirement|banking|credit|debt|loans|savings|personal finance|insurance|econ|ecom|business|retail|occupation|sale|job|marketing""), "&amp;"""Finance"",
  REGEXMATCH(LOWER(VLOOKUP(A62, Data1_Raw_Slack!A:B, 2, FALSE)), ""auto|automotive""), ""Auto"",
  REGEXMATCH(LOWER(VLOOKUP(A62, Data1_Raw_Slack!A:B, 2, FALSE)), ""parenting|moms|dads|kids|toddlers|baby|parent|children""), ""Parenting"",
 "&amp;" REGEXMATCH(LOWER(VLOOKUP(A62, Data1_Raw_Slack!A:B, 2, FALSE)), ""education|students|learning|school|teachers|college|university|academics""), ""Education"",
  REGEXMATCH(LOWER(VLOOKUP(A62, Data1_Raw_Slack!A:B, 2, FALSE)), ""age|gender|demographic|family|"&amp;"household""), ""Demographics"",
  REGEXMATCH(LOWER(VLOOKUP(A62, Data1_Raw_Slack!A:B, 2, FALSE)), ""mortgage|real estate""), ""Real Estate"",REGEXMATCH(LOWER(VLOOKUP(A62, Data1_Raw_Slack!A:B, 2, FALSE)), ""technology|tech|gadgets|smartphone|electro|apps|de"&amp;"vices|computing|ai|robots|software|computer|internet|tele|mobile|tablet""), ""Technology"", REGEXMATCH(LOWER(VLOOKUP(A62, Data1_Raw_Slack!A:B, 2, FALSE)), ""entertainment|purchas|movies|tv|netflix|streaming|celebrity|movie lovers|tv fans|media|hobb|photo|"&amp;"art|shop""), ""Entertainment"", REGEXMATCH(LOWER(VLOOKUP(A62, Data1_Raw_Slack!A:B, 2, FALSE)), ""law|government|""), ""Law and Government"",
  TRUE, ""Other""
)"),"Entertainment")</f>
        <v>Entertainment</v>
      </c>
      <c r="G62" s="9" t="s">
        <v>69</v>
      </c>
      <c r="H62" s="9" t="s">
        <v>44</v>
      </c>
      <c r="I62" s="9" t="s">
        <v>211</v>
      </c>
      <c r="J62" s="9" t="s">
        <v>62</v>
      </c>
      <c r="K62" s="9" t="s">
        <v>35</v>
      </c>
      <c r="L62" s="9" t="s">
        <v>36</v>
      </c>
      <c r="M62" s="10" t="s">
        <v>363</v>
      </c>
      <c r="N62" s="9" t="str">
        <f ca="1">IFERROR(__xludf.DUMMYFUNCTION("REGEXEXTRACT(LOWER(M62), ""([a-z0-9\-]+)\.(?:co|net|org|io|gg)"")"),"funnyand")</f>
        <v>funnyand</v>
      </c>
      <c r="O62" s="9" t="s">
        <v>50</v>
      </c>
      <c r="P62" s="9" t="s">
        <v>39</v>
      </c>
      <c r="Q62" s="9">
        <v>9273</v>
      </c>
      <c r="R62" s="9">
        <v>70</v>
      </c>
      <c r="S62" s="9">
        <v>4648</v>
      </c>
      <c r="T62" s="9">
        <v>8751</v>
      </c>
      <c r="U62" s="9">
        <v>5</v>
      </c>
      <c r="V62" s="11">
        <v>4986.51937</v>
      </c>
      <c r="W62" s="12">
        <f t="shared" si="0"/>
        <v>997.30387399999995</v>
      </c>
      <c r="X62" s="12">
        <f t="shared" si="1"/>
        <v>0.75487975843847721</v>
      </c>
      <c r="Y62" s="12">
        <f t="shared" si="2"/>
        <v>50.124015960314892</v>
      </c>
      <c r="Z62" s="12">
        <f t="shared" si="3"/>
        <v>1072.8311897590361</v>
      </c>
      <c r="AA62" s="12">
        <f t="shared" si="4"/>
        <v>537.74607678205541</v>
      </c>
      <c r="AB62" s="12">
        <f t="shared" si="5"/>
        <v>71.235990999999999</v>
      </c>
      <c r="AC62" s="12">
        <f t="shared" si="6"/>
        <v>7.1428571428571423</v>
      </c>
      <c r="AE62" s="13"/>
      <c r="AF62" s="13"/>
    </row>
    <row r="63" spans="1:32">
      <c r="A63" s="8" t="s">
        <v>364</v>
      </c>
      <c r="B63" s="9" t="s">
        <v>365</v>
      </c>
      <c r="C63" s="9" t="s">
        <v>305</v>
      </c>
      <c r="D63" s="9" t="s">
        <v>366</v>
      </c>
      <c r="E63" s="9" t="s">
        <v>366</v>
      </c>
      <c r="F63" s="9" t="str">
        <f ca="1">IFERROR(__xludf.DUMMYFUNCTION("IFS(
  REGEXMATCH(LOWER(VLOOKUP(A63, Data1_Raw_Slack!A:B, 2, FALSE)), ""news|weather""), ""News and Weather"", REGEXMATCH(LOWER(VLOOKUP(A63, Data1_Raw_Slack!A:B, 2, FALSE)), ""sports|ufc|nba|nfl|mlb|soccer|sports fans""), ""Sports"",
  REGEXMATCH(LOWER(VL"&amp;"OOKUP(A63, Data1_Raw_Slack!A:B, 2, FALSE)), ""fashion|style|clothing|apparel|shoes|accessories|beauty|cosmetics|fashionistas""), ""Fashion and Beauty"",
  REGEXMATCH(LOWER(VLOOKUP(A63, Data1_Raw_Slack!A:B, 2, FALSE)), ""food|cooking|recipe|restaurant|snac"&amp;"k|grocery|foodies""), ""Food"",
  REGEXMATCH(LOWER(VLOOKUP(A63, Data1_Raw_Slack!A:B, 2, FALSE)), ""travel|vacation|airline|hotel|trip|flights|travelers""), ""Travel"",
  REGEXMATCH(LOWER(VLOOKUP(A63, Data1_Raw_Slack!A:B, 2, FALSE)), ""fitness|workout|gym|"&amp;"exercise|yoga|wellness|fitness enthusiasts""), ""Fitness"",
  REGEXMATCH(LOWER(VLOOKUP(A63, Data1_Raw_Slack!A:B, 2, FALSE)), ""health|medical|pharmacy|mental health|doctor|health-conscious""), ""Health"",
  REGEXMATCH(LOWER(VLOOKUP(A63, Data1_Raw_Slack!A:"&amp;"B, 2, FALSE)), ""pets|dogs|cats|animals|pet care|pet lovers""), ""Pets"",
  REGEXMATCH(LOWER(VLOOKUP(A63, Data1_Raw_Slack!A:B, 2, FALSE)), ""games|gaming|game|xbox|playstation|nintendo|gamers""), ""Gaming"",
  REGEXMATCH(LOWER(VLOOKUP(A63, Data1_Raw_Slack"&amp;"!A:B, 2, FALSE)), ""entertainment|movies|tv|netflix|streaming|celebrity|movie lovers|tv fans|hobb|photo|art""), ""Entertainment"",
  REGEXMATCH(LOWER(VLOOKUP(A63, Data1_Raw_Slack!A:B, 2, FALSE)), ""lifestyle|home|interior|decor|living|lifestyle enthusiast"&amp;"s""), ""Lifestyle"",
  REGEXMATCH(LOWER(VLOOKUP(A63, Data1_Raw_Slack!A:B, 2, FALSE)), ""financial|finance|investing|stocks|retirement|banking|credit|debt|loans|savings|personal finance|insurance|econ|ecom|business|retail|occupation|sale|job|marketing""), "&amp;"""Finance"",
  REGEXMATCH(LOWER(VLOOKUP(A63, Data1_Raw_Slack!A:B, 2, FALSE)), ""auto|automotive""), ""Auto"",
  REGEXMATCH(LOWER(VLOOKUP(A63, Data1_Raw_Slack!A:B, 2, FALSE)), ""parenting|moms|dads|kids|toddlers|baby|parent|children""), ""Parenting"",
 "&amp;" REGEXMATCH(LOWER(VLOOKUP(A63, Data1_Raw_Slack!A:B, 2, FALSE)), ""education|students|learning|school|teachers|college|university|academics""), ""Education"",
  REGEXMATCH(LOWER(VLOOKUP(A63, Data1_Raw_Slack!A:B, 2, FALSE)), ""age|gender|demographic|family|"&amp;"household""), ""Demographics"",
  REGEXMATCH(LOWER(VLOOKUP(A63, Data1_Raw_Slack!A:B, 2, FALSE)), ""mortgage|real estate""), ""Real Estate"",REGEXMATCH(LOWER(VLOOKUP(A63, Data1_Raw_Slack!A:B, 2, FALSE)), ""technology|tech|gadgets|smartphone|electro|apps|de"&amp;"vices|computing|ai|robots|software|computer|internet|tele|mobile|tablet""), ""Technology"", REGEXMATCH(LOWER(VLOOKUP(A63, Data1_Raw_Slack!A:B, 2, FALSE)), ""entertainment|purchas|movies|tv|netflix|streaming|celebrity|movie lovers|tv fans|media|hobb|photo|"&amp;"art|shop""), ""Entertainment"", REGEXMATCH(LOWER(VLOOKUP(A63, Data1_Raw_Slack!A:B, 2, FALSE)), ""law|government|""), ""Law and Government"",
  TRUE, ""Other""
)"),"Finance")</f>
        <v>Finance</v>
      </c>
      <c r="G63" s="9"/>
      <c r="H63" s="9" t="s">
        <v>44</v>
      </c>
      <c r="I63" s="9" t="s">
        <v>367</v>
      </c>
      <c r="J63" s="9" t="s">
        <v>46</v>
      </c>
      <c r="K63" s="9" t="s">
        <v>368</v>
      </c>
      <c r="L63" s="9" t="s">
        <v>36</v>
      </c>
      <c r="M63" s="10" t="s">
        <v>229</v>
      </c>
      <c r="N63" s="9" t="str">
        <f ca="1">IFERROR(__xludf.DUMMYFUNCTION("REGEXEXTRACT(LOWER(M63), ""([a-z0-9\-]+)\.(?:co|net|org|io|gg)"")"),"msn")</f>
        <v>msn</v>
      </c>
      <c r="O63" s="9" t="s">
        <v>50</v>
      </c>
      <c r="P63" s="9" t="s">
        <v>39</v>
      </c>
      <c r="Q63" s="9">
        <v>311753</v>
      </c>
      <c r="R63" s="9">
        <v>763</v>
      </c>
      <c r="S63" s="9">
        <v>170122</v>
      </c>
      <c r="T63" s="9">
        <v>256841</v>
      </c>
      <c r="U63" s="9">
        <v>6</v>
      </c>
      <c r="V63" s="14">
        <v>1543.6126549999999</v>
      </c>
      <c r="W63" s="12">
        <f t="shared" si="0"/>
        <v>257.26877583333334</v>
      </c>
      <c r="X63" s="12">
        <f t="shared" si="1"/>
        <v>0.24474503854012633</v>
      </c>
      <c r="Y63" s="12">
        <f t="shared" si="2"/>
        <v>54.569482891904805</v>
      </c>
      <c r="Z63" s="12">
        <f t="shared" si="3"/>
        <v>9.073562825501698</v>
      </c>
      <c r="AA63" s="12">
        <f t="shared" si="4"/>
        <v>4.9513963137483836</v>
      </c>
      <c r="AB63" s="12">
        <f t="shared" si="5"/>
        <v>2.0230834272608123</v>
      </c>
      <c r="AC63" s="12">
        <f t="shared" si="6"/>
        <v>0.78636959370904314</v>
      </c>
      <c r="AE63" s="13"/>
      <c r="AF63" s="13"/>
    </row>
    <row r="64" spans="1:32">
      <c r="A64" s="8" t="s">
        <v>369</v>
      </c>
      <c r="B64" s="9" t="s">
        <v>41</v>
      </c>
      <c r="C64" s="9" t="s">
        <v>120</v>
      </c>
      <c r="D64" s="9" t="s">
        <v>370</v>
      </c>
      <c r="E64" s="9"/>
      <c r="F64" s="9" t="str">
        <f ca="1">IFERROR(__xludf.DUMMYFUNCTION("IFS(
  REGEXMATCH(LOWER(VLOOKUP(A64, Data1_Raw_Slack!A:B, 2, FALSE)), ""news|weather""), ""News and Weather"", REGEXMATCH(LOWER(VLOOKUP(A64, Data1_Raw_Slack!A:B, 2, FALSE)), ""sports|ufc|nba|nfl|mlb|soccer|sports fans""), ""Sports"",
  REGEXMATCH(LOWER(VL"&amp;"OOKUP(A64, Data1_Raw_Slack!A:B, 2, FALSE)), ""fashion|style|clothing|apparel|shoes|accessories|beauty|cosmetics|fashionistas""), ""Fashion and Beauty"",
  REGEXMATCH(LOWER(VLOOKUP(A64, Data1_Raw_Slack!A:B, 2, FALSE)), ""food|cooking|recipe|restaurant|snac"&amp;"k|grocery|foodies""), ""Food"",
  REGEXMATCH(LOWER(VLOOKUP(A64, Data1_Raw_Slack!A:B, 2, FALSE)), ""travel|vacation|airline|hotel|trip|flights|travelers""), ""Travel"",
  REGEXMATCH(LOWER(VLOOKUP(A64, Data1_Raw_Slack!A:B, 2, FALSE)), ""fitness|workout|gym|"&amp;"exercise|yoga|wellness|fitness enthusiasts""), ""Fitness"",
  REGEXMATCH(LOWER(VLOOKUP(A64, Data1_Raw_Slack!A:B, 2, FALSE)), ""health|medical|pharmacy|mental health|doctor|health-conscious""), ""Health"",
  REGEXMATCH(LOWER(VLOOKUP(A64, Data1_Raw_Slack!A:"&amp;"B, 2, FALSE)), ""pets|dogs|cats|animals|pet care|pet lovers""), ""Pets"",
  REGEXMATCH(LOWER(VLOOKUP(A64, Data1_Raw_Slack!A:B, 2, FALSE)), ""games|gaming|game|xbox|playstation|nintendo|gamers""), ""Gaming"",
  REGEXMATCH(LOWER(VLOOKUP(A64, Data1_Raw_Slack"&amp;"!A:B, 2, FALSE)), ""entertainment|movies|tv|netflix|streaming|celebrity|movie lovers|tv fans|hobb|photo|art""), ""Entertainment"",
  REGEXMATCH(LOWER(VLOOKUP(A64, Data1_Raw_Slack!A:B, 2, FALSE)), ""lifestyle|home|interior|decor|living|lifestyle enthusiast"&amp;"s""), ""Lifestyle"",
  REGEXMATCH(LOWER(VLOOKUP(A64, Data1_Raw_Slack!A:B, 2, FALSE)), ""financial|finance|investing|stocks|retirement|banking|credit|debt|loans|savings|personal finance|insurance|econ|ecom|business|retail|occupation|sale|job|marketing""), "&amp;"""Finance"",
  REGEXMATCH(LOWER(VLOOKUP(A64, Data1_Raw_Slack!A:B, 2, FALSE)), ""auto|automotive""), ""Auto"",
  REGEXMATCH(LOWER(VLOOKUP(A64, Data1_Raw_Slack!A:B, 2, FALSE)), ""parenting|moms|dads|kids|toddlers|baby|parent|children""), ""Parenting"",
 "&amp;" REGEXMATCH(LOWER(VLOOKUP(A64, Data1_Raw_Slack!A:B, 2, FALSE)), ""education|students|learning|school|teachers|college|university|academics""), ""Education"",
  REGEXMATCH(LOWER(VLOOKUP(A64, Data1_Raw_Slack!A:B, 2, FALSE)), ""age|gender|demographic|family|"&amp;"household""), ""Demographics"",
  REGEXMATCH(LOWER(VLOOKUP(A64, Data1_Raw_Slack!A:B, 2, FALSE)), ""mortgage|real estate""), ""Real Estate"",REGEXMATCH(LOWER(VLOOKUP(A64, Data1_Raw_Slack!A:B, 2, FALSE)), ""technology|tech|gadgets|smartphone|electro|apps|de"&amp;"vices|computing|ai|robots|software|computer|internet|tele|mobile|tablet""), ""Technology"", REGEXMATCH(LOWER(VLOOKUP(A64, Data1_Raw_Slack!A:B, 2, FALSE)), ""entertainment|purchas|movies|tv|netflix|streaming|celebrity|movie lovers|tv fans|media|hobb|photo|"&amp;"art|shop""), ""Entertainment"", REGEXMATCH(LOWER(VLOOKUP(A64, Data1_Raw_Slack!A:B, 2, FALSE)), ""law|government|""), ""Law and Government"",
  TRUE, ""Other""
)"),"Auto")</f>
        <v>Auto</v>
      </c>
      <c r="G64" s="9" t="s">
        <v>122</v>
      </c>
      <c r="H64" s="9" t="s">
        <v>32</v>
      </c>
      <c r="I64" s="9" t="s">
        <v>371</v>
      </c>
      <c r="J64" s="9" t="s">
        <v>34</v>
      </c>
      <c r="K64" s="9" t="s">
        <v>148</v>
      </c>
      <c r="L64" s="9" t="s">
        <v>89</v>
      </c>
      <c r="M64" s="10" t="s">
        <v>372</v>
      </c>
      <c r="N64" s="9" t="str">
        <f ca="1">IFERROR(__xludf.DUMMYFUNCTION("REGEXEXTRACT(LOWER(M64), ""([a-z0-9\-]+)\.(?:co|net|org|io|gg)"")"),"accuweather")</f>
        <v>accuweather</v>
      </c>
      <c r="O64" s="9" t="s">
        <v>50</v>
      </c>
      <c r="P64" s="9" t="s">
        <v>39</v>
      </c>
      <c r="Q64" s="9">
        <v>23711</v>
      </c>
      <c r="R64" s="9">
        <v>69</v>
      </c>
      <c r="S64" s="9">
        <v>4337</v>
      </c>
      <c r="T64" s="9">
        <v>17211</v>
      </c>
      <c r="U64" s="9">
        <v>8</v>
      </c>
      <c r="V64" s="11">
        <v>5740.9522189999998</v>
      </c>
      <c r="W64" s="12">
        <f t="shared" si="0"/>
        <v>717.61902737499997</v>
      </c>
      <c r="X64" s="12">
        <f t="shared" si="1"/>
        <v>0.29100417527729744</v>
      </c>
      <c r="Y64" s="12">
        <f t="shared" si="2"/>
        <v>18.291088524313608</v>
      </c>
      <c r="Z64" s="12">
        <f t="shared" si="3"/>
        <v>1323.7150608715701</v>
      </c>
      <c r="AA64" s="12">
        <f t="shared" si="4"/>
        <v>242.12189359369069</v>
      </c>
      <c r="AB64" s="12">
        <f t="shared" si="5"/>
        <v>83.202206072463767</v>
      </c>
      <c r="AC64" s="12">
        <f t="shared" si="6"/>
        <v>11.594202898550725</v>
      </c>
      <c r="AE64" s="13"/>
      <c r="AF64" s="13"/>
    </row>
    <row r="65" spans="1:32">
      <c r="A65" s="8" t="s">
        <v>373</v>
      </c>
      <c r="B65" s="9" t="s">
        <v>41</v>
      </c>
      <c r="C65" s="9" t="s">
        <v>374</v>
      </c>
      <c r="D65" s="9" t="s">
        <v>375</v>
      </c>
      <c r="E65" s="9"/>
      <c r="F65" s="9" t="str">
        <f ca="1">IFERROR(__xludf.DUMMYFUNCTION("IFS(
  REGEXMATCH(LOWER(VLOOKUP(A65, Data1_Raw_Slack!A:B, 2, FALSE)), ""news|weather""), ""News and Weather"", REGEXMATCH(LOWER(VLOOKUP(A65, Data1_Raw_Slack!A:B, 2, FALSE)), ""sports|ufc|nba|nfl|mlb|soccer|sports fans""), ""Sports"",
  REGEXMATCH(LOWER(VL"&amp;"OOKUP(A65, Data1_Raw_Slack!A:B, 2, FALSE)), ""fashion|style|clothing|apparel|shoes|accessories|beauty|cosmetics|fashionistas""), ""Fashion and Beauty"",
  REGEXMATCH(LOWER(VLOOKUP(A65, Data1_Raw_Slack!A:B, 2, FALSE)), ""food|cooking|recipe|restaurant|snac"&amp;"k|grocery|foodies""), ""Food"",
  REGEXMATCH(LOWER(VLOOKUP(A65, Data1_Raw_Slack!A:B, 2, FALSE)), ""travel|vacation|airline|hotel|trip|flights|travelers""), ""Travel"",
  REGEXMATCH(LOWER(VLOOKUP(A65, Data1_Raw_Slack!A:B, 2, FALSE)), ""fitness|workout|gym|"&amp;"exercise|yoga|wellness|fitness enthusiasts""), ""Fitness"",
  REGEXMATCH(LOWER(VLOOKUP(A65, Data1_Raw_Slack!A:B, 2, FALSE)), ""health|medical|pharmacy|mental health|doctor|health-conscious""), ""Health"",
  REGEXMATCH(LOWER(VLOOKUP(A65, Data1_Raw_Slack!A:"&amp;"B, 2, FALSE)), ""pets|dogs|cats|animals|pet care|pet lovers""), ""Pets"",
  REGEXMATCH(LOWER(VLOOKUP(A65, Data1_Raw_Slack!A:B, 2, FALSE)), ""games|gaming|game|xbox|playstation|nintendo|gamers""), ""Gaming"",
  REGEXMATCH(LOWER(VLOOKUP(A65, Data1_Raw_Slack"&amp;"!A:B, 2, FALSE)), ""entertainment|movies|tv|netflix|streaming|celebrity|movie lovers|tv fans|hobb|photo|art""), ""Entertainment"",
  REGEXMATCH(LOWER(VLOOKUP(A65, Data1_Raw_Slack!A:B, 2, FALSE)), ""lifestyle|home|interior|decor|living|lifestyle enthusiast"&amp;"s""), ""Lifestyle"",
  REGEXMATCH(LOWER(VLOOKUP(A65, Data1_Raw_Slack!A:B, 2, FALSE)), ""financial|finance|investing|stocks|retirement|banking|credit|debt|loans|savings|personal finance|insurance|econ|ecom|business|retail|occupation|sale|job|marketing""), "&amp;"""Finance"",
  REGEXMATCH(LOWER(VLOOKUP(A65, Data1_Raw_Slack!A:B, 2, FALSE)), ""auto|automotive""), ""Auto"",
  REGEXMATCH(LOWER(VLOOKUP(A65, Data1_Raw_Slack!A:B, 2, FALSE)), ""parenting|moms|dads|kids|toddlers|baby|parent|children""), ""Parenting"",
 "&amp;" REGEXMATCH(LOWER(VLOOKUP(A65, Data1_Raw_Slack!A:B, 2, FALSE)), ""education|students|learning|school|teachers|college|university|academics""), ""Education"",
  REGEXMATCH(LOWER(VLOOKUP(A65, Data1_Raw_Slack!A:B, 2, FALSE)), ""age|gender|demographic|family|"&amp;"household""), ""Demographics"",
  REGEXMATCH(LOWER(VLOOKUP(A65, Data1_Raw_Slack!A:B, 2, FALSE)), ""mortgage|real estate""), ""Real Estate"",REGEXMATCH(LOWER(VLOOKUP(A65, Data1_Raw_Slack!A:B, 2, FALSE)), ""technology|tech|gadgets|smartphone|electro|apps|de"&amp;"vices|computing|ai|robots|software|computer|internet|tele|mobile|tablet""), ""Technology"", REGEXMATCH(LOWER(VLOOKUP(A65, Data1_Raw_Slack!A:B, 2, FALSE)), ""entertainment|purchas|movies|tv|netflix|streaming|celebrity|movie lovers|tv fans|media|hobb|photo|"&amp;"art|shop""), ""Entertainment"", REGEXMATCH(LOWER(VLOOKUP(A65, Data1_Raw_Slack!A:B, 2, FALSE)), ""law|government|""), ""Law and Government"",
  TRUE, ""Other""
)"),"Finance")</f>
        <v>Finance</v>
      </c>
      <c r="G65" s="9"/>
      <c r="H65" s="9" t="s">
        <v>32</v>
      </c>
      <c r="I65" s="9" t="s">
        <v>376</v>
      </c>
      <c r="J65" s="9" t="s">
        <v>62</v>
      </c>
      <c r="K65" s="9" t="s">
        <v>181</v>
      </c>
      <c r="L65" s="9" t="s">
        <v>48</v>
      </c>
      <c r="M65" s="10" t="s">
        <v>130</v>
      </c>
      <c r="N65" s="9" t="str">
        <f ca="1">IFERROR(__xludf.DUMMYFUNCTION("REGEXEXTRACT(LOWER(M65), ""([a-z0-9\-]+)\.(?:co|net|org|io|gg)"")"),"weather")</f>
        <v>weather</v>
      </c>
      <c r="O65" s="9" t="s">
        <v>50</v>
      </c>
      <c r="P65" s="9" t="s">
        <v>39</v>
      </c>
      <c r="Q65" s="9">
        <v>96508</v>
      </c>
      <c r="R65" s="9">
        <v>351</v>
      </c>
      <c r="S65" s="9">
        <v>47065</v>
      </c>
      <c r="T65" s="9">
        <v>73640</v>
      </c>
      <c r="U65" s="9">
        <v>15</v>
      </c>
      <c r="V65" s="11">
        <v>5310.7695720000002</v>
      </c>
      <c r="W65" s="12">
        <f t="shared" si="0"/>
        <v>354.05130480000003</v>
      </c>
      <c r="X65" s="12">
        <f t="shared" si="1"/>
        <v>0.36370041861814567</v>
      </c>
      <c r="Y65" s="12">
        <f t="shared" si="2"/>
        <v>48.767977784225138</v>
      </c>
      <c r="Z65" s="12">
        <f t="shared" si="3"/>
        <v>112.83904328056943</v>
      </c>
      <c r="AA65" s="12">
        <f t="shared" si="4"/>
        <v>55.029319559000292</v>
      </c>
      <c r="AB65" s="12">
        <f t="shared" si="5"/>
        <v>15.130397641025642</v>
      </c>
      <c r="AC65" s="12">
        <f t="shared" si="6"/>
        <v>4.2735042735042734</v>
      </c>
      <c r="AE65" s="13"/>
      <c r="AF65" s="13"/>
    </row>
    <row r="66" spans="1:32">
      <c r="A66" s="8" t="s">
        <v>377</v>
      </c>
      <c r="B66" s="9" t="s">
        <v>378</v>
      </c>
      <c r="C66" s="9" t="s">
        <v>379</v>
      </c>
      <c r="D66" s="9" t="s">
        <v>380</v>
      </c>
      <c r="E66" s="9" t="s">
        <v>381</v>
      </c>
      <c r="F66" s="9" t="str">
        <f ca="1">IFERROR(__xludf.DUMMYFUNCTION("IFS(
  REGEXMATCH(LOWER(VLOOKUP(A66, Data1_Raw_Slack!A:B, 2, FALSE)), ""news|weather""), ""News and Weather"", REGEXMATCH(LOWER(VLOOKUP(A66, Data1_Raw_Slack!A:B, 2, FALSE)), ""sports|ufc|nba|nfl|mlb|soccer|sports fans""), ""Sports"",
  REGEXMATCH(LOWER(VL"&amp;"OOKUP(A66, Data1_Raw_Slack!A:B, 2, FALSE)), ""fashion|style|clothing|apparel|shoes|accessories|beauty|cosmetics|fashionistas""), ""Fashion and Beauty"",
  REGEXMATCH(LOWER(VLOOKUP(A66, Data1_Raw_Slack!A:B, 2, FALSE)), ""food|cooking|recipe|restaurant|snac"&amp;"k|grocery|foodies""), ""Food"",
  REGEXMATCH(LOWER(VLOOKUP(A66, Data1_Raw_Slack!A:B, 2, FALSE)), ""travel|vacation|airline|hotel|trip|flights|travelers""), ""Travel"",
  REGEXMATCH(LOWER(VLOOKUP(A66, Data1_Raw_Slack!A:B, 2, FALSE)), ""fitness|workout|gym|"&amp;"exercise|yoga|wellness|fitness enthusiasts""), ""Fitness"",
  REGEXMATCH(LOWER(VLOOKUP(A66, Data1_Raw_Slack!A:B, 2, FALSE)), ""health|medical|pharmacy|mental health|doctor|health-conscious""), ""Health"",
  REGEXMATCH(LOWER(VLOOKUP(A66, Data1_Raw_Slack!A:"&amp;"B, 2, FALSE)), ""pets|dogs|cats|animals|pet care|pet lovers""), ""Pets"",
  REGEXMATCH(LOWER(VLOOKUP(A66, Data1_Raw_Slack!A:B, 2, FALSE)), ""games|gaming|game|xbox|playstation|nintendo|gamers""), ""Gaming"",
  REGEXMATCH(LOWER(VLOOKUP(A66, Data1_Raw_Slack"&amp;"!A:B, 2, FALSE)), ""entertainment|movies|tv|netflix|streaming|celebrity|movie lovers|tv fans|hobb|photo|art""), ""Entertainment"",
  REGEXMATCH(LOWER(VLOOKUP(A66, Data1_Raw_Slack!A:B, 2, FALSE)), ""lifestyle|home|interior|decor|living|lifestyle enthusiast"&amp;"s""), ""Lifestyle"",
  REGEXMATCH(LOWER(VLOOKUP(A66, Data1_Raw_Slack!A:B, 2, FALSE)), ""financial|finance|investing|stocks|retirement|banking|credit|debt|loans|savings|personal finance|insurance|econ|ecom|business|retail|occupation|sale|job|marketing""), "&amp;"""Finance"",
  REGEXMATCH(LOWER(VLOOKUP(A66, Data1_Raw_Slack!A:B, 2, FALSE)), ""auto|automotive""), ""Auto"",
  REGEXMATCH(LOWER(VLOOKUP(A66, Data1_Raw_Slack!A:B, 2, FALSE)), ""parenting|moms|dads|kids|toddlers|baby|parent|children""), ""Parenting"",
 "&amp;" REGEXMATCH(LOWER(VLOOKUP(A66, Data1_Raw_Slack!A:B, 2, FALSE)), ""education|students|learning|school|teachers|college|university|academics""), ""Education"",
  REGEXMATCH(LOWER(VLOOKUP(A66, Data1_Raw_Slack!A:B, 2, FALSE)), ""age|gender|demographic|family|"&amp;"household""), ""Demographics"",
  REGEXMATCH(LOWER(VLOOKUP(A66, Data1_Raw_Slack!A:B, 2, FALSE)), ""mortgage|real estate""), ""Real Estate"",REGEXMATCH(LOWER(VLOOKUP(A66, Data1_Raw_Slack!A:B, 2, FALSE)), ""technology|tech|gadgets|smartphone|electro|apps|de"&amp;"vices|computing|ai|robots|software|computer|internet|tele|mobile|tablet""), ""Technology"", REGEXMATCH(LOWER(VLOOKUP(A66, Data1_Raw_Slack!A:B, 2, FALSE)), ""entertainment|purchas|movies|tv|netflix|streaming|celebrity|movie lovers|tv fans|media|hobb|photo|"&amp;"art|shop""), ""Entertainment"", REGEXMATCH(LOWER(VLOOKUP(A66, Data1_Raw_Slack!A:B, 2, FALSE)), ""law|government|""), ""Law and Government"",
  TRUE, ""Other""
)"),"Finance")</f>
        <v>Finance</v>
      </c>
      <c r="G66" s="9"/>
      <c r="H66" s="9" t="s">
        <v>44</v>
      </c>
      <c r="I66" s="9" t="s">
        <v>382</v>
      </c>
      <c r="J66" s="9" t="s">
        <v>80</v>
      </c>
      <c r="K66" s="9" t="s">
        <v>88</v>
      </c>
      <c r="L66" s="9" t="s">
        <v>89</v>
      </c>
      <c r="M66" s="10" t="s">
        <v>372</v>
      </c>
      <c r="N66" s="9" t="str">
        <f ca="1">IFERROR(__xludf.DUMMYFUNCTION("REGEXEXTRACT(LOWER(M66), ""([a-z0-9\-]+)\.(?:co|net|org|io|gg)"")"),"accuweather")</f>
        <v>accuweather</v>
      </c>
      <c r="O66" s="9" t="s">
        <v>103</v>
      </c>
      <c r="P66" s="9" t="s">
        <v>39</v>
      </c>
      <c r="Q66" s="9">
        <v>10811</v>
      </c>
      <c r="R66" s="9">
        <v>25</v>
      </c>
      <c r="S66" s="9">
        <v>988</v>
      </c>
      <c r="T66" s="9">
        <v>2975</v>
      </c>
      <c r="U66" s="9">
        <v>3</v>
      </c>
      <c r="V66" s="11">
        <v>1679.833815</v>
      </c>
      <c r="W66" s="12">
        <f t="shared" si="0"/>
        <v>559.94460500000002</v>
      </c>
      <c r="X66" s="12">
        <f t="shared" si="1"/>
        <v>0.23124595319581909</v>
      </c>
      <c r="Y66" s="12">
        <f t="shared" si="2"/>
        <v>9.1388400702987695</v>
      </c>
      <c r="Z66" s="12">
        <f t="shared" si="3"/>
        <v>1700.2366548582995</v>
      </c>
      <c r="AA66" s="12">
        <f t="shared" si="4"/>
        <v>155.38190870409767</v>
      </c>
      <c r="AB66" s="12">
        <f t="shared" si="5"/>
        <v>67.193352599999997</v>
      </c>
      <c r="AC66" s="12">
        <f t="shared" si="6"/>
        <v>12</v>
      </c>
      <c r="AE66" s="13"/>
      <c r="AF66" s="13"/>
    </row>
    <row r="67" spans="1:32">
      <c r="A67" s="8" t="s">
        <v>383</v>
      </c>
      <c r="B67" s="9"/>
      <c r="C67" s="9" t="s">
        <v>384</v>
      </c>
      <c r="D67" s="9"/>
      <c r="E67" s="9"/>
      <c r="F67" s="9" t="str">
        <f ca="1">IFERROR(__xludf.DUMMYFUNCTION("IFS(
  REGEXMATCH(LOWER(VLOOKUP(A67, Data1_Raw_Slack!A:B, 2, FALSE)), ""news|weather""), ""News and Weather"", REGEXMATCH(LOWER(VLOOKUP(A67, Data1_Raw_Slack!A:B, 2, FALSE)), ""sports|ufc|nba|nfl|mlb|soccer|sports fans""), ""Sports"",
  REGEXMATCH(LOWER(VL"&amp;"OOKUP(A67, Data1_Raw_Slack!A:B, 2, FALSE)), ""fashion|style|clothing|apparel|shoes|accessories|beauty|cosmetics|fashionistas""), ""Fashion and Beauty"",
  REGEXMATCH(LOWER(VLOOKUP(A67, Data1_Raw_Slack!A:B, 2, FALSE)), ""food|cooking|recipe|restaurant|snac"&amp;"k|grocery|foodies""), ""Food"",
  REGEXMATCH(LOWER(VLOOKUP(A67, Data1_Raw_Slack!A:B, 2, FALSE)), ""travel|vacation|airline|hotel|trip|flights|travelers""), ""Travel"",
  REGEXMATCH(LOWER(VLOOKUP(A67, Data1_Raw_Slack!A:B, 2, FALSE)), ""fitness|workout|gym|"&amp;"exercise|yoga|wellness|fitness enthusiasts""), ""Fitness"",
  REGEXMATCH(LOWER(VLOOKUP(A67, Data1_Raw_Slack!A:B, 2, FALSE)), ""health|medical|pharmacy|mental health|doctor|health-conscious""), ""Health"",
  REGEXMATCH(LOWER(VLOOKUP(A67, Data1_Raw_Slack!A:"&amp;"B, 2, FALSE)), ""pets|dogs|cats|animals|pet care|pet lovers""), ""Pets"",
  REGEXMATCH(LOWER(VLOOKUP(A67, Data1_Raw_Slack!A:B, 2, FALSE)), ""games|gaming|game|xbox|playstation|nintendo|gamers""), ""Gaming"",
  REGEXMATCH(LOWER(VLOOKUP(A67, Data1_Raw_Slack"&amp;"!A:B, 2, FALSE)), ""entertainment|movies|tv|netflix|streaming|celebrity|movie lovers|tv fans|hobb|photo|art""), ""Entertainment"",
  REGEXMATCH(LOWER(VLOOKUP(A67, Data1_Raw_Slack!A:B, 2, FALSE)), ""lifestyle|home|interior|decor|living|lifestyle enthusiast"&amp;"s""), ""Lifestyle"",
  REGEXMATCH(LOWER(VLOOKUP(A67, Data1_Raw_Slack!A:B, 2, FALSE)), ""financial|finance|investing|stocks|retirement|banking|credit|debt|loans|savings|personal finance|insurance|econ|ecom|business|retail|occupation|sale|job|marketing""), "&amp;"""Finance"",
  REGEXMATCH(LOWER(VLOOKUP(A67, Data1_Raw_Slack!A:B, 2, FALSE)), ""auto|automotive""), ""Auto"",
  REGEXMATCH(LOWER(VLOOKUP(A67, Data1_Raw_Slack!A:B, 2, FALSE)), ""parenting|moms|dads|kids|toddlers|baby|parent|children""), ""Parenting"",
 "&amp;" REGEXMATCH(LOWER(VLOOKUP(A67, Data1_Raw_Slack!A:B, 2, FALSE)), ""education|students|learning|school|teachers|college|university|academics""), ""Education"",
  REGEXMATCH(LOWER(VLOOKUP(A67, Data1_Raw_Slack!A:B, 2, FALSE)), ""age|gender|demographic|family|"&amp;"household""), ""Demographics"",
  REGEXMATCH(LOWER(VLOOKUP(A67, Data1_Raw_Slack!A:B, 2, FALSE)), ""mortgage|real estate""), ""Real Estate"",REGEXMATCH(LOWER(VLOOKUP(A67, Data1_Raw_Slack!A:B, 2, FALSE)), ""technology|tech|gadgets|smartphone|electro|apps|de"&amp;"vices|computing|ai|robots|software|computer|internet|tele|mobile|tablet""), ""Technology"", REGEXMATCH(LOWER(VLOOKUP(A67, Data1_Raw_Slack!A:B, 2, FALSE)), ""entertainment|purchas|movies|tv|netflix|streaming|celebrity|movie lovers|tv fans|media|hobb|photo|"&amp;"art|shop""), ""Entertainment"", REGEXMATCH(LOWER(VLOOKUP(A67, Data1_Raw_Slack!A:B, 2, FALSE)), ""law|government|""), ""Law and Government"",
  TRUE, ""Other""
)"),"Food")</f>
        <v>Food</v>
      </c>
      <c r="G67" s="9" t="s">
        <v>385</v>
      </c>
      <c r="H67" s="9" t="s">
        <v>44</v>
      </c>
      <c r="I67" s="9" t="s">
        <v>263</v>
      </c>
      <c r="J67" s="9" t="s">
        <v>62</v>
      </c>
      <c r="K67" s="9" t="s">
        <v>35</v>
      </c>
      <c r="L67" s="9" t="s">
        <v>36</v>
      </c>
      <c r="M67" s="10" t="s">
        <v>386</v>
      </c>
      <c r="N67" s="9" t="str">
        <f ca="1">IFERROR(__xludf.DUMMYFUNCTION("REGEXEXTRACT(LOWER(M67), ""([a-z0-9\-]+)\.(?:co|net|org|io|gg)"")"),"timeanddate")</f>
        <v>timeanddate</v>
      </c>
      <c r="O67" s="9" t="s">
        <v>50</v>
      </c>
      <c r="P67" s="9" t="s">
        <v>39</v>
      </c>
      <c r="Q67" s="9">
        <v>12280</v>
      </c>
      <c r="R67" s="9">
        <v>40</v>
      </c>
      <c r="S67" s="9">
        <v>9613</v>
      </c>
      <c r="T67" s="9">
        <v>11247</v>
      </c>
      <c r="U67" s="9">
        <v>4</v>
      </c>
      <c r="V67" s="11">
        <v>1765.3987099999999</v>
      </c>
      <c r="W67" s="12">
        <f t="shared" si="0"/>
        <v>441.34967749999998</v>
      </c>
      <c r="X67" s="12">
        <f t="shared" si="1"/>
        <v>0.32573289902280134</v>
      </c>
      <c r="Y67" s="12">
        <f t="shared" si="2"/>
        <v>78.281758957654716</v>
      </c>
      <c r="Z67" s="12">
        <f t="shared" si="3"/>
        <v>183.64701029855405</v>
      </c>
      <c r="AA67" s="12">
        <f t="shared" si="4"/>
        <v>143.76210993485341</v>
      </c>
      <c r="AB67" s="12">
        <f t="shared" si="5"/>
        <v>44.134967750000001</v>
      </c>
      <c r="AC67" s="12">
        <f t="shared" si="6"/>
        <v>10</v>
      </c>
      <c r="AE67" s="13"/>
      <c r="AF67" s="13"/>
    </row>
    <row r="68" spans="1:32">
      <c r="A68" s="8" t="s">
        <v>387</v>
      </c>
      <c r="B68" s="9" t="s">
        <v>66</v>
      </c>
      <c r="C68" s="9" t="s">
        <v>388</v>
      </c>
      <c r="D68" s="9" t="s">
        <v>389</v>
      </c>
      <c r="E68" s="9"/>
      <c r="F68" s="9" t="str">
        <f ca="1">IFERROR(__xludf.DUMMYFUNCTION("IFS(
  REGEXMATCH(LOWER(VLOOKUP(A68, Data1_Raw_Slack!A:B, 2, FALSE)), ""news|weather""), ""News and Weather"", REGEXMATCH(LOWER(VLOOKUP(A68, Data1_Raw_Slack!A:B, 2, FALSE)), ""sports|ufc|nba|nfl|mlb|soccer|sports fans""), ""Sports"",
  REGEXMATCH(LOWER(VL"&amp;"OOKUP(A68, Data1_Raw_Slack!A:B, 2, FALSE)), ""fashion|style|clothing|apparel|shoes|accessories|beauty|cosmetics|fashionistas""), ""Fashion and Beauty"",
  REGEXMATCH(LOWER(VLOOKUP(A68, Data1_Raw_Slack!A:B, 2, FALSE)), ""food|cooking|recipe|restaurant|snac"&amp;"k|grocery|foodies""), ""Food"",
  REGEXMATCH(LOWER(VLOOKUP(A68, Data1_Raw_Slack!A:B, 2, FALSE)), ""travel|vacation|airline|hotel|trip|flights|travelers""), ""Travel"",
  REGEXMATCH(LOWER(VLOOKUP(A68, Data1_Raw_Slack!A:B, 2, FALSE)), ""fitness|workout|gym|"&amp;"exercise|yoga|wellness|fitness enthusiasts""), ""Fitness"",
  REGEXMATCH(LOWER(VLOOKUP(A68, Data1_Raw_Slack!A:B, 2, FALSE)), ""health|medical|pharmacy|mental health|doctor|health-conscious""), ""Health"",
  REGEXMATCH(LOWER(VLOOKUP(A68, Data1_Raw_Slack!A:"&amp;"B, 2, FALSE)), ""pets|dogs|cats|animals|pet care|pet lovers""), ""Pets"",
  REGEXMATCH(LOWER(VLOOKUP(A68, Data1_Raw_Slack!A:B, 2, FALSE)), ""games|gaming|game|xbox|playstation|nintendo|gamers""), ""Gaming"",
  REGEXMATCH(LOWER(VLOOKUP(A68, Data1_Raw_Slack"&amp;"!A:B, 2, FALSE)), ""entertainment|movies|tv|netflix|streaming|celebrity|movie lovers|tv fans|hobb|photo|art""), ""Entertainment"",
  REGEXMATCH(LOWER(VLOOKUP(A68, Data1_Raw_Slack!A:B, 2, FALSE)), ""lifestyle|home|interior|decor|living|lifestyle enthusiast"&amp;"s""), ""Lifestyle"",
  REGEXMATCH(LOWER(VLOOKUP(A68, Data1_Raw_Slack!A:B, 2, FALSE)), ""financial|finance|investing|stocks|retirement|banking|credit|debt|loans|savings|personal finance|insurance|econ|ecom|business|retail|occupation|sale|job|marketing""), "&amp;"""Finance"",
  REGEXMATCH(LOWER(VLOOKUP(A68, Data1_Raw_Slack!A:B, 2, FALSE)), ""auto|automotive""), ""Auto"",
  REGEXMATCH(LOWER(VLOOKUP(A68, Data1_Raw_Slack!A:B, 2, FALSE)), ""parenting|moms|dads|kids|toddlers|baby|parent|children""), ""Parenting"",
 "&amp;" REGEXMATCH(LOWER(VLOOKUP(A68, Data1_Raw_Slack!A:B, 2, FALSE)), ""education|students|learning|school|teachers|college|university|academics""), ""Education"",
  REGEXMATCH(LOWER(VLOOKUP(A68, Data1_Raw_Slack!A:B, 2, FALSE)), ""age|gender|demographic|family|"&amp;"household""), ""Demographics"",
  REGEXMATCH(LOWER(VLOOKUP(A68, Data1_Raw_Slack!A:B, 2, FALSE)), ""mortgage|real estate""), ""Real Estate"",REGEXMATCH(LOWER(VLOOKUP(A68, Data1_Raw_Slack!A:B, 2, FALSE)), ""technology|tech|gadgets|smartphone|electro|apps|de"&amp;"vices|computing|ai|robots|software|computer|internet|tele|mobile|tablet""), ""Technology"", REGEXMATCH(LOWER(VLOOKUP(A68, Data1_Raw_Slack!A:B, 2, FALSE)), ""entertainment|purchas|movies|tv|netflix|streaming|celebrity|movie lovers|tv fans|media|hobb|photo|"&amp;"art|shop""), ""Entertainment"", REGEXMATCH(LOWER(VLOOKUP(A68, Data1_Raw_Slack!A:B, 2, FALSE)), ""law|government|""), ""Law and Government"",
  TRUE, ""Other""
)"),"Fashion and Beauty")</f>
        <v>Fashion and Beauty</v>
      </c>
      <c r="G68" s="9"/>
      <c r="H68" s="9" t="s">
        <v>44</v>
      </c>
      <c r="I68" s="9" t="s">
        <v>390</v>
      </c>
      <c r="J68" s="9" t="s">
        <v>80</v>
      </c>
      <c r="K68" s="9" t="s">
        <v>391</v>
      </c>
      <c r="L68" s="9" t="s">
        <v>392</v>
      </c>
      <c r="M68" s="10" t="s">
        <v>393</v>
      </c>
      <c r="N68" s="9" t="str">
        <f ca="1">IFERROR(__xludf.DUMMYFUNCTION("REGEXEXTRACT(LOWER(M68), ""([a-z0-9\-]+)\.(?:co|net|org|io|gg)"")"),"thesaurus")</f>
        <v>thesaurus</v>
      </c>
      <c r="O68" s="9" t="s">
        <v>74</v>
      </c>
      <c r="P68" s="9" t="s">
        <v>75</v>
      </c>
      <c r="Q68" s="9">
        <v>57257</v>
      </c>
      <c r="R68" s="9">
        <v>167</v>
      </c>
      <c r="S68" s="9">
        <v>3797</v>
      </c>
      <c r="T68" s="9">
        <v>51520</v>
      </c>
      <c r="U68" s="9">
        <v>1</v>
      </c>
      <c r="V68" s="11">
        <v>1841.3581260000001</v>
      </c>
      <c r="W68" s="12">
        <f t="shared" si="0"/>
        <v>1841.3581260000001</v>
      </c>
      <c r="X68" s="12">
        <f t="shared" si="1"/>
        <v>0.2916673943797265</v>
      </c>
      <c r="Y68" s="12">
        <f t="shared" si="2"/>
        <v>6.6315035716156974</v>
      </c>
      <c r="Z68" s="12">
        <f t="shared" si="3"/>
        <v>484.95078377666579</v>
      </c>
      <c r="AA68" s="12">
        <f t="shared" si="4"/>
        <v>32.159528546727913</v>
      </c>
      <c r="AB68" s="12">
        <f t="shared" si="5"/>
        <v>11.026096562874253</v>
      </c>
      <c r="AC68" s="12">
        <f t="shared" si="6"/>
        <v>0.5988023952095809</v>
      </c>
      <c r="AE68" s="13"/>
      <c r="AF68" s="13"/>
    </row>
    <row r="69" spans="1:32">
      <c r="A69" s="8" t="s">
        <v>394</v>
      </c>
      <c r="B69" s="9" t="s">
        <v>41</v>
      </c>
      <c r="C69" s="9" t="s">
        <v>127</v>
      </c>
      <c r="D69" s="9" t="s">
        <v>395</v>
      </c>
      <c r="E69" s="9" t="s">
        <v>396</v>
      </c>
      <c r="F69" s="9" t="str">
        <f ca="1">IFERROR(__xludf.DUMMYFUNCTION("IFS(
  REGEXMATCH(LOWER(VLOOKUP(A69, Data1_Raw_Slack!A:B, 2, FALSE)), ""news|weather""), ""News and Weather"", REGEXMATCH(LOWER(VLOOKUP(A69, Data1_Raw_Slack!A:B, 2, FALSE)), ""sports|ufc|nba|nfl|mlb|soccer|sports fans""), ""Sports"",
  REGEXMATCH(LOWER(VL"&amp;"OOKUP(A69, Data1_Raw_Slack!A:B, 2, FALSE)), ""fashion|style|clothing|apparel|shoes|accessories|beauty|cosmetics|fashionistas""), ""Fashion and Beauty"",
  REGEXMATCH(LOWER(VLOOKUP(A69, Data1_Raw_Slack!A:B, 2, FALSE)), ""food|cooking|recipe|restaurant|snac"&amp;"k|grocery|foodies""), ""Food"",
  REGEXMATCH(LOWER(VLOOKUP(A69, Data1_Raw_Slack!A:B, 2, FALSE)), ""travel|vacation|airline|hotel|trip|flights|travelers""), ""Travel"",
  REGEXMATCH(LOWER(VLOOKUP(A69, Data1_Raw_Slack!A:B, 2, FALSE)), ""fitness|workout|gym|"&amp;"exercise|yoga|wellness|fitness enthusiasts""), ""Fitness"",
  REGEXMATCH(LOWER(VLOOKUP(A69, Data1_Raw_Slack!A:B, 2, FALSE)), ""health|medical|pharmacy|mental health|doctor|health-conscious""), ""Health"",
  REGEXMATCH(LOWER(VLOOKUP(A69, Data1_Raw_Slack!A:"&amp;"B, 2, FALSE)), ""pets|dogs|cats|animals|pet care|pet lovers""), ""Pets"",
  REGEXMATCH(LOWER(VLOOKUP(A69, Data1_Raw_Slack!A:B, 2, FALSE)), ""games|gaming|game|xbox|playstation|nintendo|gamers""), ""Gaming"",
  REGEXMATCH(LOWER(VLOOKUP(A69, Data1_Raw_Slack"&amp;"!A:B, 2, FALSE)), ""entertainment|movies|tv|netflix|streaming|celebrity|movie lovers|tv fans|hobb|photo|art""), ""Entertainment"",
  REGEXMATCH(LOWER(VLOOKUP(A69, Data1_Raw_Slack!A:B, 2, FALSE)), ""lifestyle|home|interior|decor|living|lifestyle enthusiast"&amp;"s""), ""Lifestyle"",
  REGEXMATCH(LOWER(VLOOKUP(A69, Data1_Raw_Slack!A:B, 2, FALSE)), ""financial|finance|investing|stocks|retirement|banking|credit|debt|loans|savings|personal finance|insurance|econ|ecom|business|retail|occupation|sale|job|marketing""), "&amp;"""Finance"",
  REGEXMATCH(LOWER(VLOOKUP(A69, Data1_Raw_Slack!A:B, 2, FALSE)), ""auto|automotive""), ""Auto"",
  REGEXMATCH(LOWER(VLOOKUP(A69, Data1_Raw_Slack!A:B, 2, FALSE)), ""parenting|moms|dads|kids|toddlers|baby|parent|children""), ""Parenting"",
 "&amp;" REGEXMATCH(LOWER(VLOOKUP(A69, Data1_Raw_Slack!A:B, 2, FALSE)), ""education|students|learning|school|teachers|college|university|academics""), ""Education"",
  REGEXMATCH(LOWER(VLOOKUP(A69, Data1_Raw_Slack!A:B, 2, FALSE)), ""age|gender|demographic|family|"&amp;"household""), ""Demographics"",
  REGEXMATCH(LOWER(VLOOKUP(A69, Data1_Raw_Slack!A:B, 2, FALSE)), ""mortgage|real estate""), ""Real Estate"",REGEXMATCH(LOWER(VLOOKUP(A69, Data1_Raw_Slack!A:B, 2, FALSE)), ""technology|tech|gadgets|smartphone|electro|apps|de"&amp;"vices|computing|ai|robots|software|computer|internet|tele|mobile|tablet""), ""Technology"", REGEXMATCH(LOWER(VLOOKUP(A69, Data1_Raw_Slack!A:B, 2, FALSE)), ""entertainment|purchas|movies|tv|netflix|streaming|celebrity|movie lovers|tv fans|media|hobb|photo|"&amp;"art|shop""), ""Entertainment"", REGEXMATCH(LOWER(VLOOKUP(A69, Data1_Raw_Slack!A:B, 2, FALSE)), ""law|government|""), ""Law and Government"",
  TRUE, ""Other""
)"),"Finance")</f>
        <v>Finance</v>
      </c>
      <c r="G69" s="9" t="s">
        <v>127</v>
      </c>
      <c r="H69" s="9" t="s">
        <v>32</v>
      </c>
      <c r="I69" s="9" t="s">
        <v>397</v>
      </c>
      <c r="J69" s="9" t="s">
        <v>62</v>
      </c>
      <c r="K69" s="9" t="s">
        <v>227</v>
      </c>
      <c r="L69" s="9" t="s">
        <v>228</v>
      </c>
      <c r="M69" s="10" t="s">
        <v>398</v>
      </c>
      <c r="N69" s="9" t="str">
        <f ca="1">IFERROR(__xludf.DUMMYFUNCTION("REGEXEXTRACT(LOWER(M69), ""([a-z0-9\-]+)\.(?:co|net|org|io|gg)"")"),"kbb")</f>
        <v>kbb</v>
      </c>
      <c r="O69" s="9" t="s">
        <v>103</v>
      </c>
      <c r="P69" s="9" t="s">
        <v>39</v>
      </c>
      <c r="Q69" s="9">
        <v>69523</v>
      </c>
      <c r="R69" s="9">
        <v>174</v>
      </c>
      <c r="S69" s="9">
        <v>48273</v>
      </c>
      <c r="T69" s="9">
        <v>65800</v>
      </c>
      <c r="U69" s="9">
        <v>9</v>
      </c>
      <c r="V69" s="11">
        <v>2649.9978030000002</v>
      </c>
      <c r="W69" s="12">
        <f t="shared" si="0"/>
        <v>294.44420033333336</v>
      </c>
      <c r="X69" s="12">
        <f t="shared" si="1"/>
        <v>0.25027688678566806</v>
      </c>
      <c r="Y69" s="12">
        <f t="shared" si="2"/>
        <v>69.434575608072151</v>
      </c>
      <c r="Z69" s="12">
        <f t="shared" si="3"/>
        <v>54.896066186066754</v>
      </c>
      <c r="AA69" s="12">
        <f t="shared" si="4"/>
        <v>38.116850581821851</v>
      </c>
      <c r="AB69" s="12">
        <f t="shared" si="5"/>
        <v>15.229872431034483</v>
      </c>
      <c r="AC69" s="12">
        <f t="shared" si="6"/>
        <v>5.1724137931034484</v>
      </c>
      <c r="AE69" s="13"/>
      <c r="AF69" s="13"/>
    </row>
    <row r="70" spans="1:32">
      <c r="A70" s="8" t="s">
        <v>399</v>
      </c>
      <c r="B70" s="9" t="s">
        <v>92</v>
      </c>
      <c r="C70" s="9" t="s">
        <v>200</v>
      </c>
      <c r="D70" s="9" t="s">
        <v>400</v>
      </c>
      <c r="E70" s="9" t="s">
        <v>401</v>
      </c>
      <c r="F70" s="9" t="str">
        <f ca="1">IFERROR(__xludf.DUMMYFUNCTION("IFS(
  REGEXMATCH(LOWER(VLOOKUP(A70, Data1_Raw_Slack!A:B, 2, FALSE)), ""news|weather""), ""News and Weather"", REGEXMATCH(LOWER(VLOOKUP(A70, Data1_Raw_Slack!A:B, 2, FALSE)), ""sports|ufc|nba|nfl|mlb|soccer|sports fans""), ""Sports"",
  REGEXMATCH(LOWER(VL"&amp;"OOKUP(A70, Data1_Raw_Slack!A:B, 2, FALSE)), ""fashion|style|clothing|apparel|shoes|accessories|beauty|cosmetics|fashionistas""), ""Fashion and Beauty"",
  REGEXMATCH(LOWER(VLOOKUP(A70, Data1_Raw_Slack!A:B, 2, FALSE)), ""food|cooking|recipe|restaurant|snac"&amp;"k|grocery|foodies""), ""Food"",
  REGEXMATCH(LOWER(VLOOKUP(A70, Data1_Raw_Slack!A:B, 2, FALSE)), ""travel|vacation|airline|hotel|trip|flights|travelers""), ""Travel"",
  REGEXMATCH(LOWER(VLOOKUP(A70, Data1_Raw_Slack!A:B, 2, FALSE)), ""fitness|workout|gym|"&amp;"exercise|yoga|wellness|fitness enthusiasts""), ""Fitness"",
  REGEXMATCH(LOWER(VLOOKUP(A70, Data1_Raw_Slack!A:B, 2, FALSE)), ""health|medical|pharmacy|mental health|doctor|health-conscious""), ""Health"",
  REGEXMATCH(LOWER(VLOOKUP(A70, Data1_Raw_Slack!A:"&amp;"B, 2, FALSE)), ""pets|dogs|cats|animals|pet care|pet lovers""), ""Pets"",
  REGEXMATCH(LOWER(VLOOKUP(A70, Data1_Raw_Slack!A:B, 2, FALSE)), ""games|gaming|game|xbox|playstation|nintendo|gamers""), ""Gaming"",
  REGEXMATCH(LOWER(VLOOKUP(A70, Data1_Raw_Slack"&amp;"!A:B, 2, FALSE)), ""entertainment|movies|tv|netflix|streaming|celebrity|movie lovers|tv fans|hobb|photo|art""), ""Entertainment"",
  REGEXMATCH(LOWER(VLOOKUP(A70, Data1_Raw_Slack!A:B, 2, FALSE)), ""lifestyle|home|interior|decor|living|lifestyle enthusiast"&amp;"s""), ""Lifestyle"",
  REGEXMATCH(LOWER(VLOOKUP(A70, Data1_Raw_Slack!A:B, 2, FALSE)), ""financial|finance|investing|stocks|retirement|banking|credit|debt|loans|savings|personal finance|insurance|econ|ecom|business|retail|occupation|sale|job|marketing""), "&amp;"""Finance"",
  REGEXMATCH(LOWER(VLOOKUP(A70, Data1_Raw_Slack!A:B, 2, FALSE)), ""auto|automotive""), ""Auto"",
  REGEXMATCH(LOWER(VLOOKUP(A70, Data1_Raw_Slack!A:B, 2, FALSE)), ""parenting|moms|dads|kids|toddlers|baby|parent|children""), ""Parenting"",
 "&amp;" REGEXMATCH(LOWER(VLOOKUP(A70, Data1_Raw_Slack!A:B, 2, FALSE)), ""education|students|learning|school|teachers|college|university|academics""), ""Education"",
  REGEXMATCH(LOWER(VLOOKUP(A70, Data1_Raw_Slack!A:B, 2, FALSE)), ""age|gender|demographic|family|"&amp;"household""), ""Demographics"",
  REGEXMATCH(LOWER(VLOOKUP(A70, Data1_Raw_Slack!A:B, 2, FALSE)), ""mortgage|real estate""), ""Real Estate"",REGEXMATCH(LOWER(VLOOKUP(A70, Data1_Raw_Slack!A:B, 2, FALSE)), ""technology|tech|gadgets|smartphone|electro|apps|de"&amp;"vices|computing|ai|robots|software|computer|internet|tele|mobile|tablet""), ""Technology"", REGEXMATCH(LOWER(VLOOKUP(A70, Data1_Raw_Slack!A:B, 2, FALSE)), ""entertainment|purchas|movies|tv|netflix|streaming|celebrity|movie lovers|tv fans|media|hobb|photo|"&amp;"art|shop""), ""Entertainment"", REGEXMATCH(LOWER(VLOOKUP(A70, Data1_Raw_Slack!A:B, 2, FALSE)), ""law|government|""), ""Law and Government"",
  TRUE, ""Other""
)"),"Demographics")</f>
        <v>Demographics</v>
      </c>
      <c r="G70" s="9" t="s">
        <v>200</v>
      </c>
      <c r="H70" s="9" t="s">
        <v>44</v>
      </c>
      <c r="I70" s="9" t="s">
        <v>217</v>
      </c>
      <c r="J70" s="9" t="s">
        <v>46</v>
      </c>
      <c r="K70" s="9" t="s">
        <v>299</v>
      </c>
      <c r="L70" s="9" t="s">
        <v>72</v>
      </c>
      <c r="M70" s="10" t="s">
        <v>402</v>
      </c>
      <c r="N70" s="9" t="str">
        <f ca="1">IFERROR(__xludf.DUMMYFUNCTION("REGEXEXTRACT(LOWER(M70), ""([a-z0-9\-]+)\.(?:co|net|org|io|gg)"")"),"timesofindia")</f>
        <v>timesofindia</v>
      </c>
      <c r="O70" s="9" t="s">
        <v>38</v>
      </c>
      <c r="P70" s="9" t="s">
        <v>75</v>
      </c>
      <c r="Q70" s="9">
        <v>15904</v>
      </c>
      <c r="R70" s="9">
        <v>190</v>
      </c>
      <c r="S70" s="9">
        <v>7523</v>
      </c>
      <c r="T70" s="9">
        <v>14815</v>
      </c>
      <c r="U70" s="9">
        <v>2</v>
      </c>
      <c r="V70" s="11">
        <v>1825.7257079999999</v>
      </c>
      <c r="W70" s="12">
        <f t="shared" si="0"/>
        <v>912.86285399999997</v>
      </c>
      <c r="X70" s="12">
        <f t="shared" si="1"/>
        <v>1.1946680080482897</v>
      </c>
      <c r="Y70" s="12">
        <f t="shared" si="2"/>
        <v>47.302565392354126</v>
      </c>
      <c r="Z70" s="12">
        <f t="shared" si="3"/>
        <v>242.68585776950681</v>
      </c>
      <c r="AA70" s="12">
        <f t="shared" si="4"/>
        <v>114.79663656941649</v>
      </c>
      <c r="AB70" s="12">
        <f t="shared" si="5"/>
        <v>9.6090826736842097</v>
      </c>
      <c r="AC70" s="12">
        <f t="shared" si="6"/>
        <v>1.0526315789473684</v>
      </c>
      <c r="AE70" s="13"/>
      <c r="AF70" s="13"/>
    </row>
    <row r="71" spans="1:32">
      <c r="A71" s="8" t="s">
        <v>403</v>
      </c>
      <c r="B71" s="9" t="s">
        <v>41</v>
      </c>
      <c r="C71" s="9" t="s">
        <v>253</v>
      </c>
      <c r="D71" s="9" t="s">
        <v>404</v>
      </c>
      <c r="E71" s="9"/>
      <c r="F71" s="9" t="str">
        <f ca="1">IFERROR(__xludf.DUMMYFUNCTION("IFS(
  REGEXMATCH(LOWER(VLOOKUP(A71, Data1_Raw_Slack!A:B, 2, FALSE)), ""news|weather""), ""News and Weather"", REGEXMATCH(LOWER(VLOOKUP(A71, Data1_Raw_Slack!A:B, 2, FALSE)), ""sports|ufc|nba|nfl|mlb|soccer|sports fans""), ""Sports"",
  REGEXMATCH(LOWER(VL"&amp;"OOKUP(A71, Data1_Raw_Slack!A:B, 2, FALSE)), ""fashion|style|clothing|apparel|shoes|accessories|beauty|cosmetics|fashionistas""), ""Fashion and Beauty"",
  REGEXMATCH(LOWER(VLOOKUP(A71, Data1_Raw_Slack!A:B, 2, FALSE)), ""food|cooking|recipe|restaurant|snac"&amp;"k|grocery|foodies""), ""Food"",
  REGEXMATCH(LOWER(VLOOKUP(A71, Data1_Raw_Slack!A:B, 2, FALSE)), ""travel|vacation|airline|hotel|trip|flights|travelers""), ""Travel"",
  REGEXMATCH(LOWER(VLOOKUP(A71, Data1_Raw_Slack!A:B, 2, FALSE)), ""fitness|workout|gym|"&amp;"exercise|yoga|wellness|fitness enthusiasts""), ""Fitness"",
  REGEXMATCH(LOWER(VLOOKUP(A71, Data1_Raw_Slack!A:B, 2, FALSE)), ""health|medical|pharmacy|mental health|doctor|health-conscious""), ""Health"",
  REGEXMATCH(LOWER(VLOOKUP(A71, Data1_Raw_Slack!A:"&amp;"B, 2, FALSE)), ""pets|dogs|cats|animals|pet care|pet lovers""), ""Pets"",
  REGEXMATCH(LOWER(VLOOKUP(A71, Data1_Raw_Slack!A:B, 2, FALSE)), ""games|gaming|game|xbox|playstation|nintendo|gamers""), ""Gaming"",
  REGEXMATCH(LOWER(VLOOKUP(A71, Data1_Raw_Slack"&amp;"!A:B, 2, FALSE)), ""entertainment|movies|tv|netflix|streaming|celebrity|movie lovers|tv fans|hobb|photo|art""), ""Entertainment"",
  REGEXMATCH(LOWER(VLOOKUP(A71, Data1_Raw_Slack!A:B, 2, FALSE)), ""lifestyle|home|interior|decor|living|lifestyle enthusiast"&amp;"s""), ""Lifestyle"",
  REGEXMATCH(LOWER(VLOOKUP(A71, Data1_Raw_Slack!A:B, 2, FALSE)), ""financial|finance|investing|stocks|retirement|banking|credit|debt|loans|savings|personal finance|insurance|econ|ecom|business|retail|occupation|sale|job|marketing""), "&amp;"""Finance"",
  REGEXMATCH(LOWER(VLOOKUP(A71, Data1_Raw_Slack!A:B, 2, FALSE)), ""auto|automotive""), ""Auto"",
  REGEXMATCH(LOWER(VLOOKUP(A71, Data1_Raw_Slack!A:B, 2, FALSE)), ""parenting|moms|dads|kids|toddlers|baby|parent|children""), ""Parenting"",
 "&amp;" REGEXMATCH(LOWER(VLOOKUP(A71, Data1_Raw_Slack!A:B, 2, FALSE)), ""education|students|learning|school|teachers|college|university|academics""), ""Education"",
  REGEXMATCH(LOWER(VLOOKUP(A71, Data1_Raw_Slack!A:B, 2, FALSE)), ""age|gender|demographic|family|"&amp;"household""), ""Demographics"",
  REGEXMATCH(LOWER(VLOOKUP(A71, Data1_Raw_Slack!A:B, 2, FALSE)), ""mortgage|real estate""), ""Real Estate"",REGEXMATCH(LOWER(VLOOKUP(A71, Data1_Raw_Slack!A:B, 2, FALSE)), ""technology|tech|gadgets|smartphone|electro|apps|de"&amp;"vices|computing|ai|robots|software|computer|internet|tele|mobile|tablet""), ""Technology"", REGEXMATCH(LOWER(VLOOKUP(A71, Data1_Raw_Slack!A:B, 2, FALSE)), ""entertainment|purchas|movies|tv|netflix|streaming|celebrity|movie lovers|tv fans|media|hobb|photo|"&amp;"art|shop""), ""Entertainment"", REGEXMATCH(LOWER(VLOOKUP(A71, Data1_Raw_Slack!A:B, 2, FALSE)), ""law|government|""), ""Law and Government"",
  TRUE, ""Other""
)"),"Lifestyle")</f>
        <v>Lifestyle</v>
      </c>
      <c r="G71" s="9"/>
      <c r="H71" s="9" t="s">
        <v>32</v>
      </c>
      <c r="I71" s="9" t="s">
        <v>245</v>
      </c>
      <c r="J71" s="9" t="s">
        <v>80</v>
      </c>
      <c r="K71" s="9" t="s">
        <v>405</v>
      </c>
      <c r="L71" s="9" t="s">
        <v>72</v>
      </c>
      <c r="M71" s="10" t="s">
        <v>130</v>
      </c>
      <c r="N71" s="9" t="str">
        <f ca="1">IFERROR(__xludf.DUMMYFUNCTION("REGEXEXTRACT(LOWER(M71), ""([a-z0-9\-]+)\.(?:co|net|org|io|gg)"")"),"weather")</f>
        <v>weather</v>
      </c>
      <c r="O71" s="9" t="s">
        <v>50</v>
      </c>
      <c r="P71" s="9" t="s">
        <v>39</v>
      </c>
      <c r="Q71" s="9">
        <v>210700</v>
      </c>
      <c r="R71" s="9">
        <v>704</v>
      </c>
      <c r="S71" s="9">
        <v>94625</v>
      </c>
      <c r="T71" s="9">
        <v>180681</v>
      </c>
      <c r="U71" s="9">
        <v>3</v>
      </c>
      <c r="V71" s="11">
        <v>6341.8793009999999</v>
      </c>
      <c r="W71" s="12">
        <f t="shared" si="0"/>
        <v>2113.9597669999998</v>
      </c>
      <c r="X71" s="12">
        <f t="shared" si="1"/>
        <v>0.33412434741338398</v>
      </c>
      <c r="Y71" s="12">
        <f t="shared" si="2"/>
        <v>44.909824394874235</v>
      </c>
      <c r="Z71" s="12">
        <f t="shared" si="3"/>
        <v>67.021181516512556</v>
      </c>
      <c r="AA71" s="12">
        <f t="shared" si="4"/>
        <v>30.099094926435694</v>
      </c>
      <c r="AB71" s="12">
        <f t="shared" si="5"/>
        <v>9.0083512798295455</v>
      </c>
      <c r="AC71" s="12">
        <f t="shared" si="6"/>
        <v>0.42613636363636359</v>
      </c>
      <c r="AE71" s="13"/>
      <c r="AF71" s="13"/>
    </row>
    <row r="72" spans="1:32">
      <c r="A72" s="8" t="s">
        <v>406</v>
      </c>
      <c r="B72" s="9" t="s">
        <v>41</v>
      </c>
      <c r="C72" s="9" t="s">
        <v>407</v>
      </c>
      <c r="D72" s="9" t="s">
        <v>408</v>
      </c>
      <c r="E72" s="9"/>
      <c r="F72" s="9" t="str">
        <f ca="1">IFERROR(__xludf.DUMMYFUNCTION("IFS(
  REGEXMATCH(LOWER(VLOOKUP(A72, Data1_Raw_Slack!A:B, 2, FALSE)), ""news|weather""), ""News and Weather"", REGEXMATCH(LOWER(VLOOKUP(A72, Data1_Raw_Slack!A:B, 2, FALSE)), ""sports|ufc|nba|nfl|mlb|soccer|sports fans""), ""Sports"",
  REGEXMATCH(LOWER(VL"&amp;"OOKUP(A72, Data1_Raw_Slack!A:B, 2, FALSE)), ""fashion|style|clothing|apparel|shoes|accessories|beauty|cosmetics|fashionistas""), ""Fashion and Beauty"",
  REGEXMATCH(LOWER(VLOOKUP(A72, Data1_Raw_Slack!A:B, 2, FALSE)), ""food|cooking|recipe|restaurant|snac"&amp;"k|grocery|foodies""), ""Food"",
  REGEXMATCH(LOWER(VLOOKUP(A72, Data1_Raw_Slack!A:B, 2, FALSE)), ""travel|vacation|airline|hotel|trip|flights|travelers""), ""Travel"",
  REGEXMATCH(LOWER(VLOOKUP(A72, Data1_Raw_Slack!A:B, 2, FALSE)), ""fitness|workout|gym|"&amp;"exercise|yoga|wellness|fitness enthusiasts""), ""Fitness"",
  REGEXMATCH(LOWER(VLOOKUP(A72, Data1_Raw_Slack!A:B, 2, FALSE)), ""health|medical|pharmacy|mental health|doctor|health-conscious""), ""Health"",
  REGEXMATCH(LOWER(VLOOKUP(A72, Data1_Raw_Slack!A:"&amp;"B, 2, FALSE)), ""pets|dogs|cats|animals|pet care|pet lovers""), ""Pets"",
  REGEXMATCH(LOWER(VLOOKUP(A72, Data1_Raw_Slack!A:B, 2, FALSE)), ""games|gaming|game|xbox|playstation|nintendo|gamers""), ""Gaming"",
  REGEXMATCH(LOWER(VLOOKUP(A72, Data1_Raw_Slack"&amp;"!A:B, 2, FALSE)), ""entertainment|movies|tv|netflix|streaming|celebrity|movie lovers|tv fans|hobb|photo|art""), ""Entertainment"",
  REGEXMATCH(LOWER(VLOOKUP(A72, Data1_Raw_Slack!A:B, 2, FALSE)), ""lifestyle|home|interior|decor|living|lifestyle enthusiast"&amp;"s""), ""Lifestyle"",
  REGEXMATCH(LOWER(VLOOKUP(A72, Data1_Raw_Slack!A:B, 2, FALSE)), ""financial|finance|investing|stocks|retirement|banking|credit|debt|loans|savings|personal finance|insurance|econ|ecom|business|retail|occupation|sale|job|marketing""), "&amp;"""Finance"",
  REGEXMATCH(LOWER(VLOOKUP(A72, Data1_Raw_Slack!A:B, 2, FALSE)), ""auto|automotive""), ""Auto"",
  REGEXMATCH(LOWER(VLOOKUP(A72, Data1_Raw_Slack!A:B, 2, FALSE)), ""parenting|moms|dads|kids|toddlers|baby|parent|children""), ""Parenting"",
 "&amp;" REGEXMATCH(LOWER(VLOOKUP(A72, Data1_Raw_Slack!A:B, 2, FALSE)), ""education|students|learning|school|teachers|college|university|academics""), ""Education"",
  REGEXMATCH(LOWER(VLOOKUP(A72, Data1_Raw_Slack!A:B, 2, FALSE)), ""age|gender|demographic|family|"&amp;"household""), ""Demographics"",
  REGEXMATCH(LOWER(VLOOKUP(A72, Data1_Raw_Slack!A:B, 2, FALSE)), ""mortgage|real estate""), ""Real Estate"",REGEXMATCH(LOWER(VLOOKUP(A72, Data1_Raw_Slack!A:B, 2, FALSE)), ""technology|tech|gadgets|smartphone|electro|apps|de"&amp;"vices|computing|ai|robots|software|computer|internet|tele|mobile|tablet""), ""Technology"", REGEXMATCH(LOWER(VLOOKUP(A72, Data1_Raw_Slack!A:B, 2, FALSE)), ""entertainment|purchas|movies|tv|netflix|streaming|celebrity|movie lovers|tv fans|media|hobb|photo|"&amp;"art|shop""), ""Entertainment"", REGEXMATCH(LOWER(VLOOKUP(A72, Data1_Raw_Slack!A:B, 2, FALSE)), ""law|government|""), ""Law and Government"",
  TRUE, ""Other""
)"),"Law and Government")</f>
        <v>Law and Government</v>
      </c>
      <c r="G72" s="9"/>
      <c r="H72" s="9" t="s">
        <v>44</v>
      </c>
      <c r="I72" s="9" t="s">
        <v>409</v>
      </c>
      <c r="J72" s="9" t="s">
        <v>46</v>
      </c>
      <c r="K72" s="9" t="s">
        <v>142</v>
      </c>
      <c r="L72" s="9" t="s">
        <v>72</v>
      </c>
      <c r="M72" s="10" t="s">
        <v>372</v>
      </c>
      <c r="N72" s="9" t="str">
        <f ca="1">IFERROR(__xludf.DUMMYFUNCTION("REGEXEXTRACT(LOWER(M72), ""([a-z0-9\-]+)\.(?:co|net|org|io|gg)"")"),"accuweather")</f>
        <v>accuweather</v>
      </c>
      <c r="O72" s="9" t="s">
        <v>103</v>
      </c>
      <c r="P72" s="9" t="s">
        <v>39</v>
      </c>
      <c r="Q72" s="9">
        <v>23829</v>
      </c>
      <c r="R72" s="9">
        <v>75</v>
      </c>
      <c r="S72" s="9">
        <v>8326</v>
      </c>
      <c r="T72" s="9">
        <v>18812</v>
      </c>
      <c r="U72" s="9">
        <v>5</v>
      </c>
      <c r="V72" s="11">
        <v>1534.6980000000001</v>
      </c>
      <c r="W72" s="12">
        <f t="shared" si="0"/>
        <v>306.93960000000004</v>
      </c>
      <c r="X72" s="12">
        <f t="shared" si="1"/>
        <v>0.31474254060178775</v>
      </c>
      <c r="Y72" s="12">
        <f t="shared" si="2"/>
        <v>34.940618574006457</v>
      </c>
      <c r="Z72" s="12">
        <f t="shared" si="3"/>
        <v>184.32596685082873</v>
      </c>
      <c r="AA72" s="12">
        <f t="shared" si="4"/>
        <v>64.404633010197671</v>
      </c>
      <c r="AB72" s="12">
        <f t="shared" si="5"/>
        <v>20.46264</v>
      </c>
      <c r="AC72" s="12">
        <f t="shared" si="6"/>
        <v>6.666666666666667</v>
      </c>
      <c r="AE72" s="13"/>
      <c r="AF72" s="13"/>
    </row>
    <row r="73" spans="1:32">
      <c r="A73" s="8" t="s">
        <v>410</v>
      </c>
      <c r="B73" s="9" t="s">
        <v>41</v>
      </c>
      <c r="C73" s="9" t="s">
        <v>120</v>
      </c>
      <c r="D73" s="9" t="s">
        <v>411</v>
      </c>
      <c r="E73" s="9"/>
      <c r="F73" s="9" t="str">
        <f ca="1">IFERROR(__xludf.DUMMYFUNCTION("IFS(
  REGEXMATCH(LOWER(VLOOKUP(A73, Data1_Raw_Slack!A:B, 2, FALSE)), ""news|weather""), ""News and Weather"", REGEXMATCH(LOWER(VLOOKUP(A73, Data1_Raw_Slack!A:B, 2, FALSE)), ""sports|ufc|nba|nfl|mlb|soccer|sports fans""), ""Sports"",
  REGEXMATCH(LOWER(VL"&amp;"OOKUP(A73, Data1_Raw_Slack!A:B, 2, FALSE)), ""fashion|style|clothing|apparel|shoes|accessories|beauty|cosmetics|fashionistas""), ""Fashion and Beauty"",
  REGEXMATCH(LOWER(VLOOKUP(A73, Data1_Raw_Slack!A:B, 2, FALSE)), ""food|cooking|recipe|restaurant|snac"&amp;"k|grocery|foodies""), ""Food"",
  REGEXMATCH(LOWER(VLOOKUP(A73, Data1_Raw_Slack!A:B, 2, FALSE)), ""travel|vacation|airline|hotel|trip|flights|travelers""), ""Travel"",
  REGEXMATCH(LOWER(VLOOKUP(A73, Data1_Raw_Slack!A:B, 2, FALSE)), ""fitness|workout|gym|"&amp;"exercise|yoga|wellness|fitness enthusiasts""), ""Fitness"",
  REGEXMATCH(LOWER(VLOOKUP(A73, Data1_Raw_Slack!A:B, 2, FALSE)), ""health|medical|pharmacy|mental health|doctor|health-conscious""), ""Health"",
  REGEXMATCH(LOWER(VLOOKUP(A73, Data1_Raw_Slack!A:"&amp;"B, 2, FALSE)), ""pets|dogs|cats|animals|pet care|pet lovers""), ""Pets"",
  REGEXMATCH(LOWER(VLOOKUP(A73, Data1_Raw_Slack!A:B, 2, FALSE)), ""games|gaming|game|xbox|playstation|nintendo|gamers""), ""Gaming"",
  REGEXMATCH(LOWER(VLOOKUP(A73, Data1_Raw_Slack"&amp;"!A:B, 2, FALSE)), ""entertainment|movies|tv|netflix|streaming|celebrity|movie lovers|tv fans|hobb|photo|art""), ""Entertainment"",
  REGEXMATCH(LOWER(VLOOKUP(A73, Data1_Raw_Slack!A:B, 2, FALSE)), ""lifestyle|home|interior|decor|living|lifestyle enthusiast"&amp;"s""), ""Lifestyle"",
  REGEXMATCH(LOWER(VLOOKUP(A73, Data1_Raw_Slack!A:B, 2, FALSE)), ""financial|finance|investing|stocks|retirement|banking|credit|debt|loans|savings|personal finance|insurance|econ|ecom|business|retail|occupation|sale|job|marketing""), "&amp;"""Finance"",
  REGEXMATCH(LOWER(VLOOKUP(A73, Data1_Raw_Slack!A:B, 2, FALSE)), ""auto|automotive""), ""Auto"",
  REGEXMATCH(LOWER(VLOOKUP(A73, Data1_Raw_Slack!A:B, 2, FALSE)), ""parenting|moms|dads|kids|toddlers|baby|parent|children""), ""Parenting"",
 "&amp;" REGEXMATCH(LOWER(VLOOKUP(A73, Data1_Raw_Slack!A:B, 2, FALSE)), ""education|students|learning|school|teachers|college|university|academics""), ""Education"",
  REGEXMATCH(LOWER(VLOOKUP(A73, Data1_Raw_Slack!A:B, 2, FALSE)), ""age|gender|demographic|family|"&amp;"household""), ""Demographics"",
  REGEXMATCH(LOWER(VLOOKUP(A73, Data1_Raw_Slack!A:B, 2, FALSE)), ""mortgage|real estate""), ""Real Estate"",REGEXMATCH(LOWER(VLOOKUP(A73, Data1_Raw_Slack!A:B, 2, FALSE)), ""technology|tech|gadgets|smartphone|electro|apps|de"&amp;"vices|computing|ai|robots|software|computer|internet|tele|mobile|tablet""), ""Technology"", REGEXMATCH(LOWER(VLOOKUP(A73, Data1_Raw_Slack!A:B, 2, FALSE)), ""entertainment|purchas|movies|tv|netflix|streaming|celebrity|movie lovers|tv fans|media|hobb|photo|"&amp;"art|shop""), ""Entertainment"", REGEXMATCH(LOWER(VLOOKUP(A73, Data1_Raw_Slack!A:B, 2, FALSE)), ""law|government|""), ""Law and Government"",
  TRUE, ""Other""
)"),"Auto")</f>
        <v>Auto</v>
      </c>
      <c r="G73" s="9" t="s">
        <v>122</v>
      </c>
      <c r="H73" s="9" t="s">
        <v>44</v>
      </c>
      <c r="I73" s="9" t="s">
        <v>412</v>
      </c>
      <c r="J73" s="9" t="s">
        <v>80</v>
      </c>
      <c r="K73" s="9" t="s">
        <v>56</v>
      </c>
      <c r="L73" s="9" t="s">
        <v>57</v>
      </c>
      <c r="M73" s="10" t="s">
        <v>73</v>
      </c>
      <c r="N73" s="9" t="str">
        <f ca="1">IFERROR(__xludf.DUMMYFUNCTION("REGEXEXTRACT(LOWER(M73), ""([a-z0-9\-]+)\.(?:co|net|org|io|gg)"")"),"aol")</f>
        <v>aol</v>
      </c>
      <c r="O73" s="9" t="s">
        <v>50</v>
      </c>
      <c r="P73" s="9" t="s">
        <v>75</v>
      </c>
      <c r="Q73" s="9">
        <v>83854</v>
      </c>
      <c r="R73" s="9">
        <v>197</v>
      </c>
      <c r="S73" s="9">
        <v>60626</v>
      </c>
      <c r="T73" s="9">
        <v>76071</v>
      </c>
      <c r="U73" s="9">
        <v>15</v>
      </c>
      <c r="V73" s="11">
        <v>5783.843758</v>
      </c>
      <c r="W73" s="12">
        <f t="shared" si="0"/>
        <v>385.58958386666666</v>
      </c>
      <c r="X73" s="12">
        <f t="shared" si="1"/>
        <v>0.23493214396450973</v>
      </c>
      <c r="Y73" s="12">
        <f t="shared" si="2"/>
        <v>72.299472893362264</v>
      </c>
      <c r="Z73" s="12">
        <f t="shared" si="3"/>
        <v>95.402034737571327</v>
      </c>
      <c r="AA73" s="12">
        <f t="shared" si="4"/>
        <v>68.97516824480644</v>
      </c>
      <c r="AB73" s="12">
        <f t="shared" si="5"/>
        <v>29.359612984771573</v>
      </c>
      <c r="AC73" s="12">
        <f t="shared" si="6"/>
        <v>7.6142131979695442</v>
      </c>
      <c r="AE73" s="13"/>
      <c r="AF73" s="13"/>
    </row>
    <row r="74" spans="1:32">
      <c r="A74" s="8" t="s">
        <v>413</v>
      </c>
      <c r="B74" s="9" t="s">
        <v>144</v>
      </c>
      <c r="C74" s="9" t="s">
        <v>414</v>
      </c>
      <c r="D74" s="9" t="s">
        <v>152</v>
      </c>
      <c r="E74" s="9"/>
      <c r="F74" s="9" t="str">
        <f ca="1">IFERROR(__xludf.DUMMYFUNCTION("IFS(
  REGEXMATCH(LOWER(VLOOKUP(A74, Data1_Raw_Slack!A:B, 2, FALSE)), ""news|weather""), ""News and Weather"", REGEXMATCH(LOWER(VLOOKUP(A74, Data1_Raw_Slack!A:B, 2, FALSE)), ""sports|ufc|nba|nfl|mlb|soccer|sports fans""), ""Sports"",
  REGEXMATCH(LOWER(VL"&amp;"OOKUP(A74, Data1_Raw_Slack!A:B, 2, FALSE)), ""fashion|style|clothing|apparel|shoes|accessories|beauty|cosmetics|fashionistas""), ""Fashion and Beauty"",
  REGEXMATCH(LOWER(VLOOKUP(A74, Data1_Raw_Slack!A:B, 2, FALSE)), ""food|cooking|recipe|restaurant|snac"&amp;"k|grocery|foodies""), ""Food"",
  REGEXMATCH(LOWER(VLOOKUP(A74, Data1_Raw_Slack!A:B, 2, FALSE)), ""travel|vacation|airline|hotel|trip|flights|travelers""), ""Travel"",
  REGEXMATCH(LOWER(VLOOKUP(A74, Data1_Raw_Slack!A:B, 2, FALSE)), ""fitness|workout|gym|"&amp;"exercise|yoga|wellness|fitness enthusiasts""), ""Fitness"",
  REGEXMATCH(LOWER(VLOOKUP(A74, Data1_Raw_Slack!A:B, 2, FALSE)), ""health|medical|pharmacy|mental health|doctor|health-conscious""), ""Health"",
  REGEXMATCH(LOWER(VLOOKUP(A74, Data1_Raw_Slack!A:"&amp;"B, 2, FALSE)), ""pets|dogs|cats|animals|pet care|pet lovers""), ""Pets"",
  REGEXMATCH(LOWER(VLOOKUP(A74, Data1_Raw_Slack!A:B, 2, FALSE)), ""games|gaming|game|xbox|playstation|nintendo|gamers""), ""Gaming"",
  REGEXMATCH(LOWER(VLOOKUP(A74, Data1_Raw_Slack"&amp;"!A:B, 2, FALSE)), ""entertainment|movies|tv|netflix|streaming|celebrity|movie lovers|tv fans|hobb|photo|art""), ""Entertainment"",
  REGEXMATCH(LOWER(VLOOKUP(A74, Data1_Raw_Slack!A:B, 2, FALSE)), ""lifestyle|home|interior|decor|living|lifestyle enthusiast"&amp;"s""), ""Lifestyle"",
  REGEXMATCH(LOWER(VLOOKUP(A74, Data1_Raw_Slack!A:B, 2, FALSE)), ""financial|finance|investing|stocks|retirement|banking|credit|debt|loans|savings|personal finance|insurance|econ|ecom|business|retail|occupation|sale|job|marketing""), "&amp;"""Finance"",
  REGEXMATCH(LOWER(VLOOKUP(A74, Data1_Raw_Slack!A:B, 2, FALSE)), ""auto|automotive""), ""Auto"",
  REGEXMATCH(LOWER(VLOOKUP(A74, Data1_Raw_Slack!A:B, 2, FALSE)), ""parenting|moms|dads|kids|toddlers|baby|parent|children""), ""Parenting"",
 "&amp;" REGEXMATCH(LOWER(VLOOKUP(A74, Data1_Raw_Slack!A:B, 2, FALSE)), ""education|students|learning|school|teachers|college|university|academics""), ""Education"",
  REGEXMATCH(LOWER(VLOOKUP(A74, Data1_Raw_Slack!A:B, 2, FALSE)), ""age|gender|demographic|family|"&amp;"household""), ""Demographics"",
  REGEXMATCH(LOWER(VLOOKUP(A74, Data1_Raw_Slack!A:B, 2, FALSE)), ""mortgage|real estate""), ""Real Estate"",REGEXMATCH(LOWER(VLOOKUP(A74, Data1_Raw_Slack!A:B, 2, FALSE)), ""technology|tech|gadgets|smartphone|electro|apps|de"&amp;"vices|computing|ai|robots|software|computer|internet|tele|mobile|tablet""), ""Technology"", REGEXMATCH(LOWER(VLOOKUP(A74, Data1_Raw_Slack!A:B, 2, FALSE)), ""entertainment|purchas|movies|tv|netflix|streaming|celebrity|movie lovers|tv fans|media|hobb|photo|"&amp;"art|shop""), ""Entertainment"", REGEXMATCH(LOWER(VLOOKUP(A74, Data1_Raw_Slack!A:B, 2, FALSE)), ""law|government|""), ""Law and Government"",
  TRUE, ""Other""
)"),"Sports")</f>
        <v>Sports</v>
      </c>
      <c r="G74" s="9" t="s">
        <v>154</v>
      </c>
      <c r="H74" s="9" t="s">
        <v>44</v>
      </c>
      <c r="I74" s="9" t="s">
        <v>415</v>
      </c>
      <c r="J74" s="9" t="s">
        <v>62</v>
      </c>
      <c r="K74" s="9" t="s">
        <v>416</v>
      </c>
      <c r="L74" s="9" t="s">
        <v>417</v>
      </c>
      <c r="M74" s="10" t="s">
        <v>418</v>
      </c>
      <c r="N74" s="9" t="str">
        <f ca="1">IFERROR(__xludf.DUMMYFUNCTION("REGEXEXTRACT(LOWER(M74), ""([a-z0-9\-]+)\.(?:co|net|org|io|gg)"")"),"cbssports")</f>
        <v>cbssports</v>
      </c>
      <c r="O74" s="9" t="s">
        <v>131</v>
      </c>
      <c r="P74" s="9" t="s">
        <v>64</v>
      </c>
      <c r="Q74" s="9">
        <v>94340</v>
      </c>
      <c r="R74" s="9">
        <v>250</v>
      </c>
      <c r="S74" s="9">
        <v>16955</v>
      </c>
      <c r="T74" s="9">
        <v>76971</v>
      </c>
      <c r="U74" s="9">
        <v>13</v>
      </c>
      <c r="V74" s="11">
        <v>1517.244377</v>
      </c>
      <c r="W74" s="12">
        <f t="shared" si="0"/>
        <v>116.71110592307693</v>
      </c>
      <c r="X74" s="12">
        <f t="shared" si="1"/>
        <v>0.26499894000424001</v>
      </c>
      <c r="Y74" s="12">
        <f t="shared" si="2"/>
        <v>17.972228111087556</v>
      </c>
      <c r="Z74" s="12">
        <f t="shared" si="3"/>
        <v>89.486545384842231</v>
      </c>
      <c r="AA74" s="12">
        <f t="shared" si="4"/>
        <v>16.082726065295741</v>
      </c>
      <c r="AB74" s="12">
        <f t="shared" si="5"/>
        <v>6.0689775079999997</v>
      </c>
      <c r="AC74" s="12">
        <f t="shared" si="6"/>
        <v>5.2</v>
      </c>
      <c r="AE74" s="13"/>
      <c r="AF74" s="13"/>
    </row>
    <row r="75" spans="1:32">
      <c r="A75" s="8" t="s">
        <v>419</v>
      </c>
      <c r="B75" s="9" t="s">
        <v>66</v>
      </c>
      <c r="C75" s="9" t="s">
        <v>420</v>
      </c>
      <c r="D75" s="9" t="s">
        <v>421</v>
      </c>
      <c r="E75" s="9" t="s">
        <v>422</v>
      </c>
      <c r="F75" s="9" t="str">
        <f ca="1">IFERROR(__xludf.DUMMYFUNCTION("IFS(
  REGEXMATCH(LOWER(VLOOKUP(A75, Data1_Raw_Slack!A:B, 2, FALSE)), ""news|weather""), ""News and Weather"", REGEXMATCH(LOWER(VLOOKUP(A75, Data1_Raw_Slack!A:B, 2, FALSE)), ""sports|ufc|nba|nfl|mlb|soccer|sports fans""), ""Sports"",
  REGEXMATCH(LOWER(VL"&amp;"OOKUP(A75, Data1_Raw_Slack!A:B, 2, FALSE)), ""fashion|style|clothing|apparel|shoes|accessories|beauty|cosmetics|fashionistas""), ""Fashion and Beauty"",
  REGEXMATCH(LOWER(VLOOKUP(A75, Data1_Raw_Slack!A:B, 2, FALSE)), ""food|cooking|recipe|restaurant|snac"&amp;"k|grocery|foodies""), ""Food"",
  REGEXMATCH(LOWER(VLOOKUP(A75, Data1_Raw_Slack!A:B, 2, FALSE)), ""travel|vacation|airline|hotel|trip|flights|travelers""), ""Travel"",
  REGEXMATCH(LOWER(VLOOKUP(A75, Data1_Raw_Slack!A:B, 2, FALSE)), ""fitness|workout|gym|"&amp;"exercise|yoga|wellness|fitness enthusiasts""), ""Fitness"",
  REGEXMATCH(LOWER(VLOOKUP(A75, Data1_Raw_Slack!A:B, 2, FALSE)), ""health|medical|pharmacy|mental health|doctor|health-conscious""), ""Health"",
  REGEXMATCH(LOWER(VLOOKUP(A75, Data1_Raw_Slack!A:"&amp;"B, 2, FALSE)), ""pets|dogs|cats|animals|pet care|pet lovers""), ""Pets"",
  REGEXMATCH(LOWER(VLOOKUP(A75, Data1_Raw_Slack!A:B, 2, FALSE)), ""games|gaming|game|xbox|playstation|nintendo|gamers""), ""Gaming"",
  REGEXMATCH(LOWER(VLOOKUP(A75, Data1_Raw_Slack"&amp;"!A:B, 2, FALSE)), ""entertainment|movies|tv|netflix|streaming|celebrity|movie lovers|tv fans|hobb|photo|art""), ""Entertainment"",
  REGEXMATCH(LOWER(VLOOKUP(A75, Data1_Raw_Slack!A:B, 2, FALSE)), ""lifestyle|home|interior|decor|living|lifestyle enthusiast"&amp;"s""), ""Lifestyle"",
  REGEXMATCH(LOWER(VLOOKUP(A75, Data1_Raw_Slack!A:B, 2, FALSE)), ""financial|finance|investing|stocks|retirement|banking|credit|debt|loans|savings|personal finance|insurance|econ|ecom|business|retail|occupation|sale|job|marketing""), "&amp;"""Finance"",
  REGEXMATCH(LOWER(VLOOKUP(A75, Data1_Raw_Slack!A:B, 2, FALSE)), ""auto|automotive""), ""Auto"",
  REGEXMATCH(LOWER(VLOOKUP(A75, Data1_Raw_Slack!A:B, 2, FALSE)), ""parenting|moms|dads|kids|toddlers|baby|parent|children""), ""Parenting"",
 "&amp;" REGEXMATCH(LOWER(VLOOKUP(A75, Data1_Raw_Slack!A:B, 2, FALSE)), ""education|students|learning|school|teachers|college|university|academics""), ""Education"",
  REGEXMATCH(LOWER(VLOOKUP(A75, Data1_Raw_Slack!A:B, 2, FALSE)), ""age|gender|demographic|family|"&amp;"household""), ""Demographics"",
  REGEXMATCH(LOWER(VLOOKUP(A75, Data1_Raw_Slack!A:B, 2, FALSE)), ""mortgage|real estate""), ""Real Estate"",REGEXMATCH(LOWER(VLOOKUP(A75, Data1_Raw_Slack!A:B, 2, FALSE)), ""technology|tech|gadgets|smartphone|electro|apps|de"&amp;"vices|computing|ai|robots|software|computer|internet|tele|mobile|tablet""), ""Technology"", REGEXMATCH(LOWER(VLOOKUP(A75, Data1_Raw_Slack!A:B, 2, FALSE)), ""entertainment|purchas|movies|tv|netflix|streaming|celebrity|movie lovers|tv fans|media|hobb|photo|"&amp;"art|shop""), ""Entertainment"", REGEXMATCH(LOWER(VLOOKUP(A75, Data1_Raw_Slack!A:B, 2, FALSE)), ""law|government|""), ""Law and Government"",
  TRUE, ""Other""
)"),"Fashion and Beauty")</f>
        <v>Fashion and Beauty</v>
      </c>
      <c r="G75" s="9"/>
      <c r="H75" s="9" t="s">
        <v>32</v>
      </c>
      <c r="I75" s="9" t="s">
        <v>423</v>
      </c>
      <c r="J75" s="9" t="s">
        <v>34</v>
      </c>
      <c r="K75" s="9" t="s">
        <v>424</v>
      </c>
      <c r="L75" s="9" t="s">
        <v>425</v>
      </c>
      <c r="M75" s="10" t="s">
        <v>73</v>
      </c>
      <c r="N75" s="9" t="str">
        <f ca="1">IFERROR(__xludf.DUMMYFUNCTION("REGEXEXTRACT(LOWER(M75), ""([a-z0-9\-]+)\.(?:co|net|org|io|gg)"")"),"aol")</f>
        <v>aol</v>
      </c>
      <c r="O75" s="9" t="s">
        <v>50</v>
      </c>
      <c r="P75" s="9" t="s">
        <v>39</v>
      </c>
      <c r="Q75" s="9">
        <v>198754</v>
      </c>
      <c r="R75" s="9">
        <v>480</v>
      </c>
      <c r="S75" s="9">
        <v>137649</v>
      </c>
      <c r="T75" s="9">
        <v>178415</v>
      </c>
      <c r="U75" s="9">
        <v>4</v>
      </c>
      <c r="V75" s="11">
        <v>1803.0814969999999</v>
      </c>
      <c r="W75" s="12">
        <f t="shared" si="0"/>
        <v>450.77037424999997</v>
      </c>
      <c r="X75" s="12">
        <f t="shared" si="1"/>
        <v>0.24150457349286053</v>
      </c>
      <c r="Y75" s="12">
        <f t="shared" si="2"/>
        <v>69.255964659830752</v>
      </c>
      <c r="Z75" s="12">
        <f t="shared" si="3"/>
        <v>13.099125289686086</v>
      </c>
      <c r="AA75" s="12">
        <f t="shared" si="4"/>
        <v>9.0719255813719464</v>
      </c>
      <c r="AB75" s="12">
        <f t="shared" si="5"/>
        <v>3.7564197854166665</v>
      </c>
      <c r="AC75" s="12">
        <f t="shared" si="6"/>
        <v>0.83333333333333337</v>
      </c>
      <c r="AE75" s="13"/>
      <c r="AF75" s="13"/>
    </row>
    <row r="76" spans="1:32">
      <c r="A76" s="8" t="s">
        <v>426</v>
      </c>
      <c r="B76" s="9" t="s">
        <v>41</v>
      </c>
      <c r="C76" s="9" t="s">
        <v>127</v>
      </c>
      <c r="D76" s="9" t="s">
        <v>427</v>
      </c>
      <c r="E76" s="9" t="s">
        <v>428</v>
      </c>
      <c r="F76" s="9" t="str">
        <f ca="1">IFERROR(__xludf.DUMMYFUNCTION("IFS(
  REGEXMATCH(LOWER(VLOOKUP(A76, Data1_Raw_Slack!A:B, 2, FALSE)), ""news|weather""), ""News and Weather"", REGEXMATCH(LOWER(VLOOKUP(A76, Data1_Raw_Slack!A:B, 2, FALSE)), ""sports|ufc|nba|nfl|mlb|soccer|sports fans""), ""Sports"",
  REGEXMATCH(LOWER(VL"&amp;"OOKUP(A76, Data1_Raw_Slack!A:B, 2, FALSE)), ""fashion|style|clothing|apparel|shoes|accessories|beauty|cosmetics|fashionistas""), ""Fashion and Beauty"",
  REGEXMATCH(LOWER(VLOOKUP(A76, Data1_Raw_Slack!A:B, 2, FALSE)), ""food|cooking|recipe|restaurant|snac"&amp;"k|grocery|foodies""), ""Food"",
  REGEXMATCH(LOWER(VLOOKUP(A76, Data1_Raw_Slack!A:B, 2, FALSE)), ""travel|vacation|airline|hotel|trip|flights|travelers""), ""Travel"",
  REGEXMATCH(LOWER(VLOOKUP(A76, Data1_Raw_Slack!A:B, 2, FALSE)), ""fitness|workout|gym|"&amp;"exercise|yoga|wellness|fitness enthusiasts""), ""Fitness"",
  REGEXMATCH(LOWER(VLOOKUP(A76, Data1_Raw_Slack!A:B, 2, FALSE)), ""health|medical|pharmacy|mental health|doctor|health-conscious""), ""Health"",
  REGEXMATCH(LOWER(VLOOKUP(A76, Data1_Raw_Slack!A:"&amp;"B, 2, FALSE)), ""pets|dogs|cats|animals|pet care|pet lovers""), ""Pets"",
  REGEXMATCH(LOWER(VLOOKUP(A76, Data1_Raw_Slack!A:B, 2, FALSE)), ""games|gaming|game|xbox|playstation|nintendo|gamers""), ""Gaming"",
  REGEXMATCH(LOWER(VLOOKUP(A76, Data1_Raw_Slack"&amp;"!A:B, 2, FALSE)), ""entertainment|movies|tv|netflix|streaming|celebrity|movie lovers|tv fans|hobb|photo|art""), ""Entertainment"",
  REGEXMATCH(LOWER(VLOOKUP(A76, Data1_Raw_Slack!A:B, 2, FALSE)), ""lifestyle|home|interior|decor|living|lifestyle enthusiast"&amp;"s""), ""Lifestyle"",
  REGEXMATCH(LOWER(VLOOKUP(A76, Data1_Raw_Slack!A:B, 2, FALSE)), ""financial|finance|investing|stocks|retirement|banking|credit|debt|loans|savings|personal finance|insurance|econ|ecom|business|retail|occupation|sale|job|marketing""), "&amp;"""Finance"",
  REGEXMATCH(LOWER(VLOOKUP(A76, Data1_Raw_Slack!A:B, 2, FALSE)), ""auto|automotive""), ""Auto"",
  REGEXMATCH(LOWER(VLOOKUP(A76, Data1_Raw_Slack!A:B, 2, FALSE)), ""parenting|moms|dads|kids|toddlers|baby|parent|children""), ""Parenting"",
 "&amp;" REGEXMATCH(LOWER(VLOOKUP(A76, Data1_Raw_Slack!A:B, 2, FALSE)), ""education|students|learning|school|teachers|college|university|academics""), ""Education"",
  REGEXMATCH(LOWER(VLOOKUP(A76, Data1_Raw_Slack!A:B, 2, FALSE)), ""age|gender|demographic|family|"&amp;"household""), ""Demographics"",
  REGEXMATCH(LOWER(VLOOKUP(A76, Data1_Raw_Slack!A:B, 2, FALSE)), ""mortgage|real estate""), ""Real Estate"",REGEXMATCH(LOWER(VLOOKUP(A76, Data1_Raw_Slack!A:B, 2, FALSE)), ""technology|tech|gadgets|smartphone|electro|apps|de"&amp;"vices|computing|ai|robots|software|computer|internet|tele|mobile|tablet""), ""Technology"", REGEXMATCH(LOWER(VLOOKUP(A76, Data1_Raw_Slack!A:B, 2, FALSE)), ""entertainment|purchas|movies|tv|netflix|streaming|celebrity|movie lovers|tv fans|media|hobb|photo|"&amp;"art|shop""), ""Entertainment"", REGEXMATCH(LOWER(VLOOKUP(A76, Data1_Raw_Slack!A:B, 2, FALSE)), ""law|government|""), ""Law and Government"",
  TRUE, ""Other""
)"),"Finance")</f>
        <v>Finance</v>
      </c>
      <c r="G76" s="9" t="s">
        <v>127</v>
      </c>
      <c r="H76" s="9" t="s">
        <v>32</v>
      </c>
      <c r="I76" s="9" t="s">
        <v>429</v>
      </c>
      <c r="J76" s="9" t="s">
        <v>62</v>
      </c>
      <c r="K76" s="9" t="s">
        <v>236</v>
      </c>
      <c r="L76" s="9" t="s">
        <v>82</v>
      </c>
      <c r="M76" s="10" t="s">
        <v>430</v>
      </c>
      <c r="N76" s="9" t="str">
        <f ca="1">IFERROR(__xludf.DUMMYFUNCTION("REGEXEXTRACT(LOWER(M76), ""([a-z0-9\-]+)\.(?:co|net|org|io|gg)"")"),"biblegateway")</f>
        <v>biblegateway</v>
      </c>
      <c r="O76" s="9" t="s">
        <v>186</v>
      </c>
      <c r="P76" s="9" t="s">
        <v>39</v>
      </c>
      <c r="Q76" s="9">
        <v>114384</v>
      </c>
      <c r="R76" s="9">
        <v>100</v>
      </c>
      <c r="S76" s="9">
        <v>61524</v>
      </c>
      <c r="T76" s="9">
        <v>105104</v>
      </c>
      <c r="U76" s="9">
        <v>12</v>
      </c>
      <c r="V76" s="11">
        <v>5803.3314540000001</v>
      </c>
      <c r="W76" s="12">
        <f t="shared" si="0"/>
        <v>483.61095449999999</v>
      </c>
      <c r="X76" s="12">
        <f t="shared" si="1"/>
        <v>8.7424814659392933E-2</v>
      </c>
      <c r="Y76" s="12">
        <f t="shared" si="2"/>
        <v>53.787242971044904</v>
      </c>
      <c r="Z76" s="12">
        <f t="shared" si="3"/>
        <v>94.326302808660046</v>
      </c>
      <c r="AA76" s="12">
        <f t="shared" si="4"/>
        <v>50.735517677297523</v>
      </c>
      <c r="AB76" s="12">
        <f t="shared" si="5"/>
        <v>58.033314539999999</v>
      </c>
      <c r="AC76" s="12">
        <f t="shared" si="6"/>
        <v>12</v>
      </c>
      <c r="AE76" s="13"/>
      <c r="AF76" s="13"/>
    </row>
    <row r="77" spans="1:32">
      <c r="A77" s="8" t="s">
        <v>431</v>
      </c>
      <c r="B77" s="9" t="s">
        <v>52</v>
      </c>
      <c r="C77" s="9" t="s">
        <v>224</v>
      </c>
      <c r="D77" s="9" t="s">
        <v>432</v>
      </c>
      <c r="E77" s="9"/>
      <c r="F77" s="9" t="str">
        <f ca="1">IFERROR(__xludf.DUMMYFUNCTION("IFS(
  REGEXMATCH(LOWER(VLOOKUP(A77, Data1_Raw_Slack!A:B, 2, FALSE)), ""news|weather""), ""News and Weather"", REGEXMATCH(LOWER(VLOOKUP(A77, Data1_Raw_Slack!A:B, 2, FALSE)), ""sports|ufc|nba|nfl|mlb|soccer|sports fans""), ""Sports"",
  REGEXMATCH(LOWER(VL"&amp;"OOKUP(A77, Data1_Raw_Slack!A:B, 2, FALSE)), ""fashion|style|clothing|apparel|shoes|accessories|beauty|cosmetics|fashionistas""), ""Fashion and Beauty"",
  REGEXMATCH(LOWER(VLOOKUP(A77, Data1_Raw_Slack!A:B, 2, FALSE)), ""food|cooking|recipe|restaurant|snac"&amp;"k|grocery|foodies""), ""Food"",
  REGEXMATCH(LOWER(VLOOKUP(A77, Data1_Raw_Slack!A:B, 2, FALSE)), ""travel|vacation|airline|hotel|trip|flights|travelers""), ""Travel"",
  REGEXMATCH(LOWER(VLOOKUP(A77, Data1_Raw_Slack!A:B, 2, FALSE)), ""fitness|workout|gym|"&amp;"exercise|yoga|wellness|fitness enthusiasts""), ""Fitness"",
  REGEXMATCH(LOWER(VLOOKUP(A77, Data1_Raw_Slack!A:B, 2, FALSE)), ""health|medical|pharmacy|mental health|doctor|health-conscious""), ""Health"",
  REGEXMATCH(LOWER(VLOOKUP(A77, Data1_Raw_Slack!A:"&amp;"B, 2, FALSE)), ""pets|dogs|cats|animals|pet care|pet lovers""), ""Pets"",
  REGEXMATCH(LOWER(VLOOKUP(A77, Data1_Raw_Slack!A:B, 2, FALSE)), ""games|gaming|game|xbox|playstation|nintendo|gamers""), ""Gaming"",
  REGEXMATCH(LOWER(VLOOKUP(A77, Data1_Raw_Slack"&amp;"!A:B, 2, FALSE)), ""entertainment|movies|tv|netflix|streaming|celebrity|movie lovers|tv fans|hobb|photo|art""), ""Entertainment"",
  REGEXMATCH(LOWER(VLOOKUP(A77, Data1_Raw_Slack!A:B, 2, FALSE)), ""lifestyle|home|interior|decor|living|lifestyle enthusiast"&amp;"s""), ""Lifestyle"",
  REGEXMATCH(LOWER(VLOOKUP(A77, Data1_Raw_Slack!A:B, 2, FALSE)), ""financial|finance|investing|stocks|retirement|banking|credit|debt|loans|savings|personal finance|insurance|econ|ecom|business|retail|occupation|sale|job|marketing""), "&amp;"""Finance"",
  REGEXMATCH(LOWER(VLOOKUP(A77, Data1_Raw_Slack!A:B, 2, FALSE)), ""auto|automotive""), ""Auto"",
  REGEXMATCH(LOWER(VLOOKUP(A77, Data1_Raw_Slack!A:B, 2, FALSE)), ""parenting|moms|dads|kids|toddlers|baby|parent|children""), ""Parenting"",
 "&amp;" REGEXMATCH(LOWER(VLOOKUP(A77, Data1_Raw_Slack!A:B, 2, FALSE)), ""education|students|learning|school|teachers|college|university|academics""), ""Education"",
  REGEXMATCH(LOWER(VLOOKUP(A77, Data1_Raw_Slack!A:B, 2, FALSE)), ""age|gender|demographic|family|"&amp;"household""), ""Demographics"",
  REGEXMATCH(LOWER(VLOOKUP(A77, Data1_Raw_Slack!A:B, 2, FALSE)), ""mortgage|real estate""), ""Real Estate"",REGEXMATCH(LOWER(VLOOKUP(A77, Data1_Raw_Slack!A:B, 2, FALSE)), ""technology|tech|gadgets|smartphone|electro|apps|de"&amp;"vices|computing|ai|robots|software|computer|internet|tele|mobile|tablet""), ""Technology"", REGEXMATCH(LOWER(VLOOKUP(A77, Data1_Raw_Slack!A:B, 2, FALSE)), ""entertainment|purchas|movies|tv|netflix|streaming|celebrity|movie lovers|tv fans|media|hobb|photo|"&amp;"art|shop""), ""Entertainment"", REGEXMATCH(LOWER(VLOOKUP(A77, Data1_Raw_Slack!A:B, 2, FALSE)), ""law|government|""), ""Law and Government"",
  TRUE, ""Other""
)"),"Finance")</f>
        <v>Finance</v>
      </c>
      <c r="G77" s="9" t="s">
        <v>127</v>
      </c>
      <c r="H77" s="9" t="s">
        <v>32</v>
      </c>
      <c r="I77" s="9" t="s">
        <v>433</v>
      </c>
      <c r="J77" s="9" t="s">
        <v>46</v>
      </c>
      <c r="K77" s="9" t="s">
        <v>315</v>
      </c>
      <c r="L77" s="9" t="s">
        <v>36</v>
      </c>
      <c r="M77" s="10" t="s">
        <v>434</v>
      </c>
      <c r="N77" s="9" t="str">
        <f ca="1">IFERROR(__xludf.DUMMYFUNCTION("REGEXEXTRACT(LOWER(M77), ""([a-z0-9\-]+)\.(?:co|net|org|io|gg)"")"),"mlb")</f>
        <v>mlb</v>
      </c>
      <c r="O77" s="9" t="s">
        <v>103</v>
      </c>
      <c r="P77" s="9" t="s">
        <v>39</v>
      </c>
      <c r="Q77" s="9">
        <v>32714</v>
      </c>
      <c r="R77" s="9">
        <v>69</v>
      </c>
      <c r="S77" s="9">
        <v>3756</v>
      </c>
      <c r="T77" s="9">
        <v>30764</v>
      </c>
      <c r="U77" s="9">
        <v>15</v>
      </c>
      <c r="V77" s="11">
        <v>1506.6243039999999</v>
      </c>
      <c r="W77" s="12">
        <f t="shared" si="0"/>
        <v>100.44162026666666</v>
      </c>
      <c r="X77" s="12">
        <f t="shared" si="1"/>
        <v>0.21091887265390963</v>
      </c>
      <c r="Y77" s="12">
        <f t="shared" si="2"/>
        <v>11.481322980986732</v>
      </c>
      <c r="Z77" s="12">
        <f t="shared" si="3"/>
        <v>401.12468157614484</v>
      </c>
      <c r="AA77" s="12">
        <f t="shared" si="4"/>
        <v>46.054420248211777</v>
      </c>
      <c r="AB77" s="12">
        <f t="shared" si="5"/>
        <v>21.835134840579709</v>
      </c>
      <c r="AC77" s="12">
        <f t="shared" si="6"/>
        <v>21.739130434782609</v>
      </c>
      <c r="AE77" s="13"/>
      <c r="AF77" s="13"/>
    </row>
    <row r="78" spans="1:32">
      <c r="A78" s="8" t="s">
        <v>435</v>
      </c>
      <c r="B78" s="9" t="s">
        <v>92</v>
      </c>
      <c r="C78" s="9" t="s">
        <v>178</v>
      </c>
      <c r="D78" s="9" t="s">
        <v>436</v>
      </c>
      <c r="E78" s="9"/>
      <c r="F78" s="9" t="str">
        <f ca="1">IFERROR(__xludf.DUMMYFUNCTION("IFS(
  REGEXMATCH(LOWER(VLOOKUP(A78, Data1_Raw_Slack!A:B, 2, FALSE)), ""news|weather""), ""News and Weather"", REGEXMATCH(LOWER(VLOOKUP(A78, Data1_Raw_Slack!A:B, 2, FALSE)), ""sports|ufc|nba|nfl|mlb|soccer|sports fans""), ""Sports"",
  REGEXMATCH(LOWER(VL"&amp;"OOKUP(A78, Data1_Raw_Slack!A:B, 2, FALSE)), ""fashion|style|clothing|apparel|shoes|accessories|beauty|cosmetics|fashionistas""), ""Fashion and Beauty"",
  REGEXMATCH(LOWER(VLOOKUP(A78, Data1_Raw_Slack!A:B, 2, FALSE)), ""food|cooking|recipe|restaurant|snac"&amp;"k|grocery|foodies""), ""Food"",
  REGEXMATCH(LOWER(VLOOKUP(A78, Data1_Raw_Slack!A:B, 2, FALSE)), ""travel|vacation|airline|hotel|trip|flights|travelers""), ""Travel"",
  REGEXMATCH(LOWER(VLOOKUP(A78, Data1_Raw_Slack!A:B, 2, FALSE)), ""fitness|workout|gym|"&amp;"exercise|yoga|wellness|fitness enthusiasts""), ""Fitness"",
  REGEXMATCH(LOWER(VLOOKUP(A78, Data1_Raw_Slack!A:B, 2, FALSE)), ""health|medical|pharmacy|mental health|doctor|health-conscious""), ""Health"",
  REGEXMATCH(LOWER(VLOOKUP(A78, Data1_Raw_Slack!A:"&amp;"B, 2, FALSE)), ""pets|dogs|cats|animals|pet care|pet lovers""), ""Pets"",
  REGEXMATCH(LOWER(VLOOKUP(A78, Data1_Raw_Slack!A:B, 2, FALSE)), ""games|gaming|game|xbox|playstation|nintendo|gamers""), ""Gaming"",
  REGEXMATCH(LOWER(VLOOKUP(A78, Data1_Raw_Slack"&amp;"!A:B, 2, FALSE)), ""entertainment|movies|tv|netflix|streaming|celebrity|movie lovers|tv fans|hobb|photo|art""), ""Entertainment"",
  REGEXMATCH(LOWER(VLOOKUP(A78, Data1_Raw_Slack!A:B, 2, FALSE)), ""lifestyle|home|interior|decor|living|lifestyle enthusiast"&amp;"s""), ""Lifestyle"",
  REGEXMATCH(LOWER(VLOOKUP(A78, Data1_Raw_Slack!A:B, 2, FALSE)), ""financial|finance|investing|stocks|retirement|banking|credit|debt|loans|savings|personal finance|insurance|econ|ecom|business|retail|occupation|sale|job|marketing""), "&amp;"""Finance"",
  REGEXMATCH(LOWER(VLOOKUP(A78, Data1_Raw_Slack!A:B, 2, FALSE)), ""auto|automotive""), ""Auto"",
  REGEXMATCH(LOWER(VLOOKUP(A78, Data1_Raw_Slack!A:B, 2, FALSE)), ""parenting|moms|dads|kids|toddlers|baby|parent|children""), ""Parenting"",
 "&amp;" REGEXMATCH(LOWER(VLOOKUP(A78, Data1_Raw_Slack!A:B, 2, FALSE)), ""education|students|learning|school|teachers|college|university|academics""), ""Education"",
  REGEXMATCH(LOWER(VLOOKUP(A78, Data1_Raw_Slack!A:B, 2, FALSE)), ""age|gender|demographic|family|"&amp;"household""), ""Demographics"",
  REGEXMATCH(LOWER(VLOOKUP(A78, Data1_Raw_Slack!A:B, 2, FALSE)), ""mortgage|real estate""), ""Real Estate"",REGEXMATCH(LOWER(VLOOKUP(A78, Data1_Raw_Slack!A:B, 2, FALSE)), ""technology|tech|gadgets|smartphone|electro|apps|de"&amp;"vices|computing|ai|robots|software|computer|internet|tele|mobile|tablet""), ""Technology"", REGEXMATCH(LOWER(VLOOKUP(A78, Data1_Raw_Slack!A:B, 2, FALSE)), ""entertainment|purchas|movies|tv|netflix|streaming|celebrity|movie lovers|tv fans|media|hobb|photo|"&amp;"art|shop""), ""Entertainment"", REGEXMATCH(LOWER(VLOOKUP(A78, Data1_Raw_Slack!A:B, 2, FALSE)), ""law|government|""), ""Law and Government"",
  TRUE, ""Other""
)"),"Entertainment")</f>
        <v>Entertainment</v>
      </c>
      <c r="G78" s="9"/>
      <c r="H78" s="9" t="s">
        <v>44</v>
      </c>
      <c r="I78" s="9" t="s">
        <v>437</v>
      </c>
      <c r="J78" s="9" t="s">
        <v>80</v>
      </c>
      <c r="K78" s="9" t="s">
        <v>438</v>
      </c>
      <c r="L78" s="9" t="s">
        <v>82</v>
      </c>
      <c r="M78" s="10" t="s">
        <v>439</v>
      </c>
      <c r="N78" s="9" t="str">
        <f ca="1">IFERROR(__xludf.DUMMYFUNCTION("REGEXEXTRACT(LOWER(M78), ""([a-z0-9\-]+)\.(?:co|net|org|io|gg)"")"),"people")</f>
        <v>people</v>
      </c>
      <c r="O78" s="9" t="s">
        <v>50</v>
      </c>
      <c r="P78" s="9" t="s">
        <v>39</v>
      </c>
      <c r="Q78" s="9">
        <v>17620</v>
      </c>
      <c r="R78" s="9">
        <v>52</v>
      </c>
      <c r="S78" s="9">
        <v>11197</v>
      </c>
      <c r="T78" s="9">
        <v>16687</v>
      </c>
      <c r="U78" s="9">
        <v>9</v>
      </c>
      <c r="V78" s="11">
        <v>2407.7943249999998</v>
      </c>
      <c r="W78" s="12">
        <f t="shared" si="0"/>
        <v>267.53270277777779</v>
      </c>
      <c r="X78" s="12">
        <f t="shared" si="1"/>
        <v>0.29511918274687854</v>
      </c>
      <c r="Y78" s="12">
        <f t="shared" si="2"/>
        <v>63.547105561861514</v>
      </c>
      <c r="Z78" s="12">
        <f t="shared" si="3"/>
        <v>215.03923595605966</v>
      </c>
      <c r="AA78" s="12">
        <f t="shared" si="4"/>
        <v>136.6512102724177</v>
      </c>
      <c r="AB78" s="12">
        <f t="shared" si="5"/>
        <v>46.303737019230766</v>
      </c>
      <c r="AC78" s="12">
        <f t="shared" si="6"/>
        <v>17.307692307692307</v>
      </c>
      <c r="AE78" s="13"/>
      <c r="AF78" s="13"/>
    </row>
    <row r="79" spans="1:32">
      <c r="A79" s="8" t="s">
        <v>440</v>
      </c>
      <c r="B79" s="9" t="s">
        <v>41</v>
      </c>
      <c r="C79" s="9" t="s">
        <v>193</v>
      </c>
      <c r="D79" s="9" t="s">
        <v>441</v>
      </c>
      <c r="E79" s="9"/>
      <c r="F79" s="9" t="str">
        <f ca="1">IFERROR(__xludf.DUMMYFUNCTION("IFS(
  REGEXMATCH(LOWER(VLOOKUP(A79, Data1_Raw_Slack!A:B, 2, FALSE)), ""news|weather""), ""News and Weather"", REGEXMATCH(LOWER(VLOOKUP(A79, Data1_Raw_Slack!A:B, 2, FALSE)), ""sports|ufc|nba|nfl|mlb|soccer|sports fans""), ""Sports"",
  REGEXMATCH(LOWER(VL"&amp;"OOKUP(A79, Data1_Raw_Slack!A:B, 2, FALSE)), ""fashion|style|clothing|apparel|shoes|accessories|beauty|cosmetics|fashionistas""), ""Fashion and Beauty"",
  REGEXMATCH(LOWER(VLOOKUP(A79, Data1_Raw_Slack!A:B, 2, FALSE)), ""food|cooking|recipe|restaurant|snac"&amp;"k|grocery|foodies""), ""Food"",
  REGEXMATCH(LOWER(VLOOKUP(A79, Data1_Raw_Slack!A:B, 2, FALSE)), ""travel|vacation|airline|hotel|trip|flights|travelers""), ""Travel"",
  REGEXMATCH(LOWER(VLOOKUP(A79, Data1_Raw_Slack!A:B, 2, FALSE)), ""fitness|workout|gym|"&amp;"exercise|yoga|wellness|fitness enthusiasts""), ""Fitness"",
  REGEXMATCH(LOWER(VLOOKUP(A79, Data1_Raw_Slack!A:B, 2, FALSE)), ""health|medical|pharmacy|mental health|doctor|health-conscious""), ""Health"",
  REGEXMATCH(LOWER(VLOOKUP(A79, Data1_Raw_Slack!A:"&amp;"B, 2, FALSE)), ""pets|dogs|cats|animals|pet care|pet lovers""), ""Pets"",
  REGEXMATCH(LOWER(VLOOKUP(A79, Data1_Raw_Slack!A:B, 2, FALSE)), ""games|gaming|game|xbox|playstation|nintendo|gamers""), ""Gaming"",
  REGEXMATCH(LOWER(VLOOKUP(A79, Data1_Raw_Slack"&amp;"!A:B, 2, FALSE)), ""entertainment|movies|tv|netflix|streaming|celebrity|movie lovers|tv fans|hobb|photo|art""), ""Entertainment"",
  REGEXMATCH(LOWER(VLOOKUP(A79, Data1_Raw_Slack!A:B, 2, FALSE)), ""lifestyle|home|interior|decor|living|lifestyle enthusiast"&amp;"s""), ""Lifestyle"",
  REGEXMATCH(LOWER(VLOOKUP(A79, Data1_Raw_Slack!A:B, 2, FALSE)), ""financial|finance|investing|stocks|retirement|banking|credit|debt|loans|savings|personal finance|insurance|econ|ecom|business|retail|occupation|sale|job|marketing""), "&amp;"""Finance"",
  REGEXMATCH(LOWER(VLOOKUP(A79, Data1_Raw_Slack!A:B, 2, FALSE)), ""auto|automotive""), ""Auto"",
  REGEXMATCH(LOWER(VLOOKUP(A79, Data1_Raw_Slack!A:B, 2, FALSE)), ""parenting|moms|dads|kids|toddlers|baby|parent|children""), ""Parenting"",
 "&amp;" REGEXMATCH(LOWER(VLOOKUP(A79, Data1_Raw_Slack!A:B, 2, FALSE)), ""education|students|learning|school|teachers|college|university|academics""), ""Education"",
  REGEXMATCH(LOWER(VLOOKUP(A79, Data1_Raw_Slack!A:B, 2, FALSE)), ""age|gender|demographic|family|"&amp;"household""), ""Demographics"",
  REGEXMATCH(LOWER(VLOOKUP(A79, Data1_Raw_Slack!A:B, 2, FALSE)), ""mortgage|real estate""), ""Real Estate"",REGEXMATCH(LOWER(VLOOKUP(A79, Data1_Raw_Slack!A:B, 2, FALSE)), ""technology|tech|gadgets|smartphone|electro|apps|de"&amp;"vices|computing|ai|robots|software|computer|internet|tele|mobile|tablet""), ""Technology"", REGEXMATCH(LOWER(VLOOKUP(A79, Data1_Raw_Slack!A:B, 2, FALSE)), ""entertainment|purchas|movies|tv|netflix|streaming|celebrity|movie lovers|tv fans|media|hobb|photo|"&amp;"art|shop""), ""Entertainment"", REGEXMATCH(LOWER(VLOOKUP(A79, Data1_Raw_Slack!A:B, 2, FALSE)), ""law|government|""), ""Law and Government"",
  TRUE, ""Other""
)"),"News and Weather")</f>
        <v>News and Weather</v>
      </c>
      <c r="G79" s="9" t="s">
        <v>69</v>
      </c>
      <c r="H79" s="9" t="s">
        <v>32</v>
      </c>
      <c r="I79" s="9" t="s">
        <v>442</v>
      </c>
      <c r="J79" s="9" t="s">
        <v>62</v>
      </c>
      <c r="K79" s="9" t="s">
        <v>443</v>
      </c>
      <c r="L79" s="9" t="s">
        <v>72</v>
      </c>
      <c r="M79" s="10" t="s">
        <v>444</v>
      </c>
      <c r="N79" s="9" t="str">
        <f ca="1">IFERROR(__xludf.DUMMYFUNCTION("REGEXEXTRACT(LOWER(M79), ""([a-z0-9\-]+)\.(?:co|net|org|io|gg)"")"),"icy-veins")</f>
        <v>icy-veins</v>
      </c>
      <c r="O79" s="9" t="s">
        <v>50</v>
      </c>
      <c r="P79" s="9" t="s">
        <v>39</v>
      </c>
      <c r="Q79" s="9">
        <v>9261</v>
      </c>
      <c r="R79" s="9">
        <v>66</v>
      </c>
      <c r="S79" s="9">
        <v>3852</v>
      </c>
      <c r="T79" s="9">
        <v>8526</v>
      </c>
      <c r="U79" s="9">
        <v>9</v>
      </c>
      <c r="V79" s="11">
        <v>6511.0295759999999</v>
      </c>
      <c r="W79" s="12">
        <f t="shared" si="0"/>
        <v>723.44773066666664</v>
      </c>
      <c r="X79" s="12">
        <f t="shared" si="1"/>
        <v>0.71266601878846769</v>
      </c>
      <c r="Y79" s="12">
        <f t="shared" si="2"/>
        <v>41.59378036929057</v>
      </c>
      <c r="Z79" s="12">
        <f t="shared" si="3"/>
        <v>1690.2984361370716</v>
      </c>
      <c r="AA79" s="12">
        <f t="shared" si="4"/>
        <v>703.05901911240687</v>
      </c>
      <c r="AB79" s="12">
        <f t="shared" si="5"/>
        <v>98.651963272727272</v>
      </c>
      <c r="AC79" s="12">
        <f t="shared" si="6"/>
        <v>13.636363636363635</v>
      </c>
      <c r="AE79" s="13"/>
      <c r="AF79" s="13"/>
    </row>
    <row r="80" spans="1:32">
      <c r="A80" s="8" t="s">
        <v>445</v>
      </c>
      <c r="B80" s="9" t="s">
        <v>41</v>
      </c>
      <c r="C80" s="9" t="s">
        <v>214</v>
      </c>
      <c r="D80" s="9" t="s">
        <v>215</v>
      </c>
      <c r="E80" s="9" t="s">
        <v>446</v>
      </c>
      <c r="F80" s="9" t="str">
        <f ca="1">IFERROR(__xludf.DUMMYFUNCTION("IFS(
  REGEXMATCH(LOWER(VLOOKUP(A80, Data1_Raw_Slack!A:B, 2, FALSE)), ""news|weather""), ""News and Weather"", REGEXMATCH(LOWER(VLOOKUP(A80, Data1_Raw_Slack!A:B, 2, FALSE)), ""sports|ufc|nba|nfl|mlb|soccer|sports fans""), ""Sports"",
  REGEXMATCH(LOWER(VL"&amp;"OOKUP(A80, Data1_Raw_Slack!A:B, 2, FALSE)), ""fashion|style|clothing|apparel|shoes|accessories|beauty|cosmetics|fashionistas""), ""Fashion and Beauty"",
  REGEXMATCH(LOWER(VLOOKUP(A80, Data1_Raw_Slack!A:B, 2, FALSE)), ""food|cooking|recipe|restaurant|snac"&amp;"k|grocery|foodies""), ""Food"",
  REGEXMATCH(LOWER(VLOOKUP(A80, Data1_Raw_Slack!A:B, 2, FALSE)), ""travel|vacation|airline|hotel|trip|flights|travelers""), ""Travel"",
  REGEXMATCH(LOWER(VLOOKUP(A80, Data1_Raw_Slack!A:B, 2, FALSE)), ""fitness|workout|gym|"&amp;"exercise|yoga|wellness|fitness enthusiasts""), ""Fitness"",
  REGEXMATCH(LOWER(VLOOKUP(A80, Data1_Raw_Slack!A:B, 2, FALSE)), ""health|medical|pharmacy|mental health|doctor|health-conscious""), ""Health"",
  REGEXMATCH(LOWER(VLOOKUP(A80, Data1_Raw_Slack!A:"&amp;"B, 2, FALSE)), ""pets|dogs|cats|animals|pet care|pet lovers""), ""Pets"",
  REGEXMATCH(LOWER(VLOOKUP(A80, Data1_Raw_Slack!A:B, 2, FALSE)), ""games|gaming|game|xbox|playstation|nintendo|gamers""), ""Gaming"",
  REGEXMATCH(LOWER(VLOOKUP(A80, Data1_Raw_Slack"&amp;"!A:B, 2, FALSE)), ""entertainment|movies|tv|netflix|streaming|celebrity|movie lovers|tv fans|hobb|photo|art""), ""Entertainment"",
  REGEXMATCH(LOWER(VLOOKUP(A80, Data1_Raw_Slack!A:B, 2, FALSE)), ""lifestyle|home|interior|decor|living|lifestyle enthusiast"&amp;"s""), ""Lifestyle"",
  REGEXMATCH(LOWER(VLOOKUP(A80, Data1_Raw_Slack!A:B, 2, FALSE)), ""financial|finance|investing|stocks|retirement|banking|credit|debt|loans|savings|personal finance|insurance|econ|ecom|business|retail|occupation|sale|job|marketing""), "&amp;"""Finance"",
  REGEXMATCH(LOWER(VLOOKUP(A80, Data1_Raw_Slack!A:B, 2, FALSE)), ""auto|automotive""), ""Auto"",
  REGEXMATCH(LOWER(VLOOKUP(A80, Data1_Raw_Slack!A:B, 2, FALSE)), ""parenting|moms|dads|kids|toddlers|baby|parent|children""), ""Parenting"",
 "&amp;" REGEXMATCH(LOWER(VLOOKUP(A80, Data1_Raw_Slack!A:B, 2, FALSE)), ""education|students|learning|school|teachers|college|university|academics""), ""Education"",
  REGEXMATCH(LOWER(VLOOKUP(A80, Data1_Raw_Slack!A:B, 2, FALSE)), ""age|gender|demographic|family|"&amp;"household""), ""Demographics"",
  REGEXMATCH(LOWER(VLOOKUP(A80, Data1_Raw_Slack!A:B, 2, FALSE)), ""mortgage|real estate""), ""Real Estate"",REGEXMATCH(LOWER(VLOOKUP(A80, Data1_Raw_Slack!A:B, 2, FALSE)), ""technology|tech|gadgets|smartphone|electro|apps|de"&amp;"vices|computing|ai|robots|software|computer|internet|tele|mobile|tablet""), ""Technology"", REGEXMATCH(LOWER(VLOOKUP(A80, Data1_Raw_Slack!A:B, 2, FALSE)), ""entertainment|purchas|movies|tv|netflix|streaming|celebrity|movie lovers|tv fans|media|hobb|photo|"&amp;"art|shop""), ""Entertainment"", REGEXMATCH(LOWER(VLOOKUP(A80, Data1_Raw_Slack!A:B, 2, FALSE)), ""law|government|""), ""Law and Government"",
  TRUE, ""Other""
)"),"Demographics")</f>
        <v>Demographics</v>
      </c>
      <c r="G80" s="9"/>
      <c r="H80" s="9" t="s">
        <v>44</v>
      </c>
      <c r="I80" s="9" t="s">
        <v>314</v>
      </c>
      <c r="J80" s="9" t="s">
        <v>62</v>
      </c>
      <c r="K80" s="9" t="s">
        <v>236</v>
      </c>
      <c r="L80" s="9" t="s">
        <v>82</v>
      </c>
      <c r="M80" s="10" t="s">
        <v>207</v>
      </c>
      <c r="N80" s="9" t="str">
        <f ca="1">IFERROR(__xludf.DUMMYFUNCTION("REGEXEXTRACT(LOWER(M80), ""([a-z0-9\-]+)\.(?:co|net|org|io|gg)"")"),"realtor")</f>
        <v>realtor</v>
      </c>
      <c r="O80" s="9" t="s">
        <v>103</v>
      </c>
      <c r="P80" s="9" t="s">
        <v>64</v>
      </c>
      <c r="Q80" s="9">
        <v>10815</v>
      </c>
      <c r="R80" s="9">
        <v>25</v>
      </c>
      <c r="S80" s="9">
        <v>4321</v>
      </c>
      <c r="T80" s="9">
        <v>9646</v>
      </c>
      <c r="U80" s="9">
        <v>2</v>
      </c>
      <c r="V80" s="11">
        <v>4921.5948429999999</v>
      </c>
      <c r="W80" s="12">
        <f t="shared" si="0"/>
        <v>2460.7974214999999</v>
      </c>
      <c r="X80" s="12">
        <f t="shared" si="1"/>
        <v>0.23116042533518261</v>
      </c>
      <c r="Y80" s="12">
        <f t="shared" si="2"/>
        <v>39.953767914932961</v>
      </c>
      <c r="Z80" s="12">
        <f t="shared" si="3"/>
        <v>1138.9944093959732</v>
      </c>
      <c r="AA80" s="12">
        <f t="shared" si="4"/>
        <v>455.07118289412853</v>
      </c>
      <c r="AB80" s="12">
        <f t="shared" si="5"/>
        <v>196.86379371999999</v>
      </c>
      <c r="AC80" s="12">
        <f t="shared" si="6"/>
        <v>8</v>
      </c>
      <c r="AE80" s="13"/>
      <c r="AF80" s="13"/>
    </row>
    <row r="81" spans="1:32">
      <c r="A81" s="8" t="s">
        <v>447</v>
      </c>
      <c r="B81" s="9" t="s">
        <v>41</v>
      </c>
      <c r="C81" s="9" t="s">
        <v>127</v>
      </c>
      <c r="D81" s="9" t="s">
        <v>448</v>
      </c>
      <c r="E81" s="9" t="s">
        <v>449</v>
      </c>
      <c r="F81" s="9" t="str">
        <f ca="1">IFERROR(__xludf.DUMMYFUNCTION("IFS(
  REGEXMATCH(LOWER(VLOOKUP(A81, Data1_Raw_Slack!A:B, 2, FALSE)), ""news|weather""), ""News and Weather"", REGEXMATCH(LOWER(VLOOKUP(A81, Data1_Raw_Slack!A:B, 2, FALSE)), ""sports|ufc|nba|nfl|mlb|soccer|sports fans""), ""Sports"",
  REGEXMATCH(LOWER(VL"&amp;"OOKUP(A81, Data1_Raw_Slack!A:B, 2, FALSE)), ""fashion|style|clothing|apparel|shoes|accessories|beauty|cosmetics|fashionistas""), ""Fashion and Beauty"",
  REGEXMATCH(LOWER(VLOOKUP(A81, Data1_Raw_Slack!A:B, 2, FALSE)), ""food|cooking|recipe|restaurant|snac"&amp;"k|grocery|foodies""), ""Food"",
  REGEXMATCH(LOWER(VLOOKUP(A81, Data1_Raw_Slack!A:B, 2, FALSE)), ""travel|vacation|airline|hotel|trip|flights|travelers""), ""Travel"",
  REGEXMATCH(LOWER(VLOOKUP(A81, Data1_Raw_Slack!A:B, 2, FALSE)), ""fitness|workout|gym|"&amp;"exercise|yoga|wellness|fitness enthusiasts""), ""Fitness"",
  REGEXMATCH(LOWER(VLOOKUP(A81, Data1_Raw_Slack!A:B, 2, FALSE)), ""health|medical|pharmacy|mental health|doctor|health-conscious""), ""Health"",
  REGEXMATCH(LOWER(VLOOKUP(A81, Data1_Raw_Slack!A:"&amp;"B, 2, FALSE)), ""pets|dogs|cats|animals|pet care|pet lovers""), ""Pets"",
  REGEXMATCH(LOWER(VLOOKUP(A81, Data1_Raw_Slack!A:B, 2, FALSE)), ""games|gaming|game|xbox|playstation|nintendo|gamers""), ""Gaming"",
  REGEXMATCH(LOWER(VLOOKUP(A81, Data1_Raw_Slack"&amp;"!A:B, 2, FALSE)), ""entertainment|movies|tv|netflix|streaming|celebrity|movie lovers|tv fans|hobb|photo|art""), ""Entertainment"",
  REGEXMATCH(LOWER(VLOOKUP(A81, Data1_Raw_Slack!A:B, 2, FALSE)), ""lifestyle|home|interior|decor|living|lifestyle enthusiast"&amp;"s""), ""Lifestyle"",
  REGEXMATCH(LOWER(VLOOKUP(A81, Data1_Raw_Slack!A:B, 2, FALSE)), ""financial|finance|investing|stocks|retirement|banking|credit|debt|loans|savings|personal finance|insurance|econ|ecom|business|retail|occupation|sale|job|marketing""), "&amp;"""Finance"",
  REGEXMATCH(LOWER(VLOOKUP(A81, Data1_Raw_Slack!A:B, 2, FALSE)), ""auto|automotive""), ""Auto"",
  REGEXMATCH(LOWER(VLOOKUP(A81, Data1_Raw_Slack!A:B, 2, FALSE)), ""parenting|moms|dads|kids|toddlers|baby|parent|children""), ""Parenting"",
 "&amp;" REGEXMATCH(LOWER(VLOOKUP(A81, Data1_Raw_Slack!A:B, 2, FALSE)), ""education|students|learning|school|teachers|college|university|academics""), ""Education"",
  REGEXMATCH(LOWER(VLOOKUP(A81, Data1_Raw_Slack!A:B, 2, FALSE)), ""age|gender|demographic|family|"&amp;"household""), ""Demographics"",
  REGEXMATCH(LOWER(VLOOKUP(A81, Data1_Raw_Slack!A:B, 2, FALSE)), ""mortgage|real estate""), ""Real Estate"",REGEXMATCH(LOWER(VLOOKUP(A81, Data1_Raw_Slack!A:B, 2, FALSE)), ""technology|tech|gadgets|smartphone|electro|apps|de"&amp;"vices|computing|ai|robots|software|computer|internet|tele|mobile|tablet""), ""Technology"", REGEXMATCH(LOWER(VLOOKUP(A81, Data1_Raw_Slack!A:B, 2, FALSE)), ""entertainment|purchas|movies|tv|netflix|streaming|celebrity|movie lovers|tv fans|media|hobb|photo|"&amp;"art|shop""), ""Entertainment"", REGEXMATCH(LOWER(VLOOKUP(A81, Data1_Raw_Slack!A:B, 2, FALSE)), ""law|government|""), ""Law and Government"",
  TRUE, ""Other""
)"),"Finance")</f>
        <v>Finance</v>
      </c>
      <c r="G81" s="9" t="s">
        <v>127</v>
      </c>
      <c r="H81" s="9" t="s">
        <v>44</v>
      </c>
      <c r="I81" s="9" t="s">
        <v>450</v>
      </c>
      <c r="J81" s="9" t="s">
        <v>80</v>
      </c>
      <c r="K81" s="9" t="s">
        <v>236</v>
      </c>
      <c r="L81" s="9" t="s">
        <v>82</v>
      </c>
      <c r="M81" s="10" t="s">
        <v>451</v>
      </c>
      <c r="N81" s="9" t="str">
        <f ca="1">IFERROR(__xludf.DUMMYFUNCTION("REGEXEXTRACT(LOWER(M81), ""([a-z0-9\-]+)\.(?:co|net|org|io|gg)"")"),"culturess")</f>
        <v>culturess</v>
      </c>
      <c r="O81" s="9" t="s">
        <v>50</v>
      </c>
      <c r="P81" s="9" t="s">
        <v>39</v>
      </c>
      <c r="Q81" s="9">
        <v>9328</v>
      </c>
      <c r="R81" s="9">
        <v>56</v>
      </c>
      <c r="S81" s="9">
        <v>7102</v>
      </c>
      <c r="T81" s="9">
        <v>8925</v>
      </c>
      <c r="U81" s="9">
        <v>5</v>
      </c>
      <c r="V81" s="11">
        <v>3408.0760489999998</v>
      </c>
      <c r="W81" s="12">
        <f t="shared" si="0"/>
        <v>681.6152098</v>
      </c>
      <c r="X81" s="12">
        <f t="shared" si="1"/>
        <v>0.60034305317324177</v>
      </c>
      <c r="Y81" s="12">
        <f t="shared" si="2"/>
        <v>76.13636363636364</v>
      </c>
      <c r="Z81" s="12">
        <f t="shared" si="3"/>
        <v>479.87553491974091</v>
      </c>
      <c r="AA81" s="12">
        <f t="shared" si="4"/>
        <v>365.35978226843906</v>
      </c>
      <c r="AB81" s="12">
        <f t="shared" si="5"/>
        <v>60.858500874999997</v>
      </c>
      <c r="AC81" s="12">
        <f t="shared" si="6"/>
        <v>8.9285714285714288</v>
      </c>
      <c r="AE81" s="13"/>
      <c r="AF81" s="13"/>
    </row>
    <row r="82" spans="1:32">
      <c r="A82" s="8" t="s">
        <v>452</v>
      </c>
      <c r="B82" s="9" t="s">
        <v>66</v>
      </c>
      <c r="C82" s="9" t="s">
        <v>85</v>
      </c>
      <c r="D82" s="9" t="s">
        <v>453</v>
      </c>
      <c r="E82" s="9"/>
      <c r="F82" s="9" t="str">
        <f ca="1">IFERROR(__xludf.DUMMYFUNCTION("IFS(
  REGEXMATCH(LOWER(VLOOKUP(A82, Data1_Raw_Slack!A:B, 2, FALSE)), ""news|weather""), ""News and Weather"", REGEXMATCH(LOWER(VLOOKUP(A82, Data1_Raw_Slack!A:B, 2, FALSE)), ""sports|ufc|nba|nfl|mlb|soccer|sports fans""), ""Sports"",
  REGEXMATCH(LOWER(VL"&amp;"OOKUP(A82, Data1_Raw_Slack!A:B, 2, FALSE)), ""fashion|style|clothing|apparel|shoes|accessories|beauty|cosmetics|fashionistas""), ""Fashion and Beauty"",
  REGEXMATCH(LOWER(VLOOKUP(A82, Data1_Raw_Slack!A:B, 2, FALSE)), ""food|cooking|recipe|restaurant|snac"&amp;"k|grocery|foodies""), ""Food"",
  REGEXMATCH(LOWER(VLOOKUP(A82, Data1_Raw_Slack!A:B, 2, FALSE)), ""travel|vacation|airline|hotel|trip|flights|travelers""), ""Travel"",
  REGEXMATCH(LOWER(VLOOKUP(A82, Data1_Raw_Slack!A:B, 2, FALSE)), ""fitness|workout|gym|"&amp;"exercise|yoga|wellness|fitness enthusiasts""), ""Fitness"",
  REGEXMATCH(LOWER(VLOOKUP(A82, Data1_Raw_Slack!A:B, 2, FALSE)), ""health|medical|pharmacy|mental health|doctor|health-conscious""), ""Health"",
  REGEXMATCH(LOWER(VLOOKUP(A82, Data1_Raw_Slack!A:"&amp;"B, 2, FALSE)), ""pets|dogs|cats|animals|pet care|pet lovers""), ""Pets"",
  REGEXMATCH(LOWER(VLOOKUP(A82, Data1_Raw_Slack!A:B, 2, FALSE)), ""games|gaming|game|xbox|playstation|nintendo|gamers""), ""Gaming"",
  REGEXMATCH(LOWER(VLOOKUP(A82, Data1_Raw_Slack"&amp;"!A:B, 2, FALSE)), ""entertainment|movies|tv|netflix|streaming|celebrity|movie lovers|tv fans|hobb|photo|art""), ""Entertainment"",
  REGEXMATCH(LOWER(VLOOKUP(A82, Data1_Raw_Slack!A:B, 2, FALSE)), ""lifestyle|home|interior|decor|living|lifestyle enthusiast"&amp;"s""), ""Lifestyle"",
  REGEXMATCH(LOWER(VLOOKUP(A82, Data1_Raw_Slack!A:B, 2, FALSE)), ""financial|finance|investing|stocks|retirement|banking|credit|debt|loans|savings|personal finance|insurance|econ|ecom|business|retail|occupation|sale|job|marketing""), "&amp;"""Finance"",
  REGEXMATCH(LOWER(VLOOKUP(A82, Data1_Raw_Slack!A:B, 2, FALSE)), ""auto|automotive""), ""Auto"",
  REGEXMATCH(LOWER(VLOOKUP(A82, Data1_Raw_Slack!A:B, 2, FALSE)), ""parenting|moms|dads|kids|toddlers|baby|parent|children""), ""Parenting"",
 "&amp;" REGEXMATCH(LOWER(VLOOKUP(A82, Data1_Raw_Slack!A:B, 2, FALSE)), ""education|students|learning|school|teachers|college|university|academics""), ""Education"",
  REGEXMATCH(LOWER(VLOOKUP(A82, Data1_Raw_Slack!A:B, 2, FALSE)), ""age|gender|demographic|family|"&amp;"household""), ""Demographics"",
  REGEXMATCH(LOWER(VLOOKUP(A82, Data1_Raw_Slack!A:B, 2, FALSE)), ""mortgage|real estate""), ""Real Estate"",REGEXMATCH(LOWER(VLOOKUP(A82, Data1_Raw_Slack!A:B, 2, FALSE)), ""technology|tech|gadgets|smartphone|electro|apps|de"&amp;"vices|computing|ai|robots|software|computer|internet|tele|mobile|tablet""), ""Technology"", REGEXMATCH(LOWER(VLOOKUP(A82, Data1_Raw_Slack!A:B, 2, FALSE)), ""entertainment|purchas|movies|tv|netflix|streaming|celebrity|movie lovers|tv fans|media|hobb|photo|"&amp;"art|shop""), ""Entertainment"", REGEXMATCH(LOWER(VLOOKUP(A82, Data1_Raw_Slack!A:B, 2, FALSE)), ""law|government|""), ""Law and Government"",
  TRUE, ""Other""
)"),"Travel")</f>
        <v>Travel</v>
      </c>
      <c r="G82" s="9" t="s">
        <v>85</v>
      </c>
      <c r="H82" s="9" t="s">
        <v>123</v>
      </c>
      <c r="I82" s="9" t="s">
        <v>409</v>
      </c>
      <c r="J82" s="9" t="s">
        <v>46</v>
      </c>
      <c r="K82" s="9" t="s">
        <v>142</v>
      </c>
      <c r="L82" s="9" t="s">
        <v>72</v>
      </c>
      <c r="M82" s="10" t="s">
        <v>191</v>
      </c>
      <c r="N82" s="9" t="str">
        <f ca="1">IFERROR(__xludf.DUMMYFUNCTION("REGEXEXTRACT(LOWER(M82), ""([a-z0-9\-]+)\.(?:co|net|org|io|gg)"")"),"autotrader")</f>
        <v>autotrader</v>
      </c>
      <c r="O82" s="9" t="s">
        <v>50</v>
      </c>
      <c r="P82" s="9" t="s">
        <v>39</v>
      </c>
      <c r="Q82" s="9">
        <v>53561</v>
      </c>
      <c r="R82" s="9">
        <v>147</v>
      </c>
      <c r="S82" s="9">
        <v>37063</v>
      </c>
      <c r="T82" s="9">
        <v>51480</v>
      </c>
      <c r="U82" s="9">
        <v>14</v>
      </c>
      <c r="V82" s="11">
        <v>2039.3550600000001</v>
      </c>
      <c r="W82" s="12">
        <f t="shared" si="0"/>
        <v>145.66821857142858</v>
      </c>
      <c r="X82" s="12">
        <f t="shared" si="1"/>
        <v>0.27445342693377645</v>
      </c>
      <c r="Y82" s="12">
        <f t="shared" si="2"/>
        <v>69.197737159500377</v>
      </c>
      <c r="Z82" s="12">
        <f t="shared" si="3"/>
        <v>55.024014785635273</v>
      </c>
      <c r="AA82" s="12">
        <f t="shared" si="4"/>
        <v>38.075373125968525</v>
      </c>
      <c r="AB82" s="12">
        <f t="shared" si="5"/>
        <v>13.873163673469389</v>
      </c>
      <c r="AC82" s="12">
        <f t="shared" si="6"/>
        <v>9.5238095238095237</v>
      </c>
      <c r="AE82" s="13"/>
      <c r="AF82" s="13"/>
    </row>
    <row r="83" spans="1:32">
      <c r="A83" s="8" t="s">
        <v>454</v>
      </c>
      <c r="B83" s="9" t="s">
        <v>325</v>
      </c>
      <c r="C83" s="9" t="s">
        <v>455</v>
      </c>
      <c r="D83" s="9" t="s">
        <v>456</v>
      </c>
      <c r="E83" s="9"/>
      <c r="F83" s="9" t="str">
        <f ca="1">IFERROR(__xludf.DUMMYFUNCTION("IFS(
  REGEXMATCH(LOWER(VLOOKUP(A83, Data1_Raw_Slack!A:B, 2, FALSE)), ""news|weather""), ""News and Weather"", REGEXMATCH(LOWER(VLOOKUP(A83, Data1_Raw_Slack!A:B, 2, FALSE)), ""sports|ufc|nba|nfl|mlb|soccer|sports fans""), ""Sports"",
  REGEXMATCH(LOWER(VL"&amp;"OOKUP(A83, Data1_Raw_Slack!A:B, 2, FALSE)), ""fashion|style|clothing|apparel|shoes|accessories|beauty|cosmetics|fashionistas""), ""Fashion and Beauty"",
  REGEXMATCH(LOWER(VLOOKUP(A83, Data1_Raw_Slack!A:B, 2, FALSE)), ""food|cooking|recipe|restaurant|snac"&amp;"k|grocery|foodies""), ""Food"",
  REGEXMATCH(LOWER(VLOOKUP(A83, Data1_Raw_Slack!A:B, 2, FALSE)), ""travel|vacation|airline|hotel|trip|flights|travelers""), ""Travel"",
  REGEXMATCH(LOWER(VLOOKUP(A83, Data1_Raw_Slack!A:B, 2, FALSE)), ""fitness|workout|gym|"&amp;"exercise|yoga|wellness|fitness enthusiasts""), ""Fitness"",
  REGEXMATCH(LOWER(VLOOKUP(A83, Data1_Raw_Slack!A:B, 2, FALSE)), ""health|medical|pharmacy|mental health|doctor|health-conscious""), ""Health"",
  REGEXMATCH(LOWER(VLOOKUP(A83, Data1_Raw_Slack!A:"&amp;"B, 2, FALSE)), ""pets|dogs|cats|animals|pet care|pet lovers""), ""Pets"",
  REGEXMATCH(LOWER(VLOOKUP(A83, Data1_Raw_Slack!A:B, 2, FALSE)), ""games|gaming|game|xbox|playstation|nintendo|gamers""), ""Gaming"",
  REGEXMATCH(LOWER(VLOOKUP(A83, Data1_Raw_Slack"&amp;"!A:B, 2, FALSE)), ""entertainment|movies|tv|netflix|streaming|celebrity|movie lovers|tv fans|hobb|photo|art""), ""Entertainment"",
  REGEXMATCH(LOWER(VLOOKUP(A83, Data1_Raw_Slack!A:B, 2, FALSE)), ""lifestyle|home|interior|decor|living|lifestyle enthusiast"&amp;"s""), ""Lifestyle"",
  REGEXMATCH(LOWER(VLOOKUP(A83, Data1_Raw_Slack!A:B, 2, FALSE)), ""financial|finance|investing|stocks|retirement|banking|credit|debt|loans|savings|personal finance|insurance|econ|ecom|business|retail|occupation|sale|job|marketing""), "&amp;"""Finance"",
  REGEXMATCH(LOWER(VLOOKUP(A83, Data1_Raw_Slack!A:B, 2, FALSE)), ""auto|automotive""), ""Auto"",
  REGEXMATCH(LOWER(VLOOKUP(A83, Data1_Raw_Slack!A:B, 2, FALSE)), ""parenting|moms|dads|kids|toddlers|baby|parent|children""), ""Parenting"",
 "&amp;" REGEXMATCH(LOWER(VLOOKUP(A83, Data1_Raw_Slack!A:B, 2, FALSE)), ""education|students|learning|school|teachers|college|university|academics""), ""Education"",
  REGEXMATCH(LOWER(VLOOKUP(A83, Data1_Raw_Slack!A:B, 2, FALSE)), ""age|gender|demographic|family|"&amp;"household""), ""Demographics"",
  REGEXMATCH(LOWER(VLOOKUP(A83, Data1_Raw_Slack!A:B, 2, FALSE)), ""mortgage|real estate""), ""Real Estate"",REGEXMATCH(LOWER(VLOOKUP(A83, Data1_Raw_Slack!A:B, 2, FALSE)), ""technology|tech|gadgets|smartphone|electro|apps|de"&amp;"vices|computing|ai|robots|software|computer|internet|tele|mobile|tablet""), ""Technology"", REGEXMATCH(LOWER(VLOOKUP(A83, Data1_Raw_Slack!A:B, 2, FALSE)), ""entertainment|purchas|movies|tv|netflix|streaming|celebrity|movie lovers|tv fans|media|hobb|photo|"&amp;"art|shop""), ""Entertainment"", REGEXMATCH(LOWER(VLOOKUP(A83, Data1_Raw_Slack!A:B, 2, FALSE)), ""law|government|""), ""Law and Government"",
  TRUE, ""Other""
)"),"Lifestyle")</f>
        <v>Lifestyle</v>
      </c>
      <c r="G83" s="9"/>
      <c r="H83" s="9" t="s">
        <v>44</v>
      </c>
      <c r="I83" s="9" t="s">
        <v>457</v>
      </c>
      <c r="J83" s="9" t="s">
        <v>80</v>
      </c>
      <c r="K83" s="9" t="s">
        <v>236</v>
      </c>
      <c r="L83" s="9" t="s">
        <v>82</v>
      </c>
      <c r="M83" s="10" t="s">
        <v>279</v>
      </c>
      <c r="N83" s="9" t="str">
        <f ca="1">IFERROR(__xludf.DUMMYFUNCTION("REGEXEXTRACT(LOWER(M83), ""([a-z0-9\-]+)\.(?:co|net|org|io|gg)"")"),"boattrader")</f>
        <v>boattrader</v>
      </c>
      <c r="O83" s="9" t="s">
        <v>50</v>
      </c>
      <c r="P83" s="9" t="s">
        <v>39</v>
      </c>
      <c r="Q83" s="9">
        <v>13132</v>
      </c>
      <c r="R83" s="9">
        <v>67</v>
      </c>
      <c r="S83" s="9">
        <v>6133</v>
      </c>
      <c r="T83" s="9">
        <v>12377</v>
      </c>
      <c r="U83" s="9">
        <v>4</v>
      </c>
      <c r="V83" s="11">
        <v>1807.6931420000001</v>
      </c>
      <c r="W83" s="12">
        <f t="shared" si="0"/>
        <v>451.92328550000002</v>
      </c>
      <c r="X83" s="12">
        <f t="shared" si="1"/>
        <v>0.51020408163265307</v>
      </c>
      <c r="Y83" s="12">
        <f t="shared" si="2"/>
        <v>46.702710935120315</v>
      </c>
      <c r="Z83" s="12">
        <f t="shared" si="3"/>
        <v>294.74859644545904</v>
      </c>
      <c r="AA83" s="12">
        <f t="shared" si="4"/>
        <v>137.65558498324702</v>
      </c>
      <c r="AB83" s="12">
        <f t="shared" si="5"/>
        <v>26.98049465671642</v>
      </c>
      <c r="AC83" s="12">
        <f t="shared" si="6"/>
        <v>5.9701492537313428</v>
      </c>
      <c r="AE83" s="13"/>
      <c r="AF83" s="13"/>
    </row>
    <row r="84" spans="1:32">
      <c r="A84" s="8" t="s">
        <v>458</v>
      </c>
      <c r="B84" s="9" t="s">
        <v>459</v>
      </c>
      <c r="C84" s="9" t="s">
        <v>154</v>
      </c>
      <c r="D84" s="9" t="s">
        <v>460</v>
      </c>
      <c r="E84" s="9" t="s">
        <v>461</v>
      </c>
      <c r="F84" s="9" t="str">
        <f ca="1">IFERROR(__xludf.DUMMYFUNCTION("IFS(
  REGEXMATCH(LOWER(VLOOKUP(A84, Data1_Raw_Slack!A:B, 2, FALSE)), ""news|weather""), ""News and Weather"", REGEXMATCH(LOWER(VLOOKUP(A84, Data1_Raw_Slack!A:B, 2, FALSE)), ""sports|ufc|nba|nfl|mlb|soccer|sports fans""), ""Sports"",
  REGEXMATCH(LOWER(VL"&amp;"OOKUP(A84, Data1_Raw_Slack!A:B, 2, FALSE)), ""fashion|style|clothing|apparel|shoes|accessories|beauty|cosmetics|fashionistas""), ""Fashion and Beauty"",
  REGEXMATCH(LOWER(VLOOKUP(A84, Data1_Raw_Slack!A:B, 2, FALSE)), ""food|cooking|recipe|restaurant|snac"&amp;"k|grocery|foodies""), ""Food"",
  REGEXMATCH(LOWER(VLOOKUP(A84, Data1_Raw_Slack!A:B, 2, FALSE)), ""travel|vacation|airline|hotel|trip|flights|travelers""), ""Travel"",
  REGEXMATCH(LOWER(VLOOKUP(A84, Data1_Raw_Slack!A:B, 2, FALSE)), ""fitness|workout|gym|"&amp;"exercise|yoga|wellness|fitness enthusiasts""), ""Fitness"",
  REGEXMATCH(LOWER(VLOOKUP(A84, Data1_Raw_Slack!A:B, 2, FALSE)), ""health|medical|pharmacy|mental health|doctor|health-conscious""), ""Health"",
  REGEXMATCH(LOWER(VLOOKUP(A84, Data1_Raw_Slack!A:"&amp;"B, 2, FALSE)), ""pets|dogs|cats|animals|pet care|pet lovers""), ""Pets"",
  REGEXMATCH(LOWER(VLOOKUP(A84, Data1_Raw_Slack!A:B, 2, FALSE)), ""games|gaming|game|xbox|playstation|nintendo|gamers""), ""Gaming"",
  REGEXMATCH(LOWER(VLOOKUP(A84, Data1_Raw_Slack"&amp;"!A:B, 2, FALSE)), ""entertainment|movies|tv|netflix|streaming|celebrity|movie lovers|tv fans|hobb|photo|art""), ""Entertainment"",
  REGEXMATCH(LOWER(VLOOKUP(A84, Data1_Raw_Slack!A:B, 2, FALSE)), ""lifestyle|home|interior|decor|living|lifestyle enthusiast"&amp;"s""), ""Lifestyle"",
  REGEXMATCH(LOWER(VLOOKUP(A84, Data1_Raw_Slack!A:B, 2, FALSE)), ""financial|finance|investing|stocks|retirement|banking|credit|debt|loans|savings|personal finance|insurance|econ|ecom|business|retail|occupation|sale|job|marketing""), "&amp;"""Finance"",
  REGEXMATCH(LOWER(VLOOKUP(A84, Data1_Raw_Slack!A:B, 2, FALSE)), ""auto|automotive""), ""Auto"",
  REGEXMATCH(LOWER(VLOOKUP(A84, Data1_Raw_Slack!A:B, 2, FALSE)), ""parenting|moms|dads|kids|toddlers|baby|parent|children""), ""Parenting"",
 "&amp;" REGEXMATCH(LOWER(VLOOKUP(A84, Data1_Raw_Slack!A:B, 2, FALSE)), ""education|students|learning|school|teachers|college|university|academics""), ""Education"",
  REGEXMATCH(LOWER(VLOOKUP(A84, Data1_Raw_Slack!A:B, 2, FALSE)), ""age|gender|demographic|family|"&amp;"household""), ""Demographics"",
  REGEXMATCH(LOWER(VLOOKUP(A84, Data1_Raw_Slack!A:B, 2, FALSE)), ""mortgage|real estate""), ""Real Estate"",REGEXMATCH(LOWER(VLOOKUP(A84, Data1_Raw_Slack!A:B, 2, FALSE)), ""technology|tech|gadgets|smartphone|electro|apps|de"&amp;"vices|computing|ai|robots|software|computer|internet|tele|mobile|tablet""), ""Technology"", REGEXMATCH(LOWER(VLOOKUP(A84, Data1_Raw_Slack!A:B, 2, FALSE)), ""entertainment|purchas|movies|tv|netflix|streaming|celebrity|movie lovers|tv fans|media|hobb|photo|"&amp;"art|shop""), ""Entertainment"", REGEXMATCH(LOWER(VLOOKUP(A84, Data1_Raw_Slack!A:B, 2, FALSE)), ""law|government|""), ""Law and Government"",
  TRUE, ""Other""
)"),"Sports")</f>
        <v>Sports</v>
      </c>
      <c r="G84" s="9" t="s">
        <v>154</v>
      </c>
      <c r="H84" s="9" t="s">
        <v>44</v>
      </c>
      <c r="I84" s="9" t="s">
        <v>462</v>
      </c>
      <c r="J84" s="9" t="s">
        <v>80</v>
      </c>
      <c r="K84" s="9" t="s">
        <v>56</v>
      </c>
      <c r="L84" s="9" t="s">
        <v>57</v>
      </c>
      <c r="M84" s="10" t="s">
        <v>463</v>
      </c>
      <c r="N84" s="9" t="str">
        <f ca="1">IFERROR(__xludf.DUMMYFUNCTION("REGEXEXTRACT(LOWER(M84), ""([a-z0-9\-]+)\.(?:co|net|org|io|gg)"")"),"wizofawes")</f>
        <v>wizofawes</v>
      </c>
      <c r="O84" s="9" t="s">
        <v>131</v>
      </c>
      <c r="P84" s="9" t="s">
        <v>39</v>
      </c>
      <c r="Q84" s="9">
        <v>13642</v>
      </c>
      <c r="R84" s="9">
        <v>40</v>
      </c>
      <c r="S84" s="9">
        <v>9830</v>
      </c>
      <c r="T84" s="9">
        <v>11658</v>
      </c>
      <c r="U84" s="9">
        <v>3</v>
      </c>
      <c r="V84" s="11">
        <v>1731.2718480000001</v>
      </c>
      <c r="W84" s="12">
        <f t="shared" si="0"/>
        <v>577.09061600000007</v>
      </c>
      <c r="X84" s="12">
        <f t="shared" si="1"/>
        <v>0.29321213898255388</v>
      </c>
      <c r="Y84" s="12">
        <f t="shared" si="2"/>
        <v>72.05688315496262</v>
      </c>
      <c r="Z84" s="12">
        <f t="shared" si="3"/>
        <v>176.1212459816887</v>
      </c>
      <c r="AA84" s="12">
        <f t="shared" si="4"/>
        <v>126.90748042808971</v>
      </c>
      <c r="AB84" s="12">
        <f t="shared" si="5"/>
        <v>43.281796200000002</v>
      </c>
      <c r="AC84" s="12">
        <f t="shared" si="6"/>
        <v>7.5</v>
      </c>
      <c r="AE84" s="13"/>
      <c r="AF84" s="13"/>
    </row>
    <row r="85" spans="1:32">
      <c r="A85" s="8" t="s">
        <v>464</v>
      </c>
      <c r="B85" s="9" t="s">
        <v>144</v>
      </c>
      <c r="C85" s="9" t="s">
        <v>465</v>
      </c>
      <c r="D85" s="9"/>
      <c r="E85" s="9"/>
      <c r="F85" s="9" t="str">
        <f ca="1">IFERROR(__xludf.DUMMYFUNCTION("IFS(
  REGEXMATCH(LOWER(VLOOKUP(A85, Data1_Raw_Slack!A:B, 2, FALSE)), ""news|weather""), ""News and Weather"", REGEXMATCH(LOWER(VLOOKUP(A85, Data1_Raw_Slack!A:B, 2, FALSE)), ""sports|ufc|nba|nfl|mlb|soccer|sports fans""), ""Sports"",
  REGEXMATCH(LOWER(VL"&amp;"OOKUP(A85, Data1_Raw_Slack!A:B, 2, FALSE)), ""fashion|style|clothing|apparel|shoes|accessories|beauty|cosmetics|fashionistas""), ""Fashion and Beauty"",
  REGEXMATCH(LOWER(VLOOKUP(A85, Data1_Raw_Slack!A:B, 2, FALSE)), ""food|cooking|recipe|restaurant|snac"&amp;"k|grocery|foodies""), ""Food"",
  REGEXMATCH(LOWER(VLOOKUP(A85, Data1_Raw_Slack!A:B, 2, FALSE)), ""travel|vacation|airline|hotel|trip|flights|travelers""), ""Travel"",
  REGEXMATCH(LOWER(VLOOKUP(A85, Data1_Raw_Slack!A:B, 2, FALSE)), ""fitness|workout|gym|"&amp;"exercise|yoga|wellness|fitness enthusiasts""), ""Fitness"",
  REGEXMATCH(LOWER(VLOOKUP(A85, Data1_Raw_Slack!A:B, 2, FALSE)), ""health|medical|pharmacy|mental health|doctor|health-conscious""), ""Health"",
  REGEXMATCH(LOWER(VLOOKUP(A85, Data1_Raw_Slack!A:"&amp;"B, 2, FALSE)), ""pets|dogs|cats|animals|pet care|pet lovers""), ""Pets"",
  REGEXMATCH(LOWER(VLOOKUP(A85, Data1_Raw_Slack!A:B, 2, FALSE)), ""games|gaming|game|xbox|playstation|nintendo|gamers""), ""Gaming"",
  REGEXMATCH(LOWER(VLOOKUP(A85, Data1_Raw_Slack"&amp;"!A:B, 2, FALSE)), ""entertainment|movies|tv|netflix|streaming|celebrity|movie lovers|tv fans|hobb|photo|art""), ""Entertainment"",
  REGEXMATCH(LOWER(VLOOKUP(A85, Data1_Raw_Slack!A:B, 2, FALSE)), ""lifestyle|home|interior|decor|living|lifestyle enthusiast"&amp;"s""), ""Lifestyle"",
  REGEXMATCH(LOWER(VLOOKUP(A85, Data1_Raw_Slack!A:B, 2, FALSE)), ""financial|finance|investing|stocks|retirement|banking|credit|debt|loans|savings|personal finance|insurance|econ|ecom|business|retail|occupation|sale|job|marketing""), "&amp;"""Finance"",
  REGEXMATCH(LOWER(VLOOKUP(A85, Data1_Raw_Slack!A:B, 2, FALSE)), ""auto|automotive""), ""Auto"",
  REGEXMATCH(LOWER(VLOOKUP(A85, Data1_Raw_Slack!A:B, 2, FALSE)), ""parenting|moms|dads|kids|toddlers|baby|parent|children""), ""Parenting"",
 "&amp;" REGEXMATCH(LOWER(VLOOKUP(A85, Data1_Raw_Slack!A:B, 2, FALSE)), ""education|students|learning|school|teachers|college|university|academics""), ""Education"",
  REGEXMATCH(LOWER(VLOOKUP(A85, Data1_Raw_Slack!A:B, 2, FALSE)), ""age|gender|demographic|family|"&amp;"household""), ""Demographics"",
  REGEXMATCH(LOWER(VLOOKUP(A85, Data1_Raw_Slack!A:B, 2, FALSE)), ""mortgage|real estate""), ""Real Estate"",REGEXMATCH(LOWER(VLOOKUP(A85, Data1_Raw_Slack!A:B, 2, FALSE)), ""technology|tech|gadgets|smartphone|electro|apps|de"&amp;"vices|computing|ai|robots|software|computer|internet|tele|mobile|tablet""), ""Technology"", REGEXMATCH(LOWER(VLOOKUP(A85, Data1_Raw_Slack!A:B, 2, FALSE)), ""entertainment|purchas|movies|tv|netflix|streaming|celebrity|movie lovers|tv fans|media|hobb|photo|"&amp;"art|shop""), ""Entertainment"", REGEXMATCH(LOWER(VLOOKUP(A85, Data1_Raw_Slack!A:B, 2, FALSE)), ""law|government|""), ""Law and Government"",
  TRUE, ""Other""
)"),"Pets")</f>
        <v>Pets</v>
      </c>
      <c r="G85" s="9"/>
      <c r="H85" s="9" t="s">
        <v>32</v>
      </c>
      <c r="I85" s="9" t="s">
        <v>466</v>
      </c>
      <c r="J85" s="9" t="s">
        <v>46</v>
      </c>
      <c r="K85" s="9" t="s">
        <v>71</v>
      </c>
      <c r="L85" s="9" t="s">
        <v>72</v>
      </c>
      <c r="M85" s="10" t="s">
        <v>467</v>
      </c>
      <c r="N85" s="9" t="str">
        <f ca="1">IFERROR(__xludf.DUMMYFUNCTION("REGEXEXTRACT(LOWER(M85), ""([a-z0-9\-]+)\.(?:co|net|org|io|gg)"")"),"sheknows")</f>
        <v>sheknows</v>
      </c>
      <c r="O85" s="9" t="s">
        <v>50</v>
      </c>
      <c r="P85" s="9" t="s">
        <v>39</v>
      </c>
      <c r="Q85" s="9">
        <v>20572</v>
      </c>
      <c r="R85" s="9">
        <v>90</v>
      </c>
      <c r="S85" s="9">
        <v>2226</v>
      </c>
      <c r="T85" s="9">
        <v>16510</v>
      </c>
      <c r="U85" s="9">
        <v>10</v>
      </c>
      <c r="V85" s="11">
        <v>1529.307229</v>
      </c>
      <c r="W85" s="12">
        <f t="shared" si="0"/>
        <v>152.93072290000001</v>
      </c>
      <c r="X85" s="12">
        <f t="shared" si="1"/>
        <v>0.43748784755978998</v>
      </c>
      <c r="Y85" s="12">
        <f t="shared" si="2"/>
        <v>10.820532762978806</v>
      </c>
      <c r="Z85" s="12">
        <f t="shared" si="3"/>
        <v>687.02031850853552</v>
      </c>
      <c r="AA85" s="12">
        <f t="shared" si="4"/>
        <v>74.339258652537438</v>
      </c>
      <c r="AB85" s="12">
        <f t="shared" si="5"/>
        <v>16.992302544444446</v>
      </c>
      <c r="AC85" s="12">
        <f t="shared" si="6"/>
        <v>11.111111111111111</v>
      </c>
      <c r="AE85" s="13"/>
      <c r="AF85" s="13"/>
    </row>
    <row r="86" spans="1:32">
      <c r="A86" s="8" t="s">
        <v>468</v>
      </c>
      <c r="B86" s="9" t="s">
        <v>67</v>
      </c>
      <c r="C86" s="9" t="s">
        <v>151</v>
      </c>
      <c r="D86" s="9" t="s">
        <v>469</v>
      </c>
      <c r="E86" s="9" t="s">
        <v>470</v>
      </c>
      <c r="F86" s="9" t="str">
        <f ca="1">IFERROR(__xludf.DUMMYFUNCTION("IFS(
  REGEXMATCH(LOWER(VLOOKUP(A86, Data1_Raw_Slack!A:B, 2, FALSE)), ""news|weather""), ""News and Weather"", REGEXMATCH(LOWER(VLOOKUP(A86, Data1_Raw_Slack!A:B, 2, FALSE)), ""sports|ufc|nba|nfl|mlb|soccer|sports fans""), ""Sports"",
  REGEXMATCH(LOWER(VL"&amp;"OOKUP(A86, Data1_Raw_Slack!A:B, 2, FALSE)), ""fashion|style|clothing|apparel|shoes|accessories|beauty|cosmetics|fashionistas""), ""Fashion and Beauty"",
  REGEXMATCH(LOWER(VLOOKUP(A86, Data1_Raw_Slack!A:B, 2, FALSE)), ""food|cooking|recipe|restaurant|snac"&amp;"k|grocery|foodies""), ""Food"",
  REGEXMATCH(LOWER(VLOOKUP(A86, Data1_Raw_Slack!A:B, 2, FALSE)), ""travel|vacation|airline|hotel|trip|flights|travelers""), ""Travel"",
  REGEXMATCH(LOWER(VLOOKUP(A86, Data1_Raw_Slack!A:B, 2, FALSE)), ""fitness|workout|gym|"&amp;"exercise|yoga|wellness|fitness enthusiasts""), ""Fitness"",
  REGEXMATCH(LOWER(VLOOKUP(A86, Data1_Raw_Slack!A:B, 2, FALSE)), ""health|medical|pharmacy|mental health|doctor|health-conscious""), ""Health"",
  REGEXMATCH(LOWER(VLOOKUP(A86, Data1_Raw_Slack!A:"&amp;"B, 2, FALSE)), ""pets|dogs|cats|animals|pet care|pet lovers""), ""Pets"",
  REGEXMATCH(LOWER(VLOOKUP(A86, Data1_Raw_Slack!A:B, 2, FALSE)), ""games|gaming|game|xbox|playstation|nintendo|gamers""), ""Gaming"",
  REGEXMATCH(LOWER(VLOOKUP(A86, Data1_Raw_Slack"&amp;"!A:B, 2, FALSE)), ""entertainment|movies|tv|netflix|streaming|celebrity|movie lovers|tv fans|hobb|photo|art""), ""Entertainment"",
  REGEXMATCH(LOWER(VLOOKUP(A86, Data1_Raw_Slack!A:B, 2, FALSE)), ""lifestyle|home|interior|decor|living|lifestyle enthusiast"&amp;"s""), ""Lifestyle"",
  REGEXMATCH(LOWER(VLOOKUP(A86, Data1_Raw_Slack!A:B, 2, FALSE)), ""financial|finance|investing|stocks|retirement|banking|credit|debt|loans|savings|personal finance|insurance|econ|ecom|business|retail|occupation|sale|job|marketing""), "&amp;"""Finance"",
  REGEXMATCH(LOWER(VLOOKUP(A86, Data1_Raw_Slack!A:B, 2, FALSE)), ""auto|automotive""), ""Auto"",
  REGEXMATCH(LOWER(VLOOKUP(A86, Data1_Raw_Slack!A:B, 2, FALSE)), ""parenting|moms|dads|kids|toddlers|baby|parent|children""), ""Parenting"",
 "&amp;" REGEXMATCH(LOWER(VLOOKUP(A86, Data1_Raw_Slack!A:B, 2, FALSE)), ""education|students|learning|school|teachers|college|university|academics""), ""Education"",
  REGEXMATCH(LOWER(VLOOKUP(A86, Data1_Raw_Slack!A:B, 2, FALSE)), ""age|gender|demographic|family|"&amp;"household""), ""Demographics"",
  REGEXMATCH(LOWER(VLOOKUP(A86, Data1_Raw_Slack!A:B, 2, FALSE)), ""mortgage|real estate""), ""Real Estate"",REGEXMATCH(LOWER(VLOOKUP(A86, Data1_Raw_Slack!A:B, 2, FALSE)), ""technology|tech|gadgets|smartphone|electro|apps|de"&amp;"vices|computing|ai|robots|software|computer|internet|tele|mobile|tablet""), ""Technology"", REGEXMATCH(LOWER(VLOOKUP(A86, Data1_Raw_Slack!A:B, 2, FALSE)), ""entertainment|purchas|movies|tv|netflix|streaming|celebrity|movie lovers|tv fans|media|hobb|photo|"&amp;"art|shop""), ""Entertainment"", REGEXMATCH(LOWER(VLOOKUP(A86, Data1_Raw_Slack!A:B, 2, FALSE)), ""law|government|""), ""Law and Government"",
  TRUE, ""Other""
)"),"Sports")</f>
        <v>Sports</v>
      </c>
      <c r="G86" s="9" t="s">
        <v>154</v>
      </c>
      <c r="H86" s="9" t="s">
        <v>44</v>
      </c>
      <c r="I86" s="9" t="s">
        <v>471</v>
      </c>
      <c r="J86" s="9" t="s">
        <v>34</v>
      </c>
      <c r="K86" s="9" t="s">
        <v>443</v>
      </c>
      <c r="L86" s="9" t="s">
        <v>72</v>
      </c>
      <c r="M86" s="10" t="s">
        <v>472</v>
      </c>
      <c r="N86" s="9" t="str">
        <f ca="1">IFERROR(__xludf.DUMMYFUNCTION("REGEXEXTRACT(LOWER(M86), ""([a-z0-9\-]+)\.(?:co|net|org|io|gg)"")"),"investopedia")</f>
        <v>investopedia</v>
      </c>
      <c r="O86" s="9" t="s">
        <v>103</v>
      </c>
      <c r="P86" s="9" t="s">
        <v>64</v>
      </c>
      <c r="Q86" s="9">
        <v>17228</v>
      </c>
      <c r="R86" s="9">
        <v>30</v>
      </c>
      <c r="S86" s="9">
        <v>11116</v>
      </c>
      <c r="T86" s="9">
        <v>16044</v>
      </c>
      <c r="U86" s="9">
        <v>3</v>
      </c>
      <c r="V86" s="11">
        <v>1547.513459</v>
      </c>
      <c r="W86" s="12">
        <f t="shared" si="0"/>
        <v>515.83781966666663</v>
      </c>
      <c r="X86" s="12">
        <f t="shared" si="1"/>
        <v>0.17413512885999535</v>
      </c>
      <c r="Y86" s="12">
        <f t="shared" si="2"/>
        <v>64.522869746923618</v>
      </c>
      <c r="Z86" s="12">
        <f t="shared" si="3"/>
        <v>139.21495672903922</v>
      </c>
      <c r="AA86" s="12">
        <f t="shared" si="4"/>
        <v>89.825485198514045</v>
      </c>
      <c r="AB86" s="12">
        <f t="shared" si="5"/>
        <v>51.58378196666667</v>
      </c>
      <c r="AC86" s="12">
        <f t="shared" si="6"/>
        <v>10</v>
      </c>
      <c r="AE86" s="13"/>
      <c r="AF86" s="13"/>
    </row>
    <row r="87" spans="1:32">
      <c r="A87" s="8" t="s">
        <v>473</v>
      </c>
      <c r="B87" s="9" t="s">
        <v>41</v>
      </c>
      <c r="C87" s="9" t="s">
        <v>253</v>
      </c>
      <c r="D87" s="9" t="s">
        <v>254</v>
      </c>
      <c r="E87" s="9" t="s">
        <v>474</v>
      </c>
      <c r="F87" s="9" t="str">
        <f ca="1">IFERROR(__xludf.DUMMYFUNCTION("IFS(
  REGEXMATCH(LOWER(VLOOKUP(A87, Data1_Raw_Slack!A:B, 2, FALSE)), ""news|weather""), ""News and Weather"", REGEXMATCH(LOWER(VLOOKUP(A87, Data1_Raw_Slack!A:B, 2, FALSE)), ""sports|ufc|nba|nfl|mlb|soccer|sports fans""), ""Sports"",
  REGEXMATCH(LOWER(VL"&amp;"OOKUP(A87, Data1_Raw_Slack!A:B, 2, FALSE)), ""fashion|style|clothing|apparel|shoes|accessories|beauty|cosmetics|fashionistas""), ""Fashion and Beauty"",
  REGEXMATCH(LOWER(VLOOKUP(A87, Data1_Raw_Slack!A:B, 2, FALSE)), ""food|cooking|recipe|restaurant|snac"&amp;"k|grocery|foodies""), ""Food"",
  REGEXMATCH(LOWER(VLOOKUP(A87, Data1_Raw_Slack!A:B, 2, FALSE)), ""travel|vacation|airline|hotel|trip|flights|travelers""), ""Travel"",
  REGEXMATCH(LOWER(VLOOKUP(A87, Data1_Raw_Slack!A:B, 2, FALSE)), ""fitness|workout|gym|"&amp;"exercise|yoga|wellness|fitness enthusiasts""), ""Fitness"",
  REGEXMATCH(LOWER(VLOOKUP(A87, Data1_Raw_Slack!A:B, 2, FALSE)), ""health|medical|pharmacy|mental health|doctor|health-conscious""), ""Health"",
  REGEXMATCH(LOWER(VLOOKUP(A87, Data1_Raw_Slack!A:"&amp;"B, 2, FALSE)), ""pets|dogs|cats|animals|pet care|pet lovers""), ""Pets"",
  REGEXMATCH(LOWER(VLOOKUP(A87, Data1_Raw_Slack!A:B, 2, FALSE)), ""games|gaming|game|xbox|playstation|nintendo|gamers""), ""Gaming"",
  REGEXMATCH(LOWER(VLOOKUP(A87, Data1_Raw_Slack"&amp;"!A:B, 2, FALSE)), ""entertainment|movies|tv|netflix|streaming|celebrity|movie lovers|tv fans|hobb|photo|art""), ""Entertainment"",
  REGEXMATCH(LOWER(VLOOKUP(A87, Data1_Raw_Slack!A:B, 2, FALSE)), ""lifestyle|home|interior|decor|living|lifestyle enthusiast"&amp;"s""), ""Lifestyle"",
  REGEXMATCH(LOWER(VLOOKUP(A87, Data1_Raw_Slack!A:B, 2, FALSE)), ""financial|finance|investing|stocks|retirement|banking|credit|debt|loans|savings|personal finance|insurance|econ|ecom|business|retail|occupation|sale|job|marketing""), "&amp;"""Finance"",
  REGEXMATCH(LOWER(VLOOKUP(A87, Data1_Raw_Slack!A:B, 2, FALSE)), ""auto|automotive""), ""Auto"",
  REGEXMATCH(LOWER(VLOOKUP(A87, Data1_Raw_Slack!A:B, 2, FALSE)), ""parenting|moms|dads|kids|toddlers|baby|parent|children""), ""Parenting"",
 "&amp;" REGEXMATCH(LOWER(VLOOKUP(A87, Data1_Raw_Slack!A:B, 2, FALSE)), ""education|students|learning|school|teachers|college|university|academics""), ""Education"",
  REGEXMATCH(LOWER(VLOOKUP(A87, Data1_Raw_Slack!A:B, 2, FALSE)), ""age|gender|demographic|family|"&amp;"household""), ""Demographics"",
  REGEXMATCH(LOWER(VLOOKUP(A87, Data1_Raw_Slack!A:B, 2, FALSE)), ""mortgage|real estate""), ""Real Estate"",REGEXMATCH(LOWER(VLOOKUP(A87, Data1_Raw_Slack!A:B, 2, FALSE)), ""technology|tech|gadgets|smartphone|electro|apps|de"&amp;"vices|computing|ai|robots|software|computer|internet|tele|mobile|tablet""), ""Technology"", REGEXMATCH(LOWER(VLOOKUP(A87, Data1_Raw_Slack!A:B, 2, FALSE)), ""entertainment|purchas|movies|tv|netflix|streaming|celebrity|movie lovers|tv fans|media|hobb|photo|"&amp;"art|shop""), ""Entertainment"", REGEXMATCH(LOWER(VLOOKUP(A87, Data1_Raw_Slack!A:B, 2, FALSE)), ""law|government|""), ""Law and Government"",
  TRUE, ""Other""
)"),"Entertainment")</f>
        <v>Entertainment</v>
      </c>
      <c r="G87" s="9" t="s">
        <v>135</v>
      </c>
      <c r="H87" s="9" t="s">
        <v>32</v>
      </c>
      <c r="I87" s="9" t="s">
        <v>475</v>
      </c>
      <c r="J87" s="9" t="s">
        <v>80</v>
      </c>
      <c r="K87" s="9" t="s">
        <v>236</v>
      </c>
      <c r="L87" s="9" t="s">
        <v>82</v>
      </c>
      <c r="M87" s="10" t="s">
        <v>229</v>
      </c>
      <c r="N87" s="9" t="str">
        <f ca="1">IFERROR(__xludf.DUMMYFUNCTION("REGEXEXTRACT(LOWER(M87), ""([a-z0-9\-]+)\.(?:co|net|org|io|gg)"")"),"msn")</f>
        <v>msn</v>
      </c>
      <c r="O87" s="9" t="s">
        <v>74</v>
      </c>
      <c r="P87" s="9" t="s">
        <v>39</v>
      </c>
      <c r="Q87" s="9">
        <v>192201</v>
      </c>
      <c r="R87" s="9">
        <v>489</v>
      </c>
      <c r="S87" s="9">
        <v>113707</v>
      </c>
      <c r="T87" s="9">
        <v>157940</v>
      </c>
      <c r="U87" s="9">
        <v>3</v>
      </c>
      <c r="V87" s="11">
        <v>6176.0041540000002</v>
      </c>
      <c r="W87" s="12">
        <f t="shared" si="0"/>
        <v>2058.6680513333336</v>
      </c>
      <c r="X87" s="12">
        <f t="shared" si="1"/>
        <v>0.25442115285560429</v>
      </c>
      <c r="Y87" s="12">
        <f t="shared" si="2"/>
        <v>59.160462224442121</v>
      </c>
      <c r="Z87" s="12">
        <f t="shared" si="3"/>
        <v>54.315074305012004</v>
      </c>
      <c r="AA87" s="12">
        <f t="shared" si="4"/>
        <v>32.133049016394303</v>
      </c>
      <c r="AB87" s="12">
        <f t="shared" si="5"/>
        <v>12.629865345603273</v>
      </c>
      <c r="AC87" s="12">
        <f t="shared" si="6"/>
        <v>0.61349693251533743</v>
      </c>
      <c r="AE87" s="13"/>
      <c r="AF87" s="13"/>
    </row>
    <row r="88" spans="1:32">
      <c r="A88" s="8" t="s">
        <v>476</v>
      </c>
      <c r="B88" s="9" t="s">
        <v>41</v>
      </c>
      <c r="C88" s="9" t="s">
        <v>42</v>
      </c>
      <c r="D88" s="9" t="s">
        <v>477</v>
      </c>
      <c r="E88" s="9"/>
      <c r="F88" s="9" t="str">
        <f ca="1">IFERROR(__xludf.DUMMYFUNCTION("IFS(
  REGEXMATCH(LOWER(VLOOKUP(A88, Data1_Raw_Slack!A:B, 2, FALSE)), ""news|weather""), ""News and Weather"", REGEXMATCH(LOWER(VLOOKUP(A88, Data1_Raw_Slack!A:B, 2, FALSE)), ""sports|ufc|nba|nfl|mlb|soccer|sports fans""), ""Sports"",
  REGEXMATCH(LOWER(VL"&amp;"OOKUP(A88, Data1_Raw_Slack!A:B, 2, FALSE)), ""fashion|style|clothing|apparel|shoes|accessories|beauty|cosmetics|fashionistas""), ""Fashion and Beauty"",
  REGEXMATCH(LOWER(VLOOKUP(A88, Data1_Raw_Slack!A:B, 2, FALSE)), ""food|cooking|recipe|restaurant|snac"&amp;"k|grocery|foodies""), ""Food"",
  REGEXMATCH(LOWER(VLOOKUP(A88, Data1_Raw_Slack!A:B, 2, FALSE)), ""travel|vacation|airline|hotel|trip|flights|travelers""), ""Travel"",
  REGEXMATCH(LOWER(VLOOKUP(A88, Data1_Raw_Slack!A:B, 2, FALSE)), ""fitness|workout|gym|"&amp;"exercise|yoga|wellness|fitness enthusiasts""), ""Fitness"",
  REGEXMATCH(LOWER(VLOOKUP(A88, Data1_Raw_Slack!A:B, 2, FALSE)), ""health|medical|pharmacy|mental health|doctor|health-conscious""), ""Health"",
  REGEXMATCH(LOWER(VLOOKUP(A88, Data1_Raw_Slack!A:"&amp;"B, 2, FALSE)), ""pets|dogs|cats|animals|pet care|pet lovers""), ""Pets"",
  REGEXMATCH(LOWER(VLOOKUP(A88, Data1_Raw_Slack!A:B, 2, FALSE)), ""games|gaming|game|xbox|playstation|nintendo|gamers""), ""Gaming"",
  REGEXMATCH(LOWER(VLOOKUP(A88, Data1_Raw_Slack"&amp;"!A:B, 2, FALSE)), ""entertainment|movies|tv|netflix|streaming|celebrity|movie lovers|tv fans|hobb|photo|art""), ""Entertainment"",
  REGEXMATCH(LOWER(VLOOKUP(A88, Data1_Raw_Slack!A:B, 2, FALSE)), ""lifestyle|home|interior|decor|living|lifestyle enthusiast"&amp;"s""), ""Lifestyle"",
  REGEXMATCH(LOWER(VLOOKUP(A88, Data1_Raw_Slack!A:B, 2, FALSE)), ""financial|finance|investing|stocks|retirement|banking|credit|debt|loans|savings|personal finance|insurance|econ|ecom|business|retail|occupation|sale|job|marketing""), "&amp;"""Finance"",
  REGEXMATCH(LOWER(VLOOKUP(A88, Data1_Raw_Slack!A:B, 2, FALSE)), ""auto|automotive""), ""Auto"",
  REGEXMATCH(LOWER(VLOOKUP(A88, Data1_Raw_Slack!A:B, 2, FALSE)), ""parenting|moms|dads|kids|toddlers|baby|parent|children""), ""Parenting"",
 "&amp;" REGEXMATCH(LOWER(VLOOKUP(A88, Data1_Raw_Slack!A:B, 2, FALSE)), ""education|students|learning|school|teachers|college|university|academics""), ""Education"",
  REGEXMATCH(LOWER(VLOOKUP(A88, Data1_Raw_Slack!A:B, 2, FALSE)), ""age|gender|demographic|family|"&amp;"household""), ""Demographics"",
  REGEXMATCH(LOWER(VLOOKUP(A88, Data1_Raw_Slack!A:B, 2, FALSE)), ""mortgage|real estate""), ""Real Estate"",REGEXMATCH(LOWER(VLOOKUP(A88, Data1_Raw_Slack!A:B, 2, FALSE)), ""technology|tech|gadgets|smartphone|electro|apps|de"&amp;"vices|computing|ai|robots|software|computer|internet|tele|mobile|tablet""), ""Technology"", REGEXMATCH(LOWER(VLOOKUP(A88, Data1_Raw_Slack!A:B, 2, FALSE)), ""entertainment|purchas|movies|tv|netflix|streaming|celebrity|movie lovers|tv fans|media|hobb|photo|"&amp;"art|shop""), ""Entertainment"", REGEXMATCH(LOWER(VLOOKUP(A88, Data1_Raw_Slack!A:B, 2, FALSE)), ""law|government|""), ""Law and Government"",
  TRUE, ""Other""
)"),"Law and Government")</f>
        <v>Law and Government</v>
      </c>
      <c r="G88" s="9"/>
      <c r="H88" s="9" t="s">
        <v>32</v>
      </c>
      <c r="I88" s="9" t="s">
        <v>478</v>
      </c>
      <c r="J88" s="9" t="s">
        <v>46</v>
      </c>
      <c r="K88" s="9" t="s">
        <v>236</v>
      </c>
      <c r="L88" s="9" t="s">
        <v>82</v>
      </c>
      <c r="M88" s="10" t="s">
        <v>479</v>
      </c>
      <c r="N88" s="9" t="str">
        <f ca="1">IFERROR(__xludf.DUMMYFUNCTION("REGEXEXTRACT(LOWER(M88), ""([a-z0-9\-]+)\.(?:co|net|org|io|gg)"")"),"cheezburger")</f>
        <v>cheezburger</v>
      </c>
      <c r="O88" s="9" t="s">
        <v>74</v>
      </c>
      <c r="P88" s="9" t="s">
        <v>39</v>
      </c>
      <c r="Q88" s="9">
        <v>27032</v>
      </c>
      <c r="R88" s="9">
        <v>110</v>
      </c>
      <c r="S88" s="9">
        <v>21893</v>
      </c>
      <c r="T88" s="9">
        <v>26127</v>
      </c>
      <c r="U88" s="9">
        <v>5</v>
      </c>
      <c r="V88" s="11">
        <v>5292.8969129999996</v>
      </c>
      <c r="W88" s="12">
        <f t="shared" si="0"/>
        <v>1058.5793825999999</v>
      </c>
      <c r="X88" s="12">
        <f t="shared" si="1"/>
        <v>0.40692512577685708</v>
      </c>
      <c r="Y88" s="12">
        <f t="shared" si="2"/>
        <v>80.989197987570279</v>
      </c>
      <c r="Z88" s="12">
        <f t="shared" si="3"/>
        <v>241.76206609418531</v>
      </c>
      <c r="AA88" s="12">
        <f t="shared" si="4"/>
        <v>195.8011583678603</v>
      </c>
      <c r="AB88" s="12">
        <f t="shared" si="5"/>
        <v>48.117244663636363</v>
      </c>
      <c r="AC88" s="12">
        <f t="shared" si="6"/>
        <v>4.5454545454545459</v>
      </c>
      <c r="AE88" s="13"/>
      <c r="AF88" s="13"/>
    </row>
    <row r="89" spans="1:32">
      <c r="A89" s="8" t="s">
        <v>480</v>
      </c>
      <c r="B89" s="9" t="s">
        <v>378</v>
      </c>
      <c r="C89" s="9" t="s">
        <v>481</v>
      </c>
      <c r="D89" s="9" t="s">
        <v>482</v>
      </c>
      <c r="E89" s="9"/>
      <c r="F89" s="9" t="str">
        <f ca="1">IFERROR(__xludf.DUMMYFUNCTION("IFS(
  REGEXMATCH(LOWER(VLOOKUP(A89, Data1_Raw_Slack!A:B, 2, FALSE)), ""news|weather""), ""News and Weather"", REGEXMATCH(LOWER(VLOOKUP(A89, Data1_Raw_Slack!A:B, 2, FALSE)), ""sports|ufc|nba|nfl|mlb|soccer|sports fans""), ""Sports"",
  REGEXMATCH(LOWER(VL"&amp;"OOKUP(A89, Data1_Raw_Slack!A:B, 2, FALSE)), ""fashion|style|clothing|apparel|shoes|accessories|beauty|cosmetics|fashionistas""), ""Fashion and Beauty"",
  REGEXMATCH(LOWER(VLOOKUP(A89, Data1_Raw_Slack!A:B, 2, FALSE)), ""food|cooking|recipe|restaurant|snac"&amp;"k|grocery|foodies""), ""Food"",
  REGEXMATCH(LOWER(VLOOKUP(A89, Data1_Raw_Slack!A:B, 2, FALSE)), ""travel|vacation|airline|hotel|trip|flights|travelers""), ""Travel"",
  REGEXMATCH(LOWER(VLOOKUP(A89, Data1_Raw_Slack!A:B, 2, FALSE)), ""fitness|workout|gym|"&amp;"exercise|yoga|wellness|fitness enthusiasts""), ""Fitness"",
  REGEXMATCH(LOWER(VLOOKUP(A89, Data1_Raw_Slack!A:B, 2, FALSE)), ""health|medical|pharmacy|mental health|doctor|health-conscious""), ""Health"",
  REGEXMATCH(LOWER(VLOOKUP(A89, Data1_Raw_Slack!A:"&amp;"B, 2, FALSE)), ""pets|dogs|cats|animals|pet care|pet lovers""), ""Pets"",
  REGEXMATCH(LOWER(VLOOKUP(A89, Data1_Raw_Slack!A:B, 2, FALSE)), ""games|gaming|game|xbox|playstation|nintendo|gamers""), ""Gaming"",
  REGEXMATCH(LOWER(VLOOKUP(A89, Data1_Raw_Slack"&amp;"!A:B, 2, FALSE)), ""entertainment|movies|tv|netflix|streaming|celebrity|movie lovers|tv fans|hobb|photo|art""), ""Entertainment"",
  REGEXMATCH(LOWER(VLOOKUP(A89, Data1_Raw_Slack!A:B, 2, FALSE)), ""lifestyle|home|interior|decor|living|lifestyle enthusiast"&amp;"s""), ""Lifestyle"",
  REGEXMATCH(LOWER(VLOOKUP(A89, Data1_Raw_Slack!A:B, 2, FALSE)), ""financial|finance|investing|stocks|retirement|banking|credit|debt|loans|savings|personal finance|insurance|econ|ecom|business|retail|occupation|sale|job|marketing""), "&amp;"""Finance"",
  REGEXMATCH(LOWER(VLOOKUP(A89, Data1_Raw_Slack!A:B, 2, FALSE)), ""auto|automotive""), ""Auto"",
  REGEXMATCH(LOWER(VLOOKUP(A89, Data1_Raw_Slack!A:B, 2, FALSE)), ""parenting|moms|dads|kids|toddlers|baby|parent|children""), ""Parenting"",
 "&amp;" REGEXMATCH(LOWER(VLOOKUP(A89, Data1_Raw_Slack!A:B, 2, FALSE)), ""education|students|learning|school|teachers|college|university|academics""), ""Education"",
  REGEXMATCH(LOWER(VLOOKUP(A89, Data1_Raw_Slack!A:B, 2, FALSE)), ""age|gender|demographic|family|"&amp;"household""), ""Demographics"",
  REGEXMATCH(LOWER(VLOOKUP(A89, Data1_Raw_Slack!A:B, 2, FALSE)), ""mortgage|real estate""), ""Real Estate"",REGEXMATCH(LOWER(VLOOKUP(A89, Data1_Raw_Slack!A:B, 2, FALSE)), ""technology|tech|gadgets|smartphone|electro|apps|de"&amp;"vices|computing|ai|robots|software|computer|internet|tele|mobile|tablet""), ""Technology"", REGEXMATCH(LOWER(VLOOKUP(A89, Data1_Raw_Slack!A:B, 2, FALSE)), ""entertainment|purchas|movies|tv|netflix|streaming|celebrity|movie lovers|tv fans|media|hobb|photo|"&amp;"art|shop""), ""Entertainment"", REGEXMATCH(LOWER(VLOOKUP(A89, Data1_Raw_Slack!A:B, 2, FALSE)), ""law|government|""), ""Law and Government"",
  TRUE, ""Other""
)"),"Finance")</f>
        <v>Finance</v>
      </c>
      <c r="G89" s="9" t="s">
        <v>127</v>
      </c>
      <c r="H89" s="9" t="s">
        <v>32</v>
      </c>
      <c r="I89" s="9" t="s">
        <v>483</v>
      </c>
      <c r="J89" s="9" t="s">
        <v>80</v>
      </c>
      <c r="K89" s="9" t="s">
        <v>88</v>
      </c>
      <c r="L89" s="9" t="s">
        <v>89</v>
      </c>
      <c r="M89" s="10" t="s">
        <v>484</v>
      </c>
      <c r="N89" s="9" t="str">
        <f ca="1">IFERROR(__xludf.DUMMYFUNCTION("REGEXEXTRACT(LOWER(M89), ""([a-z0-9\-]+)\.(?:co|net|org|io|gg)"")"),"whatismyipaddress")</f>
        <v>whatismyipaddress</v>
      </c>
      <c r="O89" s="9" t="s">
        <v>131</v>
      </c>
      <c r="P89" s="9" t="s">
        <v>39</v>
      </c>
      <c r="Q89" s="9">
        <v>15311</v>
      </c>
      <c r="R89" s="9">
        <v>10</v>
      </c>
      <c r="S89" s="9">
        <v>7757</v>
      </c>
      <c r="T89" s="9">
        <v>12630</v>
      </c>
      <c r="U89" s="9">
        <v>19</v>
      </c>
      <c r="V89" s="11">
        <v>1471.187144</v>
      </c>
      <c r="W89" s="12">
        <f t="shared" si="0"/>
        <v>77.430902315789467</v>
      </c>
      <c r="X89" s="12">
        <f t="shared" si="1"/>
        <v>6.5312520410162625E-2</v>
      </c>
      <c r="Y89" s="12">
        <f t="shared" si="2"/>
        <v>50.662922082163156</v>
      </c>
      <c r="Z89" s="12">
        <f t="shared" si="3"/>
        <v>189.6592940569808</v>
      </c>
      <c r="AA89" s="12">
        <f t="shared" si="4"/>
        <v>96.086940369668866</v>
      </c>
      <c r="AB89" s="12">
        <f t="shared" si="5"/>
        <v>147.11871439999999</v>
      </c>
      <c r="AC89" s="12">
        <f t="shared" si="6"/>
        <v>190</v>
      </c>
      <c r="AE89" s="13"/>
      <c r="AF89" s="13"/>
    </row>
    <row r="90" spans="1:32">
      <c r="A90" s="8" t="s">
        <v>485</v>
      </c>
      <c r="B90" s="9" t="s">
        <v>41</v>
      </c>
      <c r="C90" s="9" t="s">
        <v>486</v>
      </c>
      <c r="D90" s="9" t="s">
        <v>384</v>
      </c>
      <c r="E90" s="9"/>
      <c r="F90" s="9" t="str">
        <f ca="1">IFERROR(__xludf.DUMMYFUNCTION("IFS(
  REGEXMATCH(LOWER(VLOOKUP(A90, Data1_Raw_Slack!A:B, 2, FALSE)), ""news|weather""), ""News and Weather"", REGEXMATCH(LOWER(VLOOKUP(A90, Data1_Raw_Slack!A:B, 2, FALSE)), ""sports|ufc|nba|nfl|mlb|soccer|sports fans""), ""Sports"",
  REGEXMATCH(LOWER(VL"&amp;"OOKUP(A90, Data1_Raw_Slack!A:B, 2, FALSE)), ""fashion|style|clothing|apparel|shoes|accessories|beauty|cosmetics|fashionistas""), ""Fashion and Beauty"",
  REGEXMATCH(LOWER(VLOOKUP(A90, Data1_Raw_Slack!A:B, 2, FALSE)), ""food|cooking|recipe|restaurant|snac"&amp;"k|grocery|foodies""), ""Food"",
  REGEXMATCH(LOWER(VLOOKUP(A90, Data1_Raw_Slack!A:B, 2, FALSE)), ""travel|vacation|airline|hotel|trip|flights|travelers""), ""Travel"",
  REGEXMATCH(LOWER(VLOOKUP(A90, Data1_Raw_Slack!A:B, 2, FALSE)), ""fitness|workout|gym|"&amp;"exercise|yoga|wellness|fitness enthusiasts""), ""Fitness"",
  REGEXMATCH(LOWER(VLOOKUP(A90, Data1_Raw_Slack!A:B, 2, FALSE)), ""health|medical|pharmacy|mental health|doctor|health-conscious""), ""Health"",
  REGEXMATCH(LOWER(VLOOKUP(A90, Data1_Raw_Slack!A:"&amp;"B, 2, FALSE)), ""pets|dogs|cats|animals|pet care|pet lovers""), ""Pets"",
  REGEXMATCH(LOWER(VLOOKUP(A90, Data1_Raw_Slack!A:B, 2, FALSE)), ""games|gaming|game|xbox|playstation|nintendo|gamers""), ""Gaming"",
  REGEXMATCH(LOWER(VLOOKUP(A90, Data1_Raw_Slack"&amp;"!A:B, 2, FALSE)), ""entertainment|movies|tv|netflix|streaming|celebrity|movie lovers|tv fans|hobb|photo|art""), ""Entertainment"",
  REGEXMATCH(LOWER(VLOOKUP(A90, Data1_Raw_Slack!A:B, 2, FALSE)), ""lifestyle|home|interior|decor|living|lifestyle enthusiast"&amp;"s""), ""Lifestyle"",
  REGEXMATCH(LOWER(VLOOKUP(A90, Data1_Raw_Slack!A:B, 2, FALSE)), ""financial|finance|investing|stocks|retirement|banking|credit|debt|loans|savings|personal finance|insurance|econ|ecom|business|retail|occupation|sale|job|marketing""), "&amp;"""Finance"",
  REGEXMATCH(LOWER(VLOOKUP(A90, Data1_Raw_Slack!A:B, 2, FALSE)), ""auto|automotive""), ""Auto"",
  REGEXMATCH(LOWER(VLOOKUP(A90, Data1_Raw_Slack!A:B, 2, FALSE)), ""parenting|moms|dads|kids|toddlers|baby|parent|children""), ""Parenting"",
 "&amp;" REGEXMATCH(LOWER(VLOOKUP(A90, Data1_Raw_Slack!A:B, 2, FALSE)), ""education|students|learning|school|teachers|college|university|academics""), ""Education"",
  REGEXMATCH(LOWER(VLOOKUP(A90, Data1_Raw_Slack!A:B, 2, FALSE)), ""age|gender|demographic|family|"&amp;"household""), ""Demographics"",
  REGEXMATCH(LOWER(VLOOKUP(A90, Data1_Raw_Slack!A:B, 2, FALSE)), ""mortgage|real estate""), ""Real Estate"",REGEXMATCH(LOWER(VLOOKUP(A90, Data1_Raw_Slack!A:B, 2, FALSE)), ""technology|tech|gadgets|smartphone|electro|apps|de"&amp;"vices|computing|ai|robots|software|computer|internet|tele|mobile|tablet""), ""Technology"", REGEXMATCH(LOWER(VLOOKUP(A90, Data1_Raw_Slack!A:B, 2, FALSE)), ""entertainment|purchas|movies|tv|netflix|streaming|celebrity|movie lovers|tv fans|media|hobb|photo|"&amp;"art|shop""), ""Entertainment"", REGEXMATCH(LOWER(VLOOKUP(A90, Data1_Raw_Slack!A:B, 2, FALSE)), ""law|government|""), ""Law and Government"",
  TRUE, ""Other""
)"),"Food")</f>
        <v>Food</v>
      </c>
      <c r="G90" s="9"/>
      <c r="H90" s="9" t="s">
        <v>44</v>
      </c>
      <c r="I90" s="9" t="s">
        <v>487</v>
      </c>
      <c r="J90" s="9" t="s">
        <v>34</v>
      </c>
      <c r="K90" s="9" t="s">
        <v>88</v>
      </c>
      <c r="L90" s="9" t="s">
        <v>89</v>
      </c>
      <c r="M90" s="10" t="s">
        <v>130</v>
      </c>
      <c r="N90" s="9" t="str">
        <f ca="1">IFERROR(__xludf.DUMMYFUNCTION("REGEXEXTRACT(LOWER(M90), ""([a-z0-9\-]+)\.(?:co|net|org|io|gg)"")"),"weather")</f>
        <v>weather</v>
      </c>
      <c r="O90" s="9" t="s">
        <v>50</v>
      </c>
      <c r="P90" s="9" t="s">
        <v>64</v>
      </c>
      <c r="Q90" s="9">
        <v>29856</v>
      </c>
      <c r="R90" s="9">
        <v>111</v>
      </c>
      <c r="S90" s="9">
        <v>7664</v>
      </c>
      <c r="T90" s="9">
        <v>21698</v>
      </c>
      <c r="U90" s="9">
        <v>9</v>
      </c>
      <c r="V90" s="11">
        <v>4851.3944460000002</v>
      </c>
      <c r="W90" s="12">
        <f t="shared" si="0"/>
        <v>539.04382733333341</v>
      </c>
      <c r="X90" s="12">
        <f t="shared" si="1"/>
        <v>0.37178456591639875</v>
      </c>
      <c r="Y90" s="12">
        <f t="shared" si="2"/>
        <v>25.669882100750268</v>
      </c>
      <c r="Z90" s="12">
        <f t="shared" si="3"/>
        <v>633.01075756784974</v>
      </c>
      <c r="AA90" s="12">
        <f t="shared" si="4"/>
        <v>162.49311515273314</v>
      </c>
      <c r="AB90" s="12">
        <f t="shared" si="5"/>
        <v>43.706256270270273</v>
      </c>
      <c r="AC90" s="12">
        <f t="shared" si="6"/>
        <v>8.1081081081081088</v>
      </c>
      <c r="AE90" s="13"/>
      <c r="AF90" s="13"/>
    </row>
    <row r="91" spans="1:32">
      <c r="A91" s="8" t="s">
        <v>488</v>
      </c>
      <c r="B91" s="9" t="s">
        <v>92</v>
      </c>
      <c r="C91" s="9" t="s">
        <v>178</v>
      </c>
      <c r="D91" s="9" t="s">
        <v>154</v>
      </c>
      <c r="E91" s="9" t="s">
        <v>489</v>
      </c>
      <c r="F91" s="9" t="str">
        <f ca="1">IFERROR(__xludf.DUMMYFUNCTION("IFS(
  REGEXMATCH(LOWER(VLOOKUP(A91, Data1_Raw_Slack!A:B, 2, FALSE)), ""news|weather""), ""News and Weather"", REGEXMATCH(LOWER(VLOOKUP(A91, Data1_Raw_Slack!A:B, 2, FALSE)), ""sports|ufc|nba|nfl|mlb|soccer|sports fans""), ""Sports"",
  REGEXMATCH(LOWER(VL"&amp;"OOKUP(A91, Data1_Raw_Slack!A:B, 2, FALSE)), ""fashion|style|clothing|apparel|shoes|accessories|beauty|cosmetics|fashionistas""), ""Fashion and Beauty"",
  REGEXMATCH(LOWER(VLOOKUP(A91, Data1_Raw_Slack!A:B, 2, FALSE)), ""food|cooking|recipe|restaurant|snac"&amp;"k|grocery|foodies""), ""Food"",
  REGEXMATCH(LOWER(VLOOKUP(A91, Data1_Raw_Slack!A:B, 2, FALSE)), ""travel|vacation|airline|hotel|trip|flights|travelers""), ""Travel"",
  REGEXMATCH(LOWER(VLOOKUP(A91, Data1_Raw_Slack!A:B, 2, FALSE)), ""fitness|workout|gym|"&amp;"exercise|yoga|wellness|fitness enthusiasts""), ""Fitness"",
  REGEXMATCH(LOWER(VLOOKUP(A91, Data1_Raw_Slack!A:B, 2, FALSE)), ""health|medical|pharmacy|mental health|doctor|health-conscious""), ""Health"",
  REGEXMATCH(LOWER(VLOOKUP(A91, Data1_Raw_Slack!A:"&amp;"B, 2, FALSE)), ""pets|dogs|cats|animals|pet care|pet lovers""), ""Pets"",
  REGEXMATCH(LOWER(VLOOKUP(A91, Data1_Raw_Slack!A:B, 2, FALSE)), ""games|gaming|game|xbox|playstation|nintendo|gamers""), ""Gaming"",
  REGEXMATCH(LOWER(VLOOKUP(A91, Data1_Raw_Slack"&amp;"!A:B, 2, FALSE)), ""entertainment|movies|tv|netflix|streaming|celebrity|movie lovers|tv fans|hobb|photo|art""), ""Entertainment"",
  REGEXMATCH(LOWER(VLOOKUP(A91, Data1_Raw_Slack!A:B, 2, FALSE)), ""lifestyle|home|interior|decor|living|lifestyle enthusiast"&amp;"s""), ""Lifestyle"",
  REGEXMATCH(LOWER(VLOOKUP(A91, Data1_Raw_Slack!A:B, 2, FALSE)), ""financial|finance|investing|stocks|retirement|banking|credit|debt|loans|savings|personal finance|insurance|econ|ecom|business|retail|occupation|sale|job|marketing""), "&amp;"""Finance"",
  REGEXMATCH(LOWER(VLOOKUP(A91, Data1_Raw_Slack!A:B, 2, FALSE)), ""auto|automotive""), ""Auto"",
  REGEXMATCH(LOWER(VLOOKUP(A91, Data1_Raw_Slack!A:B, 2, FALSE)), ""parenting|moms|dads|kids|toddlers|baby|parent|children""), ""Parenting"",
 "&amp;" REGEXMATCH(LOWER(VLOOKUP(A91, Data1_Raw_Slack!A:B, 2, FALSE)), ""education|students|learning|school|teachers|college|university|academics""), ""Education"",
  REGEXMATCH(LOWER(VLOOKUP(A91, Data1_Raw_Slack!A:B, 2, FALSE)), ""age|gender|demographic|family|"&amp;"household""), ""Demographics"",
  REGEXMATCH(LOWER(VLOOKUP(A91, Data1_Raw_Slack!A:B, 2, FALSE)), ""mortgage|real estate""), ""Real Estate"",REGEXMATCH(LOWER(VLOOKUP(A91, Data1_Raw_Slack!A:B, 2, FALSE)), ""technology|tech|gadgets|smartphone|electro|apps|de"&amp;"vices|computing|ai|robots|software|computer|internet|tele|mobile|tablet""), ""Technology"", REGEXMATCH(LOWER(VLOOKUP(A91, Data1_Raw_Slack!A:B, 2, FALSE)), ""entertainment|purchas|movies|tv|netflix|streaming|celebrity|movie lovers|tv fans|media|hobb|photo|"&amp;"art|shop""), ""Entertainment"", REGEXMATCH(LOWER(VLOOKUP(A91, Data1_Raw_Slack!A:B, 2, FALSE)), ""law|government|""), ""Law and Government"",
  TRUE, ""Other""
)"),"Sports")</f>
        <v>Sports</v>
      </c>
      <c r="G91" s="9" t="s">
        <v>154</v>
      </c>
      <c r="H91" s="9" t="s">
        <v>32</v>
      </c>
      <c r="I91" s="9" t="s">
        <v>490</v>
      </c>
      <c r="J91" s="9" t="s">
        <v>34</v>
      </c>
      <c r="K91" s="9" t="s">
        <v>56</v>
      </c>
      <c r="L91" s="9" t="s">
        <v>57</v>
      </c>
      <c r="M91" s="10" t="s">
        <v>49</v>
      </c>
      <c r="N91" s="9" t="str">
        <f ca="1">IFERROR(__xludf.DUMMYFUNCTION("REGEXEXTRACT(LOWER(M91), ""([a-z0-9\-]+)\.(?:co|net|org|io|gg)"")"),"yahoo")</f>
        <v>yahoo</v>
      </c>
      <c r="O91" s="9" t="s">
        <v>74</v>
      </c>
      <c r="P91" s="9" t="s">
        <v>39</v>
      </c>
      <c r="Q91" s="9">
        <v>65257</v>
      </c>
      <c r="R91" s="9">
        <v>201</v>
      </c>
      <c r="S91" s="9">
        <v>12749</v>
      </c>
      <c r="T91" s="9">
        <v>19274</v>
      </c>
      <c r="U91" s="9">
        <v>3</v>
      </c>
      <c r="V91" s="11">
        <v>2468.1358369999998</v>
      </c>
      <c r="W91" s="12">
        <f t="shared" si="0"/>
        <v>822.71194566666657</v>
      </c>
      <c r="X91" s="12">
        <f t="shared" si="1"/>
        <v>0.30801293347840081</v>
      </c>
      <c r="Y91" s="12">
        <f t="shared" si="2"/>
        <v>19.536601437393688</v>
      </c>
      <c r="Z91" s="12">
        <f t="shared" si="3"/>
        <v>193.59446521295786</v>
      </c>
      <c r="AA91" s="12">
        <f t="shared" si="4"/>
        <v>37.821779073509354</v>
      </c>
      <c r="AB91" s="12">
        <f t="shared" si="5"/>
        <v>12.279282771144278</v>
      </c>
      <c r="AC91" s="12">
        <f t="shared" si="6"/>
        <v>1.4925373134328357</v>
      </c>
      <c r="AE91" s="13"/>
      <c r="AF91" s="13"/>
    </row>
    <row r="92" spans="1:32">
      <c r="A92" s="8" t="s">
        <v>491</v>
      </c>
      <c r="B92" s="9" t="s">
        <v>144</v>
      </c>
      <c r="C92" s="9" t="s">
        <v>193</v>
      </c>
      <c r="D92" s="9" t="s">
        <v>492</v>
      </c>
      <c r="E92" s="9"/>
      <c r="F92" s="9" t="str">
        <f ca="1">IFERROR(__xludf.DUMMYFUNCTION("IFS(
  REGEXMATCH(LOWER(VLOOKUP(A92, Data1_Raw_Slack!A:B, 2, FALSE)), ""news|weather""), ""News and Weather"", REGEXMATCH(LOWER(VLOOKUP(A92, Data1_Raw_Slack!A:B, 2, FALSE)), ""sports|ufc|nba|nfl|mlb|soccer|sports fans""), ""Sports"",
  REGEXMATCH(LOWER(VL"&amp;"OOKUP(A92, Data1_Raw_Slack!A:B, 2, FALSE)), ""fashion|style|clothing|apparel|shoes|accessories|beauty|cosmetics|fashionistas""), ""Fashion and Beauty"",
  REGEXMATCH(LOWER(VLOOKUP(A92, Data1_Raw_Slack!A:B, 2, FALSE)), ""food|cooking|recipe|restaurant|snac"&amp;"k|grocery|foodies""), ""Food"",
  REGEXMATCH(LOWER(VLOOKUP(A92, Data1_Raw_Slack!A:B, 2, FALSE)), ""travel|vacation|airline|hotel|trip|flights|travelers""), ""Travel"",
  REGEXMATCH(LOWER(VLOOKUP(A92, Data1_Raw_Slack!A:B, 2, FALSE)), ""fitness|workout|gym|"&amp;"exercise|yoga|wellness|fitness enthusiasts""), ""Fitness"",
  REGEXMATCH(LOWER(VLOOKUP(A92, Data1_Raw_Slack!A:B, 2, FALSE)), ""health|medical|pharmacy|mental health|doctor|health-conscious""), ""Health"",
  REGEXMATCH(LOWER(VLOOKUP(A92, Data1_Raw_Slack!A:"&amp;"B, 2, FALSE)), ""pets|dogs|cats|animals|pet care|pet lovers""), ""Pets"",
  REGEXMATCH(LOWER(VLOOKUP(A92, Data1_Raw_Slack!A:B, 2, FALSE)), ""games|gaming|game|xbox|playstation|nintendo|gamers""), ""Gaming"",
  REGEXMATCH(LOWER(VLOOKUP(A92, Data1_Raw_Slack"&amp;"!A:B, 2, FALSE)), ""entertainment|movies|tv|netflix|streaming|celebrity|movie lovers|tv fans|hobb|photo|art""), ""Entertainment"",
  REGEXMATCH(LOWER(VLOOKUP(A92, Data1_Raw_Slack!A:B, 2, FALSE)), ""lifestyle|home|interior|decor|living|lifestyle enthusiast"&amp;"s""), ""Lifestyle"",
  REGEXMATCH(LOWER(VLOOKUP(A92, Data1_Raw_Slack!A:B, 2, FALSE)), ""financial|finance|investing|stocks|retirement|banking|credit|debt|loans|savings|personal finance|insurance|econ|ecom|business|retail|occupation|sale|job|marketing""), "&amp;"""Finance"",
  REGEXMATCH(LOWER(VLOOKUP(A92, Data1_Raw_Slack!A:B, 2, FALSE)), ""auto|automotive""), ""Auto"",
  REGEXMATCH(LOWER(VLOOKUP(A92, Data1_Raw_Slack!A:B, 2, FALSE)), ""parenting|moms|dads|kids|toddlers|baby|parent|children""), ""Parenting"",
 "&amp;" REGEXMATCH(LOWER(VLOOKUP(A92, Data1_Raw_Slack!A:B, 2, FALSE)), ""education|students|learning|school|teachers|college|university|academics""), ""Education"",
  REGEXMATCH(LOWER(VLOOKUP(A92, Data1_Raw_Slack!A:B, 2, FALSE)), ""age|gender|demographic|family|"&amp;"household""), ""Demographics"",
  REGEXMATCH(LOWER(VLOOKUP(A92, Data1_Raw_Slack!A:B, 2, FALSE)), ""mortgage|real estate""), ""Real Estate"",REGEXMATCH(LOWER(VLOOKUP(A92, Data1_Raw_Slack!A:B, 2, FALSE)), ""technology|tech|gadgets|smartphone|electro|apps|de"&amp;"vices|computing|ai|robots|software|computer|internet|tele|mobile|tablet""), ""Technology"", REGEXMATCH(LOWER(VLOOKUP(A92, Data1_Raw_Slack!A:B, 2, FALSE)), ""entertainment|purchas|movies|tv|netflix|streaming|celebrity|movie lovers|tv fans|media|hobb|photo|"&amp;"art|shop""), ""Entertainment"", REGEXMATCH(LOWER(VLOOKUP(A92, Data1_Raw_Slack!A:B, 2, FALSE)), ""law|government|""), ""Law and Government"",
  TRUE, ""Other""
)"),"Entertainment")</f>
        <v>Entertainment</v>
      </c>
      <c r="G92" s="9" t="s">
        <v>69</v>
      </c>
      <c r="H92" s="9" t="s">
        <v>44</v>
      </c>
      <c r="I92" s="9" t="s">
        <v>493</v>
      </c>
      <c r="J92" s="9" t="s">
        <v>62</v>
      </c>
      <c r="K92" s="9" t="s">
        <v>241</v>
      </c>
      <c r="L92" s="9" t="s">
        <v>242</v>
      </c>
      <c r="M92" s="10" t="s">
        <v>58</v>
      </c>
      <c r="N92" s="9" t="str">
        <f ca="1">IFERROR(__xludf.DUMMYFUNCTION("REGEXEXTRACT(LOWER(M92), ""([a-z0-9\-]+)\.(?:co|net|org|io|gg)"")"),"forbes")</f>
        <v>forbes</v>
      </c>
      <c r="O92" s="9" t="s">
        <v>50</v>
      </c>
      <c r="P92" s="9" t="s">
        <v>75</v>
      </c>
      <c r="Q92" s="9">
        <v>22800</v>
      </c>
      <c r="R92" s="9">
        <v>79</v>
      </c>
      <c r="S92" s="9">
        <v>8298</v>
      </c>
      <c r="T92" s="9">
        <v>21161</v>
      </c>
      <c r="U92" s="9">
        <v>24</v>
      </c>
      <c r="V92" s="11">
        <v>1620.1655000000001</v>
      </c>
      <c r="W92" s="12">
        <f t="shared" si="0"/>
        <v>67.506895833333331</v>
      </c>
      <c r="X92" s="12">
        <f t="shared" si="1"/>
        <v>0.34649122807017546</v>
      </c>
      <c r="Y92" s="12">
        <f t="shared" si="2"/>
        <v>36.39473684210526</v>
      </c>
      <c r="Z92" s="12">
        <f t="shared" si="3"/>
        <v>195.24771029163654</v>
      </c>
      <c r="AA92" s="12">
        <f t="shared" si="4"/>
        <v>71.059890350877183</v>
      </c>
      <c r="AB92" s="12">
        <f t="shared" si="5"/>
        <v>20.508424050632911</v>
      </c>
      <c r="AC92" s="12">
        <f t="shared" si="6"/>
        <v>30.37974683544304</v>
      </c>
      <c r="AE92" s="13"/>
      <c r="AF92" s="13"/>
    </row>
    <row r="93" spans="1:32">
      <c r="A93" s="8" t="s">
        <v>494</v>
      </c>
      <c r="B93" s="9" t="s">
        <v>92</v>
      </c>
      <c r="C93" s="9" t="s">
        <v>178</v>
      </c>
      <c r="D93" s="9" t="s">
        <v>465</v>
      </c>
      <c r="E93" s="9" t="s">
        <v>495</v>
      </c>
      <c r="F93" s="9" t="str">
        <f ca="1">IFERROR(__xludf.DUMMYFUNCTION("IFS(
  REGEXMATCH(LOWER(VLOOKUP(A93, Data1_Raw_Slack!A:B, 2, FALSE)), ""news|weather""), ""News and Weather"", REGEXMATCH(LOWER(VLOOKUP(A93, Data1_Raw_Slack!A:B, 2, FALSE)), ""sports|ufc|nba|nfl|mlb|soccer|sports fans""), ""Sports"",
  REGEXMATCH(LOWER(VL"&amp;"OOKUP(A93, Data1_Raw_Slack!A:B, 2, FALSE)), ""fashion|style|clothing|apparel|shoes|accessories|beauty|cosmetics|fashionistas""), ""Fashion and Beauty"",
  REGEXMATCH(LOWER(VLOOKUP(A93, Data1_Raw_Slack!A:B, 2, FALSE)), ""food|cooking|recipe|restaurant|snac"&amp;"k|grocery|foodies""), ""Food"",
  REGEXMATCH(LOWER(VLOOKUP(A93, Data1_Raw_Slack!A:B, 2, FALSE)), ""travel|vacation|airline|hotel|trip|flights|travelers""), ""Travel"",
  REGEXMATCH(LOWER(VLOOKUP(A93, Data1_Raw_Slack!A:B, 2, FALSE)), ""fitness|workout|gym|"&amp;"exercise|yoga|wellness|fitness enthusiasts""), ""Fitness"",
  REGEXMATCH(LOWER(VLOOKUP(A93, Data1_Raw_Slack!A:B, 2, FALSE)), ""health|medical|pharmacy|mental health|doctor|health-conscious""), ""Health"",
  REGEXMATCH(LOWER(VLOOKUP(A93, Data1_Raw_Slack!A:"&amp;"B, 2, FALSE)), ""pets|dogs|cats|animals|pet care|pet lovers""), ""Pets"",
  REGEXMATCH(LOWER(VLOOKUP(A93, Data1_Raw_Slack!A:B, 2, FALSE)), ""games|gaming|game|xbox|playstation|nintendo|gamers""), ""Gaming"",
  REGEXMATCH(LOWER(VLOOKUP(A93, Data1_Raw_Slack"&amp;"!A:B, 2, FALSE)), ""entertainment|movies|tv|netflix|streaming|celebrity|movie lovers|tv fans|hobb|photo|art""), ""Entertainment"",
  REGEXMATCH(LOWER(VLOOKUP(A93, Data1_Raw_Slack!A:B, 2, FALSE)), ""lifestyle|home|interior|decor|living|lifestyle enthusiast"&amp;"s""), ""Lifestyle"",
  REGEXMATCH(LOWER(VLOOKUP(A93, Data1_Raw_Slack!A:B, 2, FALSE)), ""financial|finance|investing|stocks|retirement|banking|credit|debt|loans|savings|personal finance|insurance|econ|ecom|business|retail|occupation|sale|job|marketing""), "&amp;"""Finance"",
  REGEXMATCH(LOWER(VLOOKUP(A93, Data1_Raw_Slack!A:B, 2, FALSE)), ""auto|automotive""), ""Auto"",
  REGEXMATCH(LOWER(VLOOKUP(A93, Data1_Raw_Slack!A:B, 2, FALSE)), ""parenting|moms|dads|kids|toddlers|baby|parent|children""), ""Parenting"",
 "&amp;" REGEXMATCH(LOWER(VLOOKUP(A93, Data1_Raw_Slack!A:B, 2, FALSE)), ""education|students|learning|school|teachers|college|university|academics""), ""Education"",
  REGEXMATCH(LOWER(VLOOKUP(A93, Data1_Raw_Slack!A:B, 2, FALSE)), ""age|gender|demographic|family|"&amp;"household""), ""Demographics"",
  REGEXMATCH(LOWER(VLOOKUP(A93, Data1_Raw_Slack!A:B, 2, FALSE)), ""mortgage|real estate""), ""Real Estate"",REGEXMATCH(LOWER(VLOOKUP(A93, Data1_Raw_Slack!A:B, 2, FALSE)), ""technology|tech|gadgets|smartphone|electro|apps|de"&amp;"vices|computing|ai|robots|software|computer|internet|tele|mobile|tablet""), ""Technology"", REGEXMATCH(LOWER(VLOOKUP(A93, Data1_Raw_Slack!A:B, 2, FALSE)), ""entertainment|purchas|movies|tv|netflix|streaming|celebrity|movie lovers|tv fans|media|hobb|photo|"&amp;"art|shop""), ""Entertainment"", REGEXMATCH(LOWER(VLOOKUP(A93, Data1_Raw_Slack!A:B, 2, FALSE)), ""law|government|""), ""Law and Government"",
  TRUE, ""Other""
)"),"Pets")</f>
        <v>Pets</v>
      </c>
      <c r="G93" s="9"/>
      <c r="H93" s="9" t="s">
        <v>44</v>
      </c>
      <c r="I93" s="9" t="s">
        <v>496</v>
      </c>
      <c r="J93" s="9" t="s">
        <v>46</v>
      </c>
      <c r="K93" s="9" t="s">
        <v>148</v>
      </c>
      <c r="L93" s="9" t="s">
        <v>89</v>
      </c>
      <c r="M93" s="10" t="s">
        <v>112</v>
      </c>
      <c r="N93" s="9" t="str">
        <f ca="1">IFERROR(__xludf.DUMMYFUNCTION("REGEXEXTRACT(LOWER(M93), ""([a-z0-9\-]+)\.(?:co|net|org|io|gg)"")"),"ebay")</f>
        <v>ebay</v>
      </c>
      <c r="O93" s="9" t="s">
        <v>103</v>
      </c>
      <c r="P93" s="9" t="s">
        <v>64</v>
      </c>
      <c r="Q93" s="9">
        <v>63460</v>
      </c>
      <c r="R93" s="9">
        <v>212</v>
      </c>
      <c r="S93" s="9">
        <v>26978</v>
      </c>
      <c r="T93" s="9">
        <v>59516</v>
      </c>
      <c r="U93" s="9">
        <v>4</v>
      </c>
      <c r="V93" s="11">
        <v>1945.433188</v>
      </c>
      <c r="W93" s="12">
        <f t="shared" si="0"/>
        <v>486.35829699999999</v>
      </c>
      <c r="X93" s="12">
        <f t="shared" si="1"/>
        <v>0.33406870469587141</v>
      </c>
      <c r="Y93" s="12">
        <f t="shared" si="2"/>
        <v>42.51181846832651</v>
      </c>
      <c r="Z93" s="12">
        <f t="shared" si="3"/>
        <v>72.111838831640597</v>
      </c>
      <c r="AA93" s="12">
        <f t="shared" si="4"/>
        <v>30.656054018279232</v>
      </c>
      <c r="AB93" s="12">
        <f t="shared" si="5"/>
        <v>9.1765716415094332</v>
      </c>
      <c r="AC93" s="12">
        <f t="shared" si="6"/>
        <v>1.8867924528301887</v>
      </c>
      <c r="AE93" s="13"/>
      <c r="AF93" s="13"/>
    </row>
    <row r="94" spans="1:32">
      <c r="A94" s="8" t="s">
        <v>497</v>
      </c>
      <c r="B94" s="9" t="s">
        <v>498</v>
      </c>
      <c r="C94" s="9" t="s">
        <v>499</v>
      </c>
      <c r="D94" s="9"/>
      <c r="E94" s="9"/>
      <c r="F94" s="9" t="str">
        <f ca="1">IFERROR(__xludf.DUMMYFUNCTION("IFS(
  REGEXMATCH(LOWER(VLOOKUP(A94, Data1_Raw_Slack!A:B, 2, FALSE)), ""news|weather""), ""News and Weather"", REGEXMATCH(LOWER(VLOOKUP(A94, Data1_Raw_Slack!A:B, 2, FALSE)), ""sports|ufc|nba|nfl|mlb|soccer|sports fans""), ""Sports"",
  REGEXMATCH(LOWER(VL"&amp;"OOKUP(A94, Data1_Raw_Slack!A:B, 2, FALSE)), ""fashion|style|clothing|apparel|shoes|accessories|beauty|cosmetics|fashionistas""), ""Fashion and Beauty"",
  REGEXMATCH(LOWER(VLOOKUP(A94, Data1_Raw_Slack!A:B, 2, FALSE)), ""food|cooking|recipe|restaurant|snac"&amp;"k|grocery|foodies""), ""Food"",
  REGEXMATCH(LOWER(VLOOKUP(A94, Data1_Raw_Slack!A:B, 2, FALSE)), ""travel|vacation|airline|hotel|trip|flights|travelers""), ""Travel"",
  REGEXMATCH(LOWER(VLOOKUP(A94, Data1_Raw_Slack!A:B, 2, FALSE)), ""fitness|workout|gym|"&amp;"exercise|yoga|wellness|fitness enthusiasts""), ""Fitness"",
  REGEXMATCH(LOWER(VLOOKUP(A94, Data1_Raw_Slack!A:B, 2, FALSE)), ""health|medical|pharmacy|mental health|doctor|health-conscious""), ""Health"",
  REGEXMATCH(LOWER(VLOOKUP(A94, Data1_Raw_Slack!A:"&amp;"B, 2, FALSE)), ""pets|dogs|cats|animals|pet care|pet lovers""), ""Pets"",
  REGEXMATCH(LOWER(VLOOKUP(A94, Data1_Raw_Slack!A:B, 2, FALSE)), ""games|gaming|game|xbox|playstation|nintendo|gamers""), ""Gaming"",
  REGEXMATCH(LOWER(VLOOKUP(A94, Data1_Raw_Slack"&amp;"!A:B, 2, FALSE)), ""entertainment|movies|tv|netflix|streaming|celebrity|movie lovers|tv fans|hobb|photo|art""), ""Entertainment"",
  REGEXMATCH(LOWER(VLOOKUP(A94, Data1_Raw_Slack!A:B, 2, FALSE)), ""lifestyle|home|interior|decor|living|lifestyle enthusiast"&amp;"s""), ""Lifestyle"",
  REGEXMATCH(LOWER(VLOOKUP(A94, Data1_Raw_Slack!A:B, 2, FALSE)), ""financial|finance|investing|stocks|retirement|banking|credit|debt|loans|savings|personal finance|insurance|econ|ecom|business|retail|occupation|sale|job|marketing""), "&amp;"""Finance"",
  REGEXMATCH(LOWER(VLOOKUP(A94, Data1_Raw_Slack!A:B, 2, FALSE)), ""auto|automotive""), ""Auto"",
  REGEXMATCH(LOWER(VLOOKUP(A94, Data1_Raw_Slack!A:B, 2, FALSE)), ""parenting|moms|dads|kids|toddlers|baby|parent|children""), ""Parenting"",
 "&amp;" REGEXMATCH(LOWER(VLOOKUP(A94, Data1_Raw_Slack!A:B, 2, FALSE)), ""education|students|learning|school|teachers|college|university|academics""), ""Education"",
  REGEXMATCH(LOWER(VLOOKUP(A94, Data1_Raw_Slack!A:B, 2, FALSE)), ""age|gender|demographic|family|"&amp;"household""), ""Demographics"",
  REGEXMATCH(LOWER(VLOOKUP(A94, Data1_Raw_Slack!A:B, 2, FALSE)), ""mortgage|real estate""), ""Real Estate"",REGEXMATCH(LOWER(VLOOKUP(A94, Data1_Raw_Slack!A:B, 2, FALSE)), ""technology|tech|gadgets|smartphone|electro|apps|de"&amp;"vices|computing|ai|robots|software|computer|internet|tele|mobile|tablet""), ""Technology"", REGEXMATCH(LOWER(VLOOKUP(A94, Data1_Raw_Slack!A:B, 2, FALSE)), ""entertainment|purchas|movies|tv|netflix|streaming|celebrity|movie lovers|tv fans|media|hobb|photo|"&amp;"art|shop""), ""Entertainment"", REGEXMATCH(LOWER(VLOOKUP(A94, Data1_Raw_Slack!A:B, 2, FALSE)), ""law|government|""), ""Law and Government"",
  TRUE, ""Other""
)"),"Entertainment")</f>
        <v>Entertainment</v>
      </c>
      <c r="G94" s="9"/>
      <c r="H94" s="9" t="s">
        <v>44</v>
      </c>
      <c r="I94" s="9" t="s">
        <v>500</v>
      </c>
      <c r="J94" s="9" t="s">
        <v>34</v>
      </c>
      <c r="K94" s="9" t="s">
        <v>236</v>
      </c>
      <c r="L94" s="9" t="s">
        <v>82</v>
      </c>
      <c r="M94" s="10" t="s">
        <v>229</v>
      </c>
      <c r="N94" s="9" t="str">
        <f ca="1">IFERROR(__xludf.DUMMYFUNCTION("REGEXEXTRACT(LOWER(M94), ""([a-z0-9\-]+)\.(?:co|net|org|io|gg)"")"),"msn")</f>
        <v>msn</v>
      </c>
      <c r="O94" s="9" t="s">
        <v>50</v>
      </c>
      <c r="P94" s="9" t="s">
        <v>39</v>
      </c>
      <c r="Q94" s="9">
        <v>554980</v>
      </c>
      <c r="R94" s="9">
        <v>1542</v>
      </c>
      <c r="S94" s="9">
        <v>323498</v>
      </c>
      <c r="T94" s="9">
        <v>467646</v>
      </c>
      <c r="U94" s="9">
        <v>8</v>
      </c>
      <c r="V94" s="11">
        <v>1600.7695880000001</v>
      </c>
      <c r="W94" s="12">
        <f t="shared" si="0"/>
        <v>200.09619850000001</v>
      </c>
      <c r="X94" s="12">
        <f t="shared" si="1"/>
        <v>0.27784785037298643</v>
      </c>
      <c r="Y94" s="12">
        <f t="shared" si="2"/>
        <v>58.290028469494395</v>
      </c>
      <c r="Z94" s="12">
        <f t="shared" si="3"/>
        <v>4.9483137082764035</v>
      </c>
      <c r="AA94" s="12">
        <f t="shared" si="4"/>
        <v>2.8843734693142098</v>
      </c>
      <c r="AB94" s="12">
        <f t="shared" si="5"/>
        <v>1.0381125732814527</v>
      </c>
      <c r="AC94" s="12">
        <f t="shared" si="6"/>
        <v>0.51880674448767827</v>
      </c>
      <c r="AE94" s="13"/>
      <c r="AF94" s="13"/>
    </row>
    <row r="95" spans="1:32">
      <c r="A95" s="8" t="s">
        <v>501</v>
      </c>
      <c r="B95" s="9" t="s">
        <v>66</v>
      </c>
      <c r="C95" s="9" t="s">
        <v>388</v>
      </c>
      <c r="D95" s="9" t="s">
        <v>502</v>
      </c>
      <c r="E95" s="9"/>
      <c r="F95" s="9" t="str">
        <f ca="1">IFERROR(__xludf.DUMMYFUNCTION("IFS(
  REGEXMATCH(LOWER(VLOOKUP(A95, Data1_Raw_Slack!A:B, 2, FALSE)), ""news|weather""), ""News and Weather"", REGEXMATCH(LOWER(VLOOKUP(A95, Data1_Raw_Slack!A:B, 2, FALSE)), ""sports|ufc|nba|nfl|mlb|soccer|sports fans""), ""Sports"",
  REGEXMATCH(LOWER(VL"&amp;"OOKUP(A95, Data1_Raw_Slack!A:B, 2, FALSE)), ""fashion|style|clothing|apparel|shoes|accessories|beauty|cosmetics|fashionistas""), ""Fashion and Beauty"",
  REGEXMATCH(LOWER(VLOOKUP(A95, Data1_Raw_Slack!A:B, 2, FALSE)), ""food|cooking|recipe|restaurant|snac"&amp;"k|grocery|foodies""), ""Food"",
  REGEXMATCH(LOWER(VLOOKUP(A95, Data1_Raw_Slack!A:B, 2, FALSE)), ""travel|vacation|airline|hotel|trip|flights|travelers""), ""Travel"",
  REGEXMATCH(LOWER(VLOOKUP(A95, Data1_Raw_Slack!A:B, 2, FALSE)), ""fitness|workout|gym|"&amp;"exercise|yoga|wellness|fitness enthusiasts""), ""Fitness"",
  REGEXMATCH(LOWER(VLOOKUP(A95, Data1_Raw_Slack!A:B, 2, FALSE)), ""health|medical|pharmacy|mental health|doctor|health-conscious""), ""Health"",
  REGEXMATCH(LOWER(VLOOKUP(A95, Data1_Raw_Slack!A:"&amp;"B, 2, FALSE)), ""pets|dogs|cats|animals|pet care|pet lovers""), ""Pets"",
  REGEXMATCH(LOWER(VLOOKUP(A95, Data1_Raw_Slack!A:B, 2, FALSE)), ""games|gaming|game|xbox|playstation|nintendo|gamers""), ""Gaming"",
  REGEXMATCH(LOWER(VLOOKUP(A95, Data1_Raw_Slack"&amp;"!A:B, 2, FALSE)), ""entertainment|movies|tv|netflix|streaming|celebrity|movie lovers|tv fans|hobb|photo|art""), ""Entertainment"",
  REGEXMATCH(LOWER(VLOOKUP(A95, Data1_Raw_Slack!A:B, 2, FALSE)), ""lifestyle|home|interior|decor|living|lifestyle enthusiast"&amp;"s""), ""Lifestyle"",
  REGEXMATCH(LOWER(VLOOKUP(A95, Data1_Raw_Slack!A:B, 2, FALSE)), ""financial|finance|investing|stocks|retirement|banking|credit|debt|loans|savings|personal finance|insurance|econ|ecom|business|retail|occupation|sale|job|marketing""), "&amp;"""Finance"",
  REGEXMATCH(LOWER(VLOOKUP(A95, Data1_Raw_Slack!A:B, 2, FALSE)), ""auto|automotive""), ""Auto"",
  REGEXMATCH(LOWER(VLOOKUP(A95, Data1_Raw_Slack!A:B, 2, FALSE)), ""parenting|moms|dads|kids|toddlers|baby|parent|children""), ""Parenting"",
 "&amp;" REGEXMATCH(LOWER(VLOOKUP(A95, Data1_Raw_Slack!A:B, 2, FALSE)), ""education|students|learning|school|teachers|college|university|academics""), ""Education"",
  REGEXMATCH(LOWER(VLOOKUP(A95, Data1_Raw_Slack!A:B, 2, FALSE)), ""age|gender|demographic|family|"&amp;"household""), ""Demographics"",
  REGEXMATCH(LOWER(VLOOKUP(A95, Data1_Raw_Slack!A:B, 2, FALSE)), ""mortgage|real estate""), ""Real Estate"",REGEXMATCH(LOWER(VLOOKUP(A95, Data1_Raw_Slack!A:B, 2, FALSE)), ""technology|tech|gadgets|smartphone|electro|apps|de"&amp;"vices|computing|ai|robots|software|computer|internet|tele|mobile|tablet""), ""Technology"", REGEXMATCH(LOWER(VLOOKUP(A95, Data1_Raw_Slack!A:B, 2, FALSE)), ""entertainment|purchas|movies|tv|netflix|streaming|celebrity|movie lovers|tv fans|media|hobb|photo|"&amp;"art|shop""), ""Entertainment"", REGEXMATCH(LOWER(VLOOKUP(A95, Data1_Raw_Slack!A:B, 2, FALSE)), ""law|government|""), ""Law and Government"",
  TRUE, ""Other""
)"),"Fashion and Beauty")</f>
        <v>Fashion and Beauty</v>
      </c>
      <c r="G95" s="9"/>
      <c r="H95" s="9" t="s">
        <v>32</v>
      </c>
      <c r="I95" s="9" t="s">
        <v>503</v>
      </c>
      <c r="J95" s="9" t="s">
        <v>62</v>
      </c>
      <c r="K95" s="9" t="s">
        <v>405</v>
      </c>
      <c r="L95" s="9" t="s">
        <v>72</v>
      </c>
      <c r="M95" s="10" t="s">
        <v>207</v>
      </c>
      <c r="N95" s="9" t="str">
        <f ca="1">IFERROR(__xludf.DUMMYFUNCTION("REGEXEXTRACT(LOWER(M95), ""([a-z0-9\-]+)\.(?:co|net|org|io|gg)"")"),"realtor")</f>
        <v>realtor</v>
      </c>
      <c r="O95" s="9" t="s">
        <v>103</v>
      </c>
      <c r="P95" s="9" t="s">
        <v>39</v>
      </c>
      <c r="Q95" s="9">
        <v>43666</v>
      </c>
      <c r="R95" s="9">
        <v>133</v>
      </c>
      <c r="S95" s="9">
        <v>18513</v>
      </c>
      <c r="T95" s="9">
        <v>40506</v>
      </c>
      <c r="U95" s="9">
        <v>18</v>
      </c>
      <c r="V95" s="11">
        <v>1980.393834</v>
      </c>
      <c r="W95" s="12">
        <f t="shared" si="0"/>
        <v>110.02187966666666</v>
      </c>
      <c r="X95" s="12">
        <f t="shared" si="1"/>
        <v>0.30458480282141714</v>
      </c>
      <c r="Y95" s="12">
        <f t="shared" si="2"/>
        <v>42.396830485961615</v>
      </c>
      <c r="Z95" s="12">
        <f t="shared" si="3"/>
        <v>106.97314503321991</v>
      </c>
      <c r="AA95" s="12">
        <f t="shared" si="4"/>
        <v>45.353222965236114</v>
      </c>
      <c r="AB95" s="12">
        <f t="shared" si="5"/>
        <v>14.890179203007518</v>
      </c>
      <c r="AC95" s="12">
        <f t="shared" si="6"/>
        <v>13.533834586466165</v>
      </c>
      <c r="AE95" s="13"/>
      <c r="AF95" s="13"/>
    </row>
    <row r="96" spans="1:32">
      <c r="A96" s="8" t="s">
        <v>504</v>
      </c>
      <c r="B96" s="9"/>
      <c r="C96" s="9" t="s">
        <v>85</v>
      </c>
      <c r="D96" s="9"/>
      <c r="E96" s="9"/>
      <c r="F96" s="9" t="str">
        <f ca="1">IFERROR(__xludf.DUMMYFUNCTION("IFS(
  REGEXMATCH(LOWER(VLOOKUP(A96, Data1_Raw_Slack!A:B, 2, FALSE)), ""news|weather""), ""News and Weather"", REGEXMATCH(LOWER(VLOOKUP(A96, Data1_Raw_Slack!A:B, 2, FALSE)), ""sports|ufc|nba|nfl|mlb|soccer|sports fans""), ""Sports"",
  REGEXMATCH(LOWER(VL"&amp;"OOKUP(A96, Data1_Raw_Slack!A:B, 2, FALSE)), ""fashion|style|clothing|apparel|shoes|accessories|beauty|cosmetics|fashionistas""), ""Fashion and Beauty"",
  REGEXMATCH(LOWER(VLOOKUP(A96, Data1_Raw_Slack!A:B, 2, FALSE)), ""food|cooking|recipe|restaurant|snac"&amp;"k|grocery|foodies""), ""Food"",
  REGEXMATCH(LOWER(VLOOKUP(A96, Data1_Raw_Slack!A:B, 2, FALSE)), ""travel|vacation|airline|hotel|trip|flights|travelers""), ""Travel"",
  REGEXMATCH(LOWER(VLOOKUP(A96, Data1_Raw_Slack!A:B, 2, FALSE)), ""fitness|workout|gym|"&amp;"exercise|yoga|wellness|fitness enthusiasts""), ""Fitness"",
  REGEXMATCH(LOWER(VLOOKUP(A96, Data1_Raw_Slack!A:B, 2, FALSE)), ""health|medical|pharmacy|mental health|doctor|health-conscious""), ""Health"",
  REGEXMATCH(LOWER(VLOOKUP(A96, Data1_Raw_Slack!A:"&amp;"B, 2, FALSE)), ""pets|dogs|cats|animals|pet care|pet lovers""), ""Pets"",
  REGEXMATCH(LOWER(VLOOKUP(A96, Data1_Raw_Slack!A:B, 2, FALSE)), ""games|gaming|game|xbox|playstation|nintendo|gamers""), ""Gaming"",
  REGEXMATCH(LOWER(VLOOKUP(A96, Data1_Raw_Slack"&amp;"!A:B, 2, FALSE)), ""entertainment|movies|tv|netflix|streaming|celebrity|movie lovers|tv fans|hobb|photo|art""), ""Entertainment"",
  REGEXMATCH(LOWER(VLOOKUP(A96, Data1_Raw_Slack!A:B, 2, FALSE)), ""lifestyle|home|interior|decor|living|lifestyle enthusiast"&amp;"s""), ""Lifestyle"",
  REGEXMATCH(LOWER(VLOOKUP(A96, Data1_Raw_Slack!A:B, 2, FALSE)), ""financial|finance|investing|stocks|retirement|banking|credit|debt|loans|savings|personal finance|insurance|econ|ecom|business|retail|occupation|sale|job|marketing""), "&amp;"""Finance"",
  REGEXMATCH(LOWER(VLOOKUP(A96, Data1_Raw_Slack!A:B, 2, FALSE)), ""auto|automotive""), ""Auto"",
  REGEXMATCH(LOWER(VLOOKUP(A96, Data1_Raw_Slack!A:B, 2, FALSE)), ""parenting|moms|dads|kids|toddlers|baby|parent|children""), ""Parenting"",
 "&amp;" REGEXMATCH(LOWER(VLOOKUP(A96, Data1_Raw_Slack!A:B, 2, FALSE)), ""education|students|learning|school|teachers|college|university|academics""), ""Education"",
  REGEXMATCH(LOWER(VLOOKUP(A96, Data1_Raw_Slack!A:B, 2, FALSE)), ""age|gender|demographic|family|"&amp;"household""), ""Demographics"",
  REGEXMATCH(LOWER(VLOOKUP(A96, Data1_Raw_Slack!A:B, 2, FALSE)), ""mortgage|real estate""), ""Real Estate"",REGEXMATCH(LOWER(VLOOKUP(A96, Data1_Raw_Slack!A:B, 2, FALSE)), ""technology|tech|gadgets|smartphone|electro|apps|de"&amp;"vices|computing|ai|robots|software|computer|internet|tele|mobile|tablet""), ""Technology"", REGEXMATCH(LOWER(VLOOKUP(A96, Data1_Raw_Slack!A:B, 2, FALSE)), ""entertainment|purchas|movies|tv|netflix|streaming|celebrity|movie lovers|tv fans|media|hobb|photo|"&amp;"art|shop""), ""Entertainment"", REGEXMATCH(LOWER(VLOOKUP(A96, Data1_Raw_Slack!A:B, 2, FALSE)), ""law|government|""), ""Law and Government"",
  TRUE, ""Other""
)"),"Travel")</f>
        <v>Travel</v>
      </c>
      <c r="G96" s="9" t="s">
        <v>85</v>
      </c>
      <c r="H96" s="9" t="s">
        <v>44</v>
      </c>
      <c r="I96" s="9" t="s">
        <v>505</v>
      </c>
      <c r="J96" s="9" t="s">
        <v>46</v>
      </c>
      <c r="K96" s="9" t="s">
        <v>142</v>
      </c>
      <c r="L96" s="9" t="s">
        <v>72</v>
      </c>
      <c r="M96" s="10" t="s">
        <v>484</v>
      </c>
      <c r="N96" s="9" t="str">
        <f ca="1">IFERROR(__xludf.DUMMYFUNCTION("REGEXEXTRACT(LOWER(M96), ""([a-z0-9\-]+)\.(?:co|net|org|io|gg)"")"),"whatismyipaddress")</f>
        <v>whatismyipaddress</v>
      </c>
      <c r="O96" s="9" t="s">
        <v>103</v>
      </c>
      <c r="P96" s="9" t="s">
        <v>39</v>
      </c>
      <c r="Q96" s="9">
        <v>12319</v>
      </c>
      <c r="R96" s="9">
        <v>40</v>
      </c>
      <c r="S96" s="9">
        <v>7028</v>
      </c>
      <c r="T96" s="9">
        <v>10191</v>
      </c>
      <c r="U96" s="9">
        <v>7</v>
      </c>
      <c r="V96" s="11">
        <v>1668.0160000000001</v>
      </c>
      <c r="W96" s="12">
        <f t="shared" si="0"/>
        <v>238.28800000000001</v>
      </c>
      <c r="X96" s="12">
        <f t="shared" si="1"/>
        <v>0.32470168033119573</v>
      </c>
      <c r="Y96" s="12">
        <f t="shared" si="2"/>
        <v>57.050085234191087</v>
      </c>
      <c r="Z96" s="12">
        <f t="shared" si="3"/>
        <v>237.33864541832671</v>
      </c>
      <c r="AA96" s="12">
        <f t="shared" si="4"/>
        <v>135.40189950482994</v>
      </c>
      <c r="AB96" s="12">
        <f t="shared" si="5"/>
        <v>41.700400000000002</v>
      </c>
      <c r="AC96" s="12">
        <f t="shared" si="6"/>
        <v>17.5</v>
      </c>
      <c r="AE96" s="13"/>
      <c r="AF96" s="13"/>
    </row>
    <row r="97" spans="1:32">
      <c r="A97" s="8" t="s">
        <v>506</v>
      </c>
      <c r="B97" s="9" t="s">
        <v>507</v>
      </c>
      <c r="C97" s="9" t="s">
        <v>508</v>
      </c>
      <c r="D97" s="9" t="s">
        <v>509</v>
      </c>
      <c r="E97" s="9"/>
      <c r="F97" s="9" t="str">
        <f ca="1">IFERROR(__xludf.DUMMYFUNCTION("IFS(
  REGEXMATCH(LOWER(VLOOKUP(A97, Data1_Raw_Slack!A:B, 2, FALSE)), ""news|weather""), ""News and Weather"", REGEXMATCH(LOWER(VLOOKUP(A97, Data1_Raw_Slack!A:B, 2, FALSE)), ""sports|ufc|nba|nfl|mlb|soccer|sports fans""), ""Sports"",
  REGEXMATCH(LOWER(VL"&amp;"OOKUP(A97, Data1_Raw_Slack!A:B, 2, FALSE)), ""fashion|style|clothing|apparel|shoes|accessories|beauty|cosmetics|fashionistas""), ""Fashion and Beauty"",
  REGEXMATCH(LOWER(VLOOKUP(A97, Data1_Raw_Slack!A:B, 2, FALSE)), ""food|cooking|recipe|restaurant|snac"&amp;"k|grocery|foodies""), ""Food"",
  REGEXMATCH(LOWER(VLOOKUP(A97, Data1_Raw_Slack!A:B, 2, FALSE)), ""travel|vacation|airline|hotel|trip|flights|travelers""), ""Travel"",
  REGEXMATCH(LOWER(VLOOKUP(A97, Data1_Raw_Slack!A:B, 2, FALSE)), ""fitness|workout|gym|"&amp;"exercise|yoga|wellness|fitness enthusiasts""), ""Fitness"",
  REGEXMATCH(LOWER(VLOOKUP(A97, Data1_Raw_Slack!A:B, 2, FALSE)), ""health|medical|pharmacy|mental health|doctor|health-conscious""), ""Health"",
  REGEXMATCH(LOWER(VLOOKUP(A97, Data1_Raw_Slack!A:"&amp;"B, 2, FALSE)), ""pets|dogs|cats|animals|pet care|pet lovers""), ""Pets"",
  REGEXMATCH(LOWER(VLOOKUP(A97, Data1_Raw_Slack!A:B, 2, FALSE)), ""games|gaming|game|xbox|playstation|nintendo|gamers""), ""Gaming"",
  REGEXMATCH(LOWER(VLOOKUP(A97, Data1_Raw_Slack"&amp;"!A:B, 2, FALSE)), ""entertainment|movies|tv|netflix|streaming|celebrity|movie lovers|tv fans|hobb|photo|art""), ""Entertainment"",
  REGEXMATCH(LOWER(VLOOKUP(A97, Data1_Raw_Slack!A:B, 2, FALSE)), ""lifestyle|home|interior|decor|living|lifestyle enthusiast"&amp;"s""), ""Lifestyle"",
  REGEXMATCH(LOWER(VLOOKUP(A97, Data1_Raw_Slack!A:B, 2, FALSE)), ""financial|finance|investing|stocks|retirement|banking|credit|debt|loans|savings|personal finance|insurance|econ|ecom|business|retail|occupation|sale|job|marketing""), "&amp;"""Finance"",
  REGEXMATCH(LOWER(VLOOKUP(A97, Data1_Raw_Slack!A:B, 2, FALSE)), ""auto|automotive""), ""Auto"",
  REGEXMATCH(LOWER(VLOOKUP(A97, Data1_Raw_Slack!A:B, 2, FALSE)), ""parenting|moms|dads|kids|toddlers|baby|parent|children""), ""Parenting"",
 "&amp;" REGEXMATCH(LOWER(VLOOKUP(A97, Data1_Raw_Slack!A:B, 2, FALSE)), ""education|students|learning|school|teachers|college|university|academics""), ""Education"",
  REGEXMATCH(LOWER(VLOOKUP(A97, Data1_Raw_Slack!A:B, 2, FALSE)), ""age|gender|demographic|family|"&amp;"household""), ""Demographics"",
  REGEXMATCH(LOWER(VLOOKUP(A97, Data1_Raw_Slack!A:B, 2, FALSE)), ""mortgage|real estate""), ""Real Estate"",REGEXMATCH(LOWER(VLOOKUP(A97, Data1_Raw_Slack!A:B, 2, FALSE)), ""technology|tech|gadgets|smartphone|electro|apps|de"&amp;"vices|computing|ai|robots|software|computer|internet|tele|mobile|tablet""), ""Technology"", REGEXMATCH(LOWER(VLOOKUP(A97, Data1_Raw_Slack!A:B, 2, FALSE)), ""entertainment|purchas|movies|tv|netflix|streaming|celebrity|movie lovers|tv fans|media|hobb|photo|"&amp;"art|shop""), ""Entertainment"", REGEXMATCH(LOWER(VLOOKUP(A97, Data1_Raw_Slack!A:B, 2, FALSE)), ""law|government|""), ""Law and Government"",
  TRUE, ""Other""
)"),"Demographics")</f>
        <v>Demographics</v>
      </c>
      <c r="G97" s="9"/>
      <c r="H97" s="9" t="s">
        <v>44</v>
      </c>
      <c r="I97" s="9" t="s">
        <v>510</v>
      </c>
      <c r="J97" s="9" t="s">
        <v>80</v>
      </c>
      <c r="K97" s="9" t="s">
        <v>35</v>
      </c>
      <c r="L97" s="9" t="s">
        <v>36</v>
      </c>
      <c r="M97" s="10" t="s">
        <v>511</v>
      </c>
      <c r="N97" s="9" t="str">
        <f ca="1">IFERROR(__xludf.DUMMYFUNCTION("REGEXEXTRACT(LOWER(M97), ""([a-z0-9\-]+)\.(?:co|net|org|io|gg)"")"),"yahoo")</f>
        <v>yahoo</v>
      </c>
      <c r="O97" s="9" t="s">
        <v>50</v>
      </c>
      <c r="P97" s="9" t="s">
        <v>39</v>
      </c>
      <c r="Q97" s="9">
        <v>14984</v>
      </c>
      <c r="R97" s="9">
        <v>63</v>
      </c>
      <c r="S97" s="9">
        <v>9614</v>
      </c>
      <c r="T97" s="9">
        <v>14086</v>
      </c>
      <c r="U97" s="9">
        <v>3</v>
      </c>
      <c r="V97" s="11">
        <v>1505.0096349999999</v>
      </c>
      <c r="W97" s="12">
        <f t="shared" si="0"/>
        <v>501.66987833333332</v>
      </c>
      <c r="X97" s="12">
        <f t="shared" si="1"/>
        <v>0.42044847837693539</v>
      </c>
      <c r="Y97" s="12">
        <f t="shared" si="2"/>
        <v>64.161772557394556</v>
      </c>
      <c r="Z97" s="12">
        <f t="shared" si="3"/>
        <v>156.54354431038067</v>
      </c>
      <c r="AA97" s="12">
        <f t="shared" si="4"/>
        <v>100.44111285371062</v>
      </c>
      <c r="AB97" s="12">
        <f t="shared" si="5"/>
        <v>23.889041825396824</v>
      </c>
      <c r="AC97" s="12">
        <f t="shared" si="6"/>
        <v>4.7619047619047619</v>
      </c>
      <c r="AE97" s="13"/>
      <c r="AF97" s="13"/>
    </row>
    <row r="98" spans="1:32">
      <c r="A98" s="8" t="s">
        <v>512</v>
      </c>
      <c r="B98" s="9" t="s">
        <v>513</v>
      </c>
      <c r="C98" s="9" t="s">
        <v>514</v>
      </c>
      <c r="D98" s="9"/>
      <c r="E98" s="9"/>
      <c r="F98" s="9" t="str">
        <f ca="1">IFERROR(__xludf.DUMMYFUNCTION("IFS(
  REGEXMATCH(LOWER(VLOOKUP(A98, Data1_Raw_Slack!A:B, 2, FALSE)), ""news|weather""), ""News and Weather"", REGEXMATCH(LOWER(VLOOKUP(A98, Data1_Raw_Slack!A:B, 2, FALSE)), ""sports|ufc|nba|nfl|mlb|soccer|sports fans""), ""Sports"",
  REGEXMATCH(LOWER(VL"&amp;"OOKUP(A98, Data1_Raw_Slack!A:B, 2, FALSE)), ""fashion|style|clothing|apparel|shoes|accessories|beauty|cosmetics|fashionistas""), ""Fashion and Beauty"",
  REGEXMATCH(LOWER(VLOOKUP(A98, Data1_Raw_Slack!A:B, 2, FALSE)), ""food|cooking|recipe|restaurant|snac"&amp;"k|grocery|foodies""), ""Food"",
  REGEXMATCH(LOWER(VLOOKUP(A98, Data1_Raw_Slack!A:B, 2, FALSE)), ""travel|vacation|airline|hotel|trip|flights|travelers""), ""Travel"",
  REGEXMATCH(LOWER(VLOOKUP(A98, Data1_Raw_Slack!A:B, 2, FALSE)), ""fitness|workout|gym|"&amp;"exercise|yoga|wellness|fitness enthusiasts""), ""Fitness"",
  REGEXMATCH(LOWER(VLOOKUP(A98, Data1_Raw_Slack!A:B, 2, FALSE)), ""health|medical|pharmacy|mental health|doctor|health-conscious""), ""Health"",
  REGEXMATCH(LOWER(VLOOKUP(A98, Data1_Raw_Slack!A:"&amp;"B, 2, FALSE)), ""pets|dogs|cats|animals|pet care|pet lovers""), ""Pets"",
  REGEXMATCH(LOWER(VLOOKUP(A98, Data1_Raw_Slack!A:B, 2, FALSE)), ""games|gaming|game|xbox|playstation|nintendo|gamers""), ""Gaming"",
  REGEXMATCH(LOWER(VLOOKUP(A98, Data1_Raw_Slack"&amp;"!A:B, 2, FALSE)), ""entertainment|movies|tv|netflix|streaming|celebrity|movie lovers|tv fans|hobb|photo|art""), ""Entertainment"",
  REGEXMATCH(LOWER(VLOOKUP(A98, Data1_Raw_Slack!A:B, 2, FALSE)), ""lifestyle|home|interior|decor|living|lifestyle enthusiast"&amp;"s""), ""Lifestyle"",
  REGEXMATCH(LOWER(VLOOKUP(A98, Data1_Raw_Slack!A:B, 2, FALSE)), ""financial|finance|investing|stocks|retirement|banking|credit|debt|loans|savings|personal finance|insurance|econ|ecom|business|retail|occupation|sale|job|marketing""), "&amp;"""Finance"",
  REGEXMATCH(LOWER(VLOOKUP(A98, Data1_Raw_Slack!A:B, 2, FALSE)), ""auto|automotive""), ""Auto"",
  REGEXMATCH(LOWER(VLOOKUP(A98, Data1_Raw_Slack!A:B, 2, FALSE)), ""parenting|moms|dads|kids|toddlers|baby|parent|children""), ""Parenting"",
 "&amp;" REGEXMATCH(LOWER(VLOOKUP(A98, Data1_Raw_Slack!A:B, 2, FALSE)), ""education|students|learning|school|teachers|college|university|academics""), ""Education"",
  REGEXMATCH(LOWER(VLOOKUP(A98, Data1_Raw_Slack!A:B, 2, FALSE)), ""age|gender|demographic|family|"&amp;"household""), ""Demographics"",
  REGEXMATCH(LOWER(VLOOKUP(A98, Data1_Raw_Slack!A:B, 2, FALSE)), ""mortgage|real estate""), ""Real Estate"",REGEXMATCH(LOWER(VLOOKUP(A98, Data1_Raw_Slack!A:B, 2, FALSE)), ""technology|tech|gadgets|smartphone|electro|apps|de"&amp;"vices|computing|ai|robots|software|computer|internet|tele|mobile|tablet""), ""Technology"", REGEXMATCH(LOWER(VLOOKUP(A98, Data1_Raw_Slack!A:B, 2, FALSE)), ""entertainment|purchas|movies|tv|netflix|streaming|celebrity|movie lovers|tv fans|media|hobb|photo|"&amp;"art|shop""), ""Entertainment"", REGEXMATCH(LOWER(VLOOKUP(A98, Data1_Raw_Slack!A:B, 2, FALSE)), ""law|government|""), ""Law and Government"",
  TRUE, ""Other""
)"),"Law and Government")</f>
        <v>Law and Government</v>
      </c>
      <c r="G98" s="9"/>
      <c r="H98" s="9" t="s">
        <v>32</v>
      </c>
      <c r="I98" s="9" t="s">
        <v>515</v>
      </c>
      <c r="J98" s="9" t="s">
        <v>34</v>
      </c>
      <c r="K98" s="9" t="s">
        <v>274</v>
      </c>
      <c r="L98" s="9" t="s">
        <v>48</v>
      </c>
      <c r="M98" s="10" t="s">
        <v>516</v>
      </c>
      <c r="N98" s="9" t="str">
        <f ca="1">IFERROR(__xludf.DUMMYFUNCTION("REGEXEXTRACT(LOWER(M98), ""([a-z0-9\-]+)\.(?:co|net|org|io|gg)"")"),"travelerdreams")</f>
        <v>travelerdreams</v>
      </c>
      <c r="O98" s="9" t="s">
        <v>103</v>
      </c>
      <c r="P98" s="9" t="s">
        <v>39</v>
      </c>
      <c r="Q98" s="9">
        <v>10707</v>
      </c>
      <c r="R98" s="9">
        <v>57</v>
      </c>
      <c r="S98" s="9">
        <v>6300</v>
      </c>
      <c r="T98" s="9">
        <v>10089</v>
      </c>
      <c r="U98" s="9">
        <v>3</v>
      </c>
      <c r="V98" s="11">
        <v>1603.8592639999999</v>
      </c>
      <c r="W98" s="12">
        <f t="shared" si="0"/>
        <v>534.61975466666661</v>
      </c>
      <c r="X98" s="12">
        <f t="shared" si="1"/>
        <v>0.53236200616419171</v>
      </c>
      <c r="Y98" s="12">
        <f t="shared" si="2"/>
        <v>58.840011207621181</v>
      </c>
      <c r="Z98" s="12">
        <f t="shared" si="3"/>
        <v>254.58083555555555</v>
      </c>
      <c r="AA98" s="12">
        <f t="shared" si="4"/>
        <v>149.79539217334454</v>
      </c>
      <c r="AB98" s="12">
        <f t="shared" si="5"/>
        <v>28.137881824561404</v>
      </c>
      <c r="AC98" s="12">
        <f t="shared" si="6"/>
        <v>5.2631578947368416</v>
      </c>
      <c r="AE98" s="13"/>
      <c r="AF98" s="13"/>
    </row>
    <row r="99" spans="1:32">
      <c r="A99" s="8" t="s">
        <v>517</v>
      </c>
      <c r="B99" s="9" t="s">
        <v>41</v>
      </c>
      <c r="C99" s="9" t="s">
        <v>253</v>
      </c>
      <c r="D99" s="9" t="s">
        <v>518</v>
      </c>
      <c r="E99" s="9"/>
      <c r="F99" s="9" t="str">
        <f ca="1">IFERROR(__xludf.DUMMYFUNCTION("IFS(
  REGEXMATCH(LOWER(VLOOKUP(A99, Data1_Raw_Slack!A:B, 2, FALSE)), ""news|weather""), ""News and Weather"", REGEXMATCH(LOWER(VLOOKUP(A99, Data1_Raw_Slack!A:B, 2, FALSE)), ""sports|ufc|nba|nfl|mlb|soccer|sports fans""), ""Sports"",
  REGEXMATCH(LOWER(VL"&amp;"OOKUP(A99, Data1_Raw_Slack!A:B, 2, FALSE)), ""fashion|style|clothing|apparel|shoes|accessories|beauty|cosmetics|fashionistas""), ""Fashion and Beauty"",
  REGEXMATCH(LOWER(VLOOKUP(A99, Data1_Raw_Slack!A:B, 2, FALSE)), ""food|cooking|recipe|restaurant|snac"&amp;"k|grocery|foodies""), ""Food"",
  REGEXMATCH(LOWER(VLOOKUP(A99, Data1_Raw_Slack!A:B, 2, FALSE)), ""travel|vacation|airline|hotel|trip|flights|travelers""), ""Travel"",
  REGEXMATCH(LOWER(VLOOKUP(A99, Data1_Raw_Slack!A:B, 2, FALSE)), ""fitness|workout|gym|"&amp;"exercise|yoga|wellness|fitness enthusiasts""), ""Fitness"",
  REGEXMATCH(LOWER(VLOOKUP(A99, Data1_Raw_Slack!A:B, 2, FALSE)), ""health|medical|pharmacy|mental health|doctor|health-conscious""), ""Health"",
  REGEXMATCH(LOWER(VLOOKUP(A99, Data1_Raw_Slack!A:"&amp;"B, 2, FALSE)), ""pets|dogs|cats|animals|pet care|pet lovers""), ""Pets"",
  REGEXMATCH(LOWER(VLOOKUP(A99, Data1_Raw_Slack!A:B, 2, FALSE)), ""games|gaming|game|xbox|playstation|nintendo|gamers""), ""Gaming"",
  REGEXMATCH(LOWER(VLOOKUP(A99, Data1_Raw_Slack"&amp;"!A:B, 2, FALSE)), ""entertainment|movies|tv|netflix|streaming|celebrity|movie lovers|tv fans|hobb|photo|art""), ""Entertainment"",
  REGEXMATCH(LOWER(VLOOKUP(A99, Data1_Raw_Slack!A:B, 2, FALSE)), ""lifestyle|home|interior|decor|living|lifestyle enthusiast"&amp;"s""), ""Lifestyle"",
  REGEXMATCH(LOWER(VLOOKUP(A99, Data1_Raw_Slack!A:B, 2, FALSE)), ""financial|finance|investing|stocks|retirement|banking|credit|debt|loans|savings|personal finance|insurance|econ|ecom|business|retail|occupation|sale|job|marketing""), "&amp;"""Finance"",
  REGEXMATCH(LOWER(VLOOKUP(A99, Data1_Raw_Slack!A:B, 2, FALSE)), ""auto|automotive""), ""Auto"",
  REGEXMATCH(LOWER(VLOOKUP(A99, Data1_Raw_Slack!A:B, 2, FALSE)), ""parenting|moms|dads|kids|toddlers|baby|parent|children""), ""Parenting"",
 "&amp;" REGEXMATCH(LOWER(VLOOKUP(A99, Data1_Raw_Slack!A:B, 2, FALSE)), ""education|students|learning|school|teachers|college|university|academics""), ""Education"",
  REGEXMATCH(LOWER(VLOOKUP(A99, Data1_Raw_Slack!A:B, 2, FALSE)), ""age|gender|demographic|family|"&amp;"household""), ""Demographics"",
  REGEXMATCH(LOWER(VLOOKUP(A99, Data1_Raw_Slack!A:B, 2, FALSE)), ""mortgage|real estate""), ""Real Estate"",REGEXMATCH(LOWER(VLOOKUP(A99, Data1_Raw_Slack!A:B, 2, FALSE)), ""technology|tech|gadgets|smartphone|electro|apps|de"&amp;"vices|computing|ai|robots|software|computer|internet|tele|mobile|tablet""), ""Technology"", REGEXMATCH(LOWER(VLOOKUP(A99, Data1_Raw_Slack!A:B, 2, FALSE)), ""entertainment|purchas|movies|tv|netflix|streaming|celebrity|movie lovers|tv fans|media|hobb|photo|"&amp;"art|shop""), ""Entertainment"", REGEXMATCH(LOWER(VLOOKUP(A99, Data1_Raw_Slack!A:B, 2, FALSE)), ""law|government|""), ""Law and Government"",
  TRUE, ""Other""
)"),"Fashion and Beauty")</f>
        <v>Fashion and Beauty</v>
      </c>
      <c r="G99" s="9"/>
      <c r="H99" s="9" t="s">
        <v>44</v>
      </c>
      <c r="I99" s="9" t="s">
        <v>519</v>
      </c>
      <c r="J99" s="9" t="s">
        <v>62</v>
      </c>
      <c r="K99" s="9" t="s">
        <v>148</v>
      </c>
      <c r="L99" s="9" t="s">
        <v>89</v>
      </c>
      <c r="M99" s="10" t="s">
        <v>90</v>
      </c>
      <c r="N99" s="9" t="str">
        <f ca="1">IFERROR(__xludf.DUMMYFUNCTION("REGEXEXTRACT(LOWER(M99), ""([a-z0-9\-]+)\.(?:co|net|org|io|gg)"")"),"live")</f>
        <v>live</v>
      </c>
      <c r="O99" s="9" t="s">
        <v>50</v>
      </c>
      <c r="P99" s="9" t="s">
        <v>75</v>
      </c>
      <c r="Q99" s="9">
        <v>102958</v>
      </c>
      <c r="R99" s="9">
        <v>320</v>
      </c>
      <c r="S99" s="9">
        <v>86884</v>
      </c>
      <c r="T99" s="9">
        <v>94687</v>
      </c>
      <c r="U99" s="9">
        <v>12</v>
      </c>
      <c r="V99" s="11">
        <v>6624.2211749999997</v>
      </c>
      <c r="W99" s="12">
        <f t="shared" si="0"/>
        <v>552.01843124999994</v>
      </c>
      <c r="X99" s="12">
        <f t="shared" si="1"/>
        <v>0.31080634821966235</v>
      </c>
      <c r="Y99" s="12">
        <f t="shared" si="2"/>
        <v>84.38780862099108</v>
      </c>
      <c r="Z99" s="12">
        <f t="shared" si="3"/>
        <v>76.242129448460005</v>
      </c>
      <c r="AA99" s="12">
        <f t="shared" si="4"/>
        <v>64.339062287534716</v>
      </c>
      <c r="AB99" s="12">
        <f t="shared" si="5"/>
        <v>20.700691171875</v>
      </c>
      <c r="AC99" s="12">
        <f t="shared" si="6"/>
        <v>3.75</v>
      </c>
      <c r="AE99" s="13"/>
      <c r="AF99" s="13"/>
    </row>
    <row r="100" spans="1:32">
      <c r="A100" s="8" t="s">
        <v>520</v>
      </c>
      <c r="B100" s="9" t="s">
        <v>521</v>
      </c>
      <c r="C100" s="9" t="s">
        <v>522</v>
      </c>
      <c r="D100" s="9" t="s">
        <v>523</v>
      </c>
      <c r="E100" s="9" t="s">
        <v>524</v>
      </c>
      <c r="F100" s="9" t="str">
        <f ca="1">IFERROR(__xludf.DUMMYFUNCTION("IFS(
  REGEXMATCH(LOWER(VLOOKUP(A100, Data1_Raw_Slack!A:B, 2, FALSE)), ""news|weather""), ""News and Weather"", REGEXMATCH(LOWER(VLOOKUP(A100, Data1_Raw_Slack!A:B, 2, FALSE)), ""sports|ufc|nba|nfl|mlb|soccer|sports fans""), ""Sports"",
  REGEXMATCH(LOWER("&amp;"VLOOKUP(A100, Data1_Raw_Slack!A:B, 2, FALSE)), ""fashion|style|clothing|apparel|shoes|accessories|beauty|cosmetics|fashionistas""), ""Fashion and Beauty"",
  REGEXMATCH(LOWER(VLOOKUP(A100, Data1_Raw_Slack!A:B, 2, FALSE)), ""food|cooking|recipe|restaurant|"&amp;"snack|grocery|foodies""), ""Food"",
  REGEXMATCH(LOWER(VLOOKUP(A100, Data1_Raw_Slack!A:B, 2, FALSE)), ""travel|vacation|airline|hotel|trip|flights|travelers""), ""Travel"",
  REGEXMATCH(LOWER(VLOOKUP(A100, Data1_Raw_Slack!A:B, 2, FALSE)), ""fitness|workou"&amp;"t|gym|exercise|yoga|wellness|fitness enthusiasts""), ""Fitness"",
  REGEXMATCH(LOWER(VLOOKUP(A100, Data1_Raw_Slack!A:B, 2, FALSE)), ""health|medical|pharmacy|mental health|doctor|health-conscious""), ""Health"",
  REGEXMATCH(LOWER(VLOOKUP(A100, Data1_Raw_"&amp;"Slack!A:B, 2, FALSE)), ""pets|dogs|cats|animals|pet care|pet lovers""), ""Pets"",
  REGEXMATCH(LOWER(VLOOKUP(A100, Data1_Raw_Slack!A:B, 2, FALSE)), ""games|gaming|game|xbox|playstation|nintendo|gamers""), ""Gaming"",
  REGEXMATCH(LOWER(VLOOKUP(A100, Data1"&amp;"_Raw_Slack!A:B, 2, FALSE)), ""entertainment|movies|tv|netflix|streaming|celebrity|movie lovers|tv fans|hobb|photo|art""), ""Entertainment"",
  REGEXMATCH(LOWER(VLOOKUP(A100, Data1_Raw_Slack!A:B, 2, FALSE)), ""lifestyle|home|interior|decor|living|lifestyle"&amp;" enthusiasts""), ""Lifestyle"",
  REGEXMATCH(LOWER(VLOOKUP(A100, Data1_Raw_Slack!A:B, 2, FALSE)), ""financial|finance|investing|stocks|retirement|banking|credit|debt|loans|savings|personal finance|insurance|econ|ecom|business|retail|occupation|sale|job|ma"&amp;"rketing""), ""Finance"",
  REGEXMATCH(LOWER(VLOOKUP(A100, Data1_Raw_Slack!A:B, 2, FALSE)), ""auto|automotive""), ""Auto"",
  REGEXMATCH(LOWER(VLOOKUP(A100, Data1_Raw_Slack!A:B, 2, FALSE)), ""parenting|moms|dads|kids|toddlers|baby|parent|children""), ""Par"&amp;"enting"",
  REGEXMATCH(LOWER(VLOOKUP(A100, Data1_Raw_Slack!A:B, 2, FALSE)), ""education|students|learning|school|teachers|college|university|academics""), ""Education"",
  REGEXMATCH(LOWER(VLOOKUP(A100, Data1_Raw_Slack!A:B, 2, FALSE)), ""age|gender|dem"&amp;"ographic|family|household""), ""Demographics"",
  REGEXMATCH(LOWER(VLOOKUP(A100, Data1_Raw_Slack!A:B, 2, FALSE)), ""mortgage|real estate""), ""Real Estate"",REGEXMATCH(LOWER(VLOOKUP(A100, Data1_Raw_Slack!A:B, 2, FALSE)), ""technology|tech|gadgets|smartpho"&amp;"ne|electro|apps|devices|computing|ai|robots|software|computer|internet|tele|mobile|tablet""), ""Technology"", REGEXMATCH(LOWER(VLOOKUP(A100, Data1_Raw_Slack!A:B, 2, FALSE)), ""entertainment|purchas|movies|tv|netflix|streaming|celebrity|movie lovers|tv fan"&amp;"s|media|hobb|photo|art|shop""), ""Entertainment"", REGEXMATCH(LOWER(VLOOKUP(A100, Data1_Raw_Slack!A:B, 2, FALSE)), ""law|government|""), ""Law and Government"",
  TRUE, ""Other""
)"),"Travel")</f>
        <v>Travel</v>
      </c>
      <c r="G100" s="9"/>
      <c r="H100" s="9" t="s">
        <v>123</v>
      </c>
      <c r="I100" s="9" t="s">
        <v>525</v>
      </c>
      <c r="J100" s="9" t="s">
        <v>80</v>
      </c>
      <c r="K100" s="9" t="s">
        <v>148</v>
      </c>
      <c r="L100" s="9" t="s">
        <v>89</v>
      </c>
      <c r="M100" s="10" t="s">
        <v>37</v>
      </c>
      <c r="N100" s="9" t="str">
        <f ca="1">IFERROR(__xludf.DUMMYFUNCTION("REGEXEXTRACT(LOWER(M100), ""([a-z0-9\-]+)\.(?:co|net|org|io|gg)"")"),"cars")</f>
        <v>cars</v>
      </c>
      <c r="O100" s="9" t="s">
        <v>50</v>
      </c>
      <c r="P100" s="9" t="s">
        <v>39</v>
      </c>
      <c r="Q100" s="9">
        <v>9730</v>
      </c>
      <c r="R100" s="9">
        <v>45</v>
      </c>
      <c r="S100" s="9">
        <v>2971</v>
      </c>
      <c r="T100" s="9">
        <v>5102</v>
      </c>
      <c r="U100" s="9">
        <v>3</v>
      </c>
      <c r="V100" s="11">
        <v>1778.9379349999999</v>
      </c>
      <c r="W100" s="12">
        <f t="shared" si="0"/>
        <v>592.9793116666666</v>
      </c>
      <c r="X100" s="12">
        <f t="shared" si="1"/>
        <v>0.46248715313463518</v>
      </c>
      <c r="Y100" s="12">
        <f t="shared" si="2"/>
        <v>30.534429599177798</v>
      </c>
      <c r="Z100" s="12">
        <f t="shared" si="3"/>
        <v>598.76739649949502</v>
      </c>
      <c r="AA100" s="12">
        <f t="shared" si="4"/>
        <v>182.83020914696812</v>
      </c>
      <c r="AB100" s="12">
        <f t="shared" si="5"/>
        <v>39.531954111111112</v>
      </c>
      <c r="AC100" s="12">
        <f t="shared" si="6"/>
        <v>6.666666666666667</v>
      </c>
      <c r="AE100" s="13"/>
      <c r="AF100" s="13"/>
    </row>
    <row r="101" spans="1:32">
      <c r="A101" s="8" t="s">
        <v>526</v>
      </c>
      <c r="B101" s="9" t="s">
        <v>41</v>
      </c>
      <c r="C101" s="9" t="s">
        <v>154</v>
      </c>
      <c r="D101" s="9" t="s">
        <v>527</v>
      </c>
      <c r="E101" s="9"/>
      <c r="F101" s="9" t="str">
        <f ca="1">IFERROR(__xludf.DUMMYFUNCTION("IFS(
  REGEXMATCH(LOWER(VLOOKUP(A101, Data1_Raw_Slack!A:B, 2, FALSE)), ""news|weather""), ""News and Weather"", REGEXMATCH(LOWER(VLOOKUP(A101, Data1_Raw_Slack!A:B, 2, FALSE)), ""sports|ufc|nba|nfl|mlb|soccer|sports fans""), ""Sports"",
  REGEXMATCH(LOWER("&amp;"VLOOKUP(A101, Data1_Raw_Slack!A:B, 2, FALSE)), ""fashion|style|clothing|apparel|shoes|accessories|beauty|cosmetics|fashionistas""), ""Fashion and Beauty"",
  REGEXMATCH(LOWER(VLOOKUP(A101, Data1_Raw_Slack!A:B, 2, FALSE)), ""food|cooking|recipe|restaurant|"&amp;"snack|grocery|foodies""), ""Food"",
  REGEXMATCH(LOWER(VLOOKUP(A101, Data1_Raw_Slack!A:B, 2, FALSE)), ""travel|vacation|airline|hotel|trip|flights|travelers""), ""Travel"",
  REGEXMATCH(LOWER(VLOOKUP(A101, Data1_Raw_Slack!A:B, 2, FALSE)), ""fitness|workou"&amp;"t|gym|exercise|yoga|wellness|fitness enthusiasts""), ""Fitness"",
  REGEXMATCH(LOWER(VLOOKUP(A101, Data1_Raw_Slack!A:B, 2, FALSE)), ""health|medical|pharmacy|mental health|doctor|health-conscious""), ""Health"",
  REGEXMATCH(LOWER(VLOOKUP(A101, Data1_Raw_"&amp;"Slack!A:B, 2, FALSE)), ""pets|dogs|cats|animals|pet care|pet lovers""), ""Pets"",
  REGEXMATCH(LOWER(VLOOKUP(A101, Data1_Raw_Slack!A:B, 2, FALSE)), ""games|gaming|game|xbox|playstation|nintendo|gamers""), ""Gaming"",
  REGEXMATCH(LOWER(VLOOKUP(A101, Data1"&amp;"_Raw_Slack!A:B, 2, FALSE)), ""entertainment|movies|tv|netflix|streaming|celebrity|movie lovers|tv fans|hobb|photo|art""), ""Entertainment"",
  REGEXMATCH(LOWER(VLOOKUP(A101, Data1_Raw_Slack!A:B, 2, FALSE)), ""lifestyle|home|interior|decor|living|lifestyle"&amp;" enthusiasts""), ""Lifestyle"",
  REGEXMATCH(LOWER(VLOOKUP(A101, Data1_Raw_Slack!A:B, 2, FALSE)), ""financial|finance|investing|stocks|retirement|banking|credit|debt|loans|savings|personal finance|insurance|econ|ecom|business|retail|occupation|sale|job|ma"&amp;"rketing""), ""Finance"",
  REGEXMATCH(LOWER(VLOOKUP(A101, Data1_Raw_Slack!A:B, 2, FALSE)), ""auto|automotive""), ""Auto"",
  REGEXMATCH(LOWER(VLOOKUP(A101, Data1_Raw_Slack!A:B, 2, FALSE)), ""parenting|moms|dads|kids|toddlers|baby|parent|children""), ""Par"&amp;"enting"",
  REGEXMATCH(LOWER(VLOOKUP(A101, Data1_Raw_Slack!A:B, 2, FALSE)), ""education|students|learning|school|teachers|college|university|academics""), ""Education"",
  REGEXMATCH(LOWER(VLOOKUP(A101, Data1_Raw_Slack!A:B, 2, FALSE)), ""age|gender|dem"&amp;"ographic|family|household""), ""Demographics"",
  REGEXMATCH(LOWER(VLOOKUP(A101, Data1_Raw_Slack!A:B, 2, FALSE)), ""mortgage|real estate""), ""Real Estate"",REGEXMATCH(LOWER(VLOOKUP(A101, Data1_Raw_Slack!A:B, 2, FALSE)), ""technology|tech|gadgets|smartpho"&amp;"ne|electro|apps|devices|computing|ai|robots|software|computer|internet|tele|mobile|tablet""), ""Technology"", REGEXMATCH(LOWER(VLOOKUP(A101, Data1_Raw_Slack!A:B, 2, FALSE)), ""entertainment|purchas|movies|tv|netflix|streaming|celebrity|movie lovers|tv fan"&amp;"s|media|hobb|photo|art|shop""), ""Entertainment"", REGEXMATCH(LOWER(VLOOKUP(A101, Data1_Raw_Slack!A:B, 2, FALSE)), ""law|government|""), ""Law and Government"",
  TRUE, ""Other""
)"),"Sports")</f>
        <v>Sports</v>
      </c>
      <c r="G101" s="9" t="s">
        <v>154</v>
      </c>
      <c r="H101" s="9" t="s">
        <v>32</v>
      </c>
      <c r="I101" s="9" t="s">
        <v>528</v>
      </c>
      <c r="J101" s="9" t="s">
        <v>34</v>
      </c>
      <c r="K101" s="9" t="s">
        <v>137</v>
      </c>
      <c r="L101" s="9" t="s">
        <v>72</v>
      </c>
      <c r="M101" s="10" t="s">
        <v>316</v>
      </c>
      <c r="N101" s="9" t="str">
        <f ca="1">IFERROR(__xludf.DUMMYFUNCTION("REGEXEXTRACT(LOWER(M101), ""([a-z0-9\-]+)\.(?:co|net|org|io|gg)"")"),"cargurus")</f>
        <v>cargurus</v>
      </c>
      <c r="O101" s="9" t="s">
        <v>186</v>
      </c>
      <c r="P101" s="9" t="s">
        <v>39</v>
      </c>
      <c r="Q101" s="9">
        <v>45285</v>
      </c>
      <c r="R101" s="9">
        <v>190</v>
      </c>
      <c r="S101" s="9">
        <v>30225</v>
      </c>
      <c r="T101" s="9">
        <v>43298</v>
      </c>
      <c r="U101" s="9">
        <v>11</v>
      </c>
      <c r="V101" s="11">
        <v>4728.0124059999998</v>
      </c>
      <c r="W101" s="12">
        <f t="shared" si="0"/>
        <v>429.81930963636364</v>
      </c>
      <c r="X101" s="12">
        <f t="shared" si="1"/>
        <v>0.41956497736557358</v>
      </c>
      <c r="Y101" s="12">
        <f t="shared" si="2"/>
        <v>66.743954951970849</v>
      </c>
      <c r="Z101" s="12">
        <f t="shared" si="3"/>
        <v>156.42720946236557</v>
      </c>
      <c r="AA101" s="12">
        <f t="shared" si="4"/>
        <v>104.40570621618637</v>
      </c>
      <c r="AB101" s="12">
        <f t="shared" si="5"/>
        <v>24.884275821052629</v>
      </c>
      <c r="AC101" s="12">
        <f t="shared" si="6"/>
        <v>5.7894736842105265</v>
      </c>
      <c r="AE101" s="13"/>
      <c r="AF101" s="13"/>
    </row>
    <row r="102" spans="1:32">
      <c r="A102" s="8" t="s">
        <v>529</v>
      </c>
      <c r="B102" s="9" t="s">
        <v>41</v>
      </c>
      <c r="C102" s="9" t="s">
        <v>105</v>
      </c>
      <c r="D102" s="9" t="s">
        <v>530</v>
      </c>
      <c r="E102" s="9" t="s">
        <v>531</v>
      </c>
      <c r="F102" s="9" t="str">
        <f ca="1">IFERROR(__xludf.DUMMYFUNCTION("IFS(
  REGEXMATCH(LOWER(VLOOKUP(A102, Data1_Raw_Slack!A:B, 2, FALSE)), ""news|weather""), ""News and Weather"", REGEXMATCH(LOWER(VLOOKUP(A102, Data1_Raw_Slack!A:B, 2, FALSE)), ""sports|ufc|nba|nfl|mlb|soccer|sports fans""), ""Sports"",
  REGEXMATCH(LOWER("&amp;"VLOOKUP(A102, Data1_Raw_Slack!A:B, 2, FALSE)), ""fashion|style|clothing|apparel|shoes|accessories|beauty|cosmetics|fashionistas""), ""Fashion and Beauty"",
  REGEXMATCH(LOWER(VLOOKUP(A102, Data1_Raw_Slack!A:B, 2, FALSE)), ""food|cooking|recipe|restaurant|"&amp;"snack|grocery|foodies""), ""Food"",
  REGEXMATCH(LOWER(VLOOKUP(A102, Data1_Raw_Slack!A:B, 2, FALSE)), ""travel|vacation|airline|hotel|trip|flights|travelers""), ""Travel"",
  REGEXMATCH(LOWER(VLOOKUP(A102, Data1_Raw_Slack!A:B, 2, FALSE)), ""fitness|workou"&amp;"t|gym|exercise|yoga|wellness|fitness enthusiasts""), ""Fitness"",
  REGEXMATCH(LOWER(VLOOKUP(A102, Data1_Raw_Slack!A:B, 2, FALSE)), ""health|medical|pharmacy|mental health|doctor|health-conscious""), ""Health"",
  REGEXMATCH(LOWER(VLOOKUP(A102, Data1_Raw_"&amp;"Slack!A:B, 2, FALSE)), ""pets|dogs|cats|animals|pet care|pet lovers""), ""Pets"",
  REGEXMATCH(LOWER(VLOOKUP(A102, Data1_Raw_Slack!A:B, 2, FALSE)), ""games|gaming|game|xbox|playstation|nintendo|gamers""), ""Gaming"",
  REGEXMATCH(LOWER(VLOOKUP(A102, Data1"&amp;"_Raw_Slack!A:B, 2, FALSE)), ""entertainment|movies|tv|netflix|streaming|celebrity|movie lovers|tv fans|hobb|photo|art""), ""Entertainment"",
  REGEXMATCH(LOWER(VLOOKUP(A102, Data1_Raw_Slack!A:B, 2, FALSE)), ""lifestyle|home|interior|decor|living|lifestyle"&amp;" enthusiasts""), ""Lifestyle"",
  REGEXMATCH(LOWER(VLOOKUP(A102, Data1_Raw_Slack!A:B, 2, FALSE)), ""financial|finance|investing|stocks|retirement|banking|credit|debt|loans|savings|personal finance|insurance|econ|ecom|business|retail|occupation|sale|job|ma"&amp;"rketing""), ""Finance"",
  REGEXMATCH(LOWER(VLOOKUP(A102, Data1_Raw_Slack!A:B, 2, FALSE)), ""auto|automotive""), ""Auto"",
  REGEXMATCH(LOWER(VLOOKUP(A102, Data1_Raw_Slack!A:B, 2, FALSE)), ""parenting|moms|dads|kids|toddlers|baby|parent|children""), ""Par"&amp;"enting"",
  REGEXMATCH(LOWER(VLOOKUP(A102, Data1_Raw_Slack!A:B, 2, FALSE)), ""education|students|learning|school|teachers|college|university|academics""), ""Education"",
  REGEXMATCH(LOWER(VLOOKUP(A102, Data1_Raw_Slack!A:B, 2, FALSE)), ""age|gender|dem"&amp;"ographic|family|household""), ""Demographics"",
  REGEXMATCH(LOWER(VLOOKUP(A102, Data1_Raw_Slack!A:B, 2, FALSE)), ""mortgage|real estate""), ""Real Estate"",REGEXMATCH(LOWER(VLOOKUP(A102, Data1_Raw_Slack!A:B, 2, FALSE)), ""technology|tech|gadgets|smartpho"&amp;"ne|electro|apps|devices|computing|ai|robots|software|computer|internet|tele|mobile|tablet""), ""Technology"", REGEXMATCH(LOWER(VLOOKUP(A102, Data1_Raw_Slack!A:B, 2, FALSE)), ""entertainment|purchas|movies|tv|netflix|streaming|celebrity|movie lovers|tv fan"&amp;"s|media|hobb|photo|art|shop""), ""Entertainment"", REGEXMATCH(LOWER(VLOOKUP(A102, Data1_Raw_Slack!A:B, 2, FALSE)), ""law|government|""), ""Law and Government"",
  TRUE, ""Other""
)"),"Fashion and Beauty")</f>
        <v>Fashion and Beauty</v>
      </c>
      <c r="G102" s="9" t="s">
        <v>530</v>
      </c>
      <c r="H102" s="9" t="s">
        <v>44</v>
      </c>
      <c r="I102" s="9" t="s">
        <v>532</v>
      </c>
      <c r="J102" s="9" t="s">
        <v>34</v>
      </c>
      <c r="K102" s="9" t="s">
        <v>236</v>
      </c>
      <c r="L102" s="9" t="s">
        <v>82</v>
      </c>
      <c r="M102" s="10" t="s">
        <v>372</v>
      </c>
      <c r="N102" s="9" t="str">
        <f ca="1">IFERROR(__xludf.DUMMYFUNCTION("REGEXEXTRACT(LOWER(M102), ""([a-z0-9\-]+)\.(?:co|net|org|io|gg)"")"),"accuweather")</f>
        <v>accuweather</v>
      </c>
      <c r="O102" s="9" t="s">
        <v>131</v>
      </c>
      <c r="P102" s="9" t="s">
        <v>64</v>
      </c>
      <c r="Q102" s="9">
        <v>23156</v>
      </c>
      <c r="R102" s="9">
        <v>73</v>
      </c>
      <c r="S102" s="9">
        <v>4468</v>
      </c>
      <c r="T102" s="9">
        <v>18821</v>
      </c>
      <c r="U102" s="9">
        <v>15</v>
      </c>
      <c r="V102" s="11">
        <v>6173.4128899999996</v>
      </c>
      <c r="W102" s="12">
        <f t="shared" si="0"/>
        <v>411.56085933333333</v>
      </c>
      <c r="X102" s="12">
        <f t="shared" si="1"/>
        <v>0.31525306615995857</v>
      </c>
      <c r="Y102" s="12">
        <f t="shared" si="2"/>
        <v>19.295215063050613</v>
      </c>
      <c r="Z102" s="12">
        <f t="shared" si="3"/>
        <v>1381.6949171888989</v>
      </c>
      <c r="AA102" s="12">
        <f t="shared" si="4"/>
        <v>266.60100578683711</v>
      </c>
      <c r="AB102" s="12">
        <f t="shared" si="5"/>
        <v>84.567299863013687</v>
      </c>
      <c r="AC102" s="12">
        <f t="shared" si="6"/>
        <v>20.547945205479451</v>
      </c>
      <c r="AE102" s="13"/>
      <c r="AF102" s="13"/>
    </row>
    <row r="103" spans="1:32">
      <c r="A103" s="8" t="s">
        <v>533</v>
      </c>
      <c r="B103" s="9" t="s">
        <v>92</v>
      </c>
      <c r="C103" s="9" t="s">
        <v>127</v>
      </c>
      <c r="D103" s="9" t="s">
        <v>534</v>
      </c>
      <c r="E103" s="9" t="s">
        <v>535</v>
      </c>
      <c r="F103" s="9" t="str">
        <f ca="1">IFERROR(__xludf.DUMMYFUNCTION("IFS(
  REGEXMATCH(LOWER(VLOOKUP(A103, Data1_Raw_Slack!A:B, 2, FALSE)), ""news|weather""), ""News and Weather"", REGEXMATCH(LOWER(VLOOKUP(A103, Data1_Raw_Slack!A:B, 2, FALSE)), ""sports|ufc|nba|nfl|mlb|soccer|sports fans""), ""Sports"",
  REGEXMATCH(LOWER("&amp;"VLOOKUP(A103, Data1_Raw_Slack!A:B, 2, FALSE)), ""fashion|style|clothing|apparel|shoes|accessories|beauty|cosmetics|fashionistas""), ""Fashion and Beauty"",
  REGEXMATCH(LOWER(VLOOKUP(A103, Data1_Raw_Slack!A:B, 2, FALSE)), ""food|cooking|recipe|restaurant|"&amp;"snack|grocery|foodies""), ""Food"",
  REGEXMATCH(LOWER(VLOOKUP(A103, Data1_Raw_Slack!A:B, 2, FALSE)), ""travel|vacation|airline|hotel|trip|flights|travelers""), ""Travel"",
  REGEXMATCH(LOWER(VLOOKUP(A103, Data1_Raw_Slack!A:B, 2, FALSE)), ""fitness|workou"&amp;"t|gym|exercise|yoga|wellness|fitness enthusiasts""), ""Fitness"",
  REGEXMATCH(LOWER(VLOOKUP(A103, Data1_Raw_Slack!A:B, 2, FALSE)), ""health|medical|pharmacy|mental health|doctor|health-conscious""), ""Health"",
  REGEXMATCH(LOWER(VLOOKUP(A103, Data1_Raw_"&amp;"Slack!A:B, 2, FALSE)), ""pets|dogs|cats|animals|pet care|pet lovers""), ""Pets"",
  REGEXMATCH(LOWER(VLOOKUP(A103, Data1_Raw_Slack!A:B, 2, FALSE)), ""games|gaming|game|xbox|playstation|nintendo|gamers""), ""Gaming"",
  REGEXMATCH(LOWER(VLOOKUP(A103, Data1"&amp;"_Raw_Slack!A:B, 2, FALSE)), ""entertainment|movies|tv|netflix|streaming|celebrity|movie lovers|tv fans|hobb|photo|art""), ""Entertainment"",
  REGEXMATCH(LOWER(VLOOKUP(A103, Data1_Raw_Slack!A:B, 2, FALSE)), ""lifestyle|home|interior|decor|living|lifestyle"&amp;" enthusiasts""), ""Lifestyle"",
  REGEXMATCH(LOWER(VLOOKUP(A103, Data1_Raw_Slack!A:B, 2, FALSE)), ""financial|finance|investing|stocks|retirement|banking|credit|debt|loans|savings|personal finance|insurance|econ|ecom|business|retail|occupation|sale|job|ma"&amp;"rketing""), ""Finance"",
  REGEXMATCH(LOWER(VLOOKUP(A103, Data1_Raw_Slack!A:B, 2, FALSE)), ""auto|automotive""), ""Auto"",
  REGEXMATCH(LOWER(VLOOKUP(A103, Data1_Raw_Slack!A:B, 2, FALSE)), ""parenting|moms|dads|kids|toddlers|baby|parent|children""), ""Par"&amp;"enting"",
  REGEXMATCH(LOWER(VLOOKUP(A103, Data1_Raw_Slack!A:B, 2, FALSE)), ""education|students|learning|school|teachers|college|university|academics""), ""Education"",
  REGEXMATCH(LOWER(VLOOKUP(A103, Data1_Raw_Slack!A:B, 2, FALSE)), ""age|gender|dem"&amp;"ographic|family|household""), ""Demographics"",
  REGEXMATCH(LOWER(VLOOKUP(A103, Data1_Raw_Slack!A:B, 2, FALSE)), ""mortgage|real estate""), ""Real Estate"",REGEXMATCH(LOWER(VLOOKUP(A103, Data1_Raw_Slack!A:B, 2, FALSE)), ""technology|tech|gadgets|smartpho"&amp;"ne|electro|apps|devices|computing|ai|robots|software|computer|internet|tele|mobile|tablet""), ""Technology"", REGEXMATCH(LOWER(VLOOKUP(A103, Data1_Raw_Slack!A:B, 2, FALSE)), ""entertainment|purchas|movies|tv|netflix|streaming|celebrity|movie lovers|tv fan"&amp;"s|media|hobb|photo|art|shop""), ""Entertainment"", REGEXMATCH(LOWER(VLOOKUP(A103, Data1_Raw_Slack!A:B, 2, FALSE)), ""law|government|""), ""Law and Government"",
  TRUE, ""Other""
)"),"Finance")</f>
        <v>Finance</v>
      </c>
      <c r="G103" s="9" t="s">
        <v>127</v>
      </c>
      <c r="H103" s="9" t="s">
        <v>32</v>
      </c>
      <c r="I103" s="9" t="s">
        <v>536</v>
      </c>
      <c r="J103" s="9" t="s">
        <v>46</v>
      </c>
      <c r="K103" s="9" t="s">
        <v>236</v>
      </c>
      <c r="L103" s="9" t="s">
        <v>82</v>
      </c>
      <c r="M103" s="10" t="s">
        <v>402</v>
      </c>
      <c r="N103" s="9" t="str">
        <f ca="1">IFERROR(__xludf.DUMMYFUNCTION("REGEXEXTRACT(LOWER(M103), ""([a-z0-9\-]+)\.(?:co|net|org|io|gg)"")"),"timesofindia")</f>
        <v>timesofindia</v>
      </c>
      <c r="O103" s="9" t="s">
        <v>103</v>
      </c>
      <c r="P103" s="9" t="s">
        <v>39</v>
      </c>
      <c r="Q103" s="9">
        <v>12868</v>
      </c>
      <c r="R103" s="9">
        <v>80</v>
      </c>
      <c r="S103" s="9">
        <v>6472</v>
      </c>
      <c r="T103" s="9">
        <v>11922</v>
      </c>
      <c r="U103" s="9">
        <v>6</v>
      </c>
      <c r="V103" s="11">
        <v>3137.143043</v>
      </c>
      <c r="W103" s="12">
        <f t="shared" si="0"/>
        <v>522.85717383333338</v>
      </c>
      <c r="X103" s="12">
        <f t="shared" si="1"/>
        <v>0.6216972334473112</v>
      </c>
      <c r="Y103" s="12">
        <f t="shared" si="2"/>
        <v>50.295306185887469</v>
      </c>
      <c r="Z103" s="12">
        <f t="shared" si="3"/>
        <v>484.72543927688503</v>
      </c>
      <c r="AA103" s="12">
        <f t="shared" si="4"/>
        <v>243.7941438451974</v>
      </c>
      <c r="AB103" s="12">
        <f t="shared" si="5"/>
        <v>39.214288037499998</v>
      </c>
      <c r="AC103" s="12">
        <f t="shared" si="6"/>
        <v>7.5</v>
      </c>
      <c r="AE103" s="13"/>
      <c r="AF103" s="13"/>
    </row>
    <row r="104" spans="1:32">
      <c r="A104" s="8" t="s">
        <v>537</v>
      </c>
      <c r="B104" s="9"/>
      <c r="C104" s="9" t="s">
        <v>538</v>
      </c>
      <c r="D104" s="9" t="s">
        <v>539</v>
      </c>
      <c r="E104" s="9" t="s">
        <v>540</v>
      </c>
      <c r="F104" s="9" t="str">
        <f ca="1">IFERROR(__xludf.DUMMYFUNCTION("IFS(
  REGEXMATCH(LOWER(VLOOKUP(A104, Data1_Raw_Slack!A:B, 2, FALSE)), ""news|weather""), ""News and Weather"", REGEXMATCH(LOWER(VLOOKUP(A104, Data1_Raw_Slack!A:B, 2, FALSE)), ""sports|ufc|nba|nfl|mlb|soccer|sports fans""), ""Sports"",
  REGEXMATCH(LOWER("&amp;"VLOOKUP(A104, Data1_Raw_Slack!A:B, 2, FALSE)), ""fashion|style|clothing|apparel|shoes|accessories|beauty|cosmetics|fashionistas""), ""Fashion and Beauty"",
  REGEXMATCH(LOWER(VLOOKUP(A104, Data1_Raw_Slack!A:B, 2, FALSE)), ""food|cooking|recipe|restaurant|"&amp;"snack|grocery|foodies""), ""Food"",
  REGEXMATCH(LOWER(VLOOKUP(A104, Data1_Raw_Slack!A:B, 2, FALSE)), ""travel|vacation|airline|hotel|trip|flights|travelers""), ""Travel"",
  REGEXMATCH(LOWER(VLOOKUP(A104, Data1_Raw_Slack!A:B, 2, FALSE)), ""fitness|workou"&amp;"t|gym|exercise|yoga|wellness|fitness enthusiasts""), ""Fitness"",
  REGEXMATCH(LOWER(VLOOKUP(A104, Data1_Raw_Slack!A:B, 2, FALSE)), ""health|medical|pharmacy|mental health|doctor|health-conscious""), ""Health"",
  REGEXMATCH(LOWER(VLOOKUP(A104, Data1_Raw_"&amp;"Slack!A:B, 2, FALSE)), ""pets|dogs|cats|animals|pet care|pet lovers""), ""Pets"",
  REGEXMATCH(LOWER(VLOOKUP(A104, Data1_Raw_Slack!A:B, 2, FALSE)), ""games|gaming|game|xbox|playstation|nintendo|gamers""), ""Gaming"",
  REGEXMATCH(LOWER(VLOOKUP(A104, Data1"&amp;"_Raw_Slack!A:B, 2, FALSE)), ""entertainment|movies|tv|netflix|streaming|celebrity|movie lovers|tv fans|hobb|photo|art""), ""Entertainment"",
  REGEXMATCH(LOWER(VLOOKUP(A104, Data1_Raw_Slack!A:B, 2, FALSE)), ""lifestyle|home|interior|decor|living|lifestyle"&amp;" enthusiasts""), ""Lifestyle"",
  REGEXMATCH(LOWER(VLOOKUP(A104, Data1_Raw_Slack!A:B, 2, FALSE)), ""financial|finance|investing|stocks|retirement|banking|credit|debt|loans|savings|personal finance|insurance|econ|ecom|business|retail|occupation|sale|job|ma"&amp;"rketing""), ""Finance"",
  REGEXMATCH(LOWER(VLOOKUP(A104, Data1_Raw_Slack!A:B, 2, FALSE)), ""auto|automotive""), ""Auto"",
  REGEXMATCH(LOWER(VLOOKUP(A104, Data1_Raw_Slack!A:B, 2, FALSE)), ""parenting|moms|dads|kids|toddlers|baby|parent|children""), ""Par"&amp;"enting"",
  REGEXMATCH(LOWER(VLOOKUP(A104, Data1_Raw_Slack!A:B, 2, FALSE)), ""education|students|learning|school|teachers|college|university|academics""), ""Education"",
  REGEXMATCH(LOWER(VLOOKUP(A104, Data1_Raw_Slack!A:B, 2, FALSE)), ""age|gender|dem"&amp;"ographic|family|household""), ""Demographics"",
  REGEXMATCH(LOWER(VLOOKUP(A104, Data1_Raw_Slack!A:B, 2, FALSE)), ""mortgage|real estate""), ""Real Estate"",REGEXMATCH(LOWER(VLOOKUP(A104, Data1_Raw_Slack!A:B, 2, FALSE)), ""technology|tech|gadgets|smartpho"&amp;"ne|electro|apps|devices|computing|ai|robots|software|computer|internet|tele|mobile|tablet""), ""Technology"", REGEXMATCH(LOWER(VLOOKUP(A104, Data1_Raw_Slack!A:B, 2, FALSE)), ""entertainment|purchas|movies|tv|netflix|streaming|celebrity|movie lovers|tv fan"&amp;"s|media|hobb|photo|art|shop""), ""Entertainment"", REGEXMATCH(LOWER(VLOOKUP(A104, Data1_Raw_Slack!A:B, 2, FALSE)), ""law|government|""), ""Law and Government"",
  TRUE, ""Other""
)"),"Lifestyle")</f>
        <v>Lifestyle</v>
      </c>
      <c r="G104" s="9"/>
      <c r="H104" s="9" t="s">
        <v>32</v>
      </c>
      <c r="I104" s="9" t="s">
        <v>111</v>
      </c>
      <c r="J104" s="9" t="s">
        <v>80</v>
      </c>
      <c r="K104" s="9" t="s">
        <v>236</v>
      </c>
      <c r="L104" s="9" t="s">
        <v>82</v>
      </c>
      <c r="M104" s="10" t="s">
        <v>102</v>
      </c>
      <c r="N104" s="9" t="str">
        <f ca="1">IFERROR(__xludf.DUMMYFUNCTION("REGEXEXTRACT(LOWER(M104), ""([a-z0-9\-]+)\.(?:co|net|org|io|gg)"")"),"cbsnews")</f>
        <v>cbsnews</v>
      </c>
      <c r="O104" s="9" t="s">
        <v>50</v>
      </c>
      <c r="P104" s="9" t="s">
        <v>39</v>
      </c>
      <c r="Q104" s="9">
        <v>21478</v>
      </c>
      <c r="R104" s="9">
        <v>50</v>
      </c>
      <c r="S104" s="9">
        <v>15548</v>
      </c>
      <c r="T104" s="9">
        <v>20651</v>
      </c>
      <c r="U104" s="9">
        <v>24</v>
      </c>
      <c r="V104" s="11">
        <v>1541.2140469999999</v>
      </c>
      <c r="W104" s="12">
        <f t="shared" si="0"/>
        <v>64.217251958333335</v>
      </c>
      <c r="X104" s="12">
        <f t="shared" si="1"/>
        <v>0.23279634975323588</v>
      </c>
      <c r="Y104" s="12">
        <f t="shared" si="2"/>
        <v>72.390352919266221</v>
      </c>
      <c r="Z104" s="12">
        <f t="shared" si="3"/>
        <v>99.126192886544899</v>
      </c>
      <c r="AA104" s="12">
        <f t="shared" si="4"/>
        <v>71.757800866002412</v>
      </c>
      <c r="AB104" s="12">
        <f t="shared" si="5"/>
        <v>30.824280939999998</v>
      </c>
      <c r="AC104" s="12">
        <f t="shared" si="6"/>
        <v>48</v>
      </c>
      <c r="AE104" s="13"/>
      <c r="AF104" s="13"/>
    </row>
    <row r="105" spans="1:32">
      <c r="A105" s="8" t="s">
        <v>541</v>
      </c>
      <c r="B105" s="9" t="s">
        <v>41</v>
      </c>
      <c r="C105" s="9" t="s">
        <v>542</v>
      </c>
      <c r="D105" s="9" t="s">
        <v>543</v>
      </c>
      <c r="E105" s="9"/>
      <c r="F105" s="9" t="str">
        <f ca="1">IFERROR(__xludf.DUMMYFUNCTION("IFS(
  REGEXMATCH(LOWER(VLOOKUP(A105, Data1_Raw_Slack!A:B, 2, FALSE)), ""news|weather""), ""News and Weather"", REGEXMATCH(LOWER(VLOOKUP(A105, Data1_Raw_Slack!A:B, 2, FALSE)), ""sports|ufc|nba|nfl|mlb|soccer|sports fans""), ""Sports"",
  REGEXMATCH(LOWER("&amp;"VLOOKUP(A105, Data1_Raw_Slack!A:B, 2, FALSE)), ""fashion|style|clothing|apparel|shoes|accessories|beauty|cosmetics|fashionistas""), ""Fashion and Beauty"",
  REGEXMATCH(LOWER(VLOOKUP(A105, Data1_Raw_Slack!A:B, 2, FALSE)), ""food|cooking|recipe|restaurant|"&amp;"snack|grocery|foodies""), ""Food"",
  REGEXMATCH(LOWER(VLOOKUP(A105, Data1_Raw_Slack!A:B, 2, FALSE)), ""travel|vacation|airline|hotel|trip|flights|travelers""), ""Travel"",
  REGEXMATCH(LOWER(VLOOKUP(A105, Data1_Raw_Slack!A:B, 2, FALSE)), ""fitness|workou"&amp;"t|gym|exercise|yoga|wellness|fitness enthusiasts""), ""Fitness"",
  REGEXMATCH(LOWER(VLOOKUP(A105, Data1_Raw_Slack!A:B, 2, FALSE)), ""health|medical|pharmacy|mental health|doctor|health-conscious""), ""Health"",
  REGEXMATCH(LOWER(VLOOKUP(A105, Data1_Raw_"&amp;"Slack!A:B, 2, FALSE)), ""pets|dogs|cats|animals|pet care|pet lovers""), ""Pets"",
  REGEXMATCH(LOWER(VLOOKUP(A105, Data1_Raw_Slack!A:B, 2, FALSE)), ""games|gaming|game|xbox|playstation|nintendo|gamers""), ""Gaming"",
  REGEXMATCH(LOWER(VLOOKUP(A105, Data1"&amp;"_Raw_Slack!A:B, 2, FALSE)), ""entertainment|movies|tv|netflix|streaming|celebrity|movie lovers|tv fans|hobb|photo|art""), ""Entertainment"",
  REGEXMATCH(LOWER(VLOOKUP(A105, Data1_Raw_Slack!A:B, 2, FALSE)), ""lifestyle|home|interior|decor|living|lifestyle"&amp;" enthusiasts""), ""Lifestyle"",
  REGEXMATCH(LOWER(VLOOKUP(A105, Data1_Raw_Slack!A:B, 2, FALSE)), ""financial|finance|investing|stocks|retirement|banking|credit|debt|loans|savings|personal finance|insurance|econ|ecom|business|retail|occupation|sale|job|ma"&amp;"rketing""), ""Finance"",
  REGEXMATCH(LOWER(VLOOKUP(A105, Data1_Raw_Slack!A:B, 2, FALSE)), ""auto|automotive""), ""Auto"",
  REGEXMATCH(LOWER(VLOOKUP(A105, Data1_Raw_Slack!A:B, 2, FALSE)), ""parenting|moms|dads|kids|toddlers|baby|parent|children""), ""Par"&amp;"enting"",
  REGEXMATCH(LOWER(VLOOKUP(A105, Data1_Raw_Slack!A:B, 2, FALSE)), ""education|students|learning|school|teachers|college|university|academics""), ""Education"",
  REGEXMATCH(LOWER(VLOOKUP(A105, Data1_Raw_Slack!A:B, 2, FALSE)), ""age|gender|dem"&amp;"ographic|family|household""), ""Demographics"",
  REGEXMATCH(LOWER(VLOOKUP(A105, Data1_Raw_Slack!A:B, 2, FALSE)), ""mortgage|real estate""), ""Real Estate"",REGEXMATCH(LOWER(VLOOKUP(A105, Data1_Raw_Slack!A:B, 2, FALSE)), ""technology|tech|gadgets|smartpho"&amp;"ne|electro|apps|devices|computing|ai|robots|software|computer|internet|tele|mobile|tablet""), ""Technology"", REGEXMATCH(LOWER(VLOOKUP(A105, Data1_Raw_Slack!A:B, 2, FALSE)), ""entertainment|purchas|movies|tv|netflix|streaming|celebrity|movie lovers|tv fan"&amp;"s|media|hobb|photo|art|shop""), ""Entertainment"", REGEXMATCH(LOWER(VLOOKUP(A105, Data1_Raw_Slack!A:B, 2, FALSE)), ""law|government|""), ""Law and Government"",
  TRUE, ""Other""
)"),"Entertainment")</f>
        <v>Entertainment</v>
      </c>
      <c r="G105" s="9"/>
      <c r="H105" s="9" t="s">
        <v>32</v>
      </c>
      <c r="I105" s="9" t="s">
        <v>353</v>
      </c>
      <c r="J105" s="9" t="s">
        <v>34</v>
      </c>
      <c r="K105" s="9" t="s">
        <v>416</v>
      </c>
      <c r="L105" s="9" t="s">
        <v>417</v>
      </c>
      <c r="M105" s="10" t="s">
        <v>130</v>
      </c>
      <c r="N105" s="9" t="str">
        <f ca="1">IFERROR(__xludf.DUMMYFUNCTION("REGEXEXTRACT(LOWER(M105), ""([a-z0-9\-]+)\.(?:co|net|org|io|gg)"")"),"weather")</f>
        <v>weather</v>
      </c>
      <c r="O105" s="9" t="s">
        <v>50</v>
      </c>
      <c r="P105" s="9" t="s">
        <v>39</v>
      </c>
      <c r="Q105" s="9">
        <v>156427</v>
      </c>
      <c r="R105" s="9">
        <v>512</v>
      </c>
      <c r="S105" s="9">
        <v>61821</v>
      </c>
      <c r="T105" s="9">
        <v>145505</v>
      </c>
      <c r="U105" s="9">
        <v>3</v>
      </c>
      <c r="V105" s="11">
        <v>5159.7474940000002</v>
      </c>
      <c r="W105" s="12">
        <f t="shared" si="0"/>
        <v>1719.9158313333335</v>
      </c>
      <c r="X105" s="12">
        <f t="shared" si="1"/>
        <v>0.32730922411092717</v>
      </c>
      <c r="Y105" s="12">
        <f t="shared" si="2"/>
        <v>39.520670983909426</v>
      </c>
      <c r="Z105" s="12">
        <f t="shared" si="3"/>
        <v>83.462698662266874</v>
      </c>
      <c r="AA105" s="12">
        <f t="shared" si="4"/>
        <v>32.985018532606261</v>
      </c>
      <c r="AB105" s="12">
        <f t="shared" si="5"/>
        <v>10.07763182421875</v>
      </c>
      <c r="AC105" s="12">
        <f t="shared" si="6"/>
        <v>0.5859375</v>
      </c>
      <c r="AE105" s="13"/>
      <c r="AF105" s="13"/>
    </row>
    <row r="106" spans="1:32">
      <c r="A106" s="8" t="s">
        <v>544</v>
      </c>
      <c r="B106" s="9" t="s">
        <v>67</v>
      </c>
      <c r="C106" s="9" t="s">
        <v>545</v>
      </c>
      <c r="D106" s="9" t="s">
        <v>546</v>
      </c>
      <c r="E106" s="9"/>
      <c r="F106" s="9" t="str">
        <f ca="1">IFERROR(__xludf.DUMMYFUNCTION("IFS(
  REGEXMATCH(LOWER(VLOOKUP(A106, Data1_Raw_Slack!A:B, 2, FALSE)), ""news|weather""), ""News and Weather"", REGEXMATCH(LOWER(VLOOKUP(A106, Data1_Raw_Slack!A:B, 2, FALSE)), ""sports|ufc|nba|nfl|mlb|soccer|sports fans""), ""Sports"",
  REGEXMATCH(LOWER("&amp;"VLOOKUP(A106, Data1_Raw_Slack!A:B, 2, FALSE)), ""fashion|style|clothing|apparel|shoes|accessories|beauty|cosmetics|fashionistas""), ""Fashion and Beauty"",
  REGEXMATCH(LOWER(VLOOKUP(A106, Data1_Raw_Slack!A:B, 2, FALSE)), ""food|cooking|recipe|restaurant|"&amp;"snack|grocery|foodies""), ""Food"",
  REGEXMATCH(LOWER(VLOOKUP(A106, Data1_Raw_Slack!A:B, 2, FALSE)), ""travel|vacation|airline|hotel|trip|flights|travelers""), ""Travel"",
  REGEXMATCH(LOWER(VLOOKUP(A106, Data1_Raw_Slack!A:B, 2, FALSE)), ""fitness|workou"&amp;"t|gym|exercise|yoga|wellness|fitness enthusiasts""), ""Fitness"",
  REGEXMATCH(LOWER(VLOOKUP(A106, Data1_Raw_Slack!A:B, 2, FALSE)), ""health|medical|pharmacy|mental health|doctor|health-conscious""), ""Health"",
  REGEXMATCH(LOWER(VLOOKUP(A106, Data1_Raw_"&amp;"Slack!A:B, 2, FALSE)), ""pets|dogs|cats|animals|pet care|pet lovers""), ""Pets"",
  REGEXMATCH(LOWER(VLOOKUP(A106, Data1_Raw_Slack!A:B, 2, FALSE)), ""games|gaming|game|xbox|playstation|nintendo|gamers""), ""Gaming"",
  REGEXMATCH(LOWER(VLOOKUP(A106, Data1"&amp;"_Raw_Slack!A:B, 2, FALSE)), ""entertainment|movies|tv|netflix|streaming|celebrity|movie lovers|tv fans|hobb|photo|art""), ""Entertainment"",
  REGEXMATCH(LOWER(VLOOKUP(A106, Data1_Raw_Slack!A:B, 2, FALSE)), ""lifestyle|home|interior|decor|living|lifestyle"&amp;" enthusiasts""), ""Lifestyle"",
  REGEXMATCH(LOWER(VLOOKUP(A106, Data1_Raw_Slack!A:B, 2, FALSE)), ""financial|finance|investing|stocks|retirement|banking|credit|debt|loans|savings|personal finance|insurance|econ|ecom|business|retail|occupation|sale|job|ma"&amp;"rketing""), ""Finance"",
  REGEXMATCH(LOWER(VLOOKUP(A106, Data1_Raw_Slack!A:B, 2, FALSE)), ""auto|automotive""), ""Auto"",
  REGEXMATCH(LOWER(VLOOKUP(A106, Data1_Raw_Slack!A:B, 2, FALSE)), ""parenting|moms|dads|kids|toddlers|baby|parent|children""), ""Par"&amp;"enting"",
  REGEXMATCH(LOWER(VLOOKUP(A106, Data1_Raw_Slack!A:B, 2, FALSE)), ""education|students|learning|school|teachers|college|university|academics""), ""Education"",
  REGEXMATCH(LOWER(VLOOKUP(A106, Data1_Raw_Slack!A:B, 2, FALSE)), ""age|gender|dem"&amp;"ographic|family|household""), ""Demographics"",
  REGEXMATCH(LOWER(VLOOKUP(A106, Data1_Raw_Slack!A:B, 2, FALSE)), ""mortgage|real estate""), ""Real Estate"",REGEXMATCH(LOWER(VLOOKUP(A106, Data1_Raw_Slack!A:B, 2, FALSE)), ""technology|tech|gadgets|smartpho"&amp;"ne|electro|apps|devices|computing|ai|robots|software|computer|internet|tele|mobile|tablet""), ""Technology"", REGEXMATCH(LOWER(VLOOKUP(A106, Data1_Raw_Slack!A:B, 2, FALSE)), ""entertainment|purchas|movies|tv|netflix|streaming|celebrity|movie lovers|tv fan"&amp;"s|media|hobb|photo|art|shop""), ""Entertainment"", REGEXMATCH(LOWER(VLOOKUP(A106, Data1_Raw_Slack!A:B, 2, FALSE)), ""law|government|""), ""Law and Government"",
  TRUE, ""Other""
)"),"Entertainment")</f>
        <v>Entertainment</v>
      </c>
      <c r="G106" s="9" t="s">
        <v>69</v>
      </c>
      <c r="H106" s="9" t="s">
        <v>32</v>
      </c>
      <c r="I106" s="9" t="s">
        <v>190</v>
      </c>
      <c r="J106" s="9" t="s">
        <v>46</v>
      </c>
      <c r="K106" s="9" t="s">
        <v>236</v>
      </c>
      <c r="L106" s="9" t="s">
        <v>82</v>
      </c>
      <c r="M106" s="10" t="s">
        <v>547</v>
      </c>
      <c r="N106" s="9" t="str">
        <f ca="1">IFERROR(__xludf.DUMMYFUNCTION("REGEXEXTRACT(LOWER(M106), ""([a-z0-9\-]+)\.(?:co|net|org|io|gg)"")"),"nytimes")</f>
        <v>nytimes</v>
      </c>
      <c r="O106" s="9" t="s">
        <v>50</v>
      </c>
      <c r="P106" s="9" t="s">
        <v>39</v>
      </c>
      <c r="Q106" s="9">
        <v>16239</v>
      </c>
      <c r="R106" s="9">
        <v>78</v>
      </c>
      <c r="S106" s="9">
        <v>9375</v>
      </c>
      <c r="T106" s="9">
        <v>15562</v>
      </c>
      <c r="U106" s="9">
        <v>5</v>
      </c>
      <c r="V106" s="11">
        <v>2387.686295</v>
      </c>
      <c r="W106" s="12">
        <f t="shared" si="0"/>
        <v>477.53725900000001</v>
      </c>
      <c r="X106" s="12">
        <f t="shared" si="1"/>
        <v>0.48032514317384079</v>
      </c>
      <c r="Y106" s="12">
        <f t="shared" si="2"/>
        <v>57.731387400702019</v>
      </c>
      <c r="Z106" s="12">
        <f t="shared" si="3"/>
        <v>254.6865381333333</v>
      </c>
      <c r="AA106" s="12">
        <f t="shared" si="4"/>
        <v>147.03407198719131</v>
      </c>
      <c r="AB106" s="12">
        <f t="shared" si="5"/>
        <v>30.611362756410255</v>
      </c>
      <c r="AC106" s="12">
        <f t="shared" si="6"/>
        <v>6.4102564102564097</v>
      </c>
      <c r="AE106" s="13"/>
      <c r="AF106" s="13"/>
    </row>
    <row r="107" spans="1:32">
      <c r="A107" s="8" t="s">
        <v>548</v>
      </c>
      <c r="B107" s="9" t="s">
        <v>521</v>
      </c>
      <c r="C107" s="9" t="s">
        <v>522</v>
      </c>
      <c r="D107" s="9" t="s">
        <v>549</v>
      </c>
      <c r="E107" s="9"/>
      <c r="F107" s="9" t="str">
        <f ca="1">IFERROR(__xludf.DUMMYFUNCTION("IFS(
  REGEXMATCH(LOWER(VLOOKUP(A107, Data1_Raw_Slack!A:B, 2, FALSE)), ""news|weather""), ""News and Weather"", REGEXMATCH(LOWER(VLOOKUP(A107, Data1_Raw_Slack!A:B, 2, FALSE)), ""sports|ufc|nba|nfl|mlb|soccer|sports fans""), ""Sports"",
  REGEXMATCH(LOWER("&amp;"VLOOKUP(A107, Data1_Raw_Slack!A:B, 2, FALSE)), ""fashion|style|clothing|apparel|shoes|accessories|beauty|cosmetics|fashionistas""), ""Fashion and Beauty"",
  REGEXMATCH(LOWER(VLOOKUP(A107, Data1_Raw_Slack!A:B, 2, FALSE)), ""food|cooking|recipe|restaurant|"&amp;"snack|grocery|foodies""), ""Food"",
  REGEXMATCH(LOWER(VLOOKUP(A107, Data1_Raw_Slack!A:B, 2, FALSE)), ""travel|vacation|airline|hotel|trip|flights|travelers""), ""Travel"",
  REGEXMATCH(LOWER(VLOOKUP(A107, Data1_Raw_Slack!A:B, 2, FALSE)), ""fitness|workou"&amp;"t|gym|exercise|yoga|wellness|fitness enthusiasts""), ""Fitness"",
  REGEXMATCH(LOWER(VLOOKUP(A107, Data1_Raw_Slack!A:B, 2, FALSE)), ""health|medical|pharmacy|mental health|doctor|health-conscious""), ""Health"",
  REGEXMATCH(LOWER(VLOOKUP(A107, Data1_Raw_"&amp;"Slack!A:B, 2, FALSE)), ""pets|dogs|cats|animals|pet care|pet lovers""), ""Pets"",
  REGEXMATCH(LOWER(VLOOKUP(A107, Data1_Raw_Slack!A:B, 2, FALSE)), ""games|gaming|game|xbox|playstation|nintendo|gamers""), ""Gaming"",
  REGEXMATCH(LOWER(VLOOKUP(A107, Data1"&amp;"_Raw_Slack!A:B, 2, FALSE)), ""entertainment|movies|tv|netflix|streaming|celebrity|movie lovers|tv fans|hobb|photo|art""), ""Entertainment"",
  REGEXMATCH(LOWER(VLOOKUP(A107, Data1_Raw_Slack!A:B, 2, FALSE)), ""lifestyle|home|interior|decor|living|lifestyle"&amp;" enthusiasts""), ""Lifestyle"",
  REGEXMATCH(LOWER(VLOOKUP(A107, Data1_Raw_Slack!A:B, 2, FALSE)), ""financial|finance|investing|stocks|retirement|banking|credit|debt|loans|savings|personal finance|insurance|econ|ecom|business|retail|occupation|sale|job|ma"&amp;"rketing""), ""Finance"",
  REGEXMATCH(LOWER(VLOOKUP(A107, Data1_Raw_Slack!A:B, 2, FALSE)), ""auto|automotive""), ""Auto"",
  REGEXMATCH(LOWER(VLOOKUP(A107, Data1_Raw_Slack!A:B, 2, FALSE)), ""parenting|moms|dads|kids|toddlers|baby|parent|children""), ""Par"&amp;"enting"",
  REGEXMATCH(LOWER(VLOOKUP(A107, Data1_Raw_Slack!A:B, 2, FALSE)), ""education|students|learning|school|teachers|college|university|academics""), ""Education"",
  REGEXMATCH(LOWER(VLOOKUP(A107, Data1_Raw_Slack!A:B, 2, FALSE)), ""age|gender|dem"&amp;"ographic|family|household""), ""Demographics"",
  REGEXMATCH(LOWER(VLOOKUP(A107, Data1_Raw_Slack!A:B, 2, FALSE)), ""mortgage|real estate""), ""Real Estate"",REGEXMATCH(LOWER(VLOOKUP(A107, Data1_Raw_Slack!A:B, 2, FALSE)), ""technology|tech|gadgets|smartpho"&amp;"ne|electro|apps|devices|computing|ai|robots|software|computer|internet|tele|mobile|tablet""), ""Technology"", REGEXMATCH(LOWER(VLOOKUP(A107, Data1_Raw_Slack!A:B, 2, FALSE)), ""entertainment|purchas|movies|tv|netflix|streaming|celebrity|movie lovers|tv fan"&amp;"s|media|hobb|photo|art|shop""), ""Entertainment"", REGEXMATCH(LOWER(VLOOKUP(A107, Data1_Raw_Slack!A:B, 2, FALSE)), ""law|government|""), ""Law and Government"",
  TRUE, ""Other""
)"),"Travel")</f>
        <v>Travel</v>
      </c>
      <c r="G107" s="9"/>
      <c r="H107" s="9" t="s">
        <v>32</v>
      </c>
      <c r="I107" s="9" t="s">
        <v>550</v>
      </c>
      <c r="J107" s="9" t="s">
        <v>62</v>
      </c>
      <c r="K107" s="9" t="s">
        <v>443</v>
      </c>
      <c r="L107" s="9" t="s">
        <v>72</v>
      </c>
      <c r="M107" s="10" t="s">
        <v>551</v>
      </c>
      <c r="N107" s="9" t="str">
        <f ca="1">IFERROR(__xludf.DUMMYFUNCTION("REGEXEXTRACT(LOWER(M107), ""([a-z0-9\-]+)\.(?:co|net|org|io|gg)"")"),"factable")</f>
        <v>factable</v>
      </c>
      <c r="O107" s="9" t="s">
        <v>131</v>
      </c>
      <c r="P107" s="9" t="s">
        <v>39</v>
      </c>
      <c r="Q107" s="9">
        <v>31243</v>
      </c>
      <c r="R107" s="9">
        <v>100</v>
      </c>
      <c r="S107" s="9">
        <v>16326</v>
      </c>
      <c r="T107" s="9">
        <v>25991</v>
      </c>
      <c r="U107" s="9">
        <v>21</v>
      </c>
      <c r="V107" s="11">
        <v>1452.5905600000001</v>
      </c>
      <c r="W107" s="12">
        <f t="shared" si="0"/>
        <v>69.170979047619056</v>
      </c>
      <c r="X107" s="12">
        <f t="shared" si="1"/>
        <v>0.32007169605991742</v>
      </c>
      <c r="Y107" s="12">
        <f t="shared" si="2"/>
        <v>52.254905098742121</v>
      </c>
      <c r="Z107" s="12">
        <f t="shared" si="3"/>
        <v>88.974063457062371</v>
      </c>
      <c r="AA107" s="12">
        <f t="shared" si="4"/>
        <v>46.49331242198253</v>
      </c>
      <c r="AB107" s="12">
        <f t="shared" si="5"/>
        <v>14.525905600000002</v>
      </c>
      <c r="AC107" s="12">
        <f t="shared" si="6"/>
        <v>21</v>
      </c>
      <c r="AE107" s="13"/>
      <c r="AF107" s="13"/>
    </row>
    <row r="108" spans="1:32">
      <c r="A108" s="8" t="s">
        <v>552</v>
      </c>
      <c r="B108" s="9" t="s">
        <v>92</v>
      </c>
      <c r="C108" s="9" t="s">
        <v>178</v>
      </c>
      <c r="D108" s="9" t="s">
        <v>154</v>
      </c>
      <c r="E108" s="9" t="s">
        <v>553</v>
      </c>
      <c r="F108" s="9" t="str">
        <f ca="1">IFERROR(__xludf.DUMMYFUNCTION("IFS(
  REGEXMATCH(LOWER(VLOOKUP(A108, Data1_Raw_Slack!A:B, 2, FALSE)), ""news|weather""), ""News and Weather"", REGEXMATCH(LOWER(VLOOKUP(A108, Data1_Raw_Slack!A:B, 2, FALSE)), ""sports|ufc|nba|nfl|mlb|soccer|sports fans""), ""Sports"",
  REGEXMATCH(LOWER("&amp;"VLOOKUP(A108, Data1_Raw_Slack!A:B, 2, FALSE)), ""fashion|style|clothing|apparel|shoes|accessories|beauty|cosmetics|fashionistas""), ""Fashion and Beauty"",
  REGEXMATCH(LOWER(VLOOKUP(A108, Data1_Raw_Slack!A:B, 2, FALSE)), ""food|cooking|recipe|restaurant|"&amp;"snack|grocery|foodies""), ""Food"",
  REGEXMATCH(LOWER(VLOOKUP(A108, Data1_Raw_Slack!A:B, 2, FALSE)), ""travel|vacation|airline|hotel|trip|flights|travelers""), ""Travel"",
  REGEXMATCH(LOWER(VLOOKUP(A108, Data1_Raw_Slack!A:B, 2, FALSE)), ""fitness|workou"&amp;"t|gym|exercise|yoga|wellness|fitness enthusiasts""), ""Fitness"",
  REGEXMATCH(LOWER(VLOOKUP(A108, Data1_Raw_Slack!A:B, 2, FALSE)), ""health|medical|pharmacy|mental health|doctor|health-conscious""), ""Health"",
  REGEXMATCH(LOWER(VLOOKUP(A108, Data1_Raw_"&amp;"Slack!A:B, 2, FALSE)), ""pets|dogs|cats|animals|pet care|pet lovers""), ""Pets"",
  REGEXMATCH(LOWER(VLOOKUP(A108, Data1_Raw_Slack!A:B, 2, FALSE)), ""games|gaming|game|xbox|playstation|nintendo|gamers""), ""Gaming"",
  REGEXMATCH(LOWER(VLOOKUP(A108, Data1"&amp;"_Raw_Slack!A:B, 2, FALSE)), ""entertainment|movies|tv|netflix|streaming|celebrity|movie lovers|tv fans|hobb|photo|art""), ""Entertainment"",
  REGEXMATCH(LOWER(VLOOKUP(A108, Data1_Raw_Slack!A:B, 2, FALSE)), ""lifestyle|home|interior|decor|living|lifestyle"&amp;" enthusiasts""), ""Lifestyle"",
  REGEXMATCH(LOWER(VLOOKUP(A108, Data1_Raw_Slack!A:B, 2, FALSE)), ""financial|finance|investing|stocks|retirement|banking|credit|debt|loans|savings|personal finance|insurance|econ|ecom|business|retail|occupation|sale|job|ma"&amp;"rketing""), ""Finance"",
  REGEXMATCH(LOWER(VLOOKUP(A108, Data1_Raw_Slack!A:B, 2, FALSE)), ""auto|automotive""), ""Auto"",
  REGEXMATCH(LOWER(VLOOKUP(A108, Data1_Raw_Slack!A:B, 2, FALSE)), ""parenting|moms|dads|kids|toddlers|baby|parent|children""), ""Par"&amp;"enting"",
  REGEXMATCH(LOWER(VLOOKUP(A108, Data1_Raw_Slack!A:B, 2, FALSE)), ""education|students|learning|school|teachers|college|university|academics""), ""Education"",
  REGEXMATCH(LOWER(VLOOKUP(A108, Data1_Raw_Slack!A:B, 2, FALSE)), ""age|gender|dem"&amp;"ographic|family|household""), ""Demographics"",
  REGEXMATCH(LOWER(VLOOKUP(A108, Data1_Raw_Slack!A:B, 2, FALSE)), ""mortgage|real estate""), ""Real Estate"",REGEXMATCH(LOWER(VLOOKUP(A108, Data1_Raw_Slack!A:B, 2, FALSE)), ""technology|tech|gadgets|smartpho"&amp;"ne|electro|apps|devices|computing|ai|robots|software|computer|internet|tele|mobile|tablet""), ""Technology"", REGEXMATCH(LOWER(VLOOKUP(A108, Data1_Raw_Slack!A:B, 2, FALSE)), ""entertainment|purchas|movies|tv|netflix|streaming|celebrity|movie lovers|tv fan"&amp;"s|media|hobb|photo|art|shop""), ""Entertainment"", REGEXMATCH(LOWER(VLOOKUP(A108, Data1_Raw_Slack!A:B, 2, FALSE)), ""law|government|""), ""Law and Government"",
  TRUE, ""Other""
)"),"Sports")</f>
        <v>Sports</v>
      </c>
      <c r="G108" s="9" t="s">
        <v>154</v>
      </c>
      <c r="H108" s="9" t="s">
        <v>32</v>
      </c>
      <c r="I108" s="9" t="s">
        <v>554</v>
      </c>
      <c r="J108" s="9" t="s">
        <v>62</v>
      </c>
      <c r="K108" s="9" t="s">
        <v>56</v>
      </c>
      <c r="L108" s="9" t="s">
        <v>57</v>
      </c>
      <c r="M108" s="10" t="s">
        <v>555</v>
      </c>
      <c r="N108" s="9" t="str">
        <f ca="1">IFERROR(__xludf.DUMMYFUNCTION("REGEXEXTRACT(LOWER(M108), ""([a-z0-9\-]+)\.(?:co|net|org|io|gg)"")"),"jdpower")</f>
        <v>jdpower</v>
      </c>
      <c r="O108" s="9" t="s">
        <v>157</v>
      </c>
      <c r="P108" s="9" t="s">
        <v>39</v>
      </c>
      <c r="Q108" s="9">
        <v>21482</v>
      </c>
      <c r="R108" s="9">
        <v>67</v>
      </c>
      <c r="S108" s="9">
        <v>10473</v>
      </c>
      <c r="T108" s="9">
        <v>19679</v>
      </c>
      <c r="U108" s="9">
        <v>3</v>
      </c>
      <c r="V108" s="11">
        <v>3563.098841</v>
      </c>
      <c r="W108" s="12">
        <f t="shared" si="0"/>
        <v>1187.6996136666667</v>
      </c>
      <c r="X108" s="12">
        <f t="shared" si="1"/>
        <v>0.31188902336840146</v>
      </c>
      <c r="Y108" s="12">
        <f t="shared" si="2"/>
        <v>48.752443906526395</v>
      </c>
      <c r="Z108" s="12">
        <f t="shared" si="3"/>
        <v>340.21759199847224</v>
      </c>
      <c r="AA108" s="12">
        <f t="shared" si="4"/>
        <v>165.86439069919001</v>
      </c>
      <c r="AB108" s="12">
        <f t="shared" si="5"/>
        <v>53.18057971641791</v>
      </c>
      <c r="AC108" s="12">
        <f t="shared" si="6"/>
        <v>4.4776119402985071</v>
      </c>
      <c r="AE108" s="13"/>
      <c r="AF108" s="13"/>
    </row>
    <row r="109" spans="1:32">
      <c r="A109" s="8" t="s">
        <v>556</v>
      </c>
      <c r="B109" s="9" t="s">
        <v>198</v>
      </c>
      <c r="C109" s="9" t="s">
        <v>557</v>
      </c>
      <c r="D109" s="9"/>
      <c r="E109" s="9"/>
      <c r="F109" s="9" t="str">
        <f ca="1">IFERROR(__xludf.DUMMYFUNCTION("IFS(
  REGEXMATCH(LOWER(VLOOKUP(A109, Data1_Raw_Slack!A:B, 2, FALSE)), ""news|weather""), ""News and Weather"", REGEXMATCH(LOWER(VLOOKUP(A109, Data1_Raw_Slack!A:B, 2, FALSE)), ""sports|ufc|nba|nfl|mlb|soccer|sports fans""), ""Sports"",
  REGEXMATCH(LOWER("&amp;"VLOOKUP(A109, Data1_Raw_Slack!A:B, 2, FALSE)), ""fashion|style|clothing|apparel|shoes|accessories|beauty|cosmetics|fashionistas""), ""Fashion and Beauty"",
  REGEXMATCH(LOWER(VLOOKUP(A109, Data1_Raw_Slack!A:B, 2, FALSE)), ""food|cooking|recipe|restaurant|"&amp;"snack|grocery|foodies""), ""Food"",
  REGEXMATCH(LOWER(VLOOKUP(A109, Data1_Raw_Slack!A:B, 2, FALSE)), ""travel|vacation|airline|hotel|trip|flights|travelers""), ""Travel"",
  REGEXMATCH(LOWER(VLOOKUP(A109, Data1_Raw_Slack!A:B, 2, FALSE)), ""fitness|workou"&amp;"t|gym|exercise|yoga|wellness|fitness enthusiasts""), ""Fitness"",
  REGEXMATCH(LOWER(VLOOKUP(A109, Data1_Raw_Slack!A:B, 2, FALSE)), ""health|medical|pharmacy|mental health|doctor|health-conscious""), ""Health"",
  REGEXMATCH(LOWER(VLOOKUP(A109, Data1_Raw_"&amp;"Slack!A:B, 2, FALSE)), ""pets|dogs|cats|animals|pet care|pet lovers""), ""Pets"",
  REGEXMATCH(LOWER(VLOOKUP(A109, Data1_Raw_Slack!A:B, 2, FALSE)), ""games|gaming|game|xbox|playstation|nintendo|gamers""), ""Gaming"",
  REGEXMATCH(LOWER(VLOOKUP(A109, Data1"&amp;"_Raw_Slack!A:B, 2, FALSE)), ""entertainment|movies|tv|netflix|streaming|celebrity|movie lovers|tv fans|hobb|photo|art""), ""Entertainment"",
  REGEXMATCH(LOWER(VLOOKUP(A109, Data1_Raw_Slack!A:B, 2, FALSE)), ""lifestyle|home|interior|decor|living|lifestyle"&amp;" enthusiasts""), ""Lifestyle"",
  REGEXMATCH(LOWER(VLOOKUP(A109, Data1_Raw_Slack!A:B, 2, FALSE)), ""financial|finance|investing|stocks|retirement|banking|credit|debt|loans|savings|personal finance|insurance|econ|ecom|business|retail|occupation|sale|job|ma"&amp;"rketing""), ""Finance"",
  REGEXMATCH(LOWER(VLOOKUP(A109, Data1_Raw_Slack!A:B, 2, FALSE)), ""auto|automotive""), ""Auto"",
  REGEXMATCH(LOWER(VLOOKUP(A109, Data1_Raw_Slack!A:B, 2, FALSE)), ""parenting|moms|dads|kids|toddlers|baby|parent|children""), ""Par"&amp;"enting"",
  REGEXMATCH(LOWER(VLOOKUP(A109, Data1_Raw_Slack!A:B, 2, FALSE)), ""education|students|learning|school|teachers|college|university|academics""), ""Education"",
  REGEXMATCH(LOWER(VLOOKUP(A109, Data1_Raw_Slack!A:B, 2, FALSE)), ""age|gender|dem"&amp;"ographic|family|household""), ""Demographics"",
  REGEXMATCH(LOWER(VLOOKUP(A109, Data1_Raw_Slack!A:B, 2, FALSE)), ""mortgage|real estate""), ""Real Estate"",REGEXMATCH(LOWER(VLOOKUP(A109, Data1_Raw_Slack!A:B, 2, FALSE)), ""technology|tech|gadgets|smartpho"&amp;"ne|electro|apps|devices|computing|ai|robots|software|computer|internet|tele|mobile|tablet""), ""Technology"", REGEXMATCH(LOWER(VLOOKUP(A109, Data1_Raw_Slack!A:B, 2, FALSE)), ""entertainment|purchas|movies|tv|netflix|streaming|celebrity|movie lovers|tv fan"&amp;"s|media|hobb|photo|art|shop""), ""Entertainment"", REGEXMATCH(LOWER(VLOOKUP(A109, Data1_Raw_Slack!A:B, 2, FALSE)), ""law|government|""), ""Law and Government"",
  TRUE, ""Other""
)"),"Technology")</f>
        <v>Technology</v>
      </c>
      <c r="G109" s="9"/>
      <c r="H109" s="9" t="s">
        <v>44</v>
      </c>
      <c r="I109" s="9" t="s">
        <v>558</v>
      </c>
      <c r="J109" s="9" t="s">
        <v>46</v>
      </c>
      <c r="K109" s="9" t="s">
        <v>148</v>
      </c>
      <c r="L109" s="9" t="s">
        <v>89</v>
      </c>
      <c r="M109" s="10" t="s">
        <v>439</v>
      </c>
      <c r="N109" s="9" t="str">
        <f ca="1">IFERROR(__xludf.DUMMYFUNCTION("REGEXEXTRACT(LOWER(M109), ""([a-z0-9\-]+)\.(?:co|net|org|io|gg)"")"),"people")</f>
        <v>people</v>
      </c>
      <c r="O109" s="9" t="s">
        <v>50</v>
      </c>
      <c r="P109" s="9" t="s">
        <v>75</v>
      </c>
      <c r="Q109" s="9">
        <v>31625</v>
      </c>
      <c r="R109" s="9">
        <v>99</v>
      </c>
      <c r="S109" s="9">
        <v>23764</v>
      </c>
      <c r="T109" s="9">
        <v>29364</v>
      </c>
      <c r="U109" s="9">
        <v>6</v>
      </c>
      <c r="V109" s="11">
        <v>2360.5552440000001</v>
      </c>
      <c r="W109" s="12">
        <f t="shared" si="0"/>
        <v>393.42587400000002</v>
      </c>
      <c r="X109" s="12">
        <f t="shared" si="1"/>
        <v>0.31304347826086959</v>
      </c>
      <c r="Y109" s="12">
        <f t="shared" si="2"/>
        <v>75.143083003952569</v>
      </c>
      <c r="Z109" s="12">
        <f t="shared" si="3"/>
        <v>99.333245413230102</v>
      </c>
      <c r="AA109" s="12">
        <f t="shared" si="4"/>
        <v>74.642063051383403</v>
      </c>
      <c r="AB109" s="12">
        <f t="shared" si="5"/>
        <v>23.843992363636364</v>
      </c>
      <c r="AC109" s="12">
        <f t="shared" si="6"/>
        <v>6.0606060606060606</v>
      </c>
      <c r="AE109" s="13"/>
      <c r="AF109" s="13"/>
    </row>
    <row r="110" spans="1:32">
      <c r="A110" s="8" t="s">
        <v>559</v>
      </c>
      <c r="B110" s="9" t="s">
        <v>144</v>
      </c>
      <c r="C110" s="9" t="s">
        <v>560</v>
      </c>
      <c r="D110" s="9"/>
      <c r="E110" s="9"/>
      <c r="F110" s="9" t="str">
        <f ca="1">IFERROR(__xludf.DUMMYFUNCTION("IFS(
  REGEXMATCH(LOWER(VLOOKUP(A110, Data1_Raw_Slack!A:B, 2, FALSE)), ""news|weather""), ""News and Weather"", REGEXMATCH(LOWER(VLOOKUP(A110, Data1_Raw_Slack!A:B, 2, FALSE)), ""sports|ufc|nba|nfl|mlb|soccer|sports fans""), ""Sports"",
  REGEXMATCH(LOWER("&amp;"VLOOKUP(A110, Data1_Raw_Slack!A:B, 2, FALSE)), ""fashion|style|clothing|apparel|shoes|accessories|beauty|cosmetics|fashionistas""), ""Fashion and Beauty"",
  REGEXMATCH(LOWER(VLOOKUP(A110, Data1_Raw_Slack!A:B, 2, FALSE)), ""food|cooking|recipe|restaurant|"&amp;"snack|grocery|foodies""), ""Food"",
  REGEXMATCH(LOWER(VLOOKUP(A110, Data1_Raw_Slack!A:B, 2, FALSE)), ""travel|vacation|airline|hotel|trip|flights|travelers""), ""Travel"",
  REGEXMATCH(LOWER(VLOOKUP(A110, Data1_Raw_Slack!A:B, 2, FALSE)), ""fitness|workou"&amp;"t|gym|exercise|yoga|wellness|fitness enthusiasts""), ""Fitness"",
  REGEXMATCH(LOWER(VLOOKUP(A110, Data1_Raw_Slack!A:B, 2, FALSE)), ""health|medical|pharmacy|mental health|doctor|health-conscious""), ""Health"",
  REGEXMATCH(LOWER(VLOOKUP(A110, Data1_Raw_"&amp;"Slack!A:B, 2, FALSE)), ""pets|dogs|cats|animals|pet care|pet lovers""), ""Pets"",
  REGEXMATCH(LOWER(VLOOKUP(A110, Data1_Raw_Slack!A:B, 2, FALSE)), ""games|gaming|game|xbox|playstation|nintendo|gamers""), ""Gaming"",
  REGEXMATCH(LOWER(VLOOKUP(A110, Data1"&amp;"_Raw_Slack!A:B, 2, FALSE)), ""entertainment|movies|tv|netflix|streaming|celebrity|movie lovers|tv fans|hobb|photo|art""), ""Entertainment"",
  REGEXMATCH(LOWER(VLOOKUP(A110, Data1_Raw_Slack!A:B, 2, FALSE)), ""lifestyle|home|interior|decor|living|lifestyle"&amp;" enthusiasts""), ""Lifestyle"",
  REGEXMATCH(LOWER(VLOOKUP(A110, Data1_Raw_Slack!A:B, 2, FALSE)), ""financial|finance|investing|stocks|retirement|banking|credit|debt|loans|savings|personal finance|insurance|econ|ecom|business|retail|occupation|sale|job|ma"&amp;"rketing""), ""Finance"",
  REGEXMATCH(LOWER(VLOOKUP(A110, Data1_Raw_Slack!A:B, 2, FALSE)), ""auto|automotive""), ""Auto"",
  REGEXMATCH(LOWER(VLOOKUP(A110, Data1_Raw_Slack!A:B, 2, FALSE)), ""parenting|moms|dads|kids|toddlers|baby|parent|children""), ""Par"&amp;"enting"",
  REGEXMATCH(LOWER(VLOOKUP(A110, Data1_Raw_Slack!A:B, 2, FALSE)), ""education|students|learning|school|teachers|college|university|academics""), ""Education"",
  REGEXMATCH(LOWER(VLOOKUP(A110, Data1_Raw_Slack!A:B, 2, FALSE)), ""age|gender|dem"&amp;"ographic|family|household""), ""Demographics"",
  REGEXMATCH(LOWER(VLOOKUP(A110, Data1_Raw_Slack!A:B, 2, FALSE)), ""mortgage|real estate""), ""Real Estate"",REGEXMATCH(LOWER(VLOOKUP(A110, Data1_Raw_Slack!A:B, 2, FALSE)), ""technology|tech|gadgets|smartpho"&amp;"ne|electro|apps|devices|computing|ai|robots|software|computer|internet|tele|mobile|tablet""), ""Technology"", REGEXMATCH(LOWER(VLOOKUP(A110, Data1_Raw_Slack!A:B, 2, FALSE)), ""entertainment|purchas|movies|tv|netflix|streaming|celebrity|movie lovers|tv fan"&amp;"s|media|hobb|photo|art|shop""), ""Entertainment"", REGEXMATCH(LOWER(VLOOKUP(A110, Data1_Raw_Slack!A:B, 2, FALSE)), ""law|government|""), ""Law and Government"",
  TRUE, ""Other""
)"),"Law and Government")</f>
        <v>Law and Government</v>
      </c>
      <c r="G110" s="9"/>
      <c r="H110" s="9" t="s">
        <v>44</v>
      </c>
      <c r="I110" s="9" t="s">
        <v>561</v>
      </c>
      <c r="J110" s="9" t="s">
        <v>62</v>
      </c>
      <c r="K110" s="9" t="s">
        <v>56</v>
      </c>
      <c r="L110" s="9" t="s">
        <v>57</v>
      </c>
      <c r="M110" s="10" t="s">
        <v>562</v>
      </c>
      <c r="N110" s="9" t="str">
        <f ca="1">IFERROR(__xludf.DUMMYFUNCTION("REGEXEXTRACT(LOWER(M110), ""([a-z0-9\-]+)\.(?:co|net|org|io|gg)"")"),"screenrant")</f>
        <v>screenrant</v>
      </c>
      <c r="O110" s="9" t="s">
        <v>103</v>
      </c>
      <c r="P110" s="9" t="s">
        <v>39</v>
      </c>
      <c r="Q110" s="9">
        <v>83537</v>
      </c>
      <c r="R110" s="9">
        <v>222</v>
      </c>
      <c r="S110" s="9">
        <v>67987</v>
      </c>
      <c r="T110" s="9">
        <v>79409</v>
      </c>
      <c r="U110" s="9">
        <v>4</v>
      </c>
      <c r="V110" s="11">
        <v>1761.0793229999999</v>
      </c>
      <c r="W110" s="12">
        <f t="shared" si="0"/>
        <v>440.26983074999998</v>
      </c>
      <c r="X110" s="12">
        <f t="shared" si="1"/>
        <v>0.26575050576391301</v>
      </c>
      <c r="Y110" s="12">
        <f t="shared" si="2"/>
        <v>81.38549385302322</v>
      </c>
      <c r="Z110" s="12">
        <f t="shared" si="3"/>
        <v>25.903177416270758</v>
      </c>
      <c r="AA110" s="12">
        <f t="shared" si="4"/>
        <v>21.081428863856733</v>
      </c>
      <c r="AB110" s="12">
        <f t="shared" si="5"/>
        <v>7.9327897432432426</v>
      </c>
      <c r="AC110" s="12">
        <f t="shared" si="6"/>
        <v>1.8018018018018018</v>
      </c>
      <c r="AE110" s="13"/>
      <c r="AF110" s="13"/>
    </row>
    <row r="111" spans="1:32">
      <c r="A111" s="8" t="s">
        <v>563</v>
      </c>
      <c r="B111" s="9" t="s">
        <v>52</v>
      </c>
      <c r="C111" s="9" t="s">
        <v>53</v>
      </c>
      <c r="D111" s="9" t="s">
        <v>564</v>
      </c>
      <c r="E111" s="9"/>
      <c r="F111" s="9" t="str">
        <f ca="1">IFERROR(__xludf.DUMMYFUNCTION("IFS(
  REGEXMATCH(LOWER(VLOOKUP(A111, Data1_Raw_Slack!A:B, 2, FALSE)), ""news|weather""), ""News and Weather"", REGEXMATCH(LOWER(VLOOKUP(A111, Data1_Raw_Slack!A:B, 2, FALSE)), ""sports|ufc|nba|nfl|mlb|soccer|sports fans""), ""Sports"",
  REGEXMATCH(LOWER("&amp;"VLOOKUP(A111, Data1_Raw_Slack!A:B, 2, FALSE)), ""fashion|style|clothing|apparel|shoes|accessories|beauty|cosmetics|fashionistas""), ""Fashion and Beauty"",
  REGEXMATCH(LOWER(VLOOKUP(A111, Data1_Raw_Slack!A:B, 2, FALSE)), ""food|cooking|recipe|restaurant|"&amp;"snack|grocery|foodies""), ""Food"",
  REGEXMATCH(LOWER(VLOOKUP(A111, Data1_Raw_Slack!A:B, 2, FALSE)), ""travel|vacation|airline|hotel|trip|flights|travelers""), ""Travel"",
  REGEXMATCH(LOWER(VLOOKUP(A111, Data1_Raw_Slack!A:B, 2, FALSE)), ""fitness|workou"&amp;"t|gym|exercise|yoga|wellness|fitness enthusiasts""), ""Fitness"",
  REGEXMATCH(LOWER(VLOOKUP(A111, Data1_Raw_Slack!A:B, 2, FALSE)), ""health|medical|pharmacy|mental health|doctor|health-conscious""), ""Health"",
  REGEXMATCH(LOWER(VLOOKUP(A111, Data1_Raw_"&amp;"Slack!A:B, 2, FALSE)), ""pets|dogs|cats|animals|pet care|pet lovers""), ""Pets"",
  REGEXMATCH(LOWER(VLOOKUP(A111, Data1_Raw_Slack!A:B, 2, FALSE)), ""games|gaming|game|xbox|playstation|nintendo|gamers""), ""Gaming"",
  REGEXMATCH(LOWER(VLOOKUP(A111, Data1"&amp;"_Raw_Slack!A:B, 2, FALSE)), ""entertainment|movies|tv|netflix|streaming|celebrity|movie lovers|tv fans|hobb|photo|art""), ""Entertainment"",
  REGEXMATCH(LOWER(VLOOKUP(A111, Data1_Raw_Slack!A:B, 2, FALSE)), ""lifestyle|home|interior|decor|living|lifestyle"&amp;" enthusiasts""), ""Lifestyle"",
  REGEXMATCH(LOWER(VLOOKUP(A111, Data1_Raw_Slack!A:B, 2, FALSE)), ""financial|finance|investing|stocks|retirement|banking|credit|debt|loans|savings|personal finance|insurance|econ|ecom|business|retail|occupation|sale|job|ma"&amp;"rketing""), ""Finance"",
  REGEXMATCH(LOWER(VLOOKUP(A111, Data1_Raw_Slack!A:B, 2, FALSE)), ""auto|automotive""), ""Auto"",
  REGEXMATCH(LOWER(VLOOKUP(A111, Data1_Raw_Slack!A:B, 2, FALSE)), ""parenting|moms|dads|kids|toddlers|baby|parent|children""), ""Par"&amp;"enting"",
  REGEXMATCH(LOWER(VLOOKUP(A111, Data1_Raw_Slack!A:B, 2, FALSE)), ""education|students|learning|school|teachers|college|university|academics""), ""Education"",
  REGEXMATCH(LOWER(VLOOKUP(A111, Data1_Raw_Slack!A:B, 2, FALSE)), ""age|gender|dem"&amp;"ographic|family|household""), ""Demographics"",
  REGEXMATCH(LOWER(VLOOKUP(A111, Data1_Raw_Slack!A:B, 2, FALSE)), ""mortgage|real estate""), ""Real Estate"",REGEXMATCH(LOWER(VLOOKUP(A111, Data1_Raw_Slack!A:B, 2, FALSE)), ""technology|tech|gadgets|smartpho"&amp;"ne|electro|apps|devices|computing|ai|robots|software|computer|internet|tele|mobile|tablet""), ""Technology"", REGEXMATCH(LOWER(VLOOKUP(A111, Data1_Raw_Slack!A:B, 2, FALSE)), ""entertainment|purchas|movies|tv|netflix|streaming|celebrity|movie lovers|tv fan"&amp;"s|media|hobb|photo|art|shop""), ""Entertainment"", REGEXMATCH(LOWER(VLOOKUP(A111, Data1_Raw_Slack!A:B, 2, FALSE)), ""law|government|""), ""Law and Government"",
  TRUE, ""Other""
)"),"Finance")</f>
        <v>Finance</v>
      </c>
      <c r="G111" s="9"/>
      <c r="H111" s="9" t="s">
        <v>32</v>
      </c>
      <c r="I111" s="9" t="s">
        <v>565</v>
      </c>
      <c r="J111" s="9" t="s">
        <v>46</v>
      </c>
      <c r="K111" s="9" t="s">
        <v>56</v>
      </c>
      <c r="L111" s="9" t="s">
        <v>57</v>
      </c>
      <c r="M111" s="10" t="s">
        <v>130</v>
      </c>
      <c r="N111" s="9" t="str">
        <f ca="1">IFERROR(__xludf.DUMMYFUNCTION("REGEXEXTRACT(LOWER(M111), ""([a-z0-9\-]+)\.(?:co|net|org|io|gg)"")"),"weather")</f>
        <v>weather</v>
      </c>
      <c r="O111" s="9" t="s">
        <v>74</v>
      </c>
      <c r="P111" s="9" t="s">
        <v>39</v>
      </c>
      <c r="Q111" s="9">
        <v>61848</v>
      </c>
      <c r="R111" s="9">
        <v>213</v>
      </c>
      <c r="S111" s="9">
        <v>6581</v>
      </c>
      <c r="T111" s="9">
        <v>44917</v>
      </c>
      <c r="U111" s="9">
        <v>15</v>
      </c>
      <c r="V111" s="11">
        <v>1819.8936020000001</v>
      </c>
      <c r="W111" s="12">
        <f t="shared" si="0"/>
        <v>121.32624013333334</v>
      </c>
      <c r="X111" s="12">
        <f t="shared" si="1"/>
        <v>0.34439270469538219</v>
      </c>
      <c r="Y111" s="12">
        <f t="shared" si="2"/>
        <v>10.640602768076574</v>
      </c>
      <c r="Z111" s="12">
        <f t="shared" si="3"/>
        <v>276.53754778908984</v>
      </c>
      <c r="AA111" s="12">
        <f t="shared" si="4"/>
        <v>29.425261964816972</v>
      </c>
      <c r="AB111" s="12">
        <f t="shared" si="5"/>
        <v>8.5441014178403769</v>
      </c>
      <c r="AC111" s="12">
        <f t="shared" si="6"/>
        <v>7.042253521126761</v>
      </c>
      <c r="AE111" s="13"/>
      <c r="AF111" s="13"/>
    </row>
    <row r="112" spans="1:32">
      <c r="A112" s="8" t="s">
        <v>566</v>
      </c>
      <c r="B112" s="9" t="s">
        <v>66</v>
      </c>
      <c r="C112" s="9" t="s">
        <v>567</v>
      </c>
      <c r="D112" s="9"/>
      <c r="E112" s="9"/>
      <c r="F112" s="9" t="str">
        <f ca="1">IFERROR(__xludf.DUMMYFUNCTION("IFS(
  REGEXMATCH(LOWER(VLOOKUP(A112, Data1_Raw_Slack!A:B, 2, FALSE)), ""news|weather""), ""News and Weather"", REGEXMATCH(LOWER(VLOOKUP(A112, Data1_Raw_Slack!A:B, 2, FALSE)), ""sports|ufc|nba|nfl|mlb|soccer|sports fans""), ""Sports"",
  REGEXMATCH(LOWER("&amp;"VLOOKUP(A112, Data1_Raw_Slack!A:B, 2, FALSE)), ""fashion|style|clothing|apparel|shoes|accessories|beauty|cosmetics|fashionistas""), ""Fashion and Beauty"",
  REGEXMATCH(LOWER(VLOOKUP(A112, Data1_Raw_Slack!A:B, 2, FALSE)), ""food|cooking|recipe|restaurant|"&amp;"snack|grocery|foodies""), ""Food"",
  REGEXMATCH(LOWER(VLOOKUP(A112, Data1_Raw_Slack!A:B, 2, FALSE)), ""travel|vacation|airline|hotel|trip|flights|travelers""), ""Travel"",
  REGEXMATCH(LOWER(VLOOKUP(A112, Data1_Raw_Slack!A:B, 2, FALSE)), ""fitness|workou"&amp;"t|gym|exercise|yoga|wellness|fitness enthusiasts""), ""Fitness"",
  REGEXMATCH(LOWER(VLOOKUP(A112, Data1_Raw_Slack!A:B, 2, FALSE)), ""health|medical|pharmacy|mental health|doctor|health-conscious""), ""Health"",
  REGEXMATCH(LOWER(VLOOKUP(A112, Data1_Raw_"&amp;"Slack!A:B, 2, FALSE)), ""pets|dogs|cats|animals|pet care|pet lovers""), ""Pets"",
  REGEXMATCH(LOWER(VLOOKUP(A112, Data1_Raw_Slack!A:B, 2, FALSE)), ""games|gaming|game|xbox|playstation|nintendo|gamers""), ""Gaming"",
  REGEXMATCH(LOWER(VLOOKUP(A112, Data1"&amp;"_Raw_Slack!A:B, 2, FALSE)), ""entertainment|movies|tv|netflix|streaming|celebrity|movie lovers|tv fans|hobb|photo|art""), ""Entertainment"",
  REGEXMATCH(LOWER(VLOOKUP(A112, Data1_Raw_Slack!A:B, 2, FALSE)), ""lifestyle|home|interior|decor|living|lifestyle"&amp;" enthusiasts""), ""Lifestyle"",
  REGEXMATCH(LOWER(VLOOKUP(A112, Data1_Raw_Slack!A:B, 2, FALSE)), ""financial|finance|investing|stocks|retirement|banking|credit|debt|loans|savings|personal finance|insurance|econ|ecom|business|retail|occupation|sale|job|ma"&amp;"rketing""), ""Finance"",
  REGEXMATCH(LOWER(VLOOKUP(A112, Data1_Raw_Slack!A:B, 2, FALSE)), ""auto|automotive""), ""Auto"",
  REGEXMATCH(LOWER(VLOOKUP(A112, Data1_Raw_Slack!A:B, 2, FALSE)), ""parenting|moms|dads|kids|toddlers|baby|parent|children""), ""Par"&amp;"enting"",
  REGEXMATCH(LOWER(VLOOKUP(A112, Data1_Raw_Slack!A:B, 2, FALSE)), ""education|students|learning|school|teachers|college|university|academics""), ""Education"",
  REGEXMATCH(LOWER(VLOOKUP(A112, Data1_Raw_Slack!A:B, 2, FALSE)), ""age|gender|dem"&amp;"ographic|family|household""), ""Demographics"",
  REGEXMATCH(LOWER(VLOOKUP(A112, Data1_Raw_Slack!A:B, 2, FALSE)), ""mortgage|real estate""), ""Real Estate"",REGEXMATCH(LOWER(VLOOKUP(A112, Data1_Raw_Slack!A:B, 2, FALSE)), ""technology|tech|gadgets|smartpho"&amp;"ne|electro|apps|devices|computing|ai|robots|software|computer|internet|tele|mobile|tablet""), ""Technology"", REGEXMATCH(LOWER(VLOOKUP(A112, Data1_Raw_Slack!A:B, 2, FALSE)), ""entertainment|purchas|movies|tv|netflix|streaming|celebrity|movie lovers|tv fan"&amp;"s|media|hobb|photo|art|shop""), ""Entertainment"", REGEXMATCH(LOWER(VLOOKUP(A112, Data1_Raw_Slack!A:B, 2, FALSE)), ""law|government|""), ""Law and Government"",
  TRUE, ""Other""
)"),"Law and Government")</f>
        <v>Law and Government</v>
      </c>
      <c r="G112" s="9"/>
      <c r="H112" s="9" t="s">
        <v>32</v>
      </c>
      <c r="I112" s="9" t="s">
        <v>568</v>
      </c>
      <c r="J112" s="9" t="s">
        <v>34</v>
      </c>
      <c r="K112" s="9" t="s">
        <v>142</v>
      </c>
      <c r="L112" s="9" t="s">
        <v>72</v>
      </c>
      <c r="M112" s="10" t="s">
        <v>90</v>
      </c>
      <c r="N112" s="9" t="str">
        <f ca="1">IFERROR(__xludf.DUMMYFUNCTION("REGEXEXTRACT(LOWER(M112), ""([a-z0-9\-]+)\.(?:co|net|org|io|gg)"")"),"live")</f>
        <v>live</v>
      </c>
      <c r="O112" s="9" t="s">
        <v>131</v>
      </c>
      <c r="P112" s="9" t="s">
        <v>39</v>
      </c>
      <c r="Q112" s="9">
        <v>8278</v>
      </c>
      <c r="R112" s="9">
        <v>40</v>
      </c>
      <c r="S112" s="9">
        <v>6758</v>
      </c>
      <c r="T112" s="9">
        <v>7537</v>
      </c>
      <c r="U112" s="9">
        <v>1</v>
      </c>
      <c r="V112" s="11">
        <v>1526.296619</v>
      </c>
      <c r="W112" s="12">
        <f t="shared" si="0"/>
        <v>1526.296619</v>
      </c>
      <c r="X112" s="12">
        <f t="shared" si="1"/>
        <v>0.48320850446967867</v>
      </c>
      <c r="Y112" s="12">
        <f t="shared" si="2"/>
        <v>81.638076830152201</v>
      </c>
      <c r="Z112" s="12">
        <f t="shared" si="3"/>
        <v>225.85034314886059</v>
      </c>
      <c r="AA112" s="12">
        <f t="shared" si="4"/>
        <v>184.37987666102924</v>
      </c>
      <c r="AB112" s="12">
        <f t="shared" si="5"/>
        <v>38.157415475000001</v>
      </c>
      <c r="AC112" s="12">
        <f t="shared" si="6"/>
        <v>2.5</v>
      </c>
      <c r="AE112" s="13"/>
      <c r="AF112" s="13"/>
    </row>
    <row r="113" spans="1:32">
      <c r="A113" s="8" t="s">
        <v>569</v>
      </c>
      <c r="B113" s="9" t="s">
        <v>507</v>
      </c>
      <c r="C113" s="9" t="s">
        <v>508</v>
      </c>
      <c r="D113" s="9" t="s">
        <v>570</v>
      </c>
      <c r="E113" s="9"/>
      <c r="F113" s="9" t="str">
        <f ca="1">IFERROR(__xludf.DUMMYFUNCTION("IFS(
  REGEXMATCH(LOWER(VLOOKUP(A113, Data1_Raw_Slack!A:B, 2, FALSE)), ""news|weather""), ""News and Weather"", REGEXMATCH(LOWER(VLOOKUP(A113, Data1_Raw_Slack!A:B, 2, FALSE)), ""sports|ufc|nba|nfl|mlb|soccer|sports fans""), ""Sports"",
  REGEXMATCH(LOWER("&amp;"VLOOKUP(A113, Data1_Raw_Slack!A:B, 2, FALSE)), ""fashion|style|clothing|apparel|shoes|accessories|beauty|cosmetics|fashionistas""), ""Fashion and Beauty"",
  REGEXMATCH(LOWER(VLOOKUP(A113, Data1_Raw_Slack!A:B, 2, FALSE)), ""food|cooking|recipe|restaurant|"&amp;"snack|grocery|foodies""), ""Food"",
  REGEXMATCH(LOWER(VLOOKUP(A113, Data1_Raw_Slack!A:B, 2, FALSE)), ""travel|vacation|airline|hotel|trip|flights|travelers""), ""Travel"",
  REGEXMATCH(LOWER(VLOOKUP(A113, Data1_Raw_Slack!A:B, 2, FALSE)), ""fitness|workou"&amp;"t|gym|exercise|yoga|wellness|fitness enthusiasts""), ""Fitness"",
  REGEXMATCH(LOWER(VLOOKUP(A113, Data1_Raw_Slack!A:B, 2, FALSE)), ""health|medical|pharmacy|mental health|doctor|health-conscious""), ""Health"",
  REGEXMATCH(LOWER(VLOOKUP(A113, Data1_Raw_"&amp;"Slack!A:B, 2, FALSE)), ""pets|dogs|cats|animals|pet care|pet lovers""), ""Pets"",
  REGEXMATCH(LOWER(VLOOKUP(A113, Data1_Raw_Slack!A:B, 2, FALSE)), ""games|gaming|game|xbox|playstation|nintendo|gamers""), ""Gaming"",
  REGEXMATCH(LOWER(VLOOKUP(A113, Data1"&amp;"_Raw_Slack!A:B, 2, FALSE)), ""entertainment|movies|tv|netflix|streaming|celebrity|movie lovers|tv fans|hobb|photo|art""), ""Entertainment"",
  REGEXMATCH(LOWER(VLOOKUP(A113, Data1_Raw_Slack!A:B, 2, FALSE)), ""lifestyle|home|interior|decor|living|lifestyle"&amp;" enthusiasts""), ""Lifestyle"",
  REGEXMATCH(LOWER(VLOOKUP(A113, Data1_Raw_Slack!A:B, 2, FALSE)), ""financial|finance|investing|stocks|retirement|banking|credit|debt|loans|savings|personal finance|insurance|econ|ecom|business|retail|occupation|sale|job|ma"&amp;"rketing""), ""Finance"",
  REGEXMATCH(LOWER(VLOOKUP(A113, Data1_Raw_Slack!A:B, 2, FALSE)), ""auto|automotive""), ""Auto"",
  REGEXMATCH(LOWER(VLOOKUP(A113, Data1_Raw_Slack!A:B, 2, FALSE)), ""parenting|moms|dads|kids|toddlers|baby|parent|children""), ""Par"&amp;"enting"",
  REGEXMATCH(LOWER(VLOOKUP(A113, Data1_Raw_Slack!A:B, 2, FALSE)), ""education|students|learning|school|teachers|college|university|academics""), ""Education"",
  REGEXMATCH(LOWER(VLOOKUP(A113, Data1_Raw_Slack!A:B, 2, FALSE)), ""age|gender|dem"&amp;"ographic|family|household""), ""Demographics"",
  REGEXMATCH(LOWER(VLOOKUP(A113, Data1_Raw_Slack!A:B, 2, FALSE)), ""mortgage|real estate""), ""Real Estate"",REGEXMATCH(LOWER(VLOOKUP(A113, Data1_Raw_Slack!A:B, 2, FALSE)), ""technology|tech|gadgets|smartpho"&amp;"ne|electro|apps|devices|computing|ai|robots|software|computer|internet|tele|mobile|tablet""), ""Technology"", REGEXMATCH(LOWER(VLOOKUP(A113, Data1_Raw_Slack!A:B, 2, FALSE)), ""entertainment|purchas|movies|tv|netflix|streaming|celebrity|movie lovers|tv fan"&amp;"s|media|hobb|photo|art|shop""), ""Entertainment"", REGEXMATCH(LOWER(VLOOKUP(A113, Data1_Raw_Slack!A:B, 2, FALSE)), ""law|government|""), ""Law and Government"",
  TRUE, ""Other""
)"),"Demographics")</f>
        <v>Demographics</v>
      </c>
      <c r="G113" s="9"/>
      <c r="H113" s="9" t="s">
        <v>44</v>
      </c>
      <c r="I113" s="9" t="s">
        <v>245</v>
      </c>
      <c r="J113" s="9" t="s">
        <v>62</v>
      </c>
      <c r="K113" s="9" t="s">
        <v>88</v>
      </c>
      <c r="L113" s="9" t="s">
        <v>89</v>
      </c>
      <c r="M113" s="10" t="s">
        <v>49</v>
      </c>
      <c r="N113" s="9" t="str">
        <f ca="1">IFERROR(__xludf.DUMMYFUNCTION("REGEXEXTRACT(LOWER(M113), ""([a-z0-9\-]+)\.(?:co|net|org|io|gg)"")"),"yahoo")</f>
        <v>yahoo</v>
      </c>
      <c r="O113" s="9" t="s">
        <v>50</v>
      </c>
      <c r="P113" s="9" t="s">
        <v>75</v>
      </c>
      <c r="Q113" s="9">
        <v>32436</v>
      </c>
      <c r="R113" s="9">
        <v>56</v>
      </c>
      <c r="S113" s="9">
        <v>17531</v>
      </c>
      <c r="T113" s="9">
        <v>28429</v>
      </c>
      <c r="U113" s="9">
        <v>6</v>
      </c>
      <c r="V113" s="11">
        <v>1470.670167</v>
      </c>
      <c r="W113" s="12">
        <f t="shared" si="0"/>
        <v>245.1116945</v>
      </c>
      <c r="X113" s="12">
        <f t="shared" si="1"/>
        <v>0.17264767542237022</v>
      </c>
      <c r="Y113" s="12">
        <f t="shared" si="2"/>
        <v>54.047971389813789</v>
      </c>
      <c r="Z113" s="12">
        <f t="shared" si="3"/>
        <v>83.889690662255433</v>
      </c>
      <c r="AA113" s="12">
        <f t="shared" si="4"/>
        <v>45.340676008139106</v>
      </c>
      <c r="AB113" s="12">
        <f t="shared" si="5"/>
        <v>26.261967267857141</v>
      </c>
      <c r="AC113" s="12">
        <f t="shared" si="6"/>
        <v>10.714285714285714</v>
      </c>
      <c r="AE113" s="13"/>
      <c r="AF113" s="13"/>
    </row>
    <row r="114" spans="1:32">
      <c r="A114" s="8" t="s">
        <v>571</v>
      </c>
      <c r="B114" s="9"/>
      <c r="C114" s="9" t="s">
        <v>325</v>
      </c>
      <c r="D114" s="9" t="s">
        <v>572</v>
      </c>
      <c r="E114" s="9" t="s">
        <v>573</v>
      </c>
      <c r="F114" s="9" t="str">
        <f ca="1">IFERROR(__xludf.DUMMYFUNCTION("IFS(
  REGEXMATCH(LOWER(VLOOKUP(A114, Data1_Raw_Slack!A:B, 2, FALSE)), ""news|weather""), ""News and Weather"", REGEXMATCH(LOWER(VLOOKUP(A114, Data1_Raw_Slack!A:B, 2, FALSE)), ""sports|ufc|nba|nfl|mlb|soccer|sports fans""), ""Sports"",
  REGEXMATCH(LOWER("&amp;"VLOOKUP(A114, Data1_Raw_Slack!A:B, 2, FALSE)), ""fashion|style|clothing|apparel|shoes|accessories|beauty|cosmetics|fashionistas""), ""Fashion and Beauty"",
  REGEXMATCH(LOWER(VLOOKUP(A114, Data1_Raw_Slack!A:B, 2, FALSE)), ""food|cooking|recipe|restaurant|"&amp;"snack|grocery|foodies""), ""Food"",
  REGEXMATCH(LOWER(VLOOKUP(A114, Data1_Raw_Slack!A:B, 2, FALSE)), ""travel|vacation|airline|hotel|trip|flights|travelers""), ""Travel"",
  REGEXMATCH(LOWER(VLOOKUP(A114, Data1_Raw_Slack!A:B, 2, FALSE)), ""fitness|workou"&amp;"t|gym|exercise|yoga|wellness|fitness enthusiasts""), ""Fitness"",
  REGEXMATCH(LOWER(VLOOKUP(A114, Data1_Raw_Slack!A:B, 2, FALSE)), ""health|medical|pharmacy|mental health|doctor|health-conscious""), ""Health"",
  REGEXMATCH(LOWER(VLOOKUP(A114, Data1_Raw_"&amp;"Slack!A:B, 2, FALSE)), ""pets|dogs|cats|animals|pet care|pet lovers""), ""Pets"",
  REGEXMATCH(LOWER(VLOOKUP(A114, Data1_Raw_Slack!A:B, 2, FALSE)), ""games|gaming|game|xbox|playstation|nintendo|gamers""), ""Gaming"",
  REGEXMATCH(LOWER(VLOOKUP(A114, Data1"&amp;"_Raw_Slack!A:B, 2, FALSE)), ""entertainment|movies|tv|netflix|streaming|celebrity|movie lovers|tv fans|hobb|photo|art""), ""Entertainment"",
  REGEXMATCH(LOWER(VLOOKUP(A114, Data1_Raw_Slack!A:B, 2, FALSE)), ""lifestyle|home|interior|decor|living|lifestyle"&amp;" enthusiasts""), ""Lifestyle"",
  REGEXMATCH(LOWER(VLOOKUP(A114, Data1_Raw_Slack!A:B, 2, FALSE)), ""financial|finance|investing|stocks|retirement|banking|credit|debt|loans|savings|personal finance|insurance|econ|ecom|business|retail|occupation|sale|job|ma"&amp;"rketing""), ""Finance"",
  REGEXMATCH(LOWER(VLOOKUP(A114, Data1_Raw_Slack!A:B, 2, FALSE)), ""auto|automotive""), ""Auto"",
  REGEXMATCH(LOWER(VLOOKUP(A114, Data1_Raw_Slack!A:B, 2, FALSE)), ""parenting|moms|dads|kids|toddlers|baby|parent|children""), ""Par"&amp;"enting"",
  REGEXMATCH(LOWER(VLOOKUP(A114, Data1_Raw_Slack!A:B, 2, FALSE)), ""education|students|learning|school|teachers|college|university|academics""), ""Education"",
  REGEXMATCH(LOWER(VLOOKUP(A114, Data1_Raw_Slack!A:B, 2, FALSE)), ""age|gender|dem"&amp;"ographic|family|household""), ""Demographics"",
  REGEXMATCH(LOWER(VLOOKUP(A114, Data1_Raw_Slack!A:B, 2, FALSE)), ""mortgage|real estate""), ""Real Estate"",REGEXMATCH(LOWER(VLOOKUP(A114, Data1_Raw_Slack!A:B, 2, FALSE)), ""technology|tech|gadgets|smartpho"&amp;"ne|electro|apps|devices|computing|ai|robots|software|computer|internet|tele|mobile|tablet""), ""Technology"", REGEXMATCH(LOWER(VLOOKUP(A114, Data1_Raw_Slack!A:B, 2, FALSE)), ""entertainment|purchas|movies|tv|netflix|streaming|celebrity|movie lovers|tv fan"&amp;"s|media|hobb|photo|art|shop""), ""Entertainment"", REGEXMATCH(LOWER(VLOOKUP(A114, Data1_Raw_Slack!A:B, 2, FALSE)), ""law|government|""), ""Law and Government"",
  TRUE, ""Other""
)"),"Demographics")</f>
        <v>Demographics</v>
      </c>
      <c r="G114" s="9"/>
      <c r="H114" s="9" t="s">
        <v>32</v>
      </c>
      <c r="I114" s="9" t="s">
        <v>190</v>
      </c>
      <c r="J114" s="9" t="s">
        <v>62</v>
      </c>
      <c r="K114" s="9" t="s">
        <v>88</v>
      </c>
      <c r="L114" s="9" t="s">
        <v>89</v>
      </c>
      <c r="M114" s="10" t="s">
        <v>574</v>
      </c>
      <c r="N114" s="9" t="str">
        <f ca="1">IFERROR(__xludf.DUMMYFUNCTION("REGEXEXTRACT(LOWER(M114), ""([a-z0-9\-]+)\.(?:co|net|org|io|gg)"")"),"dailymail")</f>
        <v>dailymail</v>
      </c>
      <c r="O114" s="9" t="s">
        <v>50</v>
      </c>
      <c r="P114" s="9" t="s">
        <v>39</v>
      </c>
      <c r="Q114" s="9">
        <v>11025</v>
      </c>
      <c r="R114" s="9">
        <v>50</v>
      </c>
      <c r="S114" s="9">
        <v>7974</v>
      </c>
      <c r="T114" s="9">
        <v>10311</v>
      </c>
      <c r="U114" s="9">
        <v>4</v>
      </c>
      <c r="V114" s="11">
        <v>1657.159766</v>
      </c>
      <c r="W114" s="12">
        <f t="shared" si="0"/>
        <v>414.2899415</v>
      </c>
      <c r="X114" s="12">
        <f t="shared" si="1"/>
        <v>0.45351473922902497</v>
      </c>
      <c r="Y114" s="12">
        <f t="shared" si="2"/>
        <v>72.326530612244895</v>
      </c>
      <c r="Z114" s="12">
        <f t="shared" si="3"/>
        <v>207.82038700777528</v>
      </c>
      <c r="AA114" s="12">
        <f t="shared" si="4"/>
        <v>150.30927582766441</v>
      </c>
      <c r="AB114" s="12">
        <f t="shared" si="5"/>
        <v>33.143195319999997</v>
      </c>
      <c r="AC114" s="12">
        <f t="shared" si="6"/>
        <v>8</v>
      </c>
      <c r="AE114" s="13"/>
      <c r="AF114" s="13"/>
    </row>
    <row r="115" spans="1:32">
      <c r="A115" s="8" t="s">
        <v>575</v>
      </c>
      <c r="B115" s="9"/>
      <c r="C115" s="9" t="s">
        <v>325</v>
      </c>
      <c r="D115" s="9" t="s">
        <v>576</v>
      </c>
      <c r="E115" s="9" t="s">
        <v>577</v>
      </c>
      <c r="F115" s="9" t="str">
        <f ca="1">IFERROR(__xludf.DUMMYFUNCTION("IFS(
  REGEXMATCH(LOWER(VLOOKUP(A115, Data1_Raw_Slack!A:B, 2, FALSE)), ""news|weather""), ""News and Weather"", REGEXMATCH(LOWER(VLOOKUP(A115, Data1_Raw_Slack!A:B, 2, FALSE)), ""sports|ufc|nba|nfl|mlb|soccer|sports fans""), ""Sports"",
  REGEXMATCH(LOWER("&amp;"VLOOKUP(A115, Data1_Raw_Slack!A:B, 2, FALSE)), ""fashion|style|clothing|apparel|shoes|accessories|beauty|cosmetics|fashionistas""), ""Fashion and Beauty"",
  REGEXMATCH(LOWER(VLOOKUP(A115, Data1_Raw_Slack!A:B, 2, FALSE)), ""food|cooking|recipe|restaurant|"&amp;"snack|grocery|foodies""), ""Food"",
  REGEXMATCH(LOWER(VLOOKUP(A115, Data1_Raw_Slack!A:B, 2, FALSE)), ""travel|vacation|airline|hotel|trip|flights|travelers""), ""Travel"",
  REGEXMATCH(LOWER(VLOOKUP(A115, Data1_Raw_Slack!A:B, 2, FALSE)), ""fitness|workou"&amp;"t|gym|exercise|yoga|wellness|fitness enthusiasts""), ""Fitness"",
  REGEXMATCH(LOWER(VLOOKUP(A115, Data1_Raw_Slack!A:B, 2, FALSE)), ""health|medical|pharmacy|mental health|doctor|health-conscious""), ""Health"",
  REGEXMATCH(LOWER(VLOOKUP(A115, Data1_Raw_"&amp;"Slack!A:B, 2, FALSE)), ""pets|dogs|cats|animals|pet care|pet lovers""), ""Pets"",
  REGEXMATCH(LOWER(VLOOKUP(A115, Data1_Raw_Slack!A:B, 2, FALSE)), ""games|gaming|game|xbox|playstation|nintendo|gamers""), ""Gaming"",
  REGEXMATCH(LOWER(VLOOKUP(A115, Data1"&amp;"_Raw_Slack!A:B, 2, FALSE)), ""entertainment|movies|tv|netflix|streaming|celebrity|movie lovers|tv fans|hobb|photo|art""), ""Entertainment"",
  REGEXMATCH(LOWER(VLOOKUP(A115, Data1_Raw_Slack!A:B, 2, FALSE)), ""lifestyle|home|interior|decor|living|lifestyle"&amp;" enthusiasts""), ""Lifestyle"",
  REGEXMATCH(LOWER(VLOOKUP(A115, Data1_Raw_Slack!A:B, 2, FALSE)), ""financial|finance|investing|stocks|retirement|banking|credit|debt|loans|savings|personal finance|insurance|econ|ecom|business|retail|occupation|sale|job|ma"&amp;"rketing""), ""Finance"",
  REGEXMATCH(LOWER(VLOOKUP(A115, Data1_Raw_Slack!A:B, 2, FALSE)), ""auto|automotive""), ""Auto"",
  REGEXMATCH(LOWER(VLOOKUP(A115, Data1_Raw_Slack!A:B, 2, FALSE)), ""parenting|moms|dads|kids|toddlers|baby|parent|children""), ""Par"&amp;"enting"",
  REGEXMATCH(LOWER(VLOOKUP(A115, Data1_Raw_Slack!A:B, 2, FALSE)), ""education|students|learning|school|teachers|college|university|academics""), ""Education"",
  REGEXMATCH(LOWER(VLOOKUP(A115, Data1_Raw_Slack!A:B, 2, FALSE)), ""age|gender|dem"&amp;"ographic|family|household""), ""Demographics"",
  REGEXMATCH(LOWER(VLOOKUP(A115, Data1_Raw_Slack!A:B, 2, FALSE)), ""mortgage|real estate""), ""Real Estate"",REGEXMATCH(LOWER(VLOOKUP(A115, Data1_Raw_Slack!A:B, 2, FALSE)), ""technology|tech|gadgets|smartpho"&amp;"ne|electro|apps|devices|computing|ai|robots|software|computer|internet|tele|mobile|tablet""), ""Technology"", REGEXMATCH(LOWER(VLOOKUP(A115, Data1_Raw_Slack!A:B, 2, FALSE)), ""entertainment|purchas|movies|tv|netflix|streaming|celebrity|movie lovers|tv fan"&amp;"s|media|hobb|photo|art|shop""), ""Entertainment"", REGEXMATCH(LOWER(VLOOKUP(A115, Data1_Raw_Slack!A:B, 2, FALSE)), ""law|government|""), ""Law and Government"",
  TRUE, ""Other""
)"),"Demographics")</f>
        <v>Demographics</v>
      </c>
      <c r="G115" s="9"/>
      <c r="H115" s="9" t="s">
        <v>44</v>
      </c>
      <c r="I115" s="9" t="s">
        <v>578</v>
      </c>
      <c r="J115" s="9" t="s">
        <v>46</v>
      </c>
      <c r="K115" s="9" t="s">
        <v>315</v>
      </c>
      <c r="L115" s="9" t="s">
        <v>36</v>
      </c>
      <c r="M115" s="10" t="s">
        <v>579</v>
      </c>
      <c r="N115" s="9" t="str">
        <f ca="1">IFERROR(__xludf.DUMMYFUNCTION("REGEXEXTRACT(LOWER(M115), ""([a-z0-9\-]+)\.(?:co|net|org|io|gg)"")"),"shareably")</f>
        <v>shareably</v>
      </c>
      <c r="O115" s="9" t="s">
        <v>50</v>
      </c>
      <c r="P115" s="9" t="s">
        <v>39</v>
      </c>
      <c r="Q115" s="9">
        <v>10485</v>
      </c>
      <c r="R115" s="9">
        <v>84</v>
      </c>
      <c r="S115" s="9">
        <v>4255</v>
      </c>
      <c r="T115" s="9">
        <v>7669</v>
      </c>
      <c r="U115" s="9">
        <v>2</v>
      </c>
      <c r="V115" s="11">
        <v>2239.262819</v>
      </c>
      <c r="W115" s="12">
        <f t="shared" si="0"/>
        <v>1119.6314095</v>
      </c>
      <c r="X115" s="12">
        <f t="shared" si="1"/>
        <v>0.80114449213161654</v>
      </c>
      <c r="Y115" s="12">
        <f t="shared" si="2"/>
        <v>40.581783500238437</v>
      </c>
      <c r="Z115" s="12">
        <f t="shared" si="3"/>
        <v>526.26623243243239</v>
      </c>
      <c r="AA115" s="12">
        <f t="shared" si="4"/>
        <v>213.56822308059131</v>
      </c>
      <c r="AB115" s="12">
        <f t="shared" si="5"/>
        <v>26.657890702380953</v>
      </c>
      <c r="AC115" s="12">
        <f t="shared" si="6"/>
        <v>2.3809523809523809</v>
      </c>
      <c r="AE115" s="13"/>
      <c r="AF115" s="13"/>
    </row>
    <row r="116" spans="1:32">
      <c r="A116" s="8" t="s">
        <v>580</v>
      </c>
      <c r="B116" s="9" t="s">
        <v>498</v>
      </c>
      <c r="C116" s="9" t="s">
        <v>581</v>
      </c>
      <c r="D116" s="9" t="s">
        <v>582</v>
      </c>
      <c r="E116" s="9"/>
      <c r="F116" s="9" t="str">
        <f ca="1">IFERROR(__xludf.DUMMYFUNCTION("IFS(
  REGEXMATCH(LOWER(VLOOKUP(A116, Data1_Raw_Slack!A:B, 2, FALSE)), ""news|weather""), ""News and Weather"", REGEXMATCH(LOWER(VLOOKUP(A116, Data1_Raw_Slack!A:B, 2, FALSE)), ""sports|ufc|nba|nfl|mlb|soccer|sports fans""), ""Sports"",
  REGEXMATCH(LOWER("&amp;"VLOOKUP(A116, Data1_Raw_Slack!A:B, 2, FALSE)), ""fashion|style|clothing|apparel|shoes|accessories|beauty|cosmetics|fashionistas""), ""Fashion and Beauty"",
  REGEXMATCH(LOWER(VLOOKUP(A116, Data1_Raw_Slack!A:B, 2, FALSE)), ""food|cooking|recipe|restaurant|"&amp;"snack|grocery|foodies""), ""Food"",
  REGEXMATCH(LOWER(VLOOKUP(A116, Data1_Raw_Slack!A:B, 2, FALSE)), ""travel|vacation|airline|hotel|trip|flights|travelers""), ""Travel"",
  REGEXMATCH(LOWER(VLOOKUP(A116, Data1_Raw_Slack!A:B, 2, FALSE)), ""fitness|workou"&amp;"t|gym|exercise|yoga|wellness|fitness enthusiasts""), ""Fitness"",
  REGEXMATCH(LOWER(VLOOKUP(A116, Data1_Raw_Slack!A:B, 2, FALSE)), ""health|medical|pharmacy|mental health|doctor|health-conscious""), ""Health"",
  REGEXMATCH(LOWER(VLOOKUP(A116, Data1_Raw_"&amp;"Slack!A:B, 2, FALSE)), ""pets|dogs|cats|animals|pet care|pet lovers""), ""Pets"",
  REGEXMATCH(LOWER(VLOOKUP(A116, Data1_Raw_Slack!A:B, 2, FALSE)), ""games|gaming|game|xbox|playstation|nintendo|gamers""), ""Gaming"",
  REGEXMATCH(LOWER(VLOOKUP(A116, Data1"&amp;"_Raw_Slack!A:B, 2, FALSE)), ""entertainment|movies|tv|netflix|streaming|celebrity|movie lovers|tv fans|hobb|photo|art""), ""Entertainment"",
  REGEXMATCH(LOWER(VLOOKUP(A116, Data1_Raw_Slack!A:B, 2, FALSE)), ""lifestyle|home|interior|decor|living|lifestyle"&amp;" enthusiasts""), ""Lifestyle"",
  REGEXMATCH(LOWER(VLOOKUP(A116, Data1_Raw_Slack!A:B, 2, FALSE)), ""financial|finance|investing|stocks|retirement|banking|credit|debt|loans|savings|personal finance|insurance|econ|ecom|business|retail|occupation|sale|job|ma"&amp;"rketing""), ""Finance"",
  REGEXMATCH(LOWER(VLOOKUP(A116, Data1_Raw_Slack!A:B, 2, FALSE)), ""auto|automotive""), ""Auto"",
  REGEXMATCH(LOWER(VLOOKUP(A116, Data1_Raw_Slack!A:B, 2, FALSE)), ""parenting|moms|dads|kids|toddlers|baby|parent|children""), ""Par"&amp;"enting"",
  REGEXMATCH(LOWER(VLOOKUP(A116, Data1_Raw_Slack!A:B, 2, FALSE)), ""education|students|learning|school|teachers|college|university|academics""), ""Education"",
  REGEXMATCH(LOWER(VLOOKUP(A116, Data1_Raw_Slack!A:B, 2, FALSE)), ""age|gender|dem"&amp;"ographic|family|household""), ""Demographics"",
  REGEXMATCH(LOWER(VLOOKUP(A116, Data1_Raw_Slack!A:B, 2, FALSE)), ""mortgage|real estate""), ""Real Estate"",REGEXMATCH(LOWER(VLOOKUP(A116, Data1_Raw_Slack!A:B, 2, FALSE)), ""technology|tech|gadgets|smartpho"&amp;"ne|electro|apps|devices|computing|ai|robots|software|computer|internet|tele|mobile|tablet""), ""Technology"", REGEXMATCH(LOWER(VLOOKUP(A116, Data1_Raw_Slack!A:B, 2, FALSE)), ""entertainment|purchas|movies|tv|netflix|streaming|celebrity|movie lovers|tv fan"&amp;"s|media|hobb|photo|art|shop""), ""Entertainment"", REGEXMATCH(LOWER(VLOOKUP(A116, Data1_Raw_Slack!A:B, 2, FALSE)), ""law|government|""), ""Law and Government"",
  TRUE, ""Other""
)"),"Finance")</f>
        <v>Finance</v>
      </c>
      <c r="G116" s="9"/>
      <c r="H116" s="9" t="s">
        <v>32</v>
      </c>
      <c r="I116" s="9" t="s">
        <v>583</v>
      </c>
      <c r="J116" s="9" t="s">
        <v>80</v>
      </c>
      <c r="K116" s="9" t="s">
        <v>148</v>
      </c>
      <c r="L116" s="9" t="s">
        <v>89</v>
      </c>
      <c r="M116" s="10" t="s">
        <v>117</v>
      </c>
      <c r="N116" s="9" t="str">
        <f ca="1">IFERROR(__xludf.DUMMYFUNCTION("REGEXEXTRACT(LOWER(M116), ""([a-z0-9\-]+)\.(?:co|net|org|io|gg)"")"),"businessinsider")</f>
        <v>businessinsider</v>
      </c>
      <c r="O116" s="9" t="s">
        <v>50</v>
      </c>
      <c r="P116" s="9" t="s">
        <v>39</v>
      </c>
      <c r="Q116" s="9">
        <v>59782</v>
      </c>
      <c r="R116" s="9">
        <v>212</v>
      </c>
      <c r="S116" s="9">
        <v>28235</v>
      </c>
      <c r="T116" s="9">
        <v>57543</v>
      </c>
      <c r="U116" s="9">
        <v>13</v>
      </c>
      <c r="V116" s="11">
        <v>1455.7035539999999</v>
      </c>
      <c r="W116" s="12">
        <f t="shared" si="0"/>
        <v>111.97719646153845</v>
      </c>
      <c r="X116" s="12">
        <f t="shared" si="1"/>
        <v>0.35462179251279652</v>
      </c>
      <c r="Y116" s="12">
        <f t="shared" si="2"/>
        <v>47.229935432069851</v>
      </c>
      <c r="Z116" s="12">
        <f t="shared" si="3"/>
        <v>51.556704586506108</v>
      </c>
      <c r="AA116" s="12">
        <f t="shared" si="4"/>
        <v>24.350198287109833</v>
      </c>
      <c r="AB116" s="12">
        <f t="shared" si="5"/>
        <v>6.8665261981132071</v>
      </c>
      <c r="AC116" s="12">
        <f t="shared" si="6"/>
        <v>6.132075471698113</v>
      </c>
      <c r="AE116" s="13"/>
      <c r="AF116" s="13"/>
    </row>
    <row r="117" spans="1:32">
      <c r="A117" s="8" t="s">
        <v>584</v>
      </c>
      <c r="B117" s="9" t="s">
        <v>41</v>
      </c>
      <c r="C117" s="9" t="s">
        <v>120</v>
      </c>
      <c r="D117" s="9" t="s">
        <v>585</v>
      </c>
      <c r="E117" s="9"/>
      <c r="F117" s="9" t="str">
        <f ca="1">IFERROR(__xludf.DUMMYFUNCTION("IFS(
  REGEXMATCH(LOWER(VLOOKUP(A117, Data1_Raw_Slack!A:B, 2, FALSE)), ""news|weather""), ""News and Weather"", REGEXMATCH(LOWER(VLOOKUP(A117, Data1_Raw_Slack!A:B, 2, FALSE)), ""sports|ufc|nba|nfl|mlb|soccer|sports fans""), ""Sports"",
  REGEXMATCH(LOWER("&amp;"VLOOKUP(A117, Data1_Raw_Slack!A:B, 2, FALSE)), ""fashion|style|clothing|apparel|shoes|accessories|beauty|cosmetics|fashionistas""), ""Fashion and Beauty"",
  REGEXMATCH(LOWER(VLOOKUP(A117, Data1_Raw_Slack!A:B, 2, FALSE)), ""food|cooking|recipe|restaurant|"&amp;"snack|grocery|foodies""), ""Food"",
  REGEXMATCH(LOWER(VLOOKUP(A117, Data1_Raw_Slack!A:B, 2, FALSE)), ""travel|vacation|airline|hotel|trip|flights|travelers""), ""Travel"",
  REGEXMATCH(LOWER(VLOOKUP(A117, Data1_Raw_Slack!A:B, 2, FALSE)), ""fitness|workou"&amp;"t|gym|exercise|yoga|wellness|fitness enthusiasts""), ""Fitness"",
  REGEXMATCH(LOWER(VLOOKUP(A117, Data1_Raw_Slack!A:B, 2, FALSE)), ""health|medical|pharmacy|mental health|doctor|health-conscious""), ""Health"",
  REGEXMATCH(LOWER(VLOOKUP(A117, Data1_Raw_"&amp;"Slack!A:B, 2, FALSE)), ""pets|dogs|cats|animals|pet care|pet lovers""), ""Pets"",
  REGEXMATCH(LOWER(VLOOKUP(A117, Data1_Raw_Slack!A:B, 2, FALSE)), ""games|gaming|game|xbox|playstation|nintendo|gamers""), ""Gaming"",
  REGEXMATCH(LOWER(VLOOKUP(A117, Data1"&amp;"_Raw_Slack!A:B, 2, FALSE)), ""entertainment|movies|tv|netflix|streaming|celebrity|movie lovers|tv fans|hobb|photo|art""), ""Entertainment"",
  REGEXMATCH(LOWER(VLOOKUP(A117, Data1_Raw_Slack!A:B, 2, FALSE)), ""lifestyle|home|interior|decor|living|lifestyle"&amp;" enthusiasts""), ""Lifestyle"",
  REGEXMATCH(LOWER(VLOOKUP(A117, Data1_Raw_Slack!A:B, 2, FALSE)), ""financial|finance|investing|stocks|retirement|banking|credit|debt|loans|savings|personal finance|insurance|econ|ecom|business|retail|occupation|sale|job|ma"&amp;"rketing""), ""Finance"",
  REGEXMATCH(LOWER(VLOOKUP(A117, Data1_Raw_Slack!A:B, 2, FALSE)), ""auto|automotive""), ""Auto"",
  REGEXMATCH(LOWER(VLOOKUP(A117, Data1_Raw_Slack!A:B, 2, FALSE)), ""parenting|moms|dads|kids|toddlers|baby|parent|children""), ""Par"&amp;"enting"",
  REGEXMATCH(LOWER(VLOOKUP(A117, Data1_Raw_Slack!A:B, 2, FALSE)), ""education|students|learning|school|teachers|college|university|academics""), ""Education"",
  REGEXMATCH(LOWER(VLOOKUP(A117, Data1_Raw_Slack!A:B, 2, FALSE)), ""age|gender|dem"&amp;"ographic|family|household""), ""Demographics"",
  REGEXMATCH(LOWER(VLOOKUP(A117, Data1_Raw_Slack!A:B, 2, FALSE)), ""mortgage|real estate""), ""Real Estate"",REGEXMATCH(LOWER(VLOOKUP(A117, Data1_Raw_Slack!A:B, 2, FALSE)), ""technology|tech|gadgets|smartpho"&amp;"ne|electro|apps|devices|computing|ai|robots|software|computer|internet|tele|mobile|tablet""), ""Technology"", REGEXMATCH(LOWER(VLOOKUP(A117, Data1_Raw_Slack!A:B, 2, FALSE)), ""entertainment|purchas|movies|tv|netflix|streaming|celebrity|movie lovers|tv fan"&amp;"s|media|hobb|photo|art|shop""), ""Entertainment"", REGEXMATCH(LOWER(VLOOKUP(A117, Data1_Raw_Slack!A:B, 2, FALSE)), ""law|government|""), ""Law and Government"",
  TRUE, ""Other""
)"),"Auto")</f>
        <v>Auto</v>
      </c>
      <c r="G117" s="9" t="s">
        <v>122</v>
      </c>
      <c r="H117" s="9" t="s">
        <v>44</v>
      </c>
      <c r="I117" s="9" t="s">
        <v>586</v>
      </c>
      <c r="J117" s="9" t="s">
        <v>62</v>
      </c>
      <c r="K117" s="9" t="s">
        <v>236</v>
      </c>
      <c r="L117" s="9" t="s">
        <v>82</v>
      </c>
      <c r="M117" s="10" t="s">
        <v>207</v>
      </c>
      <c r="N117" s="9" t="str">
        <f ca="1">IFERROR(__xludf.DUMMYFUNCTION("REGEXEXTRACT(LOWER(M117), ""([a-z0-9\-]+)\.(?:co|net|org|io|gg)"")"),"realtor")</f>
        <v>realtor</v>
      </c>
      <c r="O117" s="9" t="s">
        <v>186</v>
      </c>
      <c r="P117" s="9" t="s">
        <v>75</v>
      </c>
      <c r="Q117" s="9">
        <v>16978</v>
      </c>
      <c r="R117" s="9">
        <v>30</v>
      </c>
      <c r="S117" s="9">
        <v>8367</v>
      </c>
      <c r="T117" s="9">
        <v>15731</v>
      </c>
      <c r="U117" s="9">
        <v>9</v>
      </c>
      <c r="V117" s="11">
        <v>5886.0711460000002</v>
      </c>
      <c r="W117" s="12">
        <f t="shared" si="0"/>
        <v>654.00790511111109</v>
      </c>
      <c r="X117" s="12">
        <f t="shared" si="1"/>
        <v>0.17669925786311697</v>
      </c>
      <c r="Y117" s="12">
        <f t="shared" si="2"/>
        <v>49.281423018023325</v>
      </c>
      <c r="Z117" s="12">
        <f t="shared" si="3"/>
        <v>703.48645225289829</v>
      </c>
      <c r="AA117" s="12">
        <f t="shared" si="4"/>
        <v>346.68813440923549</v>
      </c>
      <c r="AB117" s="12">
        <f t="shared" si="5"/>
        <v>196.20237153333335</v>
      </c>
      <c r="AC117" s="12">
        <f t="shared" si="6"/>
        <v>30</v>
      </c>
      <c r="AE117" s="13"/>
      <c r="AF117" s="13"/>
    </row>
    <row r="118" spans="1:32">
      <c r="A118" s="8" t="s">
        <v>587</v>
      </c>
      <c r="B118" s="9" t="s">
        <v>41</v>
      </c>
      <c r="C118" s="9" t="s">
        <v>85</v>
      </c>
      <c r="D118" s="9" t="s">
        <v>588</v>
      </c>
      <c r="E118" s="9"/>
      <c r="F118" s="9" t="str">
        <f ca="1">IFERROR(__xludf.DUMMYFUNCTION("IFS(
  REGEXMATCH(LOWER(VLOOKUP(A118, Data1_Raw_Slack!A:B, 2, FALSE)), ""news|weather""), ""News and Weather"", REGEXMATCH(LOWER(VLOOKUP(A118, Data1_Raw_Slack!A:B, 2, FALSE)), ""sports|ufc|nba|nfl|mlb|soccer|sports fans""), ""Sports"",
  REGEXMATCH(LOWER("&amp;"VLOOKUP(A118, Data1_Raw_Slack!A:B, 2, FALSE)), ""fashion|style|clothing|apparel|shoes|accessories|beauty|cosmetics|fashionistas""), ""Fashion and Beauty"",
  REGEXMATCH(LOWER(VLOOKUP(A118, Data1_Raw_Slack!A:B, 2, FALSE)), ""food|cooking|recipe|restaurant|"&amp;"snack|grocery|foodies""), ""Food"",
  REGEXMATCH(LOWER(VLOOKUP(A118, Data1_Raw_Slack!A:B, 2, FALSE)), ""travel|vacation|airline|hotel|trip|flights|travelers""), ""Travel"",
  REGEXMATCH(LOWER(VLOOKUP(A118, Data1_Raw_Slack!A:B, 2, FALSE)), ""fitness|workou"&amp;"t|gym|exercise|yoga|wellness|fitness enthusiasts""), ""Fitness"",
  REGEXMATCH(LOWER(VLOOKUP(A118, Data1_Raw_Slack!A:B, 2, FALSE)), ""health|medical|pharmacy|mental health|doctor|health-conscious""), ""Health"",
  REGEXMATCH(LOWER(VLOOKUP(A118, Data1_Raw_"&amp;"Slack!A:B, 2, FALSE)), ""pets|dogs|cats|animals|pet care|pet lovers""), ""Pets"",
  REGEXMATCH(LOWER(VLOOKUP(A118, Data1_Raw_Slack!A:B, 2, FALSE)), ""games|gaming|game|xbox|playstation|nintendo|gamers""), ""Gaming"",
  REGEXMATCH(LOWER(VLOOKUP(A118, Data1"&amp;"_Raw_Slack!A:B, 2, FALSE)), ""entertainment|movies|tv|netflix|streaming|celebrity|movie lovers|tv fans|hobb|photo|art""), ""Entertainment"",
  REGEXMATCH(LOWER(VLOOKUP(A118, Data1_Raw_Slack!A:B, 2, FALSE)), ""lifestyle|home|interior|decor|living|lifestyle"&amp;" enthusiasts""), ""Lifestyle"",
  REGEXMATCH(LOWER(VLOOKUP(A118, Data1_Raw_Slack!A:B, 2, FALSE)), ""financial|finance|investing|stocks|retirement|banking|credit|debt|loans|savings|personal finance|insurance|econ|ecom|business|retail|occupation|sale|job|ma"&amp;"rketing""), ""Finance"",
  REGEXMATCH(LOWER(VLOOKUP(A118, Data1_Raw_Slack!A:B, 2, FALSE)), ""auto|automotive""), ""Auto"",
  REGEXMATCH(LOWER(VLOOKUP(A118, Data1_Raw_Slack!A:B, 2, FALSE)), ""parenting|moms|dads|kids|toddlers|baby|parent|children""), ""Par"&amp;"enting"",
  REGEXMATCH(LOWER(VLOOKUP(A118, Data1_Raw_Slack!A:B, 2, FALSE)), ""education|students|learning|school|teachers|college|university|academics""), ""Education"",
  REGEXMATCH(LOWER(VLOOKUP(A118, Data1_Raw_Slack!A:B, 2, FALSE)), ""age|gender|dem"&amp;"ographic|family|household""), ""Demographics"",
  REGEXMATCH(LOWER(VLOOKUP(A118, Data1_Raw_Slack!A:B, 2, FALSE)), ""mortgage|real estate""), ""Real Estate"",REGEXMATCH(LOWER(VLOOKUP(A118, Data1_Raw_Slack!A:B, 2, FALSE)), ""technology|tech|gadgets|smartpho"&amp;"ne|electro|apps|devices|computing|ai|robots|software|computer|internet|tele|mobile|tablet""), ""Technology"", REGEXMATCH(LOWER(VLOOKUP(A118, Data1_Raw_Slack!A:B, 2, FALSE)), ""entertainment|purchas|movies|tv|netflix|streaming|celebrity|movie lovers|tv fan"&amp;"s|media|hobb|photo|art|shop""), ""Entertainment"", REGEXMATCH(LOWER(VLOOKUP(A118, Data1_Raw_Slack!A:B, 2, FALSE)), ""law|government|""), ""Law and Government"",
  TRUE, ""Other""
)"),"Travel")</f>
        <v>Travel</v>
      </c>
      <c r="G118" s="9" t="s">
        <v>85</v>
      </c>
      <c r="H118" s="9" t="s">
        <v>123</v>
      </c>
      <c r="I118" s="9" t="s">
        <v>589</v>
      </c>
      <c r="J118" s="9" t="s">
        <v>80</v>
      </c>
      <c r="K118" s="9" t="s">
        <v>148</v>
      </c>
      <c r="L118" s="9" t="s">
        <v>89</v>
      </c>
      <c r="M118" s="10" t="s">
        <v>590</v>
      </c>
      <c r="N118" s="9" t="str">
        <f ca="1">IFERROR(__xludf.DUMMYFUNCTION("REGEXEXTRACT(LOWER(M118), ""([a-z0-9\-]+)\.(?:co|net|org|io|gg)"")"),"dictionary")</f>
        <v>dictionary</v>
      </c>
      <c r="O118" s="9" t="s">
        <v>74</v>
      </c>
      <c r="P118" s="9" t="s">
        <v>39</v>
      </c>
      <c r="Q118" s="9">
        <v>10350</v>
      </c>
      <c r="R118" s="9">
        <v>66</v>
      </c>
      <c r="S118" s="9">
        <v>723</v>
      </c>
      <c r="T118" s="9">
        <v>8720</v>
      </c>
      <c r="U118" s="9">
        <v>14</v>
      </c>
      <c r="V118" s="11">
        <v>6774.202636</v>
      </c>
      <c r="W118" s="12">
        <f t="shared" si="0"/>
        <v>483.87161685714284</v>
      </c>
      <c r="X118" s="12">
        <f t="shared" si="1"/>
        <v>0.6376811594202898</v>
      </c>
      <c r="Y118" s="12">
        <f t="shared" si="2"/>
        <v>6.9855072463768115</v>
      </c>
      <c r="Z118" s="12">
        <f t="shared" si="3"/>
        <v>9369.5748769017973</v>
      </c>
      <c r="AA118" s="12">
        <f t="shared" si="4"/>
        <v>654.51233198067632</v>
      </c>
      <c r="AB118" s="12">
        <f t="shared" si="5"/>
        <v>102.63943387878788</v>
      </c>
      <c r="AC118" s="12">
        <f t="shared" si="6"/>
        <v>21.212121212121211</v>
      </c>
      <c r="AE118" s="13"/>
      <c r="AF118" s="13"/>
    </row>
    <row r="119" spans="1:32">
      <c r="A119" s="8" t="s">
        <v>591</v>
      </c>
      <c r="B119" s="9" t="s">
        <v>41</v>
      </c>
      <c r="C119" s="9" t="s">
        <v>214</v>
      </c>
      <c r="D119" s="9" t="s">
        <v>215</v>
      </c>
      <c r="E119" s="9" t="s">
        <v>592</v>
      </c>
      <c r="F119" s="9" t="str">
        <f ca="1">IFERROR(__xludf.DUMMYFUNCTION("IFS(
  REGEXMATCH(LOWER(VLOOKUP(A119, Data1_Raw_Slack!A:B, 2, FALSE)), ""news|weather""), ""News and Weather"", REGEXMATCH(LOWER(VLOOKUP(A119, Data1_Raw_Slack!A:B, 2, FALSE)), ""sports|ufc|nba|nfl|mlb|soccer|sports fans""), ""Sports"",
  REGEXMATCH(LOWER("&amp;"VLOOKUP(A119, Data1_Raw_Slack!A:B, 2, FALSE)), ""fashion|style|clothing|apparel|shoes|accessories|beauty|cosmetics|fashionistas""), ""Fashion and Beauty"",
  REGEXMATCH(LOWER(VLOOKUP(A119, Data1_Raw_Slack!A:B, 2, FALSE)), ""food|cooking|recipe|restaurant|"&amp;"snack|grocery|foodies""), ""Food"",
  REGEXMATCH(LOWER(VLOOKUP(A119, Data1_Raw_Slack!A:B, 2, FALSE)), ""travel|vacation|airline|hotel|trip|flights|travelers""), ""Travel"",
  REGEXMATCH(LOWER(VLOOKUP(A119, Data1_Raw_Slack!A:B, 2, FALSE)), ""fitness|workou"&amp;"t|gym|exercise|yoga|wellness|fitness enthusiasts""), ""Fitness"",
  REGEXMATCH(LOWER(VLOOKUP(A119, Data1_Raw_Slack!A:B, 2, FALSE)), ""health|medical|pharmacy|mental health|doctor|health-conscious""), ""Health"",
  REGEXMATCH(LOWER(VLOOKUP(A119, Data1_Raw_"&amp;"Slack!A:B, 2, FALSE)), ""pets|dogs|cats|animals|pet care|pet lovers""), ""Pets"",
  REGEXMATCH(LOWER(VLOOKUP(A119, Data1_Raw_Slack!A:B, 2, FALSE)), ""games|gaming|game|xbox|playstation|nintendo|gamers""), ""Gaming"",
  REGEXMATCH(LOWER(VLOOKUP(A119, Data1"&amp;"_Raw_Slack!A:B, 2, FALSE)), ""entertainment|movies|tv|netflix|streaming|celebrity|movie lovers|tv fans|hobb|photo|art""), ""Entertainment"",
  REGEXMATCH(LOWER(VLOOKUP(A119, Data1_Raw_Slack!A:B, 2, FALSE)), ""lifestyle|home|interior|decor|living|lifestyle"&amp;" enthusiasts""), ""Lifestyle"",
  REGEXMATCH(LOWER(VLOOKUP(A119, Data1_Raw_Slack!A:B, 2, FALSE)), ""financial|finance|investing|stocks|retirement|banking|credit|debt|loans|savings|personal finance|insurance|econ|ecom|business|retail|occupation|sale|job|ma"&amp;"rketing""), ""Finance"",
  REGEXMATCH(LOWER(VLOOKUP(A119, Data1_Raw_Slack!A:B, 2, FALSE)), ""auto|automotive""), ""Auto"",
  REGEXMATCH(LOWER(VLOOKUP(A119, Data1_Raw_Slack!A:B, 2, FALSE)), ""parenting|moms|dads|kids|toddlers|baby|parent|children""), ""Par"&amp;"enting"",
  REGEXMATCH(LOWER(VLOOKUP(A119, Data1_Raw_Slack!A:B, 2, FALSE)), ""education|students|learning|school|teachers|college|university|academics""), ""Education"",
  REGEXMATCH(LOWER(VLOOKUP(A119, Data1_Raw_Slack!A:B, 2, FALSE)), ""age|gender|dem"&amp;"ographic|family|household""), ""Demographics"",
  REGEXMATCH(LOWER(VLOOKUP(A119, Data1_Raw_Slack!A:B, 2, FALSE)), ""mortgage|real estate""), ""Real Estate"",REGEXMATCH(LOWER(VLOOKUP(A119, Data1_Raw_Slack!A:B, 2, FALSE)), ""technology|tech|gadgets|smartpho"&amp;"ne|electro|apps|devices|computing|ai|robots|software|computer|internet|tele|mobile|tablet""), ""Technology"", REGEXMATCH(LOWER(VLOOKUP(A119, Data1_Raw_Slack!A:B, 2, FALSE)), ""entertainment|purchas|movies|tv|netflix|streaming|celebrity|movie lovers|tv fan"&amp;"s|media|hobb|photo|art|shop""), ""Entertainment"", REGEXMATCH(LOWER(VLOOKUP(A119, Data1_Raw_Slack!A:B, 2, FALSE)), ""law|government|""), ""Law and Government"",
  TRUE, ""Other""
)"),"Demographics")</f>
        <v>Demographics</v>
      </c>
      <c r="G119" s="9"/>
      <c r="H119" s="9" t="s">
        <v>32</v>
      </c>
      <c r="I119" s="9" t="s">
        <v>528</v>
      </c>
      <c r="J119" s="9" t="s">
        <v>34</v>
      </c>
      <c r="K119" s="9" t="s">
        <v>236</v>
      </c>
      <c r="L119" s="9" t="s">
        <v>82</v>
      </c>
      <c r="M119" s="10" t="s">
        <v>49</v>
      </c>
      <c r="N119" s="9" t="str">
        <f ca="1">IFERROR(__xludf.DUMMYFUNCTION("REGEXEXTRACT(LOWER(M119), ""([a-z0-9\-]+)\.(?:co|net|org|io|gg)"")"),"yahoo")</f>
        <v>yahoo</v>
      </c>
      <c r="O119" s="9" t="s">
        <v>593</v>
      </c>
      <c r="P119" s="9" t="s">
        <v>39</v>
      </c>
      <c r="Q119" s="9">
        <v>742281</v>
      </c>
      <c r="R119" s="9">
        <v>1999</v>
      </c>
      <c r="S119" s="9">
        <v>432673</v>
      </c>
      <c r="T119" s="9">
        <v>642404</v>
      </c>
      <c r="U119" s="9">
        <v>11</v>
      </c>
      <c r="V119" s="11">
        <v>6024.4224869999998</v>
      </c>
      <c r="W119" s="12">
        <f t="shared" si="0"/>
        <v>547.67477154545452</v>
      </c>
      <c r="X119" s="12">
        <f t="shared" si="1"/>
        <v>0.26930502060540418</v>
      </c>
      <c r="Y119" s="12">
        <f t="shared" si="2"/>
        <v>58.289650415408722</v>
      </c>
      <c r="Z119" s="12">
        <f t="shared" si="3"/>
        <v>13.923731055554656</v>
      </c>
      <c r="AA119" s="12">
        <f t="shared" si="4"/>
        <v>8.1160941570645075</v>
      </c>
      <c r="AB119" s="12">
        <f t="shared" si="5"/>
        <v>3.0137181025512754</v>
      </c>
      <c r="AC119" s="12">
        <f t="shared" si="6"/>
        <v>0.55027513756878443</v>
      </c>
      <c r="AE119" s="13"/>
      <c r="AF119" s="13"/>
    </row>
    <row r="120" spans="1:32">
      <c r="A120" s="8" t="s">
        <v>594</v>
      </c>
      <c r="B120" s="9" t="s">
        <v>378</v>
      </c>
      <c r="C120" s="9" t="s">
        <v>595</v>
      </c>
      <c r="D120" s="9" t="s">
        <v>596</v>
      </c>
      <c r="E120" s="9" t="s">
        <v>597</v>
      </c>
      <c r="F120" s="9" t="str">
        <f ca="1">IFERROR(__xludf.DUMMYFUNCTION("IFS(
  REGEXMATCH(LOWER(VLOOKUP(A120, Data1_Raw_Slack!A:B, 2, FALSE)), ""news|weather""), ""News and Weather"", REGEXMATCH(LOWER(VLOOKUP(A120, Data1_Raw_Slack!A:B, 2, FALSE)), ""sports|ufc|nba|nfl|mlb|soccer|sports fans""), ""Sports"",
  REGEXMATCH(LOWER("&amp;"VLOOKUP(A120, Data1_Raw_Slack!A:B, 2, FALSE)), ""fashion|style|clothing|apparel|shoes|accessories|beauty|cosmetics|fashionistas""), ""Fashion and Beauty"",
  REGEXMATCH(LOWER(VLOOKUP(A120, Data1_Raw_Slack!A:B, 2, FALSE)), ""food|cooking|recipe|restaurant|"&amp;"snack|grocery|foodies""), ""Food"",
  REGEXMATCH(LOWER(VLOOKUP(A120, Data1_Raw_Slack!A:B, 2, FALSE)), ""travel|vacation|airline|hotel|trip|flights|travelers""), ""Travel"",
  REGEXMATCH(LOWER(VLOOKUP(A120, Data1_Raw_Slack!A:B, 2, FALSE)), ""fitness|workou"&amp;"t|gym|exercise|yoga|wellness|fitness enthusiasts""), ""Fitness"",
  REGEXMATCH(LOWER(VLOOKUP(A120, Data1_Raw_Slack!A:B, 2, FALSE)), ""health|medical|pharmacy|mental health|doctor|health-conscious""), ""Health"",
  REGEXMATCH(LOWER(VLOOKUP(A120, Data1_Raw_"&amp;"Slack!A:B, 2, FALSE)), ""pets|dogs|cats|animals|pet care|pet lovers""), ""Pets"",
  REGEXMATCH(LOWER(VLOOKUP(A120, Data1_Raw_Slack!A:B, 2, FALSE)), ""games|gaming|game|xbox|playstation|nintendo|gamers""), ""Gaming"",
  REGEXMATCH(LOWER(VLOOKUP(A120, Data1"&amp;"_Raw_Slack!A:B, 2, FALSE)), ""entertainment|movies|tv|netflix|streaming|celebrity|movie lovers|tv fans|hobb|photo|art""), ""Entertainment"",
  REGEXMATCH(LOWER(VLOOKUP(A120, Data1_Raw_Slack!A:B, 2, FALSE)), ""lifestyle|home|interior|decor|living|lifestyle"&amp;" enthusiasts""), ""Lifestyle"",
  REGEXMATCH(LOWER(VLOOKUP(A120, Data1_Raw_Slack!A:B, 2, FALSE)), ""financial|finance|investing|stocks|retirement|banking|credit|debt|loans|savings|personal finance|insurance|econ|ecom|business|retail|occupation|sale|job|ma"&amp;"rketing""), ""Finance"",
  REGEXMATCH(LOWER(VLOOKUP(A120, Data1_Raw_Slack!A:B, 2, FALSE)), ""auto|automotive""), ""Auto"",
  REGEXMATCH(LOWER(VLOOKUP(A120, Data1_Raw_Slack!A:B, 2, FALSE)), ""parenting|moms|dads|kids|toddlers|baby|parent|children""), ""Par"&amp;"enting"",
  REGEXMATCH(LOWER(VLOOKUP(A120, Data1_Raw_Slack!A:B, 2, FALSE)), ""education|students|learning|school|teachers|college|university|academics""), ""Education"",
  REGEXMATCH(LOWER(VLOOKUP(A120, Data1_Raw_Slack!A:B, 2, FALSE)), ""age|gender|dem"&amp;"ographic|family|household""), ""Demographics"",
  REGEXMATCH(LOWER(VLOOKUP(A120, Data1_Raw_Slack!A:B, 2, FALSE)), ""mortgage|real estate""), ""Real Estate"",REGEXMATCH(LOWER(VLOOKUP(A120, Data1_Raw_Slack!A:B, 2, FALSE)), ""technology|tech|gadgets|smartpho"&amp;"ne|electro|apps|devices|computing|ai|robots|software|computer|internet|tele|mobile|tablet""), ""Technology"", REGEXMATCH(LOWER(VLOOKUP(A120, Data1_Raw_Slack!A:B, 2, FALSE)), ""entertainment|purchas|movies|tv|netflix|streaming|celebrity|movie lovers|tv fan"&amp;"s|media|hobb|photo|art|shop""), ""Entertainment"", REGEXMATCH(LOWER(VLOOKUP(A120, Data1_Raw_Slack!A:B, 2, FALSE)), ""law|government|""), ""Law and Government"",
  TRUE, ""Other""
)"),"Finance")</f>
        <v>Finance</v>
      </c>
      <c r="G120" s="9"/>
      <c r="H120" s="9" t="s">
        <v>44</v>
      </c>
      <c r="I120" s="9" t="s">
        <v>598</v>
      </c>
      <c r="J120" s="9" t="s">
        <v>34</v>
      </c>
      <c r="K120" s="9" t="s">
        <v>148</v>
      </c>
      <c r="L120" s="9" t="s">
        <v>89</v>
      </c>
      <c r="M120" s="10" t="s">
        <v>599</v>
      </c>
      <c r="N120" s="9" t="str">
        <f ca="1">IFERROR(__xludf.DUMMYFUNCTION("REGEXEXTRACT(LOWER(M120), ""([a-z0-9\-]+)\.(?:co|net|org|io|gg)"")"),"maxroll")</f>
        <v>maxroll</v>
      </c>
      <c r="O120" s="9" t="s">
        <v>50</v>
      </c>
      <c r="P120" s="9" t="s">
        <v>39</v>
      </c>
      <c r="Q120" s="9">
        <v>8944</v>
      </c>
      <c r="R120" s="9">
        <v>45</v>
      </c>
      <c r="S120" s="9">
        <v>3002</v>
      </c>
      <c r="T120" s="9">
        <v>6361</v>
      </c>
      <c r="U120" s="9">
        <v>6</v>
      </c>
      <c r="V120" s="11">
        <v>1755.4845419999999</v>
      </c>
      <c r="W120" s="12">
        <f t="shared" si="0"/>
        <v>292.58075700000001</v>
      </c>
      <c r="X120" s="12">
        <f t="shared" si="1"/>
        <v>0.50313059033989271</v>
      </c>
      <c r="Y120" s="12">
        <f t="shared" si="2"/>
        <v>33.564400715563508</v>
      </c>
      <c r="Z120" s="12">
        <f t="shared" si="3"/>
        <v>584.77166622251832</v>
      </c>
      <c r="AA120" s="12">
        <f t="shared" si="4"/>
        <v>196.27510532200355</v>
      </c>
      <c r="AB120" s="12">
        <f t="shared" si="5"/>
        <v>39.010767600000001</v>
      </c>
      <c r="AC120" s="12">
        <f t="shared" si="6"/>
        <v>13.333333333333334</v>
      </c>
      <c r="AE120" s="13"/>
      <c r="AF120" s="13"/>
    </row>
    <row r="121" spans="1:32">
      <c r="A121" s="8" t="s">
        <v>600</v>
      </c>
      <c r="B121" s="9" t="s">
        <v>92</v>
      </c>
      <c r="C121" s="9" t="s">
        <v>178</v>
      </c>
      <c r="D121" s="9" t="s">
        <v>173</v>
      </c>
      <c r="E121" s="9" t="s">
        <v>601</v>
      </c>
      <c r="F121" s="9" t="str">
        <f ca="1">IFERROR(__xludf.DUMMYFUNCTION("IFS(
  REGEXMATCH(LOWER(VLOOKUP(A121, Data1_Raw_Slack!A:B, 2, FALSE)), ""news|weather""), ""News and Weather"", REGEXMATCH(LOWER(VLOOKUP(A121, Data1_Raw_Slack!A:B, 2, FALSE)), ""sports|ufc|nba|nfl|mlb|soccer|sports fans""), ""Sports"",
  REGEXMATCH(LOWER("&amp;"VLOOKUP(A121, Data1_Raw_Slack!A:B, 2, FALSE)), ""fashion|style|clothing|apparel|shoes|accessories|beauty|cosmetics|fashionistas""), ""Fashion and Beauty"",
  REGEXMATCH(LOWER(VLOOKUP(A121, Data1_Raw_Slack!A:B, 2, FALSE)), ""food|cooking|recipe|restaurant|"&amp;"snack|grocery|foodies""), ""Food"",
  REGEXMATCH(LOWER(VLOOKUP(A121, Data1_Raw_Slack!A:B, 2, FALSE)), ""travel|vacation|airline|hotel|trip|flights|travelers""), ""Travel"",
  REGEXMATCH(LOWER(VLOOKUP(A121, Data1_Raw_Slack!A:B, 2, FALSE)), ""fitness|workou"&amp;"t|gym|exercise|yoga|wellness|fitness enthusiasts""), ""Fitness"",
  REGEXMATCH(LOWER(VLOOKUP(A121, Data1_Raw_Slack!A:B, 2, FALSE)), ""health|medical|pharmacy|mental health|doctor|health-conscious""), ""Health"",
  REGEXMATCH(LOWER(VLOOKUP(A121, Data1_Raw_"&amp;"Slack!A:B, 2, FALSE)), ""pets|dogs|cats|animals|pet care|pet lovers""), ""Pets"",
  REGEXMATCH(LOWER(VLOOKUP(A121, Data1_Raw_Slack!A:B, 2, FALSE)), ""games|gaming|game|xbox|playstation|nintendo|gamers""), ""Gaming"",
  REGEXMATCH(LOWER(VLOOKUP(A121, Data1"&amp;"_Raw_Slack!A:B, 2, FALSE)), ""entertainment|movies|tv|netflix|streaming|celebrity|movie lovers|tv fans|hobb|photo|art""), ""Entertainment"",
  REGEXMATCH(LOWER(VLOOKUP(A121, Data1_Raw_Slack!A:B, 2, FALSE)), ""lifestyle|home|interior|decor|living|lifestyle"&amp;" enthusiasts""), ""Lifestyle"",
  REGEXMATCH(LOWER(VLOOKUP(A121, Data1_Raw_Slack!A:B, 2, FALSE)), ""financial|finance|investing|stocks|retirement|banking|credit|debt|loans|savings|personal finance|insurance|econ|ecom|business|retail|occupation|sale|job|ma"&amp;"rketing""), ""Finance"",
  REGEXMATCH(LOWER(VLOOKUP(A121, Data1_Raw_Slack!A:B, 2, FALSE)), ""auto|automotive""), ""Auto"",
  REGEXMATCH(LOWER(VLOOKUP(A121, Data1_Raw_Slack!A:B, 2, FALSE)), ""parenting|moms|dads|kids|toddlers|baby|parent|children""), ""Par"&amp;"enting"",
  REGEXMATCH(LOWER(VLOOKUP(A121, Data1_Raw_Slack!A:B, 2, FALSE)), ""education|students|learning|school|teachers|college|university|academics""), ""Education"",
  REGEXMATCH(LOWER(VLOOKUP(A121, Data1_Raw_Slack!A:B, 2, FALSE)), ""age|gender|dem"&amp;"ographic|family|household""), ""Demographics"",
  REGEXMATCH(LOWER(VLOOKUP(A121, Data1_Raw_Slack!A:B, 2, FALSE)), ""mortgage|real estate""), ""Real Estate"",REGEXMATCH(LOWER(VLOOKUP(A121, Data1_Raw_Slack!A:B, 2, FALSE)), ""technology|tech|gadgets|smartpho"&amp;"ne|electro|apps|devices|computing|ai|robots|software|computer|internet|tele|mobile|tablet""), ""Technology"", REGEXMATCH(LOWER(VLOOKUP(A121, Data1_Raw_Slack!A:B, 2, FALSE)), ""entertainment|purchas|movies|tv|netflix|streaming|celebrity|movie lovers|tv fan"&amp;"s|media|hobb|photo|art|shop""), ""Entertainment"", REGEXMATCH(LOWER(VLOOKUP(A121, Data1_Raw_Slack!A:B, 2, FALSE)), ""law|government|""), ""Law and Government"",
  TRUE, ""Other""
)"),"Entertainment")</f>
        <v>Entertainment</v>
      </c>
      <c r="G121" s="9" t="s">
        <v>602</v>
      </c>
      <c r="H121" s="9" t="s">
        <v>32</v>
      </c>
      <c r="I121" s="9" t="s">
        <v>603</v>
      </c>
      <c r="J121" s="9" t="s">
        <v>46</v>
      </c>
      <c r="K121" s="9" t="s">
        <v>88</v>
      </c>
      <c r="L121" s="9" t="s">
        <v>89</v>
      </c>
      <c r="M121" s="10" t="s">
        <v>604</v>
      </c>
      <c r="N121" s="9" t="str">
        <f ca="1">IFERROR(__xludf.DUMMYFUNCTION("REGEXEXTRACT(LOWER(M121), ""([a-z0-9\-]+)\.(?:co|net|org|io|gg)"")"),"merriam-webster")</f>
        <v>merriam-webster</v>
      </c>
      <c r="O121" s="9" t="s">
        <v>50</v>
      </c>
      <c r="P121" s="9" t="s">
        <v>39</v>
      </c>
      <c r="Q121" s="9">
        <v>18771</v>
      </c>
      <c r="R121" s="9">
        <v>69</v>
      </c>
      <c r="S121" s="9">
        <v>10871</v>
      </c>
      <c r="T121" s="9">
        <v>17138</v>
      </c>
      <c r="U121" s="9">
        <v>6</v>
      </c>
      <c r="V121" s="11">
        <v>3827.3663809999998</v>
      </c>
      <c r="W121" s="12">
        <f t="shared" si="0"/>
        <v>637.8943968333333</v>
      </c>
      <c r="X121" s="12">
        <f t="shared" si="1"/>
        <v>0.36758830110276486</v>
      </c>
      <c r="Y121" s="12">
        <f t="shared" si="2"/>
        <v>57.913803207074743</v>
      </c>
      <c r="Z121" s="12">
        <f t="shared" si="3"/>
        <v>352.07123364915833</v>
      </c>
      <c r="AA121" s="12">
        <f t="shared" si="4"/>
        <v>203.89784140429384</v>
      </c>
      <c r="AB121" s="12">
        <f t="shared" si="5"/>
        <v>55.469077985507241</v>
      </c>
      <c r="AC121" s="12">
        <f t="shared" si="6"/>
        <v>8.695652173913043</v>
      </c>
      <c r="AE121" s="13"/>
      <c r="AF121" s="13"/>
    </row>
    <row r="122" spans="1:32">
      <c r="A122" s="8" t="s">
        <v>605</v>
      </c>
      <c r="B122" s="9" t="s">
        <v>41</v>
      </c>
      <c r="C122" s="9" t="s">
        <v>120</v>
      </c>
      <c r="D122" s="9" t="s">
        <v>606</v>
      </c>
      <c r="E122" s="9"/>
      <c r="F122" s="9" t="str">
        <f ca="1">IFERROR(__xludf.DUMMYFUNCTION("IFS(
  REGEXMATCH(LOWER(VLOOKUP(A122, Data1_Raw_Slack!A:B, 2, FALSE)), ""news|weather""), ""News and Weather"", REGEXMATCH(LOWER(VLOOKUP(A122, Data1_Raw_Slack!A:B, 2, FALSE)), ""sports|ufc|nba|nfl|mlb|soccer|sports fans""), ""Sports"",
  REGEXMATCH(LOWER("&amp;"VLOOKUP(A122, Data1_Raw_Slack!A:B, 2, FALSE)), ""fashion|style|clothing|apparel|shoes|accessories|beauty|cosmetics|fashionistas""), ""Fashion and Beauty"",
  REGEXMATCH(LOWER(VLOOKUP(A122, Data1_Raw_Slack!A:B, 2, FALSE)), ""food|cooking|recipe|restaurant|"&amp;"snack|grocery|foodies""), ""Food"",
  REGEXMATCH(LOWER(VLOOKUP(A122, Data1_Raw_Slack!A:B, 2, FALSE)), ""travel|vacation|airline|hotel|trip|flights|travelers""), ""Travel"",
  REGEXMATCH(LOWER(VLOOKUP(A122, Data1_Raw_Slack!A:B, 2, FALSE)), ""fitness|workou"&amp;"t|gym|exercise|yoga|wellness|fitness enthusiasts""), ""Fitness"",
  REGEXMATCH(LOWER(VLOOKUP(A122, Data1_Raw_Slack!A:B, 2, FALSE)), ""health|medical|pharmacy|mental health|doctor|health-conscious""), ""Health"",
  REGEXMATCH(LOWER(VLOOKUP(A122, Data1_Raw_"&amp;"Slack!A:B, 2, FALSE)), ""pets|dogs|cats|animals|pet care|pet lovers""), ""Pets"",
  REGEXMATCH(LOWER(VLOOKUP(A122, Data1_Raw_Slack!A:B, 2, FALSE)), ""games|gaming|game|xbox|playstation|nintendo|gamers""), ""Gaming"",
  REGEXMATCH(LOWER(VLOOKUP(A122, Data1"&amp;"_Raw_Slack!A:B, 2, FALSE)), ""entertainment|movies|tv|netflix|streaming|celebrity|movie lovers|tv fans|hobb|photo|art""), ""Entertainment"",
  REGEXMATCH(LOWER(VLOOKUP(A122, Data1_Raw_Slack!A:B, 2, FALSE)), ""lifestyle|home|interior|decor|living|lifestyle"&amp;" enthusiasts""), ""Lifestyle"",
  REGEXMATCH(LOWER(VLOOKUP(A122, Data1_Raw_Slack!A:B, 2, FALSE)), ""financial|finance|investing|stocks|retirement|banking|credit|debt|loans|savings|personal finance|insurance|econ|ecom|business|retail|occupation|sale|job|ma"&amp;"rketing""), ""Finance"",
  REGEXMATCH(LOWER(VLOOKUP(A122, Data1_Raw_Slack!A:B, 2, FALSE)), ""auto|automotive""), ""Auto"",
  REGEXMATCH(LOWER(VLOOKUP(A122, Data1_Raw_Slack!A:B, 2, FALSE)), ""parenting|moms|dads|kids|toddlers|baby|parent|children""), ""Par"&amp;"enting"",
  REGEXMATCH(LOWER(VLOOKUP(A122, Data1_Raw_Slack!A:B, 2, FALSE)), ""education|students|learning|school|teachers|college|university|academics""), ""Education"",
  REGEXMATCH(LOWER(VLOOKUP(A122, Data1_Raw_Slack!A:B, 2, FALSE)), ""age|gender|dem"&amp;"ographic|family|household""), ""Demographics"",
  REGEXMATCH(LOWER(VLOOKUP(A122, Data1_Raw_Slack!A:B, 2, FALSE)), ""mortgage|real estate""), ""Real Estate"",REGEXMATCH(LOWER(VLOOKUP(A122, Data1_Raw_Slack!A:B, 2, FALSE)), ""technology|tech|gadgets|smartpho"&amp;"ne|electro|apps|devices|computing|ai|robots|software|computer|internet|tele|mobile|tablet""), ""Technology"", REGEXMATCH(LOWER(VLOOKUP(A122, Data1_Raw_Slack!A:B, 2, FALSE)), ""entertainment|purchas|movies|tv|netflix|streaming|celebrity|movie lovers|tv fan"&amp;"s|media|hobb|photo|art|shop""), ""Entertainment"", REGEXMATCH(LOWER(VLOOKUP(A122, Data1_Raw_Slack!A:B, 2, FALSE)), ""law|government|""), ""Law and Government"",
  TRUE, ""Other""
)"),"Auto")</f>
        <v>Auto</v>
      </c>
      <c r="G122" s="9" t="s">
        <v>122</v>
      </c>
      <c r="H122" s="9" t="s">
        <v>123</v>
      </c>
      <c r="I122" s="9" t="s">
        <v>607</v>
      </c>
      <c r="J122" s="9" t="s">
        <v>46</v>
      </c>
      <c r="K122" s="9" t="s">
        <v>148</v>
      </c>
      <c r="L122" s="9" t="s">
        <v>89</v>
      </c>
      <c r="M122" s="10" t="s">
        <v>608</v>
      </c>
      <c r="N122" s="9" t="str">
        <f ca="1">IFERROR(__xludf.DUMMYFUNCTION("REGEXEXTRACT(LOWER(M122), ""([a-z0-9\-]+)\.(?:co|net|org|io|gg)"")"),"wsmv")</f>
        <v>wsmv</v>
      </c>
      <c r="O122" s="9" t="s">
        <v>50</v>
      </c>
      <c r="P122" s="9" t="s">
        <v>39</v>
      </c>
      <c r="Q122" s="9">
        <v>17382</v>
      </c>
      <c r="R122" s="9">
        <v>100</v>
      </c>
      <c r="S122" s="9">
        <v>7411</v>
      </c>
      <c r="T122" s="9">
        <v>16576</v>
      </c>
      <c r="U122" s="9">
        <v>8</v>
      </c>
      <c r="V122" s="11">
        <v>5797.2199769999997</v>
      </c>
      <c r="W122" s="12">
        <f t="shared" si="0"/>
        <v>724.65249712499997</v>
      </c>
      <c r="X122" s="12">
        <f t="shared" si="1"/>
        <v>0.57530778966747209</v>
      </c>
      <c r="Y122" s="12">
        <f t="shared" si="2"/>
        <v>42.636060292256353</v>
      </c>
      <c r="Z122" s="12">
        <f t="shared" si="3"/>
        <v>782.24530792065855</v>
      </c>
      <c r="AA122" s="12">
        <f t="shared" si="4"/>
        <v>333.51858111839834</v>
      </c>
      <c r="AB122" s="12">
        <f t="shared" si="5"/>
        <v>57.972199769999996</v>
      </c>
      <c r="AC122" s="12">
        <f t="shared" si="6"/>
        <v>8</v>
      </c>
      <c r="AE122" s="13"/>
      <c r="AF122" s="13"/>
    </row>
    <row r="123" spans="1:32">
      <c r="A123" s="8" t="s">
        <v>609</v>
      </c>
      <c r="B123" s="9" t="s">
        <v>610</v>
      </c>
      <c r="C123" s="9" t="s">
        <v>611</v>
      </c>
      <c r="D123" s="9"/>
      <c r="E123" s="9"/>
      <c r="F123" s="9" t="str">
        <f ca="1">IFERROR(__xludf.DUMMYFUNCTION("IFS(
  REGEXMATCH(LOWER(VLOOKUP(A123, Data1_Raw_Slack!A:B, 2, FALSE)), ""news|weather""), ""News and Weather"", REGEXMATCH(LOWER(VLOOKUP(A123, Data1_Raw_Slack!A:B, 2, FALSE)), ""sports|ufc|nba|nfl|mlb|soccer|sports fans""), ""Sports"",
  REGEXMATCH(LOWER("&amp;"VLOOKUP(A123, Data1_Raw_Slack!A:B, 2, FALSE)), ""fashion|style|clothing|apparel|shoes|accessories|beauty|cosmetics|fashionistas""), ""Fashion and Beauty"",
  REGEXMATCH(LOWER(VLOOKUP(A123, Data1_Raw_Slack!A:B, 2, FALSE)), ""food|cooking|recipe|restaurant|"&amp;"snack|grocery|foodies""), ""Food"",
  REGEXMATCH(LOWER(VLOOKUP(A123, Data1_Raw_Slack!A:B, 2, FALSE)), ""travel|vacation|airline|hotel|trip|flights|travelers""), ""Travel"",
  REGEXMATCH(LOWER(VLOOKUP(A123, Data1_Raw_Slack!A:B, 2, FALSE)), ""fitness|workou"&amp;"t|gym|exercise|yoga|wellness|fitness enthusiasts""), ""Fitness"",
  REGEXMATCH(LOWER(VLOOKUP(A123, Data1_Raw_Slack!A:B, 2, FALSE)), ""health|medical|pharmacy|mental health|doctor|health-conscious""), ""Health"",
  REGEXMATCH(LOWER(VLOOKUP(A123, Data1_Raw_"&amp;"Slack!A:B, 2, FALSE)), ""pets|dogs|cats|animals|pet care|pet lovers""), ""Pets"",
  REGEXMATCH(LOWER(VLOOKUP(A123, Data1_Raw_Slack!A:B, 2, FALSE)), ""games|gaming|game|xbox|playstation|nintendo|gamers""), ""Gaming"",
  REGEXMATCH(LOWER(VLOOKUP(A123, Data1"&amp;"_Raw_Slack!A:B, 2, FALSE)), ""entertainment|movies|tv|netflix|streaming|celebrity|movie lovers|tv fans|hobb|photo|art""), ""Entertainment"",
  REGEXMATCH(LOWER(VLOOKUP(A123, Data1_Raw_Slack!A:B, 2, FALSE)), ""lifestyle|home|interior|decor|living|lifestyle"&amp;" enthusiasts""), ""Lifestyle"",
  REGEXMATCH(LOWER(VLOOKUP(A123, Data1_Raw_Slack!A:B, 2, FALSE)), ""financial|finance|investing|stocks|retirement|banking|credit|debt|loans|savings|personal finance|insurance|econ|ecom|business|retail|occupation|sale|job|ma"&amp;"rketing""), ""Finance"",
  REGEXMATCH(LOWER(VLOOKUP(A123, Data1_Raw_Slack!A:B, 2, FALSE)), ""auto|automotive""), ""Auto"",
  REGEXMATCH(LOWER(VLOOKUP(A123, Data1_Raw_Slack!A:B, 2, FALSE)), ""parenting|moms|dads|kids|toddlers|baby|parent|children""), ""Par"&amp;"enting"",
  REGEXMATCH(LOWER(VLOOKUP(A123, Data1_Raw_Slack!A:B, 2, FALSE)), ""education|students|learning|school|teachers|college|university|academics""), ""Education"",
  REGEXMATCH(LOWER(VLOOKUP(A123, Data1_Raw_Slack!A:B, 2, FALSE)), ""age|gender|dem"&amp;"ographic|family|household""), ""Demographics"",
  REGEXMATCH(LOWER(VLOOKUP(A123, Data1_Raw_Slack!A:B, 2, FALSE)), ""mortgage|real estate""), ""Real Estate"",REGEXMATCH(LOWER(VLOOKUP(A123, Data1_Raw_Slack!A:B, 2, FALSE)), ""technology|tech|gadgets|smartpho"&amp;"ne|electro|apps|devices|computing|ai|robots|software|computer|internet|tele|mobile|tablet""), ""Technology"", REGEXMATCH(LOWER(VLOOKUP(A123, Data1_Raw_Slack!A:B, 2, FALSE)), ""entertainment|purchas|movies|tv|netflix|streaming|celebrity|movie lovers|tv fan"&amp;"s|media|hobb|photo|art|shop""), ""Entertainment"", REGEXMATCH(LOWER(VLOOKUP(A123, Data1_Raw_Slack!A:B, 2, FALSE)), ""law|government|""), ""Law and Government"",
  TRUE, ""Other""
)"),"Food")</f>
        <v>Food</v>
      </c>
      <c r="G123" s="9"/>
      <c r="H123" s="9" t="s">
        <v>32</v>
      </c>
      <c r="I123" s="9" t="s">
        <v>612</v>
      </c>
      <c r="J123" s="9" t="s">
        <v>34</v>
      </c>
      <c r="K123" s="9" t="s">
        <v>236</v>
      </c>
      <c r="L123" s="9" t="s">
        <v>82</v>
      </c>
      <c r="M123" s="10" t="s">
        <v>613</v>
      </c>
      <c r="N123" s="9" t="str">
        <f ca="1">IFERROR(__xludf.DUMMYFUNCTION("REGEXEXTRACT(LOWER(M123), ""([a-z0-9\-]+)\.(?:co|net|org|io|gg)"")"),"ew")</f>
        <v>ew</v>
      </c>
      <c r="O123" s="9" t="s">
        <v>109</v>
      </c>
      <c r="P123" s="9" t="s">
        <v>39</v>
      </c>
      <c r="Q123" s="9">
        <v>9920</v>
      </c>
      <c r="R123" s="9">
        <v>20</v>
      </c>
      <c r="S123" s="9">
        <v>6702</v>
      </c>
      <c r="T123" s="9">
        <v>9096</v>
      </c>
      <c r="U123" s="9">
        <v>10</v>
      </c>
      <c r="V123" s="11">
        <v>1453.11439</v>
      </c>
      <c r="W123" s="12">
        <f t="shared" si="0"/>
        <v>145.31143900000001</v>
      </c>
      <c r="X123" s="12">
        <f t="shared" si="1"/>
        <v>0.20161290322580644</v>
      </c>
      <c r="Y123" s="12">
        <f t="shared" si="2"/>
        <v>67.560483870967744</v>
      </c>
      <c r="Z123" s="12">
        <f t="shared" si="3"/>
        <v>216.81802297821545</v>
      </c>
      <c r="AA123" s="12">
        <f t="shared" si="4"/>
        <v>146.48330544354837</v>
      </c>
      <c r="AB123" s="12">
        <f t="shared" si="5"/>
        <v>72.655719500000004</v>
      </c>
      <c r="AC123" s="12">
        <f t="shared" si="6"/>
        <v>50</v>
      </c>
      <c r="AE123" s="13"/>
      <c r="AF123" s="13"/>
    </row>
    <row r="124" spans="1:32">
      <c r="A124" s="8" t="s">
        <v>614</v>
      </c>
      <c r="B124" s="9" t="s">
        <v>67</v>
      </c>
      <c r="C124" s="9" t="s">
        <v>545</v>
      </c>
      <c r="D124" s="9" t="s">
        <v>615</v>
      </c>
      <c r="E124" s="9"/>
      <c r="F124" s="9" t="str">
        <f ca="1">IFERROR(__xludf.DUMMYFUNCTION("IFS(
  REGEXMATCH(LOWER(VLOOKUP(A124, Data1_Raw_Slack!A:B, 2, FALSE)), ""news|weather""), ""News and Weather"", REGEXMATCH(LOWER(VLOOKUP(A124, Data1_Raw_Slack!A:B, 2, FALSE)), ""sports|ufc|nba|nfl|mlb|soccer|sports fans""), ""Sports"",
  REGEXMATCH(LOWER("&amp;"VLOOKUP(A124, Data1_Raw_Slack!A:B, 2, FALSE)), ""fashion|style|clothing|apparel|shoes|accessories|beauty|cosmetics|fashionistas""), ""Fashion and Beauty"",
  REGEXMATCH(LOWER(VLOOKUP(A124, Data1_Raw_Slack!A:B, 2, FALSE)), ""food|cooking|recipe|restaurant|"&amp;"snack|grocery|foodies""), ""Food"",
  REGEXMATCH(LOWER(VLOOKUP(A124, Data1_Raw_Slack!A:B, 2, FALSE)), ""travel|vacation|airline|hotel|trip|flights|travelers""), ""Travel"",
  REGEXMATCH(LOWER(VLOOKUP(A124, Data1_Raw_Slack!A:B, 2, FALSE)), ""fitness|workou"&amp;"t|gym|exercise|yoga|wellness|fitness enthusiasts""), ""Fitness"",
  REGEXMATCH(LOWER(VLOOKUP(A124, Data1_Raw_Slack!A:B, 2, FALSE)), ""health|medical|pharmacy|mental health|doctor|health-conscious""), ""Health"",
  REGEXMATCH(LOWER(VLOOKUP(A124, Data1_Raw_"&amp;"Slack!A:B, 2, FALSE)), ""pets|dogs|cats|animals|pet care|pet lovers""), ""Pets"",
  REGEXMATCH(LOWER(VLOOKUP(A124, Data1_Raw_Slack!A:B, 2, FALSE)), ""games|gaming|game|xbox|playstation|nintendo|gamers""), ""Gaming"",
  REGEXMATCH(LOWER(VLOOKUP(A124, Data1"&amp;"_Raw_Slack!A:B, 2, FALSE)), ""entertainment|movies|tv|netflix|streaming|celebrity|movie lovers|tv fans|hobb|photo|art""), ""Entertainment"",
  REGEXMATCH(LOWER(VLOOKUP(A124, Data1_Raw_Slack!A:B, 2, FALSE)), ""lifestyle|home|interior|decor|living|lifestyle"&amp;" enthusiasts""), ""Lifestyle"",
  REGEXMATCH(LOWER(VLOOKUP(A124, Data1_Raw_Slack!A:B, 2, FALSE)), ""financial|finance|investing|stocks|retirement|banking|credit|debt|loans|savings|personal finance|insurance|econ|ecom|business|retail|occupation|sale|job|ma"&amp;"rketing""), ""Finance"",
  REGEXMATCH(LOWER(VLOOKUP(A124, Data1_Raw_Slack!A:B, 2, FALSE)), ""auto|automotive""), ""Auto"",
  REGEXMATCH(LOWER(VLOOKUP(A124, Data1_Raw_Slack!A:B, 2, FALSE)), ""parenting|moms|dads|kids|toddlers|baby|parent|children""), ""Par"&amp;"enting"",
  REGEXMATCH(LOWER(VLOOKUP(A124, Data1_Raw_Slack!A:B, 2, FALSE)), ""education|students|learning|school|teachers|college|university|academics""), ""Education"",
  REGEXMATCH(LOWER(VLOOKUP(A124, Data1_Raw_Slack!A:B, 2, FALSE)), ""age|gender|dem"&amp;"ographic|family|household""), ""Demographics"",
  REGEXMATCH(LOWER(VLOOKUP(A124, Data1_Raw_Slack!A:B, 2, FALSE)), ""mortgage|real estate""), ""Real Estate"",REGEXMATCH(LOWER(VLOOKUP(A124, Data1_Raw_Slack!A:B, 2, FALSE)), ""technology|tech|gadgets|smartpho"&amp;"ne|electro|apps|devices|computing|ai|robots|software|computer|internet|tele|mobile|tablet""), ""Technology"", REGEXMATCH(LOWER(VLOOKUP(A124, Data1_Raw_Slack!A:B, 2, FALSE)), ""entertainment|purchas|movies|tv|netflix|streaming|celebrity|movie lovers|tv fan"&amp;"s|media|hobb|photo|art|shop""), ""Entertainment"", REGEXMATCH(LOWER(VLOOKUP(A124, Data1_Raw_Slack!A:B, 2, FALSE)), ""law|government|""), ""Law and Government"",
  TRUE, ""Other""
)"),"Entertainment")</f>
        <v>Entertainment</v>
      </c>
      <c r="G124" s="9" t="s">
        <v>69</v>
      </c>
      <c r="H124" s="9" t="s">
        <v>44</v>
      </c>
      <c r="I124" s="9" t="s">
        <v>616</v>
      </c>
      <c r="J124" s="9" t="s">
        <v>34</v>
      </c>
      <c r="K124" s="9" t="s">
        <v>236</v>
      </c>
      <c r="L124" s="9" t="s">
        <v>82</v>
      </c>
      <c r="M124" s="10" t="s">
        <v>617</v>
      </c>
      <c r="N124" s="9" t="str">
        <f ca="1">IFERROR(__xludf.DUMMYFUNCTION("REGEXEXTRACT(LOWER(M124), ""([a-z0-9\-]+)\.(?:co|net|org|io|gg)"")"),"cnbc")</f>
        <v>cnbc</v>
      </c>
      <c r="O124" s="9" t="s">
        <v>50</v>
      </c>
      <c r="P124" s="9" t="s">
        <v>39</v>
      </c>
      <c r="Q124" s="9">
        <v>42451</v>
      </c>
      <c r="R124" s="9">
        <v>122</v>
      </c>
      <c r="S124" s="9">
        <v>29142</v>
      </c>
      <c r="T124" s="9">
        <v>41093</v>
      </c>
      <c r="U124" s="9">
        <v>7</v>
      </c>
      <c r="V124" s="11">
        <v>1530.553686</v>
      </c>
      <c r="W124" s="12">
        <f t="shared" si="0"/>
        <v>218.65052657142857</v>
      </c>
      <c r="X124" s="12">
        <f t="shared" si="1"/>
        <v>0.28739016748722057</v>
      </c>
      <c r="Y124" s="12">
        <f t="shared" si="2"/>
        <v>68.648559515676894</v>
      </c>
      <c r="Z124" s="12">
        <f t="shared" si="3"/>
        <v>52.520543751286802</v>
      </c>
      <c r="AA124" s="12">
        <f t="shared" si="4"/>
        <v>36.054596735059242</v>
      </c>
      <c r="AB124" s="12">
        <f t="shared" si="5"/>
        <v>12.545522016393443</v>
      </c>
      <c r="AC124" s="12">
        <f t="shared" si="6"/>
        <v>5.7377049180327866</v>
      </c>
      <c r="AE124" s="13"/>
      <c r="AF124" s="13"/>
    </row>
    <row r="125" spans="1:32">
      <c r="A125" s="8" t="s">
        <v>618</v>
      </c>
      <c r="B125" s="9" t="s">
        <v>66</v>
      </c>
      <c r="C125" s="9" t="s">
        <v>122</v>
      </c>
      <c r="D125" s="9" t="s">
        <v>619</v>
      </c>
      <c r="E125" s="9"/>
      <c r="F125" s="9" t="str">
        <f ca="1">IFERROR(__xludf.DUMMYFUNCTION("IFS(
  REGEXMATCH(LOWER(VLOOKUP(A125, Data1_Raw_Slack!A:B, 2, FALSE)), ""news|weather""), ""News and Weather"", REGEXMATCH(LOWER(VLOOKUP(A125, Data1_Raw_Slack!A:B, 2, FALSE)), ""sports|ufc|nba|nfl|mlb|soccer|sports fans""), ""Sports"",
  REGEXMATCH(LOWER("&amp;"VLOOKUP(A125, Data1_Raw_Slack!A:B, 2, FALSE)), ""fashion|style|clothing|apparel|shoes|accessories|beauty|cosmetics|fashionistas""), ""Fashion and Beauty"",
  REGEXMATCH(LOWER(VLOOKUP(A125, Data1_Raw_Slack!A:B, 2, FALSE)), ""food|cooking|recipe|restaurant|"&amp;"snack|grocery|foodies""), ""Food"",
  REGEXMATCH(LOWER(VLOOKUP(A125, Data1_Raw_Slack!A:B, 2, FALSE)), ""travel|vacation|airline|hotel|trip|flights|travelers""), ""Travel"",
  REGEXMATCH(LOWER(VLOOKUP(A125, Data1_Raw_Slack!A:B, 2, FALSE)), ""fitness|workou"&amp;"t|gym|exercise|yoga|wellness|fitness enthusiasts""), ""Fitness"",
  REGEXMATCH(LOWER(VLOOKUP(A125, Data1_Raw_Slack!A:B, 2, FALSE)), ""health|medical|pharmacy|mental health|doctor|health-conscious""), ""Health"",
  REGEXMATCH(LOWER(VLOOKUP(A125, Data1_Raw_"&amp;"Slack!A:B, 2, FALSE)), ""pets|dogs|cats|animals|pet care|pet lovers""), ""Pets"",
  REGEXMATCH(LOWER(VLOOKUP(A125, Data1_Raw_Slack!A:B, 2, FALSE)), ""games|gaming|game|xbox|playstation|nintendo|gamers""), ""Gaming"",
  REGEXMATCH(LOWER(VLOOKUP(A125, Data1"&amp;"_Raw_Slack!A:B, 2, FALSE)), ""entertainment|movies|tv|netflix|streaming|celebrity|movie lovers|tv fans|hobb|photo|art""), ""Entertainment"",
  REGEXMATCH(LOWER(VLOOKUP(A125, Data1_Raw_Slack!A:B, 2, FALSE)), ""lifestyle|home|interior|decor|living|lifestyle"&amp;" enthusiasts""), ""Lifestyle"",
  REGEXMATCH(LOWER(VLOOKUP(A125, Data1_Raw_Slack!A:B, 2, FALSE)), ""financial|finance|investing|stocks|retirement|banking|credit|debt|loans|savings|personal finance|insurance|econ|ecom|business|retail|occupation|sale|job|ma"&amp;"rketing""), ""Finance"",
  REGEXMATCH(LOWER(VLOOKUP(A125, Data1_Raw_Slack!A:B, 2, FALSE)), ""auto|automotive""), ""Auto"",
  REGEXMATCH(LOWER(VLOOKUP(A125, Data1_Raw_Slack!A:B, 2, FALSE)), ""parenting|moms|dads|kids|toddlers|baby|parent|children""), ""Par"&amp;"enting"",
  REGEXMATCH(LOWER(VLOOKUP(A125, Data1_Raw_Slack!A:B, 2, FALSE)), ""education|students|learning|school|teachers|college|university|academics""), ""Education"",
  REGEXMATCH(LOWER(VLOOKUP(A125, Data1_Raw_Slack!A:B, 2, FALSE)), ""age|gender|dem"&amp;"ographic|family|household""), ""Demographics"",
  REGEXMATCH(LOWER(VLOOKUP(A125, Data1_Raw_Slack!A:B, 2, FALSE)), ""mortgage|real estate""), ""Real Estate"",REGEXMATCH(LOWER(VLOOKUP(A125, Data1_Raw_Slack!A:B, 2, FALSE)), ""technology|tech|gadgets|smartpho"&amp;"ne|electro|apps|devices|computing|ai|robots|software|computer|internet|tele|mobile|tablet""), ""Technology"", REGEXMATCH(LOWER(VLOOKUP(A125, Data1_Raw_Slack!A:B, 2, FALSE)), ""entertainment|purchas|movies|tv|netflix|streaming|celebrity|movie lovers|tv fan"&amp;"s|media|hobb|photo|art|shop""), ""Entertainment"", REGEXMATCH(LOWER(VLOOKUP(A125, Data1_Raw_Slack!A:B, 2, FALSE)), ""law|government|""), ""Law and Government"",
  TRUE, ""Other""
)"),"Finance")</f>
        <v>Finance</v>
      </c>
      <c r="G125" s="9" t="s">
        <v>122</v>
      </c>
      <c r="H125" s="9" t="s">
        <v>32</v>
      </c>
      <c r="I125" s="9" t="s">
        <v>457</v>
      </c>
      <c r="J125" s="9" t="s">
        <v>80</v>
      </c>
      <c r="K125" s="9" t="s">
        <v>170</v>
      </c>
      <c r="L125" s="9" t="s">
        <v>72</v>
      </c>
      <c r="M125" s="10" t="s">
        <v>202</v>
      </c>
      <c r="N125" s="9" t="str">
        <f ca="1">IFERROR(__xludf.DUMMYFUNCTION("REGEXEXTRACT(LOWER(M125), ""([a-z0-9\-]+)\.(?:co|net|org|io|gg)"")"),"zillow")</f>
        <v>zillow</v>
      </c>
      <c r="O125" s="9" t="s">
        <v>50</v>
      </c>
      <c r="P125" s="9" t="s">
        <v>39</v>
      </c>
      <c r="Q125" s="9">
        <v>304377</v>
      </c>
      <c r="R125" s="9">
        <v>801</v>
      </c>
      <c r="S125" s="9">
        <v>27519</v>
      </c>
      <c r="T125" s="9">
        <v>270098</v>
      </c>
      <c r="U125" s="9">
        <v>63</v>
      </c>
      <c r="V125" s="11">
        <v>1595.48714</v>
      </c>
      <c r="W125" s="12">
        <f t="shared" si="0"/>
        <v>25.325192698412696</v>
      </c>
      <c r="X125" s="12">
        <f t="shared" si="1"/>
        <v>0.26316048847317636</v>
      </c>
      <c r="Y125" s="12">
        <f t="shared" si="2"/>
        <v>9.041090489754481</v>
      </c>
      <c r="Z125" s="12">
        <f t="shared" si="3"/>
        <v>57.977656891602166</v>
      </c>
      <c r="AA125" s="12">
        <f t="shared" si="4"/>
        <v>5.2418124234091277</v>
      </c>
      <c r="AB125" s="12">
        <f t="shared" si="5"/>
        <v>1.991869088639201</v>
      </c>
      <c r="AC125" s="12">
        <f t="shared" si="6"/>
        <v>7.8651685393258424</v>
      </c>
      <c r="AE125" s="13"/>
      <c r="AF125" s="13"/>
    </row>
    <row r="126" spans="1:32">
      <c r="A126" s="8" t="s">
        <v>620</v>
      </c>
      <c r="B126" s="9" t="s">
        <v>41</v>
      </c>
      <c r="C126" s="9" t="s">
        <v>214</v>
      </c>
      <c r="D126" s="9" t="s">
        <v>215</v>
      </c>
      <c r="E126" s="9" t="s">
        <v>621</v>
      </c>
      <c r="F126" s="9" t="str">
        <f ca="1">IFERROR(__xludf.DUMMYFUNCTION("IFS(
  REGEXMATCH(LOWER(VLOOKUP(A126, Data1_Raw_Slack!A:B, 2, FALSE)), ""news|weather""), ""News and Weather"", REGEXMATCH(LOWER(VLOOKUP(A126, Data1_Raw_Slack!A:B, 2, FALSE)), ""sports|ufc|nba|nfl|mlb|soccer|sports fans""), ""Sports"",
  REGEXMATCH(LOWER("&amp;"VLOOKUP(A126, Data1_Raw_Slack!A:B, 2, FALSE)), ""fashion|style|clothing|apparel|shoes|accessories|beauty|cosmetics|fashionistas""), ""Fashion and Beauty"",
  REGEXMATCH(LOWER(VLOOKUP(A126, Data1_Raw_Slack!A:B, 2, FALSE)), ""food|cooking|recipe|restaurant|"&amp;"snack|grocery|foodies""), ""Food"",
  REGEXMATCH(LOWER(VLOOKUP(A126, Data1_Raw_Slack!A:B, 2, FALSE)), ""travel|vacation|airline|hotel|trip|flights|travelers""), ""Travel"",
  REGEXMATCH(LOWER(VLOOKUP(A126, Data1_Raw_Slack!A:B, 2, FALSE)), ""fitness|workou"&amp;"t|gym|exercise|yoga|wellness|fitness enthusiasts""), ""Fitness"",
  REGEXMATCH(LOWER(VLOOKUP(A126, Data1_Raw_Slack!A:B, 2, FALSE)), ""health|medical|pharmacy|mental health|doctor|health-conscious""), ""Health"",
  REGEXMATCH(LOWER(VLOOKUP(A126, Data1_Raw_"&amp;"Slack!A:B, 2, FALSE)), ""pets|dogs|cats|animals|pet care|pet lovers""), ""Pets"",
  REGEXMATCH(LOWER(VLOOKUP(A126, Data1_Raw_Slack!A:B, 2, FALSE)), ""games|gaming|game|xbox|playstation|nintendo|gamers""), ""Gaming"",
  REGEXMATCH(LOWER(VLOOKUP(A126, Data1"&amp;"_Raw_Slack!A:B, 2, FALSE)), ""entertainment|movies|tv|netflix|streaming|celebrity|movie lovers|tv fans|hobb|photo|art""), ""Entertainment"",
  REGEXMATCH(LOWER(VLOOKUP(A126, Data1_Raw_Slack!A:B, 2, FALSE)), ""lifestyle|home|interior|decor|living|lifestyle"&amp;" enthusiasts""), ""Lifestyle"",
  REGEXMATCH(LOWER(VLOOKUP(A126, Data1_Raw_Slack!A:B, 2, FALSE)), ""financial|finance|investing|stocks|retirement|banking|credit|debt|loans|savings|personal finance|insurance|econ|ecom|business|retail|occupation|sale|job|ma"&amp;"rketing""), ""Finance"",
  REGEXMATCH(LOWER(VLOOKUP(A126, Data1_Raw_Slack!A:B, 2, FALSE)), ""auto|automotive""), ""Auto"",
  REGEXMATCH(LOWER(VLOOKUP(A126, Data1_Raw_Slack!A:B, 2, FALSE)), ""parenting|moms|dads|kids|toddlers|baby|parent|children""), ""Par"&amp;"enting"",
  REGEXMATCH(LOWER(VLOOKUP(A126, Data1_Raw_Slack!A:B, 2, FALSE)), ""education|students|learning|school|teachers|college|university|academics""), ""Education"",
  REGEXMATCH(LOWER(VLOOKUP(A126, Data1_Raw_Slack!A:B, 2, FALSE)), ""age|gender|dem"&amp;"ographic|family|household""), ""Demographics"",
  REGEXMATCH(LOWER(VLOOKUP(A126, Data1_Raw_Slack!A:B, 2, FALSE)), ""mortgage|real estate""), ""Real Estate"",REGEXMATCH(LOWER(VLOOKUP(A126, Data1_Raw_Slack!A:B, 2, FALSE)), ""technology|tech|gadgets|smartpho"&amp;"ne|electro|apps|devices|computing|ai|robots|software|computer|internet|tele|mobile|tablet""), ""Technology"", REGEXMATCH(LOWER(VLOOKUP(A126, Data1_Raw_Slack!A:B, 2, FALSE)), ""entertainment|purchas|movies|tv|netflix|streaming|celebrity|movie lovers|tv fan"&amp;"s|media|hobb|photo|art|shop""), ""Entertainment"", REGEXMATCH(LOWER(VLOOKUP(A126, Data1_Raw_Slack!A:B, 2, FALSE)), ""law|government|""), ""Law and Government"",
  TRUE, ""Other""
)"),"Demographics")</f>
        <v>Demographics</v>
      </c>
      <c r="G126" s="9"/>
      <c r="H126" s="9" t="s">
        <v>44</v>
      </c>
      <c r="I126" s="9" t="s">
        <v>622</v>
      </c>
      <c r="J126" s="9" t="s">
        <v>46</v>
      </c>
      <c r="K126" s="9" t="s">
        <v>170</v>
      </c>
      <c r="L126" s="9" t="s">
        <v>72</v>
      </c>
      <c r="M126" s="10" t="s">
        <v>623</v>
      </c>
      <c r="N126" s="9" t="str">
        <f ca="1">IFERROR(__xludf.DUMMYFUNCTION("REGEXEXTRACT(LOWER(M126), ""([a-z0-9\-]+)\.(?:co|net|org|io|gg)"")"),"livescience")</f>
        <v>livescience</v>
      </c>
      <c r="O126" s="9" t="s">
        <v>103</v>
      </c>
      <c r="P126" s="9" t="s">
        <v>39</v>
      </c>
      <c r="Q126" s="9">
        <v>9702</v>
      </c>
      <c r="R126" s="9">
        <v>40</v>
      </c>
      <c r="S126" s="9">
        <v>5564</v>
      </c>
      <c r="T126" s="9">
        <v>8210</v>
      </c>
      <c r="U126" s="9">
        <v>1</v>
      </c>
      <c r="V126" s="11">
        <v>5711.3920099999996</v>
      </c>
      <c r="W126" s="12">
        <f t="shared" si="0"/>
        <v>5711.3920099999996</v>
      </c>
      <c r="X126" s="12">
        <f t="shared" si="1"/>
        <v>0.41228612657184083</v>
      </c>
      <c r="Y126" s="12">
        <f t="shared" si="2"/>
        <v>57.34900020614306</v>
      </c>
      <c r="Z126" s="12">
        <f t="shared" si="3"/>
        <v>1026.4902965492452</v>
      </c>
      <c r="AA126" s="12">
        <f t="shared" si="4"/>
        <v>588.68192228406508</v>
      </c>
      <c r="AB126" s="12">
        <f t="shared" si="5"/>
        <v>142.78480024999999</v>
      </c>
      <c r="AC126" s="12">
        <f t="shared" si="6"/>
        <v>2.5</v>
      </c>
      <c r="AE126" s="13"/>
      <c r="AF126" s="13"/>
    </row>
    <row r="127" spans="1:32">
      <c r="A127" s="8" t="s">
        <v>624</v>
      </c>
      <c r="B127" s="9" t="s">
        <v>41</v>
      </c>
      <c r="C127" s="9" t="s">
        <v>162</v>
      </c>
      <c r="D127" s="9" t="s">
        <v>248</v>
      </c>
      <c r="E127" s="9" t="s">
        <v>625</v>
      </c>
      <c r="F127" s="9" t="str">
        <f ca="1">IFERROR(__xludf.DUMMYFUNCTION("IFS(
  REGEXMATCH(LOWER(VLOOKUP(A127, Data1_Raw_Slack!A:B, 2, FALSE)), ""news|weather""), ""News and Weather"", REGEXMATCH(LOWER(VLOOKUP(A127, Data1_Raw_Slack!A:B, 2, FALSE)), ""sports|ufc|nba|nfl|mlb|soccer|sports fans""), ""Sports"",
  REGEXMATCH(LOWER("&amp;"VLOOKUP(A127, Data1_Raw_Slack!A:B, 2, FALSE)), ""fashion|style|clothing|apparel|shoes|accessories|beauty|cosmetics|fashionistas""), ""Fashion and Beauty"",
  REGEXMATCH(LOWER(VLOOKUP(A127, Data1_Raw_Slack!A:B, 2, FALSE)), ""food|cooking|recipe|restaurant|"&amp;"snack|grocery|foodies""), ""Food"",
  REGEXMATCH(LOWER(VLOOKUP(A127, Data1_Raw_Slack!A:B, 2, FALSE)), ""travel|vacation|airline|hotel|trip|flights|travelers""), ""Travel"",
  REGEXMATCH(LOWER(VLOOKUP(A127, Data1_Raw_Slack!A:B, 2, FALSE)), ""fitness|workou"&amp;"t|gym|exercise|yoga|wellness|fitness enthusiasts""), ""Fitness"",
  REGEXMATCH(LOWER(VLOOKUP(A127, Data1_Raw_Slack!A:B, 2, FALSE)), ""health|medical|pharmacy|mental health|doctor|health-conscious""), ""Health"",
  REGEXMATCH(LOWER(VLOOKUP(A127, Data1_Raw_"&amp;"Slack!A:B, 2, FALSE)), ""pets|dogs|cats|animals|pet care|pet lovers""), ""Pets"",
  REGEXMATCH(LOWER(VLOOKUP(A127, Data1_Raw_Slack!A:B, 2, FALSE)), ""games|gaming|game|xbox|playstation|nintendo|gamers""), ""Gaming"",
  REGEXMATCH(LOWER(VLOOKUP(A127, Data1"&amp;"_Raw_Slack!A:B, 2, FALSE)), ""entertainment|movies|tv|netflix|streaming|celebrity|movie lovers|tv fans|hobb|photo|art""), ""Entertainment"",
  REGEXMATCH(LOWER(VLOOKUP(A127, Data1_Raw_Slack!A:B, 2, FALSE)), ""lifestyle|home|interior|decor|living|lifestyle"&amp;" enthusiasts""), ""Lifestyle"",
  REGEXMATCH(LOWER(VLOOKUP(A127, Data1_Raw_Slack!A:B, 2, FALSE)), ""financial|finance|investing|stocks|retirement|banking|credit|debt|loans|savings|personal finance|insurance|econ|ecom|business|retail|occupation|sale|job|ma"&amp;"rketing""), ""Finance"",
  REGEXMATCH(LOWER(VLOOKUP(A127, Data1_Raw_Slack!A:B, 2, FALSE)), ""auto|automotive""), ""Auto"",
  REGEXMATCH(LOWER(VLOOKUP(A127, Data1_Raw_Slack!A:B, 2, FALSE)), ""parenting|moms|dads|kids|toddlers|baby|parent|children""), ""Par"&amp;"enting"",
  REGEXMATCH(LOWER(VLOOKUP(A127, Data1_Raw_Slack!A:B, 2, FALSE)), ""education|students|learning|school|teachers|college|university|academics""), ""Education"",
  REGEXMATCH(LOWER(VLOOKUP(A127, Data1_Raw_Slack!A:B, 2, FALSE)), ""age|gender|dem"&amp;"ographic|family|household""), ""Demographics"",
  REGEXMATCH(LOWER(VLOOKUP(A127, Data1_Raw_Slack!A:B, 2, FALSE)), ""mortgage|real estate""), ""Real Estate"",REGEXMATCH(LOWER(VLOOKUP(A127, Data1_Raw_Slack!A:B, 2, FALSE)), ""technology|tech|gadgets|smartpho"&amp;"ne|electro|apps|devices|computing|ai|robots|software|computer|internet|tele|mobile|tablet""), ""Technology"", REGEXMATCH(LOWER(VLOOKUP(A127, Data1_Raw_Slack!A:B, 2, FALSE)), ""entertainment|purchas|movies|tv|netflix|streaming|celebrity|movie lovers|tv fan"&amp;"s|media|hobb|photo|art|shop""), ""Entertainment"", REGEXMATCH(LOWER(VLOOKUP(A127, Data1_Raw_Slack!A:B, 2, FALSE)), ""law|government|""), ""Law and Government"",
  TRUE, ""Other""
)"),"Auto")</f>
        <v>Auto</v>
      </c>
      <c r="G127" s="9" t="s">
        <v>122</v>
      </c>
      <c r="H127" s="9" t="s">
        <v>44</v>
      </c>
      <c r="I127" s="9" t="s">
        <v>626</v>
      </c>
      <c r="J127" s="9" t="s">
        <v>46</v>
      </c>
      <c r="K127" s="9" t="s">
        <v>236</v>
      </c>
      <c r="L127" s="9" t="s">
        <v>82</v>
      </c>
      <c r="M127" s="10" t="s">
        <v>73</v>
      </c>
      <c r="N127" s="9" t="str">
        <f ca="1">IFERROR(__xludf.DUMMYFUNCTION("REGEXEXTRACT(LOWER(M127), ""([a-z0-9\-]+)\.(?:co|net|org|io|gg)"")"),"aol")</f>
        <v>aol</v>
      </c>
      <c r="O127" s="9" t="s">
        <v>186</v>
      </c>
      <c r="P127" s="9" t="s">
        <v>75</v>
      </c>
      <c r="Q127" s="9">
        <v>25889</v>
      </c>
      <c r="R127" s="9">
        <v>110</v>
      </c>
      <c r="S127" s="9">
        <v>18382</v>
      </c>
      <c r="T127" s="9">
        <v>23328</v>
      </c>
      <c r="U127" s="9">
        <v>15</v>
      </c>
      <c r="V127" s="11">
        <v>4977.7847940000001</v>
      </c>
      <c r="W127" s="12">
        <f t="shared" si="0"/>
        <v>331.85231959999999</v>
      </c>
      <c r="X127" s="12">
        <f t="shared" si="1"/>
        <v>0.42489088029665112</v>
      </c>
      <c r="Y127" s="12">
        <f t="shared" si="2"/>
        <v>71.003128741936735</v>
      </c>
      <c r="Z127" s="12">
        <f t="shared" si="3"/>
        <v>270.79669209008819</v>
      </c>
      <c r="AA127" s="12">
        <f t="shared" si="4"/>
        <v>192.27412391363129</v>
      </c>
      <c r="AB127" s="12">
        <f t="shared" si="5"/>
        <v>45.252589036363638</v>
      </c>
      <c r="AC127" s="12">
        <f t="shared" si="6"/>
        <v>13.636363636363635</v>
      </c>
      <c r="AE127" s="13"/>
      <c r="AF127" s="13"/>
    </row>
    <row r="128" spans="1:32">
      <c r="A128" s="8" t="s">
        <v>627</v>
      </c>
      <c r="B128" s="9" t="s">
        <v>41</v>
      </c>
      <c r="C128" s="9" t="s">
        <v>253</v>
      </c>
      <c r="D128" s="9" t="s">
        <v>539</v>
      </c>
      <c r="E128" s="9"/>
      <c r="F128" s="9" t="str">
        <f ca="1">IFERROR(__xludf.DUMMYFUNCTION("IFS(
  REGEXMATCH(LOWER(VLOOKUP(A128, Data1_Raw_Slack!A:B, 2, FALSE)), ""news|weather""), ""News and Weather"", REGEXMATCH(LOWER(VLOOKUP(A128, Data1_Raw_Slack!A:B, 2, FALSE)), ""sports|ufc|nba|nfl|mlb|soccer|sports fans""), ""Sports"",
  REGEXMATCH(LOWER("&amp;"VLOOKUP(A128, Data1_Raw_Slack!A:B, 2, FALSE)), ""fashion|style|clothing|apparel|shoes|accessories|beauty|cosmetics|fashionistas""), ""Fashion and Beauty"",
  REGEXMATCH(LOWER(VLOOKUP(A128, Data1_Raw_Slack!A:B, 2, FALSE)), ""food|cooking|recipe|restaurant|"&amp;"snack|grocery|foodies""), ""Food"",
  REGEXMATCH(LOWER(VLOOKUP(A128, Data1_Raw_Slack!A:B, 2, FALSE)), ""travel|vacation|airline|hotel|trip|flights|travelers""), ""Travel"",
  REGEXMATCH(LOWER(VLOOKUP(A128, Data1_Raw_Slack!A:B, 2, FALSE)), ""fitness|workou"&amp;"t|gym|exercise|yoga|wellness|fitness enthusiasts""), ""Fitness"",
  REGEXMATCH(LOWER(VLOOKUP(A128, Data1_Raw_Slack!A:B, 2, FALSE)), ""health|medical|pharmacy|mental health|doctor|health-conscious""), ""Health"",
  REGEXMATCH(LOWER(VLOOKUP(A128, Data1_Raw_"&amp;"Slack!A:B, 2, FALSE)), ""pets|dogs|cats|animals|pet care|pet lovers""), ""Pets"",
  REGEXMATCH(LOWER(VLOOKUP(A128, Data1_Raw_Slack!A:B, 2, FALSE)), ""games|gaming|game|xbox|playstation|nintendo|gamers""), ""Gaming"",
  REGEXMATCH(LOWER(VLOOKUP(A128, Data1"&amp;"_Raw_Slack!A:B, 2, FALSE)), ""entertainment|movies|tv|netflix|streaming|celebrity|movie lovers|tv fans|hobb|photo|art""), ""Entertainment"",
  REGEXMATCH(LOWER(VLOOKUP(A128, Data1_Raw_Slack!A:B, 2, FALSE)), ""lifestyle|home|interior|decor|living|lifestyle"&amp;" enthusiasts""), ""Lifestyle"",
  REGEXMATCH(LOWER(VLOOKUP(A128, Data1_Raw_Slack!A:B, 2, FALSE)), ""financial|finance|investing|stocks|retirement|banking|credit|debt|loans|savings|personal finance|insurance|econ|ecom|business|retail|occupation|sale|job|ma"&amp;"rketing""), ""Finance"",
  REGEXMATCH(LOWER(VLOOKUP(A128, Data1_Raw_Slack!A:B, 2, FALSE)), ""auto|automotive""), ""Auto"",
  REGEXMATCH(LOWER(VLOOKUP(A128, Data1_Raw_Slack!A:B, 2, FALSE)), ""parenting|moms|dads|kids|toddlers|baby|parent|children""), ""Par"&amp;"enting"",
  REGEXMATCH(LOWER(VLOOKUP(A128, Data1_Raw_Slack!A:B, 2, FALSE)), ""education|students|learning|school|teachers|college|university|academics""), ""Education"",
  REGEXMATCH(LOWER(VLOOKUP(A128, Data1_Raw_Slack!A:B, 2, FALSE)), ""age|gender|dem"&amp;"ographic|family|household""), ""Demographics"",
  REGEXMATCH(LOWER(VLOOKUP(A128, Data1_Raw_Slack!A:B, 2, FALSE)), ""mortgage|real estate""), ""Real Estate"",REGEXMATCH(LOWER(VLOOKUP(A128, Data1_Raw_Slack!A:B, 2, FALSE)), ""technology|tech|gadgets|smartpho"&amp;"ne|electro|apps|devices|computing|ai|robots|software|computer|internet|tele|mobile|tablet""), ""Technology"", REGEXMATCH(LOWER(VLOOKUP(A128, Data1_Raw_Slack!A:B, 2, FALSE)), ""entertainment|purchas|movies|tv|netflix|streaming|celebrity|movie lovers|tv fan"&amp;"s|media|hobb|photo|art|shop""), ""Entertainment"", REGEXMATCH(LOWER(VLOOKUP(A128, Data1_Raw_Slack!A:B, 2, FALSE)), ""law|government|""), ""Law and Government"",
  TRUE, ""Other""
)"),"Lifestyle")</f>
        <v>Lifestyle</v>
      </c>
      <c r="G128" s="9"/>
      <c r="H128" s="9" t="s">
        <v>32</v>
      </c>
      <c r="I128" s="9" t="s">
        <v>628</v>
      </c>
      <c r="J128" s="9" t="s">
        <v>80</v>
      </c>
      <c r="K128" s="9" t="s">
        <v>443</v>
      </c>
      <c r="L128" s="9" t="s">
        <v>72</v>
      </c>
      <c r="M128" s="10" t="s">
        <v>629</v>
      </c>
      <c r="N128" s="9" t="str">
        <f ca="1">IFERROR(__xludf.DUMMYFUNCTION("REGEXEXTRACT(LOWER(M128), ""([a-z0-9\-]+)\.(?:co|net|org|io|gg)"")"),"#N/A")</f>
        <v>#N/A</v>
      </c>
      <c r="O128" s="9" t="s">
        <v>50</v>
      </c>
      <c r="P128" s="9" t="s">
        <v>39</v>
      </c>
      <c r="Q128" s="9">
        <v>9357</v>
      </c>
      <c r="R128" s="9">
        <v>60</v>
      </c>
      <c r="S128" s="9">
        <v>1754</v>
      </c>
      <c r="T128" s="9">
        <v>8343</v>
      </c>
      <c r="U128" s="9">
        <v>10</v>
      </c>
      <c r="V128" s="11">
        <v>6559.4777560000002</v>
      </c>
      <c r="W128" s="12">
        <f t="shared" si="0"/>
        <v>655.9477756</v>
      </c>
      <c r="X128" s="12">
        <f t="shared" si="1"/>
        <v>0.64123116383456236</v>
      </c>
      <c r="Y128" s="12">
        <f t="shared" si="2"/>
        <v>18.74532435609704</v>
      </c>
      <c r="Z128" s="12">
        <f t="shared" si="3"/>
        <v>3739.7250604332958</v>
      </c>
      <c r="AA128" s="12">
        <f t="shared" si="4"/>
        <v>701.02359260446724</v>
      </c>
      <c r="AB128" s="12">
        <f t="shared" si="5"/>
        <v>109.32462926666668</v>
      </c>
      <c r="AC128" s="12">
        <f t="shared" si="6"/>
        <v>16.666666666666664</v>
      </c>
      <c r="AE128" s="13"/>
      <c r="AF128" s="13"/>
    </row>
    <row r="129" spans="1:32">
      <c r="A129" s="8" t="s">
        <v>630</v>
      </c>
      <c r="B129" s="9" t="s">
        <v>144</v>
      </c>
      <c r="C129" s="9" t="s">
        <v>631</v>
      </c>
      <c r="D129" s="9" t="s">
        <v>632</v>
      </c>
      <c r="E129" s="9"/>
      <c r="F129" s="9" t="str">
        <f ca="1">IFERROR(__xludf.DUMMYFUNCTION("IFS(
  REGEXMATCH(LOWER(VLOOKUP(A129, Data1_Raw_Slack!A:B, 2, FALSE)), ""news|weather""), ""News and Weather"", REGEXMATCH(LOWER(VLOOKUP(A129, Data1_Raw_Slack!A:B, 2, FALSE)), ""sports|ufc|nba|nfl|mlb|soccer|sports fans""), ""Sports"",
  REGEXMATCH(LOWER("&amp;"VLOOKUP(A129, Data1_Raw_Slack!A:B, 2, FALSE)), ""fashion|style|clothing|apparel|shoes|accessories|beauty|cosmetics|fashionistas""), ""Fashion and Beauty"",
  REGEXMATCH(LOWER(VLOOKUP(A129, Data1_Raw_Slack!A:B, 2, FALSE)), ""food|cooking|recipe|restaurant|"&amp;"snack|grocery|foodies""), ""Food"",
  REGEXMATCH(LOWER(VLOOKUP(A129, Data1_Raw_Slack!A:B, 2, FALSE)), ""travel|vacation|airline|hotel|trip|flights|travelers""), ""Travel"",
  REGEXMATCH(LOWER(VLOOKUP(A129, Data1_Raw_Slack!A:B, 2, FALSE)), ""fitness|workou"&amp;"t|gym|exercise|yoga|wellness|fitness enthusiasts""), ""Fitness"",
  REGEXMATCH(LOWER(VLOOKUP(A129, Data1_Raw_Slack!A:B, 2, FALSE)), ""health|medical|pharmacy|mental health|doctor|health-conscious""), ""Health"",
  REGEXMATCH(LOWER(VLOOKUP(A129, Data1_Raw_"&amp;"Slack!A:B, 2, FALSE)), ""pets|dogs|cats|animals|pet care|pet lovers""), ""Pets"",
  REGEXMATCH(LOWER(VLOOKUP(A129, Data1_Raw_Slack!A:B, 2, FALSE)), ""games|gaming|game|xbox|playstation|nintendo|gamers""), ""Gaming"",
  REGEXMATCH(LOWER(VLOOKUP(A129, Data1"&amp;"_Raw_Slack!A:B, 2, FALSE)), ""entertainment|movies|tv|netflix|streaming|celebrity|movie lovers|tv fans|hobb|photo|art""), ""Entertainment"",
  REGEXMATCH(LOWER(VLOOKUP(A129, Data1_Raw_Slack!A:B, 2, FALSE)), ""lifestyle|home|interior|decor|living|lifestyle"&amp;" enthusiasts""), ""Lifestyle"",
  REGEXMATCH(LOWER(VLOOKUP(A129, Data1_Raw_Slack!A:B, 2, FALSE)), ""financial|finance|investing|stocks|retirement|banking|credit|debt|loans|savings|personal finance|insurance|econ|ecom|business|retail|occupation|sale|job|ma"&amp;"rketing""), ""Finance"",
  REGEXMATCH(LOWER(VLOOKUP(A129, Data1_Raw_Slack!A:B, 2, FALSE)), ""auto|automotive""), ""Auto"",
  REGEXMATCH(LOWER(VLOOKUP(A129, Data1_Raw_Slack!A:B, 2, FALSE)), ""parenting|moms|dads|kids|toddlers|baby|parent|children""), ""Par"&amp;"enting"",
  REGEXMATCH(LOWER(VLOOKUP(A129, Data1_Raw_Slack!A:B, 2, FALSE)), ""education|students|learning|school|teachers|college|university|academics""), ""Education"",
  REGEXMATCH(LOWER(VLOOKUP(A129, Data1_Raw_Slack!A:B, 2, FALSE)), ""age|gender|dem"&amp;"ographic|family|household""), ""Demographics"",
  REGEXMATCH(LOWER(VLOOKUP(A129, Data1_Raw_Slack!A:B, 2, FALSE)), ""mortgage|real estate""), ""Real Estate"",REGEXMATCH(LOWER(VLOOKUP(A129, Data1_Raw_Slack!A:B, 2, FALSE)), ""technology|tech|gadgets|smartpho"&amp;"ne|electro|apps|devices|computing|ai|robots|software|computer|internet|tele|mobile|tablet""), ""Technology"", REGEXMATCH(LOWER(VLOOKUP(A129, Data1_Raw_Slack!A:B, 2, FALSE)), ""entertainment|purchas|movies|tv|netflix|streaming|celebrity|movie lovers|tv fan"&amp;"s|media|hobb|photo|art|shop""), ""Entertainment"", REGEXMATCH(LOWER(VLOOKUP(A129, Data1_Raw_Slack!A:B, 2, FALSE)), ""law|government|""), ""Law and Government"",
  TRUE, ""Other""
)"),"Technology")</f>
        <v>Technology</v>
      </c>
      <c r="G129" s="9" t="s">
        <v>135</v>
      </c>
      <c r="H129" s="9" t="s">
        <v>44</v>
      </c>
      <c r="I129" s="9" t="s">
        <v>256</v>
      </c>
      <c r="J129" s="9" t="s">
        <v>80</v>
      </c>
      <c r="K129" s="9" t="s">
        <v>633</v>
      </c>
      <c r="L129" s="9" t="s">
        <v>72</v>
      </c>
      <c r="M129" s="10" t="s">
        <v>634</v>
      </c>
      <c r="N129" s="9" t="str">
        <f ca="1">IFERROR(__xludf.DUMMYFUNCTION("REGEXEXTRACT(LOWER(M129), ""([a-z0-9\-]+)\.(?:co|net|org|io|gg)"")"),"ign")</f>
        <v>ign</v>
      </c>
      <c r="O129" s="9" t="s">
        <v>157</v>
      </c>
      <c r="P129" s="9" t="s">
        <v>39</v>
      </c>
      <c r="Q129" s="9">
        <v>13833</v>
      </c>
      <c r="R129" s="9">
        <v>84</v>
      </c>
      <c r="S129" s="9">
        <v>7693</v>
      </c>
      <c r="T129" s="9">
        <v>13237</v>
      </c>
      <c r="U129" s="9">
        <v>6</v>
      </c>
      <c r="V129" s="11">
        <v>1526.7870660000001</v>
      </c>
      <c r="W129" s="12">
        <f t="shared" si="0"/>
        <v>254.46451100000002</v>
      </c>
      <c r="X129" s="12">
        <f t="shared" si="1"/>
        <v>0.60724354803730207</v>
      </c>
      <c r="Y129" s="12">
        <f t="shared" si="2"/>
        <v>55.613388274416252</v>
      </c>
      <c r="Z129" s="12">
        <f t="shared" si="3"/>
        <v>198.46445677888991</v>
      </c>
      <c r="AA129" s="12">
        <f t="shared" si="4"/>
        <v>110.37280893515506</v>
      </c>
      <c r="AB129" s="12">
        <f t="shared" si="5"/>
        <v>18.176036500000002</v>
      </c>
      <c r="AC129" s="12">
        <f t="shared" si="6"/>
        <v>7.1428571428571423</v>
      </c>
      <c r="AE129" s="13"/>
      <c r="AF129" s="13"/>
    </row>
    <row r="130" spans="1:32">
      <c r="A130" s="8" t="s">
        <v>635</v>
      </c>
      <c r="B130" s="9" t="s">
        <v>200</v>
      </c>
      <c r="C130" s="9" t="s">
        <v>636</v>
      </c>
      <c r="D130" s="9" t="s">
        <v>637</v>
      </c>
      <c r="E130" s="9"/>
      <c r="F130" s="9" t="str">
        <f ca="1">IFERROR(__xludf.DUMMYFUNCTION("IFS(
  REGEXMATCH(LOWER(VLOOKUP(A130, Data1_Raw_Slack!A:B, 2, FALSE)), ""news|weather""), ""News and Weather"", REGEXMATCH(LOWER(VLOOKUP(A130, Data1_Raw_Slack!A:B, 2, FALSE)), ""sports|ufc|nba|nfl|mlb|soccer|sports fans""), ""Sports"",
  REGEXMATCH(LOWER("&amp;"VLOOKUP(A130, Data1_Raw_Slack!A:B, 2, FALSE)), ""fashion|style|clothing|apparel|shoes|accessories|beauty|cosmetics|fashionistas""), ""Fashion and Beauty"",
  REGEXMATCH(LOWER(VLOOKUP(A130, Data1_Raw_Slack!A:B, 2, FALSE)), ""food|cooking|recipe|restaurant|"&amp;"snack|grocery|foodies""), ""Food"",
  REGEXMATCH(LOWER(VLOOKUP(A130, Data1_Raw_Slack!A:B, 2, FALSE)), ""travel|vacation|airline|hotel|trip|flights|travelers""), ""Travel"",
  REGEXMATCH(LOWER(VLOOKUP(A130, Data1_Raw_Slack!A:B, 2, FALSE)), ""fitness|workou"&amp;"t|gym|exercise|yoga|wellness|fitness enthusiasts""), ""Fitness"",
  REGEXMATCH(LOWER(VLOOKUP(A130, Data1_Raw_Slack!A:B, 2, FALSE)), ""health|medical|pharmacy|mental health|doctor|health-conscious""), ""Health"",
  REGEXMATCH(LOWER(VLOOKUP(A130, Data1_Raw_"&amp;"Slack!A:B, 2, FALSE)), ""pets|dogs|cats|animals|pet care|pet lovers""), ""Pets"",
  REGEXMATCH(LOWER(VLOOKUP(A130, Data1_Raw_Slack!A:B, 2, FALSE)), ""games|gaming|game|xbox|playstation|nintendo|gamers""), ""Gaming"",
  REGEXMATCH(LOWER(VLOOKUP(A130, Data1"&amp;"_Raw_Slack!A:B, 2, FALSE)), ""entertainment|movies|tv|netflix|streaming|celebrity|movie lovers|tv fans|hobb|photo|art""), ""Entertainment"",
  REGEXMATCH(LOWER(VLOOKUP(A130, Data1_Raw_Slack!A:B, 2, FALSE)), ""lifestyle|home|interior|decor|living|lifestyle"&amp;" enthusiasts""), ""Lifestyle"",
  REGEXMATCH(LOWER(VLOOKUP(A130, Data1_Raw_Slack!A:B, 2, FALSE)), ""financial|finance|investing|stocks|retirement|banking|credit|debt|loans|savings|personal finance|insurance|econ|ecom|business|retail|occupation|sale|job|ma"&amp;"rketing""), ""Finance"",
  REGEXMATCH(LOWER(VLOOKUP(A130, Data1_Raw_Slack!A:B, 2, FALSE)), ""auto|automotive""), ""Auto"",
  REGEXMATCH(LOWER(VLOOKUP(A130, Data1_Raw_Slack!A:B, 2, FALSE)), ""parenting|moms|dads|kids|toddlers|baby|parent|children""), ""Par"&amp;"enting"",
  REGEXMATCH(LOWER(VLOOKUP(A130, Data1_Raw_Slack!A:B, 2, FALSE)), ""education|students|learning|school|teachers|college|university|academics""), ""Education"",
  REGEXMATCH(LOWER(VLOOKUP(A130, Data1_Raw_Slack!A:B, 2, FALSE)), ""age|gender|dem"&amp;"ographic|family|household""), ""Demographics"",
  REGEXMATCH(LOWER(VLOOKUP(A130, Data1_Raw_Slack!A:B, 2, FALSE)), ""mortgage|real estate""), ""Real Estate"",REGEXMATCH(LOWER(VLOOKUP(A130, Data1_Raw_Slack!A:B, 2, FALSE)), ""technology|tech|gadgets|smartpho"&amp;"ne|electro|apps|devices|computing|ai|robots|software|computer|internet|tele|mobile|tablet""), ""Technology"", REGEXMATCH(LOWER(VLOOKUP(A130, Data1_Raw_Slack!A:B, 2, FALSE)), ""entertainment|purchas|movies|tv|netflix|streaming|celebrity|movie lovers|tv fan"&amp;"s|media|hobb|photo|art|shop""), ""Entertainment"", REGEXMATCH(LOWER(VLOOKUP(A130, Data1_Raw_Slack!A:B, 2, FALSE)), ""law|government|""), ""Law and Government"",
  TRUE, ""Other""
)"),"Finance")</f>
        <v>Finance</v>
      </c>
      <c r="G130" s="9"/>
      <c r="H130" s="9" t="s">
        <v>32</v>
      </c>
      <c r="I130" s="9" t="s">
        <v>638</v>
      </c>
      <c r="J130" s="9" t="s">
        <v>34</v>
      </c>
      <c r="K130" s="9" t="s">
        <v>639</v>
      </c>
      <c r="L130" s="9" t="s">
        <v>265</v>
      </c>
      <c r="M130" s="10" t="s">
        <v>58</v>
      </c>
      <c r="N130" s="9" t="str">
        <f ca="1">IFERROR(__xludf.DUMMYFUNCTION("REGEXEXTRACT(LOWER(M130), ""([a-z0-9\-]+)\.(?:co|net|org|io|gg)"")"),"forbes")</f>
        <v>forbes</v>
      </c>
      <c r="O130" s="9" t="s">
        <v>50</v>
      </c>
      <c r="P130" s="9" t="s">
        <v>39</v>
      </c>
      <c r="Q130" s="9">
        <v>111884</v>
      </c>
      <c r="R130" s="9">
        <v>220</v>
      </c>
      <c r="S130" s="9">
        <v>53017</v>
      </c>
      <c r="T130" s="9">
        <v>106432</v>
      </c>
      <c r="U130" s="9">
        <v>7</v>
      </c>
      <c r="V130" s="11">
        <v>1786.1051219999999</v>
      </c>
      <c r="W130" s="12">
        <f t="shared" si="0"/>
        <v>255.15787457142855</v>
      </c>
      <c r="X130" s="12">
        <f t="shared" si="1"/>
        <v>0.19663222623431412</v>
      </c>
      <c r="Y130" s="12">
        <f t="shared" si="2"/>
        <v>47.385685173930142</v>
      </c>
      <c r="Z130" s="12">
        <f t="shared" si="3"/>
        <v>33.689290642624059</v>
      </c>
      <c r="AA130" s="12">
        <f t="shared" si="4"/>
        <v>15.963901201244145</v>
      </c>
      <c r="AB130" s="12">
        <f t="shared" si="5"/>
        <v>8.1186596454545459</v>
      </c>
      <c r="AC130" s="12">
        <f t="shared" si="6"/>
        <v>3.1818181818181817</v>
      </c>
      <c r="AE130" s="13"/>
      <c r="AF130" s="13"/>
    </row>
    <row r="131" spans="1:32">
      <c r="A131" s="8" t="s">
        <v>640</v>
      </c>
      <c r="B131" s="9" t="s">
        <v>41</v>
      </c>
      <c r="C131" s="9" t="s">
        <v>42</v>
      </c>
      <c r="D131" s="9" t="s">
        <v>641</v>
      </c>
      <c r="E131" s="9"/>
      <c r="F131" s="9" t="str">
        <f ca="1">IFERROR(__xludf.DUMMYFUNCTION("IFS(
  REGEXMATCH(LOWER(VLOOKUP(A131, Data1_Raw_Slack!A:B, 2, FALSE)), ""news|weather""), ""News and Weather"", REGEXMATCH(LOWER(VLOOKUP(A131, Data1_Raw_Slack!A:B, 2, FALSE)), ""sports|ufc|nba|nfl|mlb|soccer|sports fans""), ""Sports"",
  REGEXMATCH(LOWER("&amp;"VLOOKUP(A131, Data1_Raw_Slack!A:B, 2, FALSE)), ""fashion|style|clothing|apparel|shoes|accessories|beauty|cosmetics|fashionistas""), ""Fashion and Beauty"",
  REGEXMATCH(LOWER(VLOOKUP(A131, Data1_Raw_Slack!A:B, 2, FALSE)), ""food|cooking|recipe|restaurant|"&amp;"snack|grocery|foodies""), ""Food"",
  REGEXMATCH(LOWER(VLOOKUP(A131, Data1_Raw_Slack!A:B, 2, FALSE)), ""travel|vacation|airline|hotel|trip|flights|travelers""), ""Travel"",
  REGEXMATCH(LOWER(VLOOKUP(A131, Data1_Raw_Slack!A:B, 2, FALSE)), ""fitness|workou"&amp;"t|gym|exercise|yoga|wellness|fitness enthusiasts""), ""Fitness"",
  REGEXMATCH(LOWER(VLOOKUP(A131, Data1_Raw_Slack!A:B, 2, FALSE)), ""health|medical|pharmacy|mental health|doctor|health-conscious""), ""Health"",
  REGEXMATCH(LOWER(VLOOKUP(A131, Data1_Raw_"&amp;"Slack!A:B, 2, FALSE)), ""pets|dogs|cats|animals|pet care|pet lovers""), ""Pets"",
  REGEXMATCH(LOWER(VLOOKUP(A131, Data1_Raw_Slack!A:B, 2, FALSE)), ""games|gaming|game|xbox|playstation|nintendo|gamers""), ""Gaming"",
  REGEXMATCH(LOWER(VLOOKUP(A131, Data1"&amp;"_Raw_Slack!A:B, 2, FALSE)), ""entertainment|movies|tv|netflix|streaming|celebrity|movie lovers|tv fans|hobb|photo|art""), ""Entertainment"",
  REGEXMATCH(LOWER(VLOOKUP(A131, Data1_Raw_Slack!A:B, 2, FALSE)), ""lifestyle|home|interior|decor|living|lifestyle"&amp;" enthusiasts""), ""Lifestyle"",
  REGEXMATCH(LOWER(VLOOKUP(A131, Data1_Raw_Slack!A:B, 2, FALSE)), ""financial|finance|investing|stocks|retirement|banking|credit|debt|loans|savings|personal finance|insurance|econ|ecom|business|retail|occupation|sale|job|ma"&amp;"rketing""), ""Finance"",
  REGEXMATCH(LOWER(VLOOKUP(A131, Data1_Raw_Slack!A:B, 2, FALSE)), ""auto|automotive""), ""Auto"",
  REGEXMATCH(LOWER(VLOOKUP(A131, Data1_Raw_Slack!A:B, 2, FALSE)), ""parenting|moms|dads|kids|toddlers|baby|parent|children""), ""Par"&amp;"enting"",
  REGEXMATCH(LOWER(VLOOKUP(A131, Data1_Raw_Slack!A:B, 2, FALSE)), ""education|students|learning|school|teachers|college|university|academics""), ""Education"",
  REGEXMATCH(LOWER(VLOOKUP(A131, Data1_Raw_Slack!A:B, 2, FALSE)), ""age|gender|dem"&amp;"ographic|family|household""), ""Demographics"",
  REGEXMATCH(LOWER(VLOOKUP(A131, Data1_Raw_Slack!A:B, 2, FALSE)), ""mortgage|real estate""), ""Real Estate"",REGEXMATCH(LOWER(VLOOKUP(A131, Data1_Raw_Slack!A:B, 2, FALSE)), ""technology|tech|gadgets|smartpho"&amp;"ne|electro|apps|devices|computing|ai|robots|software|computer|internet|tele|mobile|tablet""), ""Technology"", REGEXMATCH(LOWER(VLOOKUP(A131, Data1_Raw_Slack!A:B, 2, FALSE)), ""entertainment|purchas|movies|tv|netflix|streaming|celebrity|movie lovers|tv fan"&amp;"s|media|hobb|photo|art|shop""), ""Entertainment"", REGEXMATCH(LOWER(VLOOKUP(A131, Data1_Raw_Slack!A:B, 2, FALSE)), ""law|government|""), ""Law and Government"",
  TRUE, ""Other""
)"),"Finance")</f>
        <v>Finance</v>
      </c>
      <c r="G131" s="9"/>
      <c r="H131" s="9" t="s">
        <v>32</v>
      </c>
      <c r="I131" s="9" t="s">
        <v>433</v>
      </c>
      <c r="J131" s="9" t="s">
        <v>80</v>
      </c>
      <c r="K131" s="9" t="s">
        <v>236</v>
      </c>
      <c r="L131" s="9" t="s">
        <v>82</v>
      </c>
      <c r="M131" s="10" t="s">
        <v>642</v>
      </c>
      <c r="N131" s="9" t="str">
        <f ca="1">IFERROR(__xludf.DUMMYFUNCTION("REGEXEXTRACT(LOWER(M131), ""([a-z0-9\-]+)\.(?:co|net|org|io|gg)"")"),"investing")</f>
        <v>investing</v>
      </c>
      <c r="O131" s="9" t="s">
        <v>50</v>
      </c>
      <c r="P131" s="9" t="s">
        <v>39</v>
      </c>
      <c r="Q131" s="9">
        <v>42759</v>
      </c>
      <c r="R131" s="9">
        <v>177</v>
      </c>
      <c r="S131" s="9">
        <v>17744</v>
      </c>
      <c r="T131" s="9">
        <v>34812</v>
      </c>
      <c r="U131" s="9">
        <v>12</v>
      </c>
      <c r="V131" s="11">
        <v>6316.4880540000004</v>
      </c>
      <c r="W131" s="12">
        <f t="shared" si="0"/>
        <v>526.37400450000007</v>
      </c>
      <c r="X131" s="12">
        <f t="shared" si="1"/>
        <v>0.41394794078439623</v>
      </c>
      <c r="Y131" s="12">
        <f t="shared" si="2"/>
        <v>41.497696391402975</v>
      </c>
      <c r="Z131" s="12">
        <f t="shared" si="3"/>
        <v>355.97881278178539</v>
      </c>
      <c r="AA131" s="12">
        <f t="shared" si="4"/>
        <v>147.72300694590612</v>
      </c>
      <c r="AB131" s="12">
        <f t="shared" si="5"/>
        <v>35.686373186440683</v>
      </c>
      <c r="AC131" s="12">
        <f t="shared" si="6"/>
        <v>6.7796610169491522</v>
      </c>
      <c r="AE131" s="13"/>
      <c r="AF131" s="13"/>
    </row>
    <row r="132" spans="1:32">
      <c r="A132" s="8" t="s">
        <v>643</v>
      </c>
      <c r="B132" s="9"/>
      <c r="C132" s="9" t="s">
        <v>644</v>
      </c>
      <c r="D132" s="9"/>
      <c r="E132" s="9"/>
      <c r="F132" s="9" t="str">
        <f ca="1">IFERROR(__xludf.DUMMYFUNCTION("IFS(
  REGEXMATCH(LOWER(VLOOKUP(A132, Data1_Raw_Slack!A:B, 2, FALSE)), ""news|weather""), ""News and Weather"", REGEXMATCH(LOWER(VLOOKUP(A132, Data1_Raw_Slack!A:B, 2, FALSE)), ""sports|ufc|nba|nfl|mlb|soccer|sports fans""), ""Sports"",
  REGEXMATCH(LOWER("&amp;"VLOOKUP(A132, Data1_Raw_Slack!A:B, 2, FALSE)), ""fashion|style|clothing|apparel|shoes|accessories|beauty|cosmetics|fashionistas""), ""Fashion and Beauty"",
  REGEXMATCH(LOWER(VLOOKUP(A132, Data1_Raw_Slack!A:B, 2, FALSE)), ""food|cooking|recipe|restaurant|"&amp;"snack|grocery|foodies""), ""Food"",
  REGEXMATCH(LOWER(VLOOKUP(A132, Data1_Raw_Slack!A:B, 2, FALSE)), ""travel|vacation|airline|hotel|trip|flights|travelers""), ""Travel"",
  REGEXMATCH(LOWER(VLOOKUP(A132, Data1_Raw_Slack!A:B, 2, FALSE)), ""fitness|workou"&amp;"t|gym|exercise|yoga|wellness|fitness enthusiasts""), ""Fitness"",
  REGEXMATCH(LOWER(VLOOKUP(A132, Data1_Raw_Slack!A:B, 2, FALSE)), ""health|medical|pharmacy|mental health|doctor|health-conscious""), ""Health"",
  REGEXMATCH(LOWER(VLOOKUP(A132, Data1_Raw_"&amp;"Slack!A:B, 2, FALSE)), ""pets|dogs|cats|animals|pet care|pet lovers""), ""Pets"",
  REGEXMATCH(LOWER(VLOOKUP(A132, Data1_Raw_Slack!A:B, 2, FALSE)), ""games|gaming|game|xbox|playstation|nintendo|gamers""), ""Gaming"",
  REGEXMATCH(LOWER(VLOOKUP(A132, Data1"&amp;"_Raw_Slack!A:B, 2, FALSE)), ""entertainment|movies|tv|netflix|streaming|celebrity|movie lovers|tv fans|hobb|photo|art""), ""Entertainment"",
  REGEXMATCH(LOWER(VLOOKUP(A132, Data1_Raw_Slack!A:B, 2, FALSE)), ""lifestyle|home|interior|decor|living|lifestyle"&amp;" enthusiasts""), ""Lifestyle"",
  REGEXMATCH(LOWER(VLOOKUP(A132, Data1_Raw_Slack!A:B, 2, FALSE)), ""financial|finance|investing|stocks|retirement|banking|credit|debt|loans|savings|personal finance|insurance|econ|ecom|business|retail|occupation|sale|job|ma"&amp;"rketing""), ""Finance"",
  REGEXMATCH(LOWER(VLOOKUP(A132, Data1_Raw_Slack!A:B, 2, FALSE)), ""auto|automotive""), ""Auto"",
  REGEXMATCH(LOWER(VLOOKUP(A132, Data1_Raw_Slack!A:B, 2, FALSE)), ""parenting|moms|dads|kids|toddlers|baby|parent|children""), ""Par"&amp;"enting"",
  REGEXMATCH(LOWER(VLOOKUP(A132, Data1_Raw_Slack!A:B, 2, FALSE)), ""education|students|learning|school|teachers|college|university|academics""), ""Education"",
  REGEXMATCH(LOWER(VLOOKUP(A132, Data1_Raw_Slack!A:B, 2, FALSE)), ""age|gender|dem"&amp;"ographic|family|household""), ""Demographics"",
  REGEXMATCH(LOWER(VLOOKUP(A132, Data1_Raw_Slack!A:B, 2, FALSE)), ""mortgage|real estate""), ""Real Estate"",REGEXMATCH(LOWER(VLOOKUP(A132, Data1_Raw_Slack!A:B, 2, FALSE)), ""technology|tech|gadgets|smartpho"&amp;"ne|electro|apps|devices|computing|ai|robots|software|computer|internet|tele|mobile|tablet""), ""Technology"", REGEXMATCH(LOWER(VLOOKUP(A132, Data1_Raw_Slack!A:B, 2, FALSE)), ""entertainment|purchas|movies|tv|netflix|streaming|celebrity|movie lovers|tv fan"&amp;"s|media|hobb|photo|art|shop""), ""Entertainment"", REGEXMATCH(LOWER(VLOOKUP(A132, Data1_Raw_Slack!A:B, 2, FALSE)), ""law|government|""), ""Law and Government"",
  TRUE, ""Other""
)"),"Technology")</f>
        <v>Technology</v>
      </c>
      <c r="G132" s="9"/>
      <c r="H132" s="9" t="s">
        <v>32</v>
      </c>
      <c r="I132" s="9" t="s">
        <v>645</v>
      </c>
      <c r="J132" s="9" t="s">
        <v>80</v>
      </c>
      <c r="K132" s="9" t="s">
        <v>56</v>
      </c>
      <c r="L132" s="9" t="s">
        <v>57</v>
      </c>
      <c r="M132" s="10" t="s">
        <v>130</v>
      </c>
      <c r="N132" s="9" t="str">
        <f ca="1">IFERROR(__xludf.DUMMYFUNCTION("REGEXEXTRACT(LOWER(M132), ""([a-z0-9\-]+)\.(?:co|net|org|io|gg)"")"),"weather")</f>
        <v>weather</v>
      </c>
      <c r="O132" s="9" t="s">
        <v>50</v>
      </c>
      <c r="P132" s="9" t="s">
        <v>39</v>
      </c>
      <c r="Q132" s="9">
        <v>78433</v>
      </c>
      <c r="R132" s="9">
        <v>204</v>
      </c>
      <c r="S132" s="9">
        <v>24067</v>
      </c>
      <c r="T132" s="9">
        <v>58308</v>
      </c>
      <c r="U132" s="9">
        <v>16</v>
      </c>
      <c r="V132" s="11">
        <v>1612.5493269999999</v>
      </c>
      <c r="W132" s="12">
        <f t="shared" si="0"/>
        <v>100.7843329375</v>
      </c>
      <c r="X132" s="12">
        <f t="shared" si="1"/>
        <v>0.26009460303698695</v>
      </c>
      <c r="Y132" s="12">
        <f t="shared" si="2"/>
        <v>30.684788290642967</v>
      </c>
      <c r="Z132" s="12">
        <f t="shared" si="3"/>
        <v>67.002506627332025</v>
      </c>
      <c r="AA132" s="12">
        <f t="shared" si="4"/>
        <v>20.559577308020859</v>
      </c>
      <c r="AB132" s="12">
        <f t="shared" si="5"/>
        <v>7.90465356372549</v>
      </c>
      <c r="AC132" s="12">
        <f t="shared" si="6"/>
        <v>7.8431372549019605</v>
      </c>
      <c r="AE132" s="13"/>
      <c r="AF132" s="13"/>
    </row>
    <row r="133" spans="1:32">
      <c r="A133" s="8" t="s">
        <v>646</v>
      </c>
      <c r="B133" s="9" t="s">
        <v>325</v>
      </c>
      <c r="C133" s="9" t="s">
        <v>647</v>
      </c>
      <c r="D133" s="9" t="s">
        <v>648</v>
      </c>
      <c r="E133" s="9"/>
      <c r="F133" s="9" t="str">
        <f ca="1">IFERROR(__xludf.DUMMYFUNCTION("IFS(
  REGEXMATCH(LOWER(VLOOKUP(A133, Data1_Raw_Slack!A:B, 2, FALSE)), ""news|weather""), ""News and Weather"", REGEXMATCH(LOWER(VLOOKUP(A133, Data1_Raw_Slack!A:B, 2, FALSE)), ""sports|ufc|nba|nfl|mlb|soccer|sports fans""), ""Sports"",
  REGEXMATCH(LOWER("&amp;"VLOOKUP(A133, Data1_Raw_Slack!A:B, 2, FALSE)), ""fashion|style|clothing|apparel|shoes|accessories|beauty|cosmetics|fashionistas""), ""Fashion and Beauty"",
  REGEXMATCH(LOWER(VLOOKUP(A133, Data1_Raw_Slack!A:B, 2, FALSE)), ""food|cooking|recipe|restaurant|"&amp;"snack|grocery|foodies""), ""Food"",
  REGEXMATCH(LOWER(VLOOKUP(A133, Data1_Raw_Slack!A:B, 2, FALSE)), ""travel|vacation|airline|hotel|trip|flights|travelers""), ""Travel"",
  REGEXMATCH(LOWER(VLOOKUP(A133, Data1_Raw_Slack!A:B, 2, FALSE)), ""fitness|workou"&amp;"t|gym|exercise|yoga|wellness|fitness enthusiasts""), ""Fitness"",
  REGEXMATCH(LOWER(VLOOKUP(A133, Data1_Raw_Slack!A:B, 2, FALSE)), ""health|medical|pharmacy|mental health|doctor|health-conscious""), ""Health"",
  REGEXMATCH(LOWER(VLOOKUP(A133, Data1_Raw_"&amp;"Slack!A:B, 2, FALSE)), ""pets|dogs|cats|animals|pet care|pet lovers""), ""Pets"",
  REGEXMATCH(LOWER(VLOOKUP(A133, Data1_Raw_Slack!A:B, 2, FALSE)), ""games|gaming|game|xbox|playstation|nintendo|gamers""), ""Gaming"",
  REGEXMATCH(LOWER(VLOOKUP(A133, Data1"&amp;"_Raw_Slack!A:B, 2, FALSE)), ""entertainment|movies|tv|netflix|streaming|celebrity|movie lovers|tv fans|hobb|photo|art""), ""Entertainment"",
  REGEXMATCH(LOWER(VLOOKUP(A133, Data1_Raw_Slack!A:B, 2, FALSE)), ""lifestyle|home|interior|decor|living|lifestyle"&amp;" enthusiasts""), ""Lifestyle"",
  REGEXMATCH(LOWER(VLOOKUP(A133, Data1_Raw_Slack!A:B, 2, FALSE)), ""financial|finance|investing|stocks|retirement|banking|credit|debt|loans|savings|personal finance|insurance|econ|ecom|business|retail|occupation|sale|job|ma"&amp;"rketing""), ""Finance"",
  REGEXMATCH(LOWER(VLOOKUP(A133, Data1_Raw_Slack!A:B, 2, FALSE)), ""auto|automotive""), ""Auto"",
  REGEXMATCH(LOWER(VLOOKUP(A133, Data1_Raw_Slack!A:B, 2, FALSE)), ""parenting|moms|dads|kids|toddlers|baby|parent|children""), ""Par"&amp;"enting"",
  REGEXMATCH(LOWER(VLOOKUP(A133, Data1_Raw_Slack!A:B, 2, FALSE)), ""education|students|learning|school|teachers|college|university|academics""), ""Education"",
  REGEXMATCH(LOWER(VLOOKUP(A133, Data1_Raw_Slack!A:B, 2, FALSE)), ""age|gender|dem"&amp;"ographic|family|household""), ""Demographics"",
  REGEXMATCH(LOWER(VLOOKUP(A133, Data1_Raw_Slack!A:B, 2, FALSE)), ""mortgage|real estate""), ""Real Estate"",REGEXMATCH(LOWER(VLOOKUP(A133, Data1_Raw_Slack!A:B, 2, FALSE)), ""technology|tech|gadgets|smartpho"&amp;"ne|electro|apps|devices|computing|ai|robots|software|computer|internet|tele|mobile|tablet""), ""Technology"", REGEXMATCH(LOWER(VLOOKUP(A133, Data1_Raw_Slack!A:B, 2, FALSE)), ""entertainment|purchas|movies|tv|netflix|streaming|celebrity|movie lovers|tv fan"&amp;"s|media|hobb|photo|art|shop""), ""Entertainment"", REGEXMATCH(LOWER(VLOOKUP(A133, Data1_Raw_Slack!A:B, 2, FALSE)), ""law|government|""), ""Law and Government"",
  TRUE, ""Other""
)"),"Demographics")</f>
        <v>Demographics</v>
      </c>
      <c r="G133" s="9"/>
      <c r="H133" s="9" t="s">
        <v>32</v>
      </c>
      <c r="I133" s="9" t="s">
        <v>649</v>
      </c>
      <c r="J133" s="9" t="s">
        <v>34</v>
      </c>
      <c r="K133" s="9" t="s">
        <v>264</v>
      </c>
      <c r="L133" s="9" t="s">
        <v>265</v>
      </c>
      <c r="M133" s="10" t="s">
        <v>202</v>
      </c>
      <c r="N133" s="9" t="str">
        <f ca="1">IFERROR(__xludf.DUMMYFUNCTION("REGEXEXTRACT(LOWER(M133), ""([a-z0-9\-]+)\.(?:co|net|org|io|gg)"")"),"zillow")</f>
        <v>zillow</v>
      </c>
      <c r="O133" s="9" t="s">
        <v>74</v>
      </c>
      <c r="P133" s="9" t="s">
        <v>39</v>
      </c>
      <c r="Q133" s="9">
        <v>14181</v>
      </c>
      <c r="R133" s="9">
        <v>65</v>
      </c>
      <c r="S133" s="9">
        <v>7106</v>
      </c>
      <c r="T133" s="9">
        <v>13189</v>
      </c>
      <c r="U133" s="9">
        <v>17</v>
      </c>
      <c r="V133" s="11">
        <v>2912.4671560000002</v>
      </c>
      <c r="W133" s="12">
        <f t="shared" si="0"/>
        <v>171.32159741176471</v>
      </c>
      <c r="X133" s="12">
        <f t="shared" si="1"/>
        <v>0.4583597771666314</v>
      </c>
      <c r="Y133" s="12">
        <f t="shared" si="2"/>
        <v>50.109301177632034</v>
      </c>
      <c r="Z133" s="12">
        <f t="shared" si="3"/>
        <v>409.86028088938923</v>
      </c>
      <c r="AA133" s="12">
        <f t="shared" si="4"/>
        <v>205.37812255835274</v>
      </c>
      <c r="AB133" s="12">
        <f t="shared" si="5"/>
        <v>44.807187015384621</v>
      </c>
      <c r="AC133" s="12">
        <f t="shared" si="6"/>
        <v>26.153846153846157</v>
      </c>
      <c r="AE133" s="13"/>
      <c r="AF133" s="13"/>
    </row>
    <row r="134" spans="1:32">
      <c r="A134" s="8" t="s">
        <v>650</v>
      </c>
      <c r="B134" s="9" t="s">
        <v>41</v>
      </c>
      <c r="C134" s="9" t="s">
        <v>214</v>
      </c>
      <c r="D134" s="9" t="s">
        <v>326</v>
      </c>
      <c r="E134" s="9" t="s">
        <v>651</v>
      </c>
      <c r="F134" s="9" t="str">
        <f ca="1">IFERROR(__xludf.DUMMYFUNCTION("IFS(
  REGEXMATCH(LOWER(VLOOKUP(A134, Data1_Raw_Slack!A:B, 2, FALSE)), ""news|weather""), ""News and Weather"", REGEXMATCH(LOWER(VLOOKUP(A134, Data1_Raw_Slack!A:B, 2, FALSE)), ""sports|ufc|nba|nfl|mlb|soccer|sports fans""), ""Sports"",
  REGEXMATCH(LOWER("&amp;"VLOOKUP(A134, Data1_Raw_Slack!A:B, 2, FALSE)), ""fashion|style|clothing|apparel|shoes|accessories|beauty|cosmetics|fashionistas""), ""Fashion and Beauty"",
  REGEXMATCH(LOWER(VLOOKUP(A134, Data1_Raw_Slack!A:B, 2, FALSE)), ""food|cooking|recipe|restaurant|"&amp;"snack|grocery|foodies""), ""Food"",
  REGEXMATCH(LOWER(VLOOKUP(A134, Data1_Raw_Slack!A:B, 2, FALSE)), ""travel|vacation|airline|hotel|trip|flights|travelers""), ""Travel"",
  REGEXMATCH(LOWER(VLOOKUP(A134, Data1_Raw_Slack!A:B, 2, FALSE)), ""fitness|workou"&amp;"t|gym|exercise|yoga|wellness|fitness enthusiasts""), ""Fitness"",
  REGEXMATCH(LOWER(VLOOKUP(A134, Data1_Raw_Slack!A:B, 2, FALSE)), ""health|medical|pharmacy|mental health|doctor|health-conscious""), ""Health"",
  REGEXMATCH(LOWER(VLOOKUP(A134, Data1_Raw_"&amp;"Slack!A:B, 2, FALSE)), ""pets|dogs|cats|animals|pet care|pet lovers""), ""Pets"",
  REGEXMATCH(LOWER(VLOOKUP(A134, Data1_Raw_Slack!A:B, 2, FALSE)), ""games|gaming|game|xbox|playstation|nintendo|gamers""), ""Gaming"",
  REGEXMATCH(LOWER(VLOOKUP(A134, Data1"&amp;"_Raw_Slack!A:B, 2, FALSE)), ""entertainment|movies|tv|netflix|streaming|celebrity|movie lovers|tv fans|hobb|photo|art""), ""Entertainment"",
  REGEXMATCH(LOWER(VLOOKUP(A134, Data1_Raw_Slack!A:B, 2, FALSE)), ""lifestyle|home|interior|decor|living|lifestyle"&amp;" enthusiasts""), ""Lifestyle"",
  REGEXMATCH(LOWER(VLOOKUP(A134, Data1_Raw_Slack!A:B, 2, FALSE)), ""financial|finance|investing|stocks|retirement|banking|credit|debt|loans|savings|personal finance|insurance|econ|ecom|business|retail|occupation|sale|job|ma"&amp;"rketing""), ""Finance"",
  REGEXMATCH(LOWER(VLOOKUP(A134, Data1_Raw_Slack!A:B, 2, FALSE)), ""auto|automotive""), ""Auto"",
  REGEXMATCH(LOWER(VLOOKUP(A134, Data1_Raw_Slack!A:B, 2, FALSE)), ""parenting|moms|dads|kids|toddlers|baby|parent|children""), ""Par"&amp;"enting"",
  REGEXMATCH(LOWER(VLOOKUP(A134, Data1_Raw_Slack!A:B, 2, FALSE)), ""education|students|learning|school|teachers|college|university|academics""), ""Education"",
  REGEXMATCH(LOWER(VLOOKUP(A134, Data1_Raw_Slack!A:B, 2, FALSE)), ""age|gender|dem"&amp;"ographic|family|household""), ""Demographics"",
  REGEXMATCH(LOWER(VLOOKUP(A134, Data1_Raw_Slack!A:B, 2, FALSE)), ""mortgage|real estate""), ""Real Estate"",REGEXMATCH(LOWER(VLOOKUP(A134, Data1_Raw_Slack!A:B, 2, FALSE)), ""technology|tech|gadgets|smartpho"&amp;"ne|electro|apps|devices|computing|ai|robots|software|computer|internet|tele|mobile|tablet""), ""Technology"", REGEXMATCH(LOWER(VLOOKUP(A134, Data1_Raw_Slack!A:B, 2, FALSE)), ""entertainment|purchas|movies|tv|netflix|streaming|celebrity|movie lovers|tv fan"&amp;"s|media|hobb|photo|art|shop""), ""Entertainment"", REGEXMATCH(LOWER(VLOOKUP(A134, Data1_Raw_Slack!A:B, 2, FALSE)), ""law|government|""), ""Law and Government"",
  TRUE, ""Other""
)"),"Demographics")</f>
        <v>Demographics</v>
      </c>
      <c r="G134" s="9"/>
      <c r="H134" s="9" t="s">
        <v>44</v>
      </c>
      <c r="I134" s="9" t="s">
        <v>652</v>
      </c>
      <c r="J134" s="9" t="s">
        <v>46</v>
      </c>
      <c r="K134" s="9" t="s">
        <v>142</v>
      </c>
      <c r="L134" s="9" t="s">
        <v>72</v>
      </c>
      <c r="M134" s="10" t="s">
        <v>653</v>
      </c>
      <c r="N134" s="9" t="str">
        <f ca="1">IFERROR(__xludf.DUMMYFUNCTION("REGEXEXTRACT(LOWER(M134), ""([a-z0-9\-]+)\.(?:co|net|org|io|gg)"")"),"reference")</f>
        <v>reference</v>
      </c>
      <c r="O134" s="9" t="s">
        <v>50</v>
      </c>
      <c r="P134" s="9" t="s">
        <v>75</v>
      </c>
      <c r="Q134" s="9">
        <v>219088</v>
      </c>
      <c r="R134" s="9">
        <v>541</v>
      </c>
      <c r="S134" s="9">
        <v>75638</v>
      </c>
      <c r="T134" s="9">
        <v>153987</v>
      </c>
      <c r="U134" s="9">
        <v>17</v>
      </c>
      <c r="V134" s="11">
        <v>6761.0738240000001</v>
      </c>
      <c r="W134" s="12">
        <f t="shared" si="0"/>
        <v>397.71022494117648</v>
      </c>
      <c r="X134" s="12">
        <f t="shared" si="1"/>
        <v>0.24693273935587529</v>
      </c>
      <c r="Y134" s="12">
        <f t="shared" si="2"/>
        <v>34.524026875045642</v>
      </c>
      <c r="Z134" s="12">
        <f t="shared" si="3"/>
        <v>89.387263333245187</v>
      </c>
      <c r="AA134" s="12">
        <f t="shared" si="4"/>
        <v>30.860082816037391</v>
      </c>
      <c r="AB134" s="12">
        <f t="shared" si="5"/>
        <v>12.497363815157117</v>
      </c>
      <c r="AC134" s="12">
        <f t="shared" si="6"/>
        <v>3.1423290203327174</v>
      </c>
      <c r="AE134" s="13"/>
      <c r="AF134" s="13"/>
    </row>
    <row r="135" spans="1:32">
      <c r="A135" s="8" t="s">
        <v>654</v>
      </c>
      <c r="B135" s="9" t="s">
        <v>41</v>
      </c>
      <c r="C135" s="9" t="s">
        <v>127</v>
      </c>
      <c r="D135" s="9" t="s">
        <v>448</v>
      </c>
      <c r="E135" s="9" t="s">
        <v>655</v>
      </c>
      <c r="F135" s="9" t="str">
        <f ca="1">IFERROR(__xludf.DUMMYFUNCTION("IFS(
  REGEXMATCH(LOWER(VLOOKUP(A135, Data1_Raw_Slack!A:B, 2, FALSE)), ""news|weather""), ""News and Weather"", REGEXMATCH(LOWER(VLOOKUP(A135, Data1_Raw_Slack!A:B, 2, FALSE)), ""sports|ufc|nba|nfl|mlb|soccer|sports fans""), ""Sports"",
  REGEXMATCH(LOWER("&amp;"VLOOKUP(A135, Data1_Raw_Slack!A:B, 2, FALSE)), ""fashion|style|clothing|apparel|shoes|accessories|beauty|cosmetics|fashionistas""), ""Fashion and Beauty"",
  REGEXMATCH(LOWER(VLOOKUP(A135, Data1_Raw_Slack!A:B, 2, FALSE)), ""food|cooking|recipe|restaurant|"&amp;"snack|grocery|foodies""), ""Food"",
  REGEXMATCH(LOWER(VLOOKUP(A135, Data1_Raw_Slack!A:B, 2, FALSE)), ""travel|vacation|airline|hotel|trip|flights|travelers""), ""Travel"",
  REGEXMATCH(LOWER(VLOOKUP(A135, Data1_Raw_Slack!A:B, 2, FALSE)), ""fitness|workou"&amp;"t|gym|exercise|yoga|wellness|fitness enthusiasts""), ""Fitness"",
  REGEXMATCH(LOWER(VLOOKUP(A135, Data1_Raw_Slack!A:B, 2, FALSE)), ""health|medical|pharmacy|mental health|doctor|health-conscious""), ""Health"",
  REGEXMATCH(LOWER(VLOOKUP(A135, Data1_Raw_"&amp;"Slack!A:B, 2, FALSE)), ""pets|dogs|cats|animals|pet care|pet lovers""), ""Pets"",
  REGEXMATCH(LOWER(VLOOKUP(A135, Data1_Raw_Slack!A:B, 2, FALSE)), ""games|gaming|game|xbox|playstation|nintendo|gamers""), ""Gaming"",
  REGEXMATCH(LOWER(VLOOKUP(A135, Data1"&amp;"_Raw_Slack!A:B, 2, FALSE)), ""entertainment|movies|tv|netflix|streaming|celebrity|movie lovers|tv fans|hobb|photo|art""), ""Entertainment"",
  REGEXMATCH(LOWER(VLOOKUP(A135, Data1_Raw_Slack!A:B, 2, FALSE)), ""lifestyle|home|interior|decor|living|lifestyle"&amp;" enthusiasts""), ""Lifestyle"",
  REGEXMATCH(LOWER(VLOOKUP(A135, Data1_Raw_Slack!A:B, 2, FALSE)), ""financial|finance|investing|stocks|retirement|banking|credit|debt|loans|savings|personal finance|insurance|econ|ecom|business|retail|occupation|sale|job|ma"&amp;"rketing""), ""Finance"",
  REGEXMATCH(LOWER(VLOOKUP(A135, Data1_Raw_Slack!A:B, 2, FALSE)), ""auto|automotive""), ""Auto"",
  REGEXMATCH(LOWER(VLOOKUP(A135, Data1_Raw_Slack!A:B, 2, FALSE)), ""parenting|moms|dads|kids|toddlers|baby|parent|children""), ""Par"&amp;"enting"",
  REGEXMATCH(LOWER(VLOOKUP(A135, Data1_Raw_Slack!A:B, 2, FALSE)), ""education|students|learning|school|teachers|college|university|academics""), ""Education"",
  REGEXMATCH(LOWER(VLOOKUP(A135, Data1_Raw_Slack!A:B, 2, FALSE)), ""age|gender|dem"&amp;"ographic|family|household""), ""Demographics"",
  REGEXMATCH(LOWER(VLOOKUP(A135, Data1_Raw_Slack!A:B, 2, FALSE)), ""mortgage|real estate""), ""Real Estate"",REGEXMATCH(LOWER(VLOOKUP(A135, Data1_Raw_Slack!A:B, 2, FALSE)), ""technology|tech|gadgets|smartpho"&amp;"ne|electro|apps|devices|computing|ai|robots|software|computer|internet|tele|mobile|tablet""), ""Technology"", REGEXMATCH(LOWER(VLOOKUP(A135, Data1_Raw_Slack!A:B, 2, FALSE)), ""entertainment|purchas|movies|tv|netflix|streaming|celebrity|movie lovers|tv fan"&amp;"s|media|hobb|photo|art|shop""), ""Entertainment"", REGEXMATCH(LOWER(VLOOKUP(A135, Data1_Raw_Slack!A:B, 2, FALSE)), ""law|government|""), ""Law and Government"",
  TRUE, ""Other""
)"),"Finance")</f>
        <v>Finance</v>
      </c>
      <c r="G135" s="9" t="s">
        <v>127</v>
      </c>
      <c r="H135" s="9" t="s">
        <v>32</v>
      </c>
      <c r="I135" s="9" t="s">
        <v>471</v>
      </c>
      <c r="J135" s="9" t="s">
        <v>46</v>
      </c>
      <c r="K135" s="9" t="s">
        <v>443</v>
      </c>
      <c r="L135" s="9" t="s">
        <v>72</v>
      </c>
      <c r="M135" s="10" t="s">
        <v>372</v>
      </c>
      <c r="N135" s="9" t="str">
        <f ca="1">IFERROR(__xludf.DUMMYFUNCTION("REGEXEXTRACT(LOWER(M135), ""([a-z0-9\-]+)\.(?:co|net|org|io|gg)"")"),"accuweather")</f>
        <v>accuweather</v>
      </c>
      <c r="O135" s="9" t="s">
        <v>74</v>
      </c>
      <c r="P135" s="9" t="s">
        <v>39</v>
      </c>
      <c r="Q135" s="9">
        <v>18324</v>
      </c>
      <c r="R135" s="9">
        <v>60</v>
      </c>
      <c r="S135" s="9">
        <v>3145</v>
      </c>
      <c r="T135" s="9">
        <v>13703</v>
      </c>
      <c r="U135" s="9">
        <v>8</v>
      </c>
      <c r="V135" s="11">
        <v>6996.2318379999997</v>
      </c>
      <c r="W135" s="12">
        <f t="shared" si="0"/>
        <v>874.52897974999996</v>
      </c>
      <c r="X135" s="12">
        <f t="shared" si="1"/>
        <v>0.32743942370661427</v>
      </c>
      <c r="Y135" s="12">
        <f t="shared" si="2"/>
        <v>17.163283125955033</v>
      </c>
      <c r="Z135" s="12">
        <f t="shared" si="3"/>
        <v>2224.5570232114464</v>
      </c>
      <c r="AA135" s="12">
        <f t="shared" si="4"/>
        <v>381.80702019209775</v>
      </c>
      <c r="AB135" s="12">
        <f t="shared" si="5"/>
        <v>116.60386396666667</v>
      </c>
      <c r="AC135" s="12">
        <f t="shared" si="6"/>
        <v>13.333333333333334</v>
      </c>
      <c r="AE135" s="13"/>
      <c r="AF135" s="13"/>
    </row>
    <row r="136" spans="1:32">
      <c r="A136" s="8" t="s">
        <v>656</v>
      </c>
      <c r="B136" s="9" t="s">
        <v>41</v>
      </c>
      <c r="C136" s="9" t="s">
        <v>657</v>
      </c>
      <c r="D136" s="9" t="s">
        <v>658</v>
      </c>
      <c r="E136" s="9"/>
      <c r="F136" s="9" t="str">
        <f ca="1">IFERROR(__xludf.DUMMYFUNCTION("IFS(
  REGEXMATCH(LOWER(VLOOKUP(A136, Data1_Raw_Slack!A:B, 2, FALSE)), ""news|weather""), ""News and Weather"", REGEXMATCH(LOWER(VLOOKUP(A136, Data1_Raw_Slack!A:B, 2, FALSE)), ""sports|ufc|nba|nfl|mlb|soccer|sports fans""), ""Sports"",
  REGEXMATCH(LOWER("&amp;"VLOOKUP(A136, Data1_Raw_Slack!A:B, 2, FALSE)), ""fashion|style|clothing|apparel|shoes|accessories|beauty|cosmetics|fashionistas""), ""Fashion and Beauty"",
  REGEXMATCH(LOWER(VLOOKUP(A136, Data1_Raw_Slack!A:B, 2, FALSE)), ""food|cooking|recipe|restaurant|"&amp;"snack|grocery|foodies""), ""Food"",
  REGEXMATCH(LOWER(VLOOKUP(A136, Data1_Raw_Slack!A:B, 2, FALSE)), ""travel|vacation|airline|hotel|trip|flights|travelers""), ""Travel"",
  REGEXMATCH(LOWER(VLOOKUP(A136, Data1_Raw_Slack!A:B, 2, FALSE)), ""fitness|workou"&amp;"t|gym|exercise|yoga|wellness|fitness enthusiasts""), ""Fitness"",
  REGEXMATCH(LOWER(VLOOKUP(A136, Data1_Raw_Slack!A:B, 2, FALSE)), ""health|medical|pharmacy|mental health|doctor|health-conscious""), ""Health"",
  REGEXMATCH(LOWER(VLOOKUP(A136, Data1_Raw_"&amp;"Slack!A:B, 2, FALSE)), ""pets|dogs|cats|animals|pet care|pet lovers""), ""Pets"",
  REGEXMATCH(LOWER(VLOOKUP(A136, Data1_Raw_Slack!A:B, 2, FALSE)), ""games|gaming|game|xbox|playstation|nintendo|gamers""), ""Gaming"",
  REGEXMATCH(LOWER(VLOOKUP(A136, Data1"&amp;"_Raw_Slack!A:B, 2, FALSE)), ""entertainment|movies|tv|netflix|streaming|celebrity|movie lovers|tv fans|hobb|photo|art""), ""Entertainment"",
  REGEXMATCH(LOWER(VLOOKUP(A136, Data1_Raw_Slack!A:B, 2, FALSE)), ""lifestyle|home|interior|decor|living|lifestyle"&amp;" enthusiasts""), ""Lifestyle"",
  REGEXMATCH(LOWER(VLOOKUP(A136, Data1_Raw_Slack!A:B, 2, FALSE)), ""financial|finance|investing|stocks|retirement|banking|credit|debt|loans|savings|personal finance|insurance|econ|ecom|business|retail|occupation|sale|job|ma"&amp;"rketing""), ""Finance"",
  REGEXMATCH(LOWER(VLOOKUP(A136, Data1_Raw_Slack!A:B, 2, FALSE)), ""auto|automotive""), ""Auto"",
  REGEXMATCH(LOWER(VLOOKUP(A136, Data1_Raw_Slack!A:B, 2, FALSE)), ""parenting|moms|dads|kids|toddlers|baby|parent|children""), ""Par"&amp;"enting"",
  REGEXMATCH(LOWER(VLOOKUP(A136, Data1_Raw_Slack!A:B, 2, FALSE)), ""education|students|learning|school|teachers|college|university|academics""), ""Education"",
  REGEXMATCH(LOWER(VLOOKUP(A136, Data1_Raw_Slack!A:B, 2, FALSE)), ""age|gender|dem"&amp;"ographic|family|household""), ""Demographics"",
  REGEXMATCH(LOWER(VLOOKUP(A136, Data1_Raw_Slack!A:B, 2, FALSE)), ""mortgage|real estate""), ""Real Estate"",REGEXMATCH(LOWER(VLOOKUP(A136, Data1_Raw_Slack!A:B, 2, FALSE)), ""technology|tech|gadgets|smartpho"&amp;"ne|electro|apps|devices|computing|ai|robots|software|computer|internet|tele|mobile|tablet""), ""Technology"", REGEXMATCH(LOWER(VLOOKUP(A136, Data1_Raw_Slack!A:B, 2, FALSE)), ""entertainment|purchas|movies|tv|netflix|streaming|celebrity|movie lovers|tv fan"&amp;"s|media|hobb|photo|art|shop""), ""Entertainment"", REGEXMATCH(LOWER(VLOOKUP(A136, Data1_Raw_Slack!A:B, 2, FALSE)), ""law|government|""), ""Law and Government"",
  TRUE, ""Other""
)"),"Finance")</f>
        <v>Finance</v>
      </c>
      <c r="G136" s="9"/>
      <c r="H136" s="9" t="s">
        <v>44</v>
      </c>
      <c r="I136" s="9" t="s">
        <v>659</v>
      </c>
      <c r="J136" s="9" t="s">
        <v>34</v>
      </c>
      <c r="K136" s="9" t="s">
        <v>236</v>
      </c>
      <c r="L136" s="9" t="s">
        <v>82</v>
      </c>
      <c r="M136" s="10" t="s">
        <v>430</v>
      </c>
      <c r="N136" s="9" t="str">
        <f ca="1">IFERROR(__xludf.DUMMYFUNCTION("REGEXEXTRACT(LOWER(M136), ""([a-z0-9\-]+)\.(?:co|net|org|io|gg)"")"),"biblegateway")</f>
        <v>biblegateway</v>
      </c>
      <c r="O136" s="9" t="s">
        <v>50</v>
      </c>
      <c r="P136" s="9" t="s">
        <v>75</v>
      </c>
      <c r="Q136" s="9">
        <v>113420</v>
      </c>
      <c r="R136" s="9">
        <v>333</v>
      </c>
      <c r="S136" s="9">
        <v>33557</v>
      </c>
      <c r="T136" s="9">
        <v>104929</v>
      </c>
      <c r="U136" s="9">
        <v>11</v>
      </c>
      <c r="V136" s="11">
        <v>5124.4359340000001</v>
      </c>
      <c r="W136" s="12">
        <f t="shared" si="0"/>
        <v>465.85781218181819</v>
      </c>
      <c r="X136" s="12">
        <f t="shared" si="1"/>
        <v>0.29359901251983778</v>
      </c>
      <c r="Y136" s="12">
        <f t="shared" si="2"/>
        <v>29.586492682066655</v>
      </c>
      <c r="Z136" s="12">
        <f t="shared" si="3"/>
        <v>152.70840462496648</v>
      </c>
      <c r="AA136" s="12">
        <f t="shared" si="4"/>
        <v>45.181060959266446</v>
      </c>
      <c r="AB136" s="12">
        <f t="shared" si="5"/>
        <v>15.388696498498499</v>
      </c>
      <c r="AC136" s="12">
        <f t="shared" si="6"/>
        <v>3.303303303303303</v>
      </c>
      <c r="AE136" s="13"/>
      <c r="AF136" s="13"/>
    </row>
    <row r="137" spans="1:32">
      <c r="A137" s="8" t="s">
        <v>660</v>
      </c>
      <c r="B137" s="9" t="s">
        <v>41</v>
      </c>
      <c r="C137" s="9" t="s">
        <v>661</v>
      </c>
      <c r="D137" s="9" t="s">
        <v>662</v>
      </c>
      <c r="E137" s="9"/>
      <c r="F137" s="9" t="str">
        <f ca="1">IFERROR(__xludf.DUMMYFUNCTION("IFS(
  REGEXMATCH(LOWER(VLOOKUP(A137, Data1_Raw_Slack!A:B, 2, FALSE)), ""news|weather""), ""News and Weather"", REGEXMATCH(LOWER(VLOOKUP(A137, Data1_Raw_Slack!A:B, 2, FALSE)), ""sports|ufc|nba|nfl|mlb|soccer|sports fans""), ""Sports"",
  REGEXMATCH(LOWER("&amp;"VLOOKUP(A137, Data1_Raw_Slack!A:B, 2, FALSE)), ""fashion|style|clothing|apparel|shoes|accessories|beauty|cosmetics|fashionistas""), ""Fashion and Beauty"",
  REGEXMATCH(LOWER(VLOOKUP(A137, Data1_Raw_Slack!A:B, 2, FALSE)), ""food|cooking|recipe|restaurant|"&amp;"snack|grocery|foodies""), ""Food"",
  REGEXMATCH(LOWER(VLOOKUP(A137, Data1_Raw_Slack!A:B, 2, FALSE)), ""travel|vacation|airline|hotel|trip|flights|travelers""), ""Travel"",
  REGEXMATCH(LOWER(VLOOKUP(A137, Data1_Raw_Slack!A:B, 2, FALSE)), ""fitness|workou"&amp;"t|gym|exercise|yoga|wellness|fitness enthusiasts""), ""Fitness"",
  REGEXMATCH(LOWER(VLOOKUP(A137, Data1_Raw_Slack!A:B, 2, FALSE)), ""health|medical|pharmacy|mental health|doctor|health-conscious""), ""Health"",
  REGEXMATCH(LOWER(VLOOKUP(A137, Data1_Raw_"&amp;"Slack!A:B, 2, FALSE)), ""pets|dogs|cats|animals|pet care|pet lovers""), ""Pets"",
  REGEXMATCH(LOWER(VLOOKUP(A137, Data1_Raw_Slack!A:B, 2, FALSE)), ""games|gaming|game|xbox|playstation|nintendo|gamers""), ""Gaming"",
  REGEXMATCH(LOWER(VLOOKUP(A137, Data1"&amp;"_Raw_Slack!A:B, 2, FALSE)), ""entertainment|movies|tv|netflix|streaming|celebrity|movie lovers|tv fans|hobb|photo|art""), ""Entertainment"",
  REGEXMATCH(LOWER(VLOOKUP(A137, Data1_Raw_Slack!A:B, 2, FALSE)), ""lifestyle|home|interior|decor|living|lifestyle"&amp;" enthusiasts""), ""Lifestyle"",
  REGEXMATCH(LOWER(VLOOKUP(A137, Data1_Raw_Slack!A:B, 2, FALSE)), ""financial|finance|investing|stocks|retirement|banking|credit|debt|loans|savings|personal finance|insurance|econ|ecom|business|retail|occupation|sale|job|ma"&amp;"rketing""), ""Finance"",
  REGEXMATCH(LOWER(VLOOKUP(A137, Data1_Raw_Slack!A:B, 2, FALSE)), ""auto|automotive""), ""Auto"",
  REGEXMATCH(LOWER(VLOOKUP(A137, Data1_Raw_Slack!A:B, 2, FALSE)), ""parenting|moms|dads|kids|toddlers|baby|parent|children""), ""Par"&amp;"enting"",
  REGEXMATCH(LOWER(VLOOKUP(A137, Data1_Raw_Slack!A:B, 2, FALSE)), ""education|students|learning|school|teachers|college|university|academics""), ""Education"",
  REGEXMATCH(LOWER(VLOOKUP(A137, Data1_Raw_Slack!A:B, 2, FALSE)), ""age|gender|dem"&amp;"ographic|family|household""), ""Demographics"",
  REGEXMATCH(LOWER(VLOOKUP(A137, Data1_Raw_Slack!A:B, 2, FALSE)), ""mortgage|real estate""), ""Real Estate"",REGEXMATCH(LOWER(VLOOKUP(A137, Data1_Raw_Slack!A:B, 2, FALSE)), ""technology|tech|gadgets|smartpho"&amp;"ne|electro|apps|devices|computing|ai|robots|software|computer|internet|tele|mobile|tablet""), ""Technology"", REGEXMATCH(LOWER(VLOOKUP(A137, Data1_Raw_Slack!A:B, 2, FALSE)), ""entertainment|purchas|movies|tv|netflix|streaming|celebrity|movie lovers|tv fan"&amp;"s|media|hobb|photo|art|shop""), ""Entertainment"", REGEXMATCH(LOWER(VLOOKUP(A137, Data1_Raw_Slack!A:B, 2, FALSE)), ""law|government|""), ""Law and Government"",
  TRUE, ""Other""
)"),"Law and Government")</f>
        <v>Law and Government</v>
      </c>
      <c r="G137" s="9"/>
      <c r="H137" s="9" t="s">
        <v>32</v>
      </c>
      <c r="I137" s="9" t="s">
        <v>663</v>
      </c>
      <c r="J137" s="9" t="s">
        <v>34</v>
      </c>
      <c r="K137" s="9" t="s">
        <v>170</v>
      </c>
      <c r="L137" s="9" t="s">
        <v>72</v>
      </c>
      <c r="M137" s="10" t="s">
        <v>664</v>
      </c>
      <c r="N137" s="9" t="str">
        <f ca="1">IFERROR(__xludf.DUMMYFUNCTION("REGEXEXTRACT(LOWER(M137), ""([a-z0-9\-]+)\.(?:co|net|org|io|gg)"")"),"ebay")</f>
        <v>ebay</v>
      </c>
      <c r="O137" s="9" t="s">
        <v>593</v>
      </c>
      <c r="P137" s="9" t="s">
        <v>39</v>
      </c>
      <c r="Q137" s="9">
        <v>18136</v>
      </c>
      <c r="R137" s="9">
        <v>69</v>
      </c>
      <c r="S137" s="9">
        <v>10842</v>
      </c>
      <c r="T137" s="9">
        <v>14953</v>
      </c>
      <c r="U137" s="9">
        <v>9</v>
      </c>
      <c r="V137" s="11">
        <v>6860.3595969999997</v>
      </c>
      <c r="W137" s="12">
        <f t="shared" si="0"/>
        <v>762.26217744444443</v>
      </c>
      <c r="X137" s="12">
        <f t="shared" si="1"/>
        <v>0.38045875606528451</v>
      </c>
      <c r="Y137" s="12">
        <f t="shared" si="2"/>
        <v>59.781649757388621</v>
      </c>
      <c r="Z137" s="12">
        <f t="shared" si="3"/>
        <v>632.75775659472424</v>
      </c>
      <c r="AA137" s="12">
        <f t="shared" si="4"/>
        <v>378.27302586016759</v>
      </c>
      <c r="AB137" s="12">
        <f t="shared" si="5"/>
        <v>99.425501405797093</v>
      </c>
      <c r="AC137" s="12">
        <f t="shared" si="6"/>
        <v>13.043478260869565</v>
      </c>
      <c r="AE137" s="13"/>
      <c r="AF137" s="13"/>
    </row>
    <row r="138" spans="1:32">
      <c r="A138" s="8" t="s">
        <v>665</v>
      </c>
      <c r="B138" s="9" t="s">
        <v>507</v>
      </c>
      <c r="C138" s="9" t="s">
        <v>508</v>
      </c>
      <c r="D138" s="9" t="s">
        <v>666</v>
      </c>
      <c r="E138" s="9"/>
      <c r="F138" s="9" t="str">
        <f ca="1">IFERROR(__xludf.DUMMYFUNCTION("IFS(
  REGEXMATCH(LOWER(VLOOKUP(A138, Data1_Raw_Slack!A:B, 2, FALSE)), ""news|weather""), ""News and Weather"", REGEXMATCH(LOWER(VLOOKUP(A138, Data1_Raw_Slack!A:B, 2, FALSE)), ""sports|ufc|nba|nfl|mlb|soccer|sports fans""), ""Sports"",
  REGEXMATCH(LOWER("&amp;"VLOOKUP(A138, Data1_Raw_Slack!A:B, 2, FALSE)), ""fashion|style|clothing|apparel|shoes|accessories|beauty|cosmetics|fashionistas""), ""Fashion and Beauty"",
  REGEXMATCH(LOWER(VLOOKUP(A138, Data1_Raw_Slack!A:B, 2, FALSE)), ""food|cooking|recipe|restaurant|"&amp;"snack|grocery|foodies""), ""Food"",
  REGEXMATCH(LOWER(VLOOKUP(A138, Data1_Raw_Slack!A:B, 2, FALSE)), ""travel|vacation|airline|hotel|trip|flights|travelers""), ""Travel"",
  REGEXMATCH(LOWER(VLOOKUP(A138, Data1_Raw_Slack!A:B, 2, FALSE)), ""fitness|workou"&amp;"t|gym|exercise|yoga|wellness|fitness enthusiasts""), ""Fitness"",
  REGEXMATCH(LOWER(VLOOKUP(A138, Data1_Raw_Slack!A:B, 2, FALSE)), ""health|medical|pharmacy|mental health|doctor|health-conscious""), ""Health"",
  REGEXMATCH(LOWER(VLOOKUP(A138, Data1_Raw_"&amp;"Slack!A:B, 2, FALSE)), ""pets|dogs|cats|animals|pet care|pet lovers""), ""Pets"",
  REGEXMATCH(LOWER(VLOOKUP(A138, Data1_Raw_Slack!A:B, 2, FALSE)), ""games|gaming|game|xbox|playstation|nintendo|gamers""), ""Gaming"",
  REGEXMATCH(LOWER(VLOOKUP(A138, Data1"&amp;"_Raw_Slack!A:B, 2, FALSE)), ""entertainment|movies|tv|netflix|streaming|celebrity|movie lovers|tv fans|hobb|photo|art""), ""Entertainment"",
  REGEXMATCH(LOWER(VLOOKUP(A138, Data1_Raw_Slack!A:B, 2, FALSE)), ""lifestyle|home|interior|decor|living|lifestyle"&amp;" enthusiasts""), ""Lifestyle"",
  REGEXMATCH(LOWER(VLOOKUP(A138, Data1_Raw_Slack!A:B, 2, FALSE)), ""financial|finance|investing|stocks|retirement|banking|credit|debt|loans|savings|personal finance|insurance|econ|ecom|business|retail|occupation|sale|job|ma"&amp;"rketing""), ""Finance"",
  REGEXMATCH(LOWER(VLOOKUP(A138, Data1_Raw_Slack!A:B, 2, FALSE)), ""auto|automotive""), ""Auto"",
  REGEXMATCH(LOWER(VLOOKUP(A138, Data1_Raw_Slack!A:B, 2, FALSE)), ""parenting|moms|dads|kids|toddlers|baby|parent|children""), ""Par"&amp;"enting"",
  REGEXMATCH(LOWER(VLOOKUP(A138, Data1_Raw_Slack!A:B, 2, FALSE)), ""education|students|learning|school|teachers|college|university|academics""), ""Education"",
  REGEXMATCH(LOWER(VLOOKUP(A138, Data1_Raw_Slack!A:B, 2, FALSE)), ""age|gender|dem"&amp;"ographic|family|household""), ""Demographics"",
  REGEXMATCH(LOWER(VLOOKUP(A138, Data1_Raw_Slack!A:B, 2, FALSE)), ""mortgage|real estate""), ""Real Estate"",REGEXMATCH(LOWER(VLOOKUP(A138, Data1_Raw_Slack!A:B, 2, FALSE)), ""technology|tech|gadgets|smartpho"&amp;"ne|electro|apps|devices|computing|ai|robots|software|computer|internet|tele|mobile|tablet""), ""Technology"", REGEXMATCH(LOWER(VLOOKUP(A138, Data1_Raw_Slack!A:B, 2, FALSE)), ""entertainment|purchas|movies|tv|netflix|streaming|celebrity|movie lovers|tv fan"&amp;"s|media|hobb|photo|art|shop""), ""Entertainment"", REGEXMATCH(LOWER(VLOOKUP(A138, Data1_Raw_Slack!A:B, 2, FALSE)), ""law|government|""), ""Law and Government"",
  TRUE, ""Other""
)"),"Demographics")</f>
        <v>Demographics</v>
      </c>
      <c r="G138" s="9"/>
      <c r="H138" s="9" t="s">
        <v>32</v>
      </c>
      <c r="I138" s="9" t="s">
        <v>667</v>
      </c>
      <c r="J138" s="9" t="s">
        <v>34</v>
      </c>
      <c r="K138" s="9" t="s">
        <v>142</v>
      </c>
      <c r="L138" s="9" t="s">
        <v>72</v>
      </c>
      <c r="M138" s="10" t="s">
        <v>668</v>
      </c>
      <c r="N138" s="9" t="str">
        <f ca="1">IFERROR(__xludf.DUMMYFUNCTION("REGEXEXTRACT(LOWER(M138), ""([a-z0-9\-]+)\.(?:co|net|org|io|gg)"")"),"slickdeals")</f>
        <v>slickdeals</v>
      </c>
      <c r="O138" s="9" t="s">
        <v>103</v>
      </c>
      <c r="P138" s="9" t="s">
        <v>39</v>
      </c>
      <c r="Q138" s="9">
        <v>12510</v>
      </c>
      <c r="R138" s="9">
        <v>74</v>
      </c>
      <c r="S138" s="9">
        <v>4391</v>
      </c>
      <c r="T138" s="9">
        <v>9098</v>
      </c>
      <c r="U138" s="9">
        <v>6</v>
      </c>
      <c r="V138" s="11">
        <v>1524.470523</v>
      </c>
      <c r="W138" s="12">
        <f t="shared" si="0"/>
        <v>254.07842049999999</v>
      </c>
      <c r="X138" s="12">
        <f t="shared" si="1"/>
        <v>0.59152677857713831</v>
      </c>
      <c r="Y138" s="12">
        <f t="shared" si="2"/>
        <v>35.099920063948844</v>
      </c>
      <c r="Z138" s="12">
        <f t="shared" si="3"/>
        <v>347.18071578228194</v>
      </c>
      <c r="AA138" s="12">
        <f t="shared" si="4"/>
        <v>121.86015371702638</v>
      </c>
      <c r="AB138" s="12">
        <f t="shared" si="5"/>
        <v>20.600953013513514</v>
      </c>
      <c r="AC138" s="12">
        <f t="shared" si="6"/>
        <v>8.1081081081081088</v>
      </c>
      <c r="AE138" s="13"/>
      <c r="AF138" s="13"/>
    </row>
    <row r="139" spans="1:32">
      <c r="A139" s="8" t="s">
        <v>669</v>
      </c>
      <c r="B139" s="9" t="s">
        <v>67</v>
      </c>
      <c r="C139" s="9" t="s">
        <v>670</v>
      </c>
      <c r="D139" s="9"/>
      <c r="E139" s="9"/>
      <c r="F139" s="9" t="str">
        <f ca="1">IFERROR(__xludf.DUMMYFUNCTION("IFS(
  REGEXMATCH(LOWER(VLOOKUP(A139, Data1_Raw_Slack!A:B, 2, FALSE)), ""news|weather""), ""News and Weather"", REGEXMATCH(LOWER(VLOOKUP(A139, Data1_Raw_Slack!A:B, 2, FALSE)), ""sports|ufc|nba|nfl|mlb|soccer|sports fans""), ""Sports"",
  REGEXMATCH(LOWER("&amp;"VLOOKUP(A139, Data1_Raw_Slack!A:B, 2, FALSE)), ""fashion|style|clothing|apparel|shoes|accessories|beauty|cosmetics|fashionistas""), ""Fashion and Beauty"",
  REGEXMATCH(LOWER(VLOOKUP(A139, Data1_Raw_Slack!A:B, 2, FALSE)), ""food|cooking|recipe|restaurant|"&amp;"snack|grocery|foodies""), ""Food"",
  REGEXMATCH(LOWER(VLOOKUP(A139, Data1_Raw_Slack!A:B, 2, FALSE)), ""travel|vacation|airline|hotel|trip|flights|travelers""), ""Travel"",
  REGEXMATCH(LOWER(VLOOKUP(A139, Data1_Raw_Slack!A:B, 2, FALSE)), ""fitness|workou"&amp;"t|gym|exercise|yoga|wellness|fitness enthusiasts""), ""Fitness"",
  REGEXMATCH(LOWER(VLOOKUP(A139, Data1_Raw_Slack!A:B, 2, FALSE)), ""health|medical|pharmacy|mental health|doctor|health-conscious""), ""Health"",
  REGEXMATCH(LOWER(VLOOKUP(A139, Data1_Raw_"&amp;"Slack!A:B, 2, FALSE)), ""pets|dogs|cats|animals|pet care|pet lovers""), ""Pets"",
  REGEXMATCH(LOWER(VLOOKUP(A139, Data1_Raw_Slack!A:B, 2, FALSE)), ""games|gaming|game|xbox|playstation|nintendo|gamers""), ""Gaming"",
  REGEXMATCH(LOWER(VLOOKUP(A139, Data1"&amp;"_Raw_Slack!A:B, 2, FALSE)), ""entertainment|movies|tv|netflix|streaming|celebrity|movie lovers|tv fans|hobb|photo|art""), ""Entertainment"",
  REGEXMATCH(LOWER(VLOOKUP(A139, Data1_Raw_Slack!A:B, 2, FALSE)), ""lifestyle|home|interior|decor|living|lifestyle"&amp;" enthusiasts""), ""Lifestyle"",
  REGEXMATCH(LOWER(VLOOKUP(A139, Data1_Raw_Slack!A:B, 2, FALSE)), ""financial|finance|investing|stocks|retirement|banking|credit|debt|loans|savings|personal finance|insurance|econ|ecom|business|retail|occupation|sale|job|ma"&amp;"rketing""), ""Finance"",
  REGEXMATCH(LOWER(VLOOKUP(A139, Data1_Raw_Slack!A:B, 2, FALSE)), ""auto|automotive""), ""Auto"",
  REGEXMATCH(LOWER(VLOOKUP(A139, Data1_Raw_Slack!A:B, 2, FALSE)), ""parenting|moms|dads|kids|toddlers|baby|parent|children""), ""Par"&amp;"enting"",
  REGEXMATCH(LOWER(VLOOKUP(A139, Data1_Raw_Slack!A:B, 2, FALSE)), ""education|students|learning|school|teachers|college|university|academics""), ""Education"",
  REGEXMATCH(LOWER(VLOOKUP(A139, Data1_Raw_Slack!A:B, 2, FALSE)), ""age|gender|dem"&amp;"ographic|family|household""), ""Demographics"",
  REGEXMATCH(LOWER(VLOOKUP(A139, Data1_Raw_Slack!A:B, 2, FALSE)), ""mortgage|real estate""), ""Real Estate"",REGEXMATCH(LOWER(VLOOKUP(A139, Data1_Raw_Slack!A:B, 2, FALSE)), ""technology|tech|gadgets|smartpho"&amp;"ne|electro|apps|devices|computing|ai|robots|software|computer|internet|tele|mobile|tablet""), ""Technology"", REGEXMATCH(LOWER(VLOOKUP(A139, Data1_Raw_Slack!A:B, 2, FALSE)), ""entertainment|purchas|movies|tv|netflix|streaming|celebrity|movie lovers|tv fan"&amp;"s|media|hobb|photo|art|shop""), ""Entertainment"", REGEXMATCH(LOWER(VLOOKUP(A139, Data1_Raw_Slack!A:B, 2, FALSE)), ""law|government|""), ""Law and Government"",
  TRUE, ""Other""
)"),"Entertainment")</f>
        <v>Entertainment</v>
      </c>
      <c r="G139" s="9"/>
      <c r="H139" s="9" t="s">
        <v>44</v>
      </c>
      <c r="I139" s="9" t="s">
        <v>671</v>
      </c>
      <c r="J139" s="9" t="s">
        <v>62</v>
      </c>
      <c r="K139" s="9" t="s">
        <v>47</v>
      </c>
      <c r="L139" s="9" t="s">
        <v>48</v>
      </c>
      <c r="M139" s="10" t="s">
        <v>672</v>
      </c>
      <c r="N139" s="9" t="str">
        <f ca="1">IFERROR(__xludf.DUMMYFUNCTION("REGEXEXTRACT(LOWER(M139), ""([a-z0-9\-]+)\.(?:co|net|org|io|gg)"")"),"motor-junkie")</f>
        <v>motor-junkie</v>
      </c>
      <c r="O139" s="9" t="s">
        <v>74</v>
      </c>
      <c r="P139" s="9" t="s">
        <v>75</v>
      </c>
      <c r="Q139" s="9">
        <v>70506</v>
      </c>
      <c r="R139" s="9">
        <v>270</v>
      </c>
      <c r="S139" s="9">
        <v>26779</v>
      </c>
      <c r="T139" s="9">
        <v>48902</v>
      </c>
      <c r="U139" s="9">
        <v>3</v>
      </c>
      <c r="V139" s="11">
        <v>1912.9668819999999</v>
      </c>
      <c r="W139" s="12">
        <f t="shared" si="0"/>
        <v>637.65562733333331</v>
      </c>
      <c r="X139" s="12">
        <f t="shared" si="1"/>
        <v>0.38294613224406432</v>
      </c>
      <c r="Y139" s="12">
        <f t="shared" si="2"/>
        <v>37.981164723569627</v>
      </c>
      <c r="Z139" s="12">
        <f t="shared" si="3"/>
        <v>71.435336719070918</v>
      </c>
      <c r="AA139" s="12">
        <f t="shared" si="4"/>
        <v>27.131972910106942</v>
      </c>
      <c r="AB139" s="12">
        <f t="shared" si="5"/>
        <v>7.0850625259259257</v>
      </c>
      <c r="AC139" s="12">
        <f t="shared" si="6"/>
        <v>1.1111111111111112</v>
      </c>
      <c r="AE139" s="13"/>
      <c r="AF139" s="13"/>
    </row>
    <row r="140" spans="1:32">
      <c r="A140" s="8" t="s">
        <v>673</v>
      </c>
      <c r="B140" s="9" t="s">
        <v>92</v>
      </c>
      <c r="C140" s="9" t="s">
        <v>178</v>
      </c>
      <c r="D140" s="9" t="s">
        <v>154</v>
      </c>
      <c r="E140" s="9" t="s">
        <v>674</v>
      </c>
      <c r="F140" s="9" t="str">
        <f ca="1">IFERROR(__xludf.DUMMYFUNCTION("IFS(
  REGEXMATCH(LOWER(VLOOKUP(A140, Data1_Raw_Slack!A:B, 2, FALSE)), ""news|weather""), ""News and Weather"", REGEXMATCH(LOWER(VLOOKUP(A140, Data1_Raw_Slack!A:B, 2, FALSE)), ""sports|ufc|nba|nfl|mlb|soccer|sports fans""), ""Sports"",
  REGEXMATCH(LOWER("&amp;"VLOOKUP(A140, Data1_Raw_Slack!A:B, 2, FALSE)), ""fashion|style|clothing|apparel|shoes|accessories|beauty|cosmetics|fashionistas""), ""Fashion and Beauty"",
  REGEXMATCH(LOWER(VLOOKUP(A140, Data1_Raw_Slack!A:B, 2, FALSE)), ""food|cooking|recipe|restaurant|"&amp;"snack|grocery|foodies""), ""Food"",
  REGEXMATCH(LOWER(VLOOKUP(A140, Data1_Raw_Slack!A:B, 2, FALSE)), ""travel|vacation|airline|hotel|trip|flights|travelers""), ""Travel"",
  REGEXMATCH(LOWER(VLOOKUP(A140, Data1_Raw_Slack!A:B, 2, FALSE)), ""fitness|workou"&amp;"t|gym|exercise|yoga|wellness|fitness enthusiasts""), ""Fitness"",
  REGEXMATCH(LOWER(VLOOKUP(A140, Data1_Raw_Slack!A:B, 2, FALSE)), ""health|medical|pharmacy|mental health|doctor|health-conscious""), ""Health"",
  REGEXMATCH(LOWER(VLOOKUP(A140, Data1_Raw_"&amp;"Slack!A:B, 2, FALSE)), ""pets|dogs|cats|animals|pet care|pet lovers""), ""Pets"",
  REGEXMATCH(LOWER(VLOOKUP(A140, Data1_Raw_Slack!A:B, 2, FALSE)), ""games|gaming|game|xbox|playstation|nintendo|gamers""), ""Gaming"",
  REGEXMATCH(LOWER(VLOOKUP(A140, Data1"&amp;"_Raw_Slack!A:B, 2, FALSE)), ""entertainment|movies|tv|netflix|streaming|celebrity|movie lovers|tv fans|hobb|photo|art""), ""Entertainment"",
  REGEXMATCH(LOWER(VLOOKUP(A140, Data1_Raw_Slack!A:B, 2, FALSE)), ""lifestyle|home|interior|decor|living|lifestyle"&amp;" enthusiasts""), ""Lifestyle"",
  REGEXMATCH(LOWER(VLOOKUP(A140, Data1_Raw_Slack!A:B, 2, FALSE)), ""financial|finance|investing|stocks|retirement|banking|credit|debt|loans|savings|personal finance|insurance|econ|ecom|business|retail|occupation|sale|job|ma"&amp;"rketing""), ""Finance"",
  REGEXMATCH(LOWER(VLOOKUP(A140, Data1_Raw_Slack!A:B, 2, FALSE)), ""auto|automotive""), ""Auto"",
  REGEXMATCH(LOWER(VLOOKUP(A140, Data1_Raw_Slack!A:B, 2, FALSE)), ""parenting|moms|dads|kids|toddlers|baby|parent|children""), ""Par"&amp;"enting"",
  REGEXMATCH(LOWER(VLOOKUP(A140, Data1_Raw_Slack!A:B, 2, FALSE)), ""education|students|learning|school|teachers|college|university|academics""), ""Education"",
  REGEXMATCH(LOWER(VLOOKUP(A140, Data1_Raw_Slack!A:B, 2, FALSE)), ""age|gender|dem"&amp;"ographic|family|household""), ""Demographics"",
  REGEXMATCH(LOWER(VLOOKUP(A140, Data1_Raw_Slack!A:B, 2, FALSE)), ""mortgage|real estate""), ""Real Estate"",REGEXMATCH(LOWER(VLOOKUP(A140, Data1_Raw_Slack!A:B, 2, FALSE)), ""technology|tech|gadgets|smartpho"&amp;"ne|electro|apps|devices|computing|ai|robots|software|computer|internet|tele|mobile|tablet""), ""Technology"", REGEXMATCH(LOWER(VLOOKUP(A140, Data1_Raw_Slack!A:B, 2, FALSE)), ""entertainment|purchas|movies|tv|netflix|streaming|celebrity|movie lovers|tv fan"&amp;"s|media|hobb|photo|art|shop""), ""Entertainment"", REGEXMATCH(LOWER(VLOOKUP(A140, Data1_Raw_Slack!A:B, 2, FALSE)), ""law|government|""), ""Law and Government"",
  TRUE, ""Other""
)"),"Sports")</f>
        <v>Sports</v>
      </c>
      <c r="G140" s="9" t="s">
        <v>154</v>
      </c>
      <c r="H140" s="9" t="s">
        <v>44</v>
      </c>
      <c r="I140" s="9" t="s">
        <v>675</v>
      </c>
      <c r="J140" s="9" t="s">
        <v>34</v>
      </c>
      <c r="K140" s="9" t="s">
        <v>274</v>
      </c>
      <c r="L140" s="9" t="s">
        <v>48</v>
      </c>
      <c r="M140" s="10" t="s">
        <v>676</v>
      </c>
      <c r="N140" s="9" t="str">
        <f ca="1">IFERROR(__xludf.DUMMYFUNCTION("REGEXEXTRACT(LOWER(M140), ""([a-z0-9\-]+)\.(?:co|net|org|io|gg)"")"),"medicalnewstoday")</f>
        <v>medicalnewstoday</v>
      </c>
      <c r="O140" s="9" t="s">
        <v>50</v>
      </c>
      <c r="P140" s="9" t="s">
        <v>39</v>
      </c>
      <c r="Q140" s="9">
        <v>22444</v>
      </c>
      <c r="R140" s="9">
        <v>160</v>
      </c>
      <c r="S140" s="9">
        <v>12672</v>
      </c>
      <c r="T140" s="9">
        <v>21345</v>
      </c>
      <c r="U140" s="9">
        <v>5</v>
      </c>
      <c r="V140" s="11">
        <v>2539.2005629999999</v>
      </c>
      <c r="W140" s="12">
        <f t="shared" si="0"/>
        <v>507.8401126</v>
      </c>
      <c r="X140" s="12">
        <f t="shared" si="1"/>
        <v>0.71288540367135977</v>
      </c>
      <c r="Y140" s="12">
        <f t="shared" si="2"/>
        <v>56.460523970771703</v>
      </c>
      <c r="Z140" s="12">
        <f t="shared" si="3"/>
        <v>200.3788323074495</v>
      </c>
      <c r="AA140" s="12">
        <f t="shared" si="4"/>
        <v>113.13493864729995</v>
      </c>
      <c r="AB140" s="12">
        <f t="shared" si="5"/>
        <v>15.87000351875</v>
      </c>
      <c r="AC140" s="12">
        <f t="shared" si="6"/>
        <v>3.125</v>
      </c>
      <c r="AE140" s="13"/>
      <c r="AF140" s="13"/>
    </row>
    <row r="141" spans="1:32">
      <c r="A141" s="8" t="s">
        <v>677</v>
      </c>
      <c r="B141" s="9" t="s">
        <v>41</v>
      </c>
      <c r="C141" s="9" t="s">
        <v>193</v>
      </c>
      <c r="D141" s="9" t="s">
        <v>267</v>
      </c>
      <c r="E141" s="9" t="s">
        <v>678</v>
      </c>
      <c r="F141" s="9" t="str">
        <f ca="1">IFERROR(__xludf.DUMMYFUNCTION("IFS(
  REGEXMATCH(LOWER(VLOOKUP(A141, Data1_Raw_Slack!A:B, 2, FALSE)), ""news|weather""), ""News and Weather"", REGEXMATCH(LOWER(VLOOKUP(A141, Data1_Raw_Slack!A:B, 2, FALSE)), ""sports|ufc|nba|nfl|mlb|soccer|sports fans""), ""Sports"",
  REGEXMATCH(LOWER("&amp;"VLOOKUP(A141, Data1_Raw_Slack!A:B, 2, FALSE)), ""fashion|style|clothing|apparel|shoes|accessories|beauty|cosmetics|fashionistas""), ""Fashion and Beauty"",
  REGEXMATCH(LOWER(VLOOKUP(A141, Data1_Raw_Slack!A:B, 2, FALSE)), ""food|cooking|recipe|restaurant|"&amp;"snack|grocery|foodies""), ""Food"",
  REGEXMATCH(LOWER(VLOOKUP(A141, Data1_Raw_Slack!A:B, 2, FALSE)), ""travel|vacation|airline|hotel|trip|flights|travelers""), ""Travel"",
  REGEXMATCH(LOWER(VLOOKUP(A141, Data1_Raw_Slack!A:B, 2, FALSE)), ""fitness|workou"&amp;"t|gym|exercise|yoga|wellness|fitness enthusiasts""), ""Fitness"",
  REGEXMATCH(LOWER(VLOOKUP(A141, Data1_Raw_Slack!A:B, 2, FALSE)), ""health|medical|pharmacy|mental health|doctor|health-conscious""), ""Health"",
  REGEXMATCH(LOWER(VLOOKUP(A141, Data1_Raw_"&amp;"Slack!A:B, 2, FALSE)), ""pets|dogs|cats|animals|pet care|pet lovers""), ""Pets"",
  REGEXMATCH(LOWER(VLOOKUP(A141, Data1_Raw_Slack!A:B, 2, FALSE)), ""games|gaming|game|xbox|playstation|nintendo|gamers""), ""Gaming"",
  REGEXMATCH(LOWER(VLOOKUP(A141, Data1"&amp;"_Raw_Slack!A:B, 2, FALSE)), ""entertainment|movies|tv|netflix|streaming|celebrity|movie lovers|tv fans|hobb|photo|art""), ""Entertainment"",
  REGEXMATCH(LOWER(VLOOKUP(A141, Data1_Raw_Slack!A:B, 2, FALSE)), ""lifestyle|home|interior|decor|living|lifestyle"&amp;" enthusiasts""), ""Lifestyle"",
  REGEXMATCH(LOWER(VLOOKUP(A141, Data1_Raw_Slack!A:B, 2, FALSE)), ""financial|finance|investing|stocks|retirement|banking|credit|debt|loans|savings|personal finance|insurance|econ|ecom|business|retail|occupation|sale|job|ma"&amp;"rketing""), ""Finance"",
  REGEXMATCH(LOWER(VLOOKUP(A141, Data1_Raw_Slack!A:B, 2, FALSE)), ""auto|automotive""), ""Auto"",
  REGEXMATCH(LOWER(VLOOKUP(A141, Data1_Raw_Slack!A:B, 2, FALSE)), ""parenting|moms|dads|kids|toddlers|baby|parent|children""), ""Par"&amp;"enting"",
  REGEXMATCH(LOWER(VLOOKUP(A141, Data1_Raw_Slack!A:B, 2, FALSE)), ""education|students|learning|school|teachers|college|university|academics""), ""Education"",
  REGEXMATCH(LOWER(VLOOKUP(A141, Data1_Raw_Slack!A:B, 2, FALSE)), ""age|gender|dem"&amp;"ographic|family|household""), ""Demographics"",
  REGEXMATCH(LOWER(VLOOKUP(A141, Data1_Raw_Slack!A:B, 2, FALSE)), ""mortgage|real estate""), ""Real Estate"",REGEXMATCH(LOWER(VLOOKUP(A141, Data1_Raw_Slack!A:B, 2, FALSE)), ""technology|tech|gadgets|smartpho"&amp;"ne|electro|apps|devices|computing|ai|robots|software|computer|internet|tele|mobile|tablet""), ""Technology"", REGEXMATCH(LOWER(VLOOKUP(A141, Data1_Raw_Slack!A:B, 2, FALSE)), ""entertainment|purchas|movies|tv|netflix|streaming|celebrity|movie lovers|tv fan"&amp;"s|media|hobb|photo|art|shop""), ""Entertainment"", REGEXMATCH(LOWER(VLOOKUP(A141, Data1_Raw_Slack!A:B, 2, FALSE)), ""law|government|""), ""Law and Government"",
  TRUE, ""Other""
)"),"Food")</f>
        <v>Food</v>
      </c>
      <c r="G141" s="9" t="s">
        <v>69</v>
      </c>
      <c r="H141" s="9" t="s">
        <v>44</v>
      </c>
      <c r="I141" s="9" t="s">
        <v>283</v>
      </c>
      <c r="J141" s="9" t="s">
        <v>46</v>
      </c>
      <c r="K141" s="9" t="s">
        <v>148</v>
      </c>
      <c r="L141" s="9" t="s">
        <v>89</v>
      </c>
      <c r="M141" s="10" t="s">
        <v>73</v>
      </c>
      <c r="N141" s="9" t="str">
        <f ca="1">IFERROR(__xludf.DUMMYFUNCTION("REGEXEXTRACT(LOWER(M141), ""([a-z0-9\-]+)\.(?:co|net|org|io|gg)"")"),"aol")</f>
        <v>aol</v>
      </c>
      <c r="O141" s="9" t="s">
        <v>50</v>
      </c>
      <c r="P141" s="9" t="s">
        <v>39</v>
      </c>
      <c r="Q141" s="9">
        <v>224359</v>
      </c>
      <c r="R141" s="9">
        <v>480</v>
      </c>
      <c r="S141" s="9">
        <v>163149</v>
      </c>
      <c r="T141" s="9">
        <v>200859</v>
      </c>
      <c r="U141" s="9">
        <v>5</v>
      </c>
      <c r="V141" s="11">
        <v>4196.9367769999999</v>
      </c>
      <c r="W141" s="12">
        <f t="shared" si="0"/>
        <v>839.38735539999993</v>
      </c>
      <c r="X141" s="12">
        <f t="shared" si="1"/>
        <v>0.2139428326922477</v>
      </c>
      <c r="Y141" s="12">
        <f t="shared" si="2"/>
        <v>72.717831689390664</v>
      </c>
      <c r="Z141" s="12">
        <f t="shared" si="3"/>
        <v>25.724563294902207</v>
      </c>
      <c r="AA141" s="12">
        <f t="shared" si="4"/>
        <v>18.706344639617754</v>
      </c>
      <c r="AB141" s="12">
        <f t="shared" si="5"/>
        <v>8.743618285416666</v>
      </c>
      <c r="AC141" s="12">
        <f t="shared" si="6"/>
        <v>1.0416666666666665</v>
      </c>
      <c r="AE141" s="13"/>
      <c r="AF141" s="13"/>
    </row>
    <row r="142" spans="1:32">
      <c r="A142" s="8" t="s">
        <v>679</v>
      </c>
      <c r="B142" s="9" t="s">
        <v>198</v>
      </c>
      <c r="C142" s="9" t="s">
        <v>680</v>
      </c>
      <c r="D142" s="9"/>
      <c r="E142" s="9"/>
      <c r="F142" s="9" t="str">
        <f ca="1">IFERROR(__xludf.DUMMYFUNCTION("IFS(
  REGEXMATCH(LOWER(VLOOKUP(A142, Data1_Raw_Slack!A:B, 2, FALSE)), ""news|weather""), ""News and Weather"", REGEXMATCH(LOWER(VLOOKUP(A142, Data1_Raw_Slack!A:B, 2, FALSE)), ""sports|ufc|nba|nfl|mlb|soccer|sports fans""), ""Sports"",
  REGEXMATCH(LOWER("&amp;"VLOOKUP(A142, Data1_Raw_Slack!A:B, 2, FALSE)), ""fashion|style|clothing|apparel|shoes|accessories|beauty|cosmetics|fashionistas""), ""Fashion and Beauty"",
  REGEXMATCH(LOWER(VLOOKUP(A142, Data1_Raw_Slack!A:B, 2, FALSE)), ""food|cooking|recipe|restaurant|"&amp;"snack|grocery|foodies""), ""Food"",
  REGEXMATCH(LOWER(VLOOKUP(A142, Data1_Raw_Slack!A:B, 2, FALSE)), ""travel|vacation|airline|hotel|trip|flights|travelers""), ""Travel"",
  REGEXMATCH(LOWER(VLOOKUP(A142, Data1_Raw_Slack!A:B, 2, FALSE)), ""fitness|workou"&amp;"t|gym|exercise|yoga|wellness|fitness enthusiasts""), ""Fitness"",
  REGEXMATCH(LOWER(VLOOKUP(A142, Data1_Raw_Slack!A:B, 2, FALSE)), ""health|medical|pharmacy|mental health|doctor|health-conscious""), ""Health"",
  REGEXMATCH(LOWER(VLOOKUP(A142, Data1_Raw_"&amp;"Slack!A:B, 2, FALSE)), ""pets|dogs|cats|animals|pet care|pet lovers""), ""Pets"",
  REGEXMATCH(LOWER(VLOOKUP(A142, Data1_Raw_Slack!A:B, 2, FALSE)), ""games|gaming|game|xbox|playstation|nintendo|gamers""), ""Gaming"",
  REGEXMATCH(LOWER(VLOOKUP(A142, Data1"&amp;"_Raw_Slack!A:B, 2, FALSE)), ""entertainment|movies|tv|netflix|streaming|celebrity|movie lovers|tv fans|hobb|photo|art""), ""Entertainment"",
  REGEXMATCH(LOWER(VLOOKUP(A142, Data1_Raw_Slack!A:B, 2, FALSE)), ""lifestyle|home|interior|decor|living|lifestyle"&amp;" enthusiasts""), ""Lifestyle"",
  REGEXMATCH(LOWER(VLOOKUP(A142, Data1_Raw_Slack!A:B, 2, FALSE)), ""financial|finance|investing|stocks|retirement|banking|credit|debt|loans|savings|personal finance|insurance|econ|ecom|business|retail|occupation|sale|job|ma"&amp;"rketing""), ""Finance"",
  REGEXMATCH(LOWER(VLOOKUP(A142, Data1_Raw_Slack!A:B, 2, FALSE)), ""auto|automotive""), ""Auto"",
  REGEXMATCH(LOWER(VLOOKUP(A142, Data1_Raw_Slack!A:B, 2, FALSE)), ""parenting|moms|dads|kids|toddlers|baby|parent|children""), ""Par"&amp;"enting"",
  REGEXMATCH(LOWER(VLOOKUP(A142, Data1_Raw_Slack!A:B, 2, FALSE)), ""education|students|learning|school|teachers|college|university|academics""), ""Education"",
  REGEXMATCH(LOWER(VLOOKUP(A142, Data1_Raw_Slack!A:B, 2, FALSE)), ""age|gender|dem"&amp;"ographic|family|household""), ""Demographics"",
  REGEXMATCH(LOWER(VLOOKUP(A142, Data1_Raw_Slack!A:B, 2, FALSE)), ""mortgage|real estate""), ""Real Estate"",REGEXMATCH(LOWER(VLOOKUP(A142, Data1_Raw_Slack!A:B, 2, FALSE)), ""technology|tech|gadgets|smartpho"&amp;"ne|electro|apps|devices|computing|ai|robots|software|computer|internet|tele|mobile|tablet""), ""Technology"", REGEXMATCH(LOWER(VLOOKUP(A142, Data1_Raw_Slack!A:B, 2, FALSE)), ""entertainment|purchas|movies|tv|netflix|streaming|celebrity|movie lovers|tv fan"&amp;"s|media|hobb|photo|art|shop""), ""Entertainment"", REGEXMATCH(LOWER(VLOOKUP(A142, Data1_Raw_Slack!A:B, 2, FALSE)), ""law|government|""), ""Law and Government"",
  TRUE, ""Other""
)"),"Technology")</f>
        <v>Technology</v>
      </c>
      <c r="G142" s="9"/>
      <c r="H142" s="9" t="s">
        <v>32</v>
      </c>
      <c r="I142" s="9" t="s">
        <v>328</v>
      </c>
      <c r="J142" s="9" t="s">
        <v>62</v>
      </c>
      <c r="K142" s="9" t="s">
        <v>88</v>
      </c>
      <c r="L142" s="9" t="s">
        <v>89</v>
      </c>
      <c r="M142" s="10" t="s">
        <v>295</v>
      </c>
      <c r="N142" s="9" t="str">
        <f ca="1">IFERROR(__xludf.DUMMYFUNCTION("REGEXEXTRACT(LOWER(M142), ""([a-z0-9\-]+)\.(?:co|net|org|io|gg)"")"),"yahoo")</f>
        <v>yahoo</v>
      </c>
      <c r="O142" s="9" t="s">
        <v>38</v>
      </c>
      <c r="P142" s="9" t="s">
        <v>39</v>
      </c>
      <c r="Q142" s="9">
        <v>51056</v>
      </c>
      <c r="R142" s="9">
        <v>120</v>
      </c>
      <c r="S142" s="9">
        <v>24672</v>
      </c>
      <c r="T142" s="9">
        <v>45563</v>
      </c>
      <c r="U142" s="9">
        <v>4</v>
      </c>
      <c r="V142" s="11">
        <v>2215.6318449999999</v>
      </c>
      <c r="W142" s="12">
        <f t="shared" si="0"/>
        <v>553.90796124999997</v>
      </c>
      <c r="X142" s="12">
        <f t="shared" si="1"/>
        <v>0.23503603885929175</v>
      </c>
      <c r="Y142" s="12">
        <f t="shared" si="2"/>
        <v>48.323409589470387</v>
      </c>
      <c r="Z142" s="12">
        <f t="shared" si="3"/>
        <v>89.803495663099866</v>
      </c>
      <c r="AA142" s="12">
        <f t="shared" si="4"/>
        <v>43.396111034942024</v>
      </c>
      <c r="AB142" s="12">
        <f t="shared" si="5"/>
        <v>18.463598708333333</v>
      </c>
      <c r="AC142" s="12">
        <f t="shared" si="6"/>
        <v>3.3333333333333335</v>
      </c>
      <c r="AE142" s="13"/>
      <c r="AF142" s="13"/>
    </row>
    <row r="143" spans="1:32">
      <c r="A143" s="8" t="s">
        <v>681</v>
      </c>
      <c r="B143" s="9" t="s">
        <v>682</v>
      </c>
      <c r="C143" s="9"/>
      <c r="D143" s="9"/>
      <c r="E143" s="9"/>
      <c r="F143" s="9" t="str">
        <f ca="1">IFERROR(__xludf.DUMMYFUNCTION("IFS(
  REGEXMATCH(LOWER(VLOOKUP(A143, Data1_Raw_Slack!A:B, 2, FALSE)), ""news|weather""), ""News and Weather"", REGEXMATCH(LOWER(VLOOKUP(A143, Data1_Raw_Slack!A:B, 2, FALSE)), ""sports|ufc|nba|nfl|mlb|soccer|sports fans""), ""Sports"",
  REGEXMATCH(LOWER("&amp;"VLOOKUP(A143, Data1_Raw_Slack!A:B, 2, FALSE)), ""fashion|style|clothing|apparel|shoes|accessories|beauty|cosmetics|fashionistas""), ""Fashion and Beauty"",
  REGEXMATCH(LOWER(VLOOKUP(A143, Data1_Raw_Slack!A:B, 2, FALSE)), ""food|cooking|recipe|restaurant|"&amp;"snack|grocery|foodies""), ""Food"",
  REGEXMATCH(LOWER(VLOOKUP(A143, Data1_Raw_Slack!A:B, 2, FALSE)), ""travel|vacation|airline|hotel|trip|flights|travelers""), ""Travel"",
  REGEXMATCH(LOWER(VLOOKUP(A143, Data1_Raw_Slack!A:B, 2, FALSE)), ""fitness|workou"&amp;"t|gym|exercise|yoga|wellness|fitness enthusiasts""), ""Fitness"",
  REGEXMATCH(LOWER(VLOOKUP(A143, Data1_Raw_Slack!A:B, 2, FALSE)), ""health|medical|pharmacy|mental health|doctor|health-conscious""), ""Health"",
  REGEXMATCH(LOWER(VLOOKUP(A143, Data1_Raw_"&amp;"Slack!A:B, 2, FALSE)), ""pets|dogs|cats|animals|pet care|pet lovers""), ""Pets"",
  REGEXMATCH(LOWER(VLOOKUP(A143, Data1_Raw_Slack!A:B, 2, FALSE)), ""games|gaming|game|xbox|playstation|nintendo|gamers""), ""Gaming"",
  REGEXMATCH(LOWER(VLOOKUP(A143, Data1"&amp;"_Raw_Slack!A:B, 2, FALSE)), ""entertainment|movies|tv|netflix|streaming|celebrity|movie lovers|tv fans|hobb|photo|art""), ""Entertainment"",
  REGEXMATCH(LOWER(VLOOKUP(A143, Data1_Raw_Slack!A:B, 2, FALSE)), ""lifestyle|home|interior|decor|living|lifestyle"&amp;" enthusiasts""), ""Lifestyle"",
  REGEXMATCH(LOWER(VLOOKUP(A143, Data1_Raw_Slack!A:B, 2, FALSE)), ""financial|finance|investing|stocks|retirement|banking|credit|debt|loans|savings|personal finance|insurance|econ|ecom|business|retail|occupation|sale|job|ma"&amp;"rketing""), ""Finance"",
  REGEXMATCH(LOWER(VLOOKUP(A143, Data1_Raw_Slack!A:B, 2, FALSE)), ""auto|automotive""), ""Auto"",
  REGEXMATCH(LOWER(VLOOKUP(A143, Data1_Raw_Slack!A:B, 2, FALSE)), ""parenting|moms|dads|kids|toddlers|baby|parent|children""), ""Par"&amp;"enting"",
  REGEXMATCH(LOWER(VLOOKUP(A143, Data1_Raw_Slack!A:B, 2, FALSE)), ""education|students|learning|school|teachers|college|university|academics""), ""Education"",
  REGEXMATCH(LOWER(VLOOKUP(A143, Data1_Raw_Slack!A:B, 2, FALSE)), ""age|gender|dem"&amp;"ographic|family|household""), ""Demographics"",
  REGEXMATCH(LOWER(VLOOKUP(A143, Data1_Raw_Slack!A:B, 2, FALSE)), ""mortgage|real estate""), ""Real Estate"",REGEXMATCH(LOWER(VLOOKUP(A143, Data1_Raw_Slack!A:B, 2, FALSE)), ""technology|tech|gadgets|smartpho"&amp;"ne|electro|apps|devices|computing|ai|robots|software|computer|internet|tele|mobile|tablet""), ""Technology"", REGEXMATCH(LOWER(VLOOKUP(A143, Data1_Raw_Slack!A:B, 2, FALSE)), ""entertainment|purchas|movies|tv|netflix|streaming|celebrity|movie lovers|tv fan"&amp;"s|media|hobb|photo|art|shop""), ""Entertainment"", REGEXMATCH(LOWER(VLOOKUP(A143, Data1_Raw_Slack!A:B, 2, FALSE)), ""law|government|""), ""Law and Government"",
  TRUE, ""Other""
)"),"Law and Government")</f>
        <v>Law and Government</v>
      </c>
      <c r="G143" s="9"/>
      <c r="H143" s="9" t="s">
        <v>44</v>
      </c>
      <c r="I143" s="9" t="s">
        <v>260</v>
      </c>
      <c r="J143" s="9" t="s">
        <v>62</v>
      </c>
      <c r="K143" s="9" t="s">
        <v>176</v>
      </c>
      <c r="L143" s="9" t="s">
        <v>36</v>
      </c>
      <c r="M143" s="10" t="s">
        <v>562</v>
      </c>
      <c r="N143" s="9" t="str">
        <f ca="1">IFERROR(__xludf.DUMMYFUNCTION("REGEXEXTRACT(LOWER(M143), ""([a-z0-9\-]+)\.(?:co|net|org|io|gg)"")"),"screenrant")</f>
        <v>screenrant</v>
      </c>
      <c r="O143" s="9" t="s">
        <v>38</v>
      </c>
      <c r="P143" s="9" t="s">
        <v>75</v>
      </c>
      <c r="Q143" s="9">
        <v>35043</v>
      </c>
      <c r="R143" s="9">
        <v>140</v>
      </c>
      <c r="S143" s="9">
        <v>20942</v>
      </c>
      <c r="T143" s="9">
        <v>33479</v>
      </c>
      <c r="U143" s="9">
        <v>24</v>
      </c>
      <c r="V143" s="11">
        <v>1527.9762800000001</v>
      </c>
      <c r="W143" s="12">
        <f t="shared" si="0"/>
        <v>63.665678333333339</v>
      </c>
      <c r="X143" s="12">
        <f t="shared" si="1"/>
        <v>0.39950917444282735</v>
      </c>
      <c r="Y143" s="12">
        <f t="shared" si="2"/>
        <v>59.760865222726366</v>
      </c>
      <c r="Z143" s="12">
        <f t="shared" si="3"/>
        <v>72.962290134657636</v>
      </c>
      <c r="AA143" s="12">
        <f t="shared" si="4"/>
        <v>43.602895870787322</v>
      </c>
      <c r="AB143" s="12">
        <f t="shared" si="5"/>
        <v>10.914116285714286</v>
      </c>
      <c r="AC143" s="12">
        <f t="shared" si="6"/>
        <v>17.142857142857142</v>
      </c>
      <c r="AE143" s="13"/>
      <c r="AF143" s="13"/>
    </row>
    <row r="144" spans="1:32">
      <c r="A144" s="8" t="s">
        <v>683</v>
      </c>
      <c r="B144" s="9" t="s">
        <v>144</v>
      </c>
      <c r="C144" s="9" t="s">
        <v>193</v>
      </c>
      <c r="D144" s="9" t="s">
        <v>684</v>
      </c>
      <c r="E144" s="9"/>
      <c r="F144" s="9" t="str">
        <f ca="1">IFERROR(__xludf.DUMMYFUNCTION("IFS(
  REGEXMATCH(LOWER(VLOOKUP(A144, Data1_Raw_Slack!A:B, 2, FALSE)), ""news|weather""), ""News and Weather"", REGEXMATCH(LOWER(VLOOKUP(A144, Data1_Raw_Slack!A:B, 2, FALSE)), ""sports|ufc|nba|nfl|mlb|soccer|sports fans""), ""Sports"",
  REGEXMATCH(LOWER("&amp;"VLOOKUP(A144, Data1_Raw_Slack!A:B, 2, FALSE)), ""fashion|style|clothing|apparel|shoes|accessories|beauty|cosmetics|fashionistas""), ""Fashion and Beauty"",
  REGEXMATCH(LOWER(VLOOKUP(A144, Data1_Raw_Slack!A:B, 2, FALSE)), ""food|cooking|recipe|restaurant|"&amp;"snack|grocery|foodies""), ""Food"",
  REGEXMATCH(LOWER(VLOOKUP(A144, Data1_Raw_Slack!A:B, 2, FALSE)), ""travel|vacation|airline|hotel|trip|flights|travelers""), ""Travel"",
  REGEXMATCH(LOWER(VLOOKUP(A144, Data1_Raw_Slack!A:B, 2, FALSE)), ""fitness|workou"&amp;"t|gym|exercise|yoga|wellness|fitness enthusiasts""), ""Fitness"",
  REGEXMATCH(LOWER(VLOOKUP(A144, Data1_Raw_Slack!A:B, 2, FALSE)), ""health|medical|pharmacy|mental health|doctor|health-conscious""), ""Health"",
  REGEXMATCH(LOWER(VLOOKUP(A144, Data1_Raw_"&amp;"Slack!A:B, 2, FALSE)), ""pets|dogs|cats|animals|pet care|pet lovers""), ""Pets"",
  REGEXMATCH(LOWER(VLOOKUP(A144, Data1_Raw_Slack!A:B, 2, FALSE)), ""games|gaming|game|xbox|playstation|nintendo|gamers""), ""Gaming"",
  REGEXMATCH(LOWER(VLOOKUP(A144, Data1"&amp;"_Raw_Slack!A:B, 2, FALSE)), ""entertainment|movies|tv|netflix|streaming|celebrity|movie lovers|tv fans|hobb|photo|art""), ""Entertainment"",
  REGEXMATCH(LOWER(VLOOKUP(A144, Data1_Raw_Slack!A:B, 2, FALSE)), ""lifestyle|home|interior|decor|living|lifestyle"&amp;" enthusiasts""), ""Lifestyle"",
  REGEXMATCH(LOWER(VLOOKUP(A144, Data1_Raw_Slack!A:B, 2, FALSE)), ""financial|finance|investing|stocks|retirement|banking|credit|debt|loans|savings|personal finance|insurance|econ|ecom|business|retail|occupation|sale|job|ma"&amp;"rketing""), ""Finance"",
  REGEXMATCH(LOWER(VLOOKUP(A144, Data1_Raw_Slack!A:B, 2, FALSE)), ""auto|automotive""), ""Auto"",
  REGEXMATCH(LOWER(VLOOKUP(A144, Data1_Raw_Slack!A:B, 2, FALSE)), ""parenting|moms|dads|kids|toddlers|baby|parent|children""), ""Par"&amp;"enting"",
  REGEXMATCH(LOWER(VLOOKUP(A144, Data1_Raw_Slack!A:B, 2, FALSE)), ""education|students|learning|school|teachers|college|university|academics""), ""Education"",
  REGEXMATCH(LOWER(VLOOKUP(A144, Data1_Raw_Slack!A:B, 2, FALSE)), ""age|gender|dem"&amp;"ographic|family|household""), ""Demographics"",
  REGEXMATCH(LOWER(VLOOKUP(A144, Data1_Raw_Slack!A:B, 2, FALSE)), ""mortgage|real estate""), ""Real Estate"",REGEXMATCH(LOWER(VLOOKUP(A144, Data1_Raw_Slack!A:B, 2, FALSE)), ""technology|tech|gadgets|smartpho"&amp;"ne|electro|apps|devices|computing|ai|robots|software|computer|internet|tele|mobile|tablet""), ""Technology"", REGEXMATCH(LOWER(VLOOKUP(A144, Data1_Raw_Slack!A:B, 2, FALSE)), ""entertainment|purchas|movies|tv|netflix|streaming|celebrity|movie lovers|tv fan"&amp;"s|media|hobb|photo|art|shop""), ""Entertainment"", REGEXMATCH(LOWER(VLOOKUP(A144, Data1_Raw_Slack!A:B, 2, FALSE)), ""law|government|""), ""Law and Government"",
  TRUE, ""Other""
)"),"Entertainment")</f>
        <v>Entertainment</v>
      </c>
      <c r="G144" s="9" t="s">
        <v>69</v>
      </c>
      <c r="H144" s="9" t="s">
        <v>123</v>
      </c>
      <c r="I144" s="9" t="s">
        <v>685</v>
      </c>
      <c r="J144" s="9" t="s">
        <v>34</v>
      </c>
      <c r="K144" s="9" t="s">
        <v>71</v>
      </c>
      <c r="L144" s="9" t="s">
        <v>72</v>
      </c>
      <c r="M144" s="10" t="s">
        <v>398</v>
      </c>
      <c r="N144" s="9" t="str">
        <f ca="1">IFERROR(__xludf.DUMMYFUNCTION("REGEXEXTRACT(LOWER(M144), ""([a-z0-9\-]+)\.(?:co|net|org|io|gg)"")"),"kbb")</f>
        <v>kbb</v>
      </c>
      <c r="O144" s="9" t="s">
        <v>103</v>
      </c>
      <c r="P144" s="9" t="s">
        <v>39</v>
      </c>
      <c r="Q144" s="9">
        <v>37717</v>
      </c>
      <c r="R144" s="9">
        <v>69</v>
      </c>
      <c r="S144" s="9">
        <v>26541</v>
      </c>
      <c r="T144" s="9">
        <v>35126</v>
      </c>
      <c r="U144" s="9">
        <v>5</v>
      </c>
      <c r="V144" s="11">
        <v>1725.2713630000001</v>
      </c>
      <c r="W144" s="12">
        <f t="shared" si="0"/>
        <v>345.05427259999999</v>
      </c>
      <c r="X144" s="12">
        <f t="shared" si="1"/>
        <v>0.18294137921891987</v>
      </c>
      <c r="Y144" s="12">
        <f t="shared" si="2"/>
        <v>70.368799215208</v>
      </c>
      <c r="Z144" s="12">
        <f t="shared" si="3"/>
        <v>65.004007497833541</v>
      </c>
      <c r="AA144" s="12">
        <f t="shared" si="4"/>
        <v>45.742539517989243</v>
      </c>
      <c r="AB144" s="12">
        <f t="shared" si="5"/>
        <v>25.003932797101449</v>
      </c>
      <c r="AC144" s="12">
        <f t="shared" si="6"/>
        <v>7.2463768115942031</v>
      </c>
      <c r="AE144" s="13"/>
      <c r="AF144" s="13"/>
    </row>
    <row r="145" spans="1:32">
      <c r="A145" s="8" t="s">
        <v>686</v>
      </c>
      <c r="B145" s="9" t="s">
        <v>41</v>
      </c>
      <c r="C145" s="9" t="s">
        <v>319</v>
      </c>
      <c r="D145" s="9" t="s">
        <v>687</v>
      </c>
      <c r="E145" s="9"/>
      <c r="F145" s="9" t="str">
        <f ca="1">IFERROR(__xludf.DUMMYFUNCTION("IFS(
  REGEXMATCH(LOWER(VLOOKUP(A145, Data1_Raw_Slack!A:B, 2, FALSE)), ""news|weather""), ""News and Weather"", REGEXMATCH(LOWER(VLOOKUP(A145, Data1_Raw_Slack!A:B, 2, FALSE)), ""sports|ufc|nba|nfl|mlb|soccer|sports fans""), ""Sports"",
  REGEXMATCH(LOWER("&amp;"VLOOKUP(A145, Data1_Raw_Slack!A:B, 2, FALSE)), ""fashion|style|clothing|apparel|shoes|accessories|beauty|cosmetics|fashionistas""), ""Fashion and Beauty"",
  REGEXMATCH(LOWER(VLOOKUP(A145, Data1_Raw_Slack!A:B, 2, FALSE)), ""food|cooking|recipe|restaurant|"&amp;"snack|grocery|foodies""), ""Food"",
  REGEXMATCH(LOWER(VLOOKUP(A145, Data1_Raw_Slack!A:B, 2, FALSE)), ""travel|vacation|airline|hotel|trip|flights|travelers""), ""Travel"",
  REGEXMATCH(LOWER(VLOOKUP(A145, Data1_Raw_Slack!A:B, 2, FALSE)), ""fitness|workou"&amp;"t|gym|exercise|yoga|wellness|fitness enthusiasts""), ""Fitness"",
  REGEXMATCH(LOWER(VLOOKUP(A145, Data1_Raw_Slack!A:B, 2, FALSE)), ""health|medical|pharmacy|mental health|doctor|health-conscious""), ""Health"",
  REGEXMATCH(LOWER(VLOOKUP(A145, Data1_Raw_"&amp;"Slack!A:B, 2, FALSE)), ""pets|dogs|cats|animals|pet care|pet lovers""), ""Pets"",
  REGEXMATCH(LOWER(VLOOKUP(A145, Data1_Raw_Slack!A:B, 2, FALSE)), ""games|gaming|game|xbox|playstation|nintendo|gamers""), ""Gaming"",
  REGEXMATCH(LOWER(VLOOKUP(A145, Data1"&amp;"_Raw_Slack!A:B, 2, FALSE)), ""entertainment|movies|tv|netflix|streaming|celebrity|movie lovers|tv fans|hobb|photo|art""), ""Entertainment"",
  REGEXMATCH(LOWER(VLOOKUP(A145, Data1_Raw_Slack!A:B, 2, FALSE)), ""lifestyle|home|interior|decor|living|lifestyle"&amp;" enthusiasts""), ""Lifestyle"",
  REGEXMATCH(LOWER(VLOOKUP(A145, Data1_Raw_Slack!A:B, 2, FALSE)), ""financial|finance|investing|stocks|retirement|banking|credit|debt|loans|savings|personal finance|insurance|econ|ecom|business|retail|occupation|sale|job|ma"&amp;"rketing""), ""Finance"",
  REGEXMATCH(LOWER(VLOOKUP(A145, Data1_Raw_Slack!A:B, 2, FALSE)), ""auto|automotive""), ""Auto"",
  REGEXMATCH(LOWER(VLOOKUP(A145, Data1_Raw_Slack!A:B, 2, FALSE)), ""parenting|moms|dads|kids|toddlers|baby|parent|children""), ""Par"&amp;"enting"",
  REGEXMATCH(LOWER(VLOOKUP(A145, Data1_Raw_Slack!A:B, 2, FALSE)), ""education|students|learning|school|teachers|college|university|academics""), ""Education"",
  REGEXMATCH(LOWER(VLOOKUP(A145, Data1_Raw_Slack!A:B, 2, FALSE)), ""age|gender|dem"&amp;"ographic|family|household""), ""Demographics"",
  REGEXMATCH(LOWER(VLOOKUP(A145, Data1_Raw_Slack!A:B, 2, FALSE)), ""mortgage|real estate""), ""Real Estate"",REGEXMATCH(LOWER(VLOOKUP(A145, Data1_Raw_Slack!A:B, 2, FALSE)), ""technology|tech|gadgets|smartpho"&amp;"ne|electro|apps|devices|computing|ai|robots|software|computer|internet|tele|mobile|tablet""), ""Technology"", REGEXMATCH(LOWER(VLOOKUP(A145, Data1_Raw_Slack!A:B, 2, FALSE)), ""entertainment|purchas|movies|tv|netflix|streaming|celebrity|movie lovers|tv fan"&amp;"s|media|hobb|photo|art|shop""), ""Entertainment"", REGEXMATCH(LOWER(VLOOKUP(A145, Data1_Raw_Slack!A:B, 2, FALSE)), ""law|government|""), ""Law and Government"",
  TRUE, ""Other""
)"),"Food")</f>
        <v>Food</v>
      </c>
      <c r="G145" s="9"/>
      <c r="H145" s="9" t="s">
        <v>123</v>
      </c>
      <c r="I145" s="9" t="s">
        <v>688</v>
      </c>
      <c r="J145" s="9" t="s">
        <v>46</v>
      </c>
      <c r="K145" s="9" t="s">
        <v>236</v>
      </c>
      <c r="L145" s="9" t="s">
        <v>82</v>
      </c>
      <c r="M145" s="10" t="s">
        <v>130</v>
      </c>
      <c r="N145" s="9" t="str">
        <f ca="1">IFERROR(__xludf.DUMMYFUNCTION("REGEXEXTRACT(LOWER(M145), ""([a-z0-9\-]+)\.(?:co|net|org|io|gg)"")"),"weather")</f>
        <v>weather</v>
      </c>
      <c r="O145" s="9" t="s">
        <v>103</v>
      </c>
      <c r="P145" s="9" t="s">
        <v>39</v>
      </c>
      <c r="Q145" s="9">
        <v>40929</v>
      </c>
      <c r="R145" s="9">
        <v>142</v>
      </c>
      <c r="S145" s="9">
        <v>9249</v>
      </c>
      <c r="T145" s="9">
        <v>31564</v>
      </c>
      <c r="U145" s="9">
        <v>8</v>
      </c>
      <c r="V145" s="11">
        <v>6764.5206369999996</v>
      </c>
      <c r="W145" s="12">
        <f t="shared" si="0"/>
        <v>845.56507962499995</v>
      </c>
      <c r="X145" s="12">
        <f t="shared" si="1"/>
        <v>0.34694226587505195</v>
      </c>
      <c r="Y145" s="12">
        <f t="shared" si="2"/>
        <v>22.597669134354614</v>
      </c>
      <c r="Z145" s="12">
        <f t="shared" si="3"/>
        <v>731.37859628067895</v>
      </c>
      <c r="AA145" s="12">
        <f t="shared" si="4"/>
        <v>165.27451530699503</v>
      </c>
      <c r="AB145" s="12">
        <f t="shared" si="5"/>
        <v>47.637469274647884</v>
      </c>
      <c r="AC145" s="12">
        <f t="shared" si="6"/>
        <v>5.6338028169014089</v>
      </c>
      <c r="AE145" s="13"/>
      <c r="AF145" s="13"/>
    </row>
    <row r="146" spans="1:32">
      <c r="A146" s="8" t="s">
        <v>689</v>
      </c>
      <c r="B146" s="9"/>
      <c r="C146" s="9" t="s">
        <v>325</v>
      </c>
      <c r="D146" s="9" t="s">
        <v>690</v>
      </c>
      <c r="E146" s="9" t="s">
        <v>691</v>
      </c>
      <c r="F146" s="9" t="str">
        <f ca="1">IFERROR(__xludf.DUMMYFUNCTION("IFS(
  REGEXMATCH(LOWER(VLOOKUP(A146, Data1_Raw_Slack!A:B, 2, FALSE)), ""news|weather""), ""News and Weather"", REGEXMATCH(LOWER(VLOOKUP(A146, Data1_Raw_Slack!A:B, 2, FALSE)), ""sports|ufc|nba|nfl|mlb|soccer|sports fans""), ""Sports"",
  REGEXMATCH(LOWER("&amp;"VLOOKUP(A146, Data1_Raw_Slack!A:B, 2, FALSE)), ""fashion|style|clothing|apparel|shoes|accessories|beauty|cosmetics|fashionistas""), ""Fashion and Beauty"",
  REGEXMATCH(LOWER(VLOOKUP(A146, Data1_Raw_Slack!A:B, 2, FALSE)), ""food|cooking|recipe|restaurant|"&amp;"snack|grocery|foodies""), ""Food"",
  REGEXMATCH(LOWER(VLOOKUP(A146, Data1_Raw_Slack!A:B, 2, FALSE)), ""travel|vacation|airline|hotel|trip|flights|travelers""), ""Travel"",
  REGEXMATCH(LOWER(VLOOKUP(A146, Data1_Raw_Slack!A:B, 2, FALSE)), ""fitness|workou"&amp;"t|gym|exercise|yoga|wellness|fitness enthusiasts""), ""Fitness"",
  REGEXMATCH(LOWER(VLOOKUP(A146, Data1_Raw_Slack!A:B, 2, FALSE)), ""health|medical|pharmacy|mental health|doctor|health-conscious""), ""Health"",
  REGEXMATCH(LOWER(VLOOKUP(A146, Data1_Raw_"&amp;"Slack!A:B, 2, FALSE)), ""pets|dogs|cats|animals|pet care|pet lovers""), ""Pets"",
  REGEXMATCH(LOWER(VLOOKUP(A146, Data1_Raw_Slack!A:B, 2, FALSE)), ""games|gaming|game|xbox|playstation|nintendo|gamers""), ""Gaming"",
  REGEXMATCH(LOWER(VLOOKUP(A146, Data1"&amp;"_Raw_Slack!A:B, 2, FALSE)), ""entertainment|movies|tv|netflix|streaming|celebrity|movie lovers|tv fans|hobb|photo|art""), ""Entertainment"",
  REGEXMATCH(LOWER(VLOOKUP(A146, Data1_Raw_Slack!A:B, 2, FALSE)), ""lifestyle|home|interior|decor|living|lifestyle"&amp;" enthusiasts""), ""Lifestyle"",
  REGEXMATCH(LOWER(VLOOKUP(A146, Data1_Raw_Slack!A:B, 2, FALSE)), ""financial|finance|investing|stocks|retirement|banking|credit|debt|loans|savings|personal finance|insurance|econ|ecom|business|retail|occupation|sale|job|ma"&amp;"rketing""), ""Finance"",
  REGEXMATCH(LOWER(VLOOKUP(A146, Data1_Raw_Slack!A:B, 2, FALSE)), ""auto|automotive""), ""Auto"",
  REGEXMATCH(LOWER(VLOOKUP(A146, Data1_Raw_Slack!A:B, 2, FALSE)), ""parenting|moms|dads|kids|toddlers|baby|parent|children""), ""Par"&amp;"enting"",
  REGEXMATCH(LOWER(VLOOKUP(A146, Data1_Raw_Slack!A:B, 2, FALSE)), ""education|students|learning|school|teachers|college|university|academics""), ""Education"",
  REGEXMATCH(LOWER(VLOOKUP(A146, Data1_Raw_Slack!A:B, 2, FALSE)), ""age|gender|dem"&amp;"ographic|family|household""), ""Demographics"",
  REGEXMATCH(LOWER(VLOOKUP(A146, Data1_Raw_Slack!A:B, 2, FALSE)), ""mortgage|real estate""), ""Real Estate"",REGEXMATCH(LOWER(VLOOKUP(A146, Data1_Raw_Slack!A:B, 2, FALSE)), ""technology|tech|gadgets|smartpho"&amp;"ne|electro|apps|devices|computing|ai|robots|software|computer|internet|tele|mobile|tablet""), ""Technology"", REGEXMATCH(LOWER(VLOOKUP(A146, Data1_Raw_Slack!A:B, 2, FALSE)), ""entertainment|purchas|movies|tv|netflix|streaming|celebrity|movie lovers|tv fan"&amp;"s|media|hobb|photo|art|shop""), ""Entertainment"", REGEXMATCH(LOWER(VLOOKUP(A146, Data1_Raw_Slack!A:B, 2, FALSE)), ""law|government|""), ""Law and Government"",
  TRUE, ""Other""
)"),"Demographics")</f>
        <v>Demographics</v>
      </c>
      <c r="G146" s="9"/>
      <c r="H146" s="9" t="s">
        <v>32</v>
      </c>
      <c r="I146" s="9" t="s">
        <v>692</v>
      </c>
      <c r="J146" s="9" t="s">
        <v>80</v>
      </c>
      <c r="K146" s="9" t="s">
        <v>56</v>
      </c>
      <c r="L146" s="9" t="s">
        <v>57</v>
      </c>
      <c r="M146" s="10" t="s">
        <v>339</v>
      </c>
      <c r="N146" s="9" t="str">
        <f ca="1">IFERROR(__xludf.DUMMYFUNCTION("REGEXEXTRACT(LOWER(M146), ""([a-z0-9\-]+)\.(?:co|net|org|io|gg)"")"),"foxnews")</f>
        <v>foxnews</v>
      </c>
      <c r="O146" s="9" t="s">
        <v>693</v>
      </c>
      <c r="P146" s="9" t="s">
        <v>39</v>
      </c>
      <c r="Q146" s="9">
        <v>34959</v>
      </c>
      <c r="R146" s="9">
        <v>122</v>
      </c>
      <c r="S146" s="9">
        <v>17511</v>
      </c>
      <c r="T146" s="9">
        <v>31974</v>
      </c>
      <c r="U146" s="9">
        <v>5</v>
      </c>
      <c r="V146" s="11">
        <v>1477.4933570000001</v>
      </c>
      <c r="W146" s="12">
        <f t="shared" si="0"/>
        <v>295.49867140000003</v>
      </c>
      <c r="X146" s="12">
        <f t="shared" si="1"/>
        <v>0.3489802339883864</v>
      </c>
      <c r="Y146" s="12">
        <f t="shared" si="2"/>
        <v>50.090105552218311</v>
      </c>
      <c r="Z146" s="12">
        <f t="shared" si="3"/>
        <v>84.375156016218384</v>
      </c>
      <c r="AA146" s="12">
        <f t="shared" si="4"/>
        <v>42.263604708372668</v>
      </c>
      <c r="AB146" s="12">
        <f t="shared" si="5"/>
        <v>12.110601286885247</v>
      </c>
      <c r="AC146" s="12">
        <f t="shared" si="6"/>
        <v>4.0983606557377046</v>
      </c>
      <c r="AE146" s="13"/>
      <c r="AF146" s="13"/>
    </row>
    <row r="147" spans="1:32">
      <c r="A147" s="8" t="s">
        <v>694</v>
      </c>
      <c r="B147" s="9" t="s">
        <v>144</v>
      </c>
      <c r="C147" s="9" t="s">
        <v>695</v>
      </c>
      <c r="D147" s="9" t="s">
        <v>696</v>
      </c>
      <c r="E147" s="9"/>
      <c r="F147" s="9" t="str">
        <f ca="1">IFERROR(__xludf.DUMMYFUNCTION("IFS(
  REGEXMATCH(LOWER(VLOOKUP(A147, Data1_Raw_Slack!A:B, 2, FALSE)), ""news|weather""), ""News and Weather"", REGEXMATCH(LOWER(VLOOKUP(A147, Data1_Raw_Slack!A:B, 2, FALSE)), ""sports|ufc|nba|nfl|mlb|soccer|sports fans""), ""Sports"",
  REGEXMATCH(LOWER("&amp;"VLOOKUP(A147, Data1_Raw_Slack!A:B, 2, FALSE)), ""fashion|style|clothing|apparel|shoes|accessories|beauty|cosmetics|fashionistas""), ""Fashion and Beauty"",
  REGEXMATCH(LOWER(VLOOKUP(A147, Data1_Raw_Slack!A:B, 2, FALSE)), ""food|cooking|recipe|restaurant|"&amp;"snack|grocery|foodies""), ""Food"",
  REGEXMATCH(LOWER(VLOOKUP(A147, Data1_Raw_Slack!A:B, 2, FALSE)), ""travel|vacation|airline|hotel|trip|flights|travelers""), ""Travel"",
  REGEXMATCH(LOWER(VLOOKUP(A147, Data1_Raw_Slack!A:B, 2, FALSE)), ""fitness|workou"&amp;"t|gym|exercise|yoga|wellness|fitness enthusiasts""), ""Fitness"",
  REGEXMATCH(LOWER(VLOOKUP(A147, Data1_Raw_Slack!A:B, 2, FALSE)), ""health|medical|pharmacy|mental health|doctor|health-conscious""), ""Health"",
  REGEXMATCH(LOWER(VLOOKUP(A147, Data1_Raw_"&amp;"Slack!A:B, 2, FALSE)), ""pets|dogs|cats|animals|pet care|pet lovers""), ""Pets"",
  REGEXMATCH(LOWER(VLOOKUP(A147, Data1_Raw_Slack!A:B, 2, FALSE)), ""games|gaming|game|xbox|playstation|nintendo|gamers""), ""Gaming"",
  REGEXMATCH(LOWER(VLOOKUP(A147, Data1"&amp;"_Raw_Slack!A:B, 2, FALSE)), ""entertainment|movies|tv|netflix|streaming|celebrity|movie lovers|tv fans|hobb|photo|art""), ""Entertainment"",
  REGEXMATCH(LOWER(VLOOKUP(A147, Data1_Raw_Slack!A:B, 2, FALSE)), ""lifestyle|home|interior|decor|living|lifestyle"&amp;" enthusiasts""), ""Lifestyle"",
  REGEXMATCH(LOWER(VLOOKUP(A147, Data1_Raw_Slack!A:B, 2, FALSE)), ""financial|finance|investing|stocks|retirement|banking|credit|debt|loans|savings|personal finance|insurance|econ|ecom|business|retail|occupation|sale|job|ma"&amp;"rketing""), ""Finance"",
  REGEXMATCH(LOWER(VLOOKUP(A147, Data1_Raw_Slack!A:B, 2, FALSE)), ""auto|automotive""), ""Auto"",
  REGEXMATCH(LOWER(VLOOKUP(A147, Data1_Raw_Slack!A:B, 2, FALSE)), ""parenting|moms|dads|kids|toddlers|baby|parent|children""), ""Par"&amp;"enting"",
  REGEXMATCH(LOWER(VLOOKUP(A147, Data1_Raw_Slack!A:B, 2, FALSE)), ""education|students|learning|school|teachers|college|university|academics""), ""Education"",
  REGEXMATCH(LOWER(VLOOKUP(A147, Data1_Raw_Slack!A:B, 2, FALSE)), ""age|gender|dem"&amp;"ographic|family|household""), ""Demographics"",
  REGEXMATCH(LOWER(VLOOKUP(A147, Data1_Raw_Slack!A:B, 2, FALSE)), ""mortgage|real estate""), ""Real Estate"",REGEXMATCH(LOWER(VLOOKUP(A147, Data1_Raw_Slack!A:B, 2, FALSE)), ""technology|tech|gadgets|smartpho"&amp;"ne|electro|apps|devices|computing|ai|robots|software|computer|internet|tele|mobile|tablet""), ""Technology"", REGEXMATCH(LOWER(VLOOKUP(A147, Data1_Raw_Slack!A:B, 2, FALSE)), ""entertainment|purchas|movies|tv|netflix|streaming|celebrity|movie lovers|tv fan"&amp;"s|media|hobb|photo|art|shop""), ""Entertainment"", REGEXMATCH(LOWER(VLOOKUP(A147, Data1_Raw_Slack!A:B, 2, FALSE)), ""law|government|""), ""Law and Government"",
  TRUE, ""Other""
)"),"News and Weather")</f>
        <v>News and Weather</v>
      </c>
      <c r="G147" s="9"/>
      <c r="H147" s="9" t="s">
        <v>44</v>
      </c>
      <c r="I147" s="9" t="s">
        <v>697</v>
      </c>
      <c r="J147" s="9" t="s">
        <v>46</v>
      </c>
      <c r="K147" s="9" t="s">
        <v>443</v>
      </c>
      <c r="L147" s="9" t="s">
        <v>72</v>
      </c>
      <c r="M147" s="10" t="s">
        <v>698</v>
      </c>
      <c r="N147" s="9" t="str">
        <f ca="1">IFERROR(__xludf.DUMMYFUNCTION("REGEXEXTRACT(LOWER(M147), ""([a-z0-9\-]+)\.(?:co|net|org|io|gg)"")"),"omnicalculator")</f>
        <v>omnicalculator</v>
      </c>
      <c r="O147" s="9" t="s">
        <v>131</v>
      </c>
      <c r="P147" s="9" t="s">
        <v>39</v>
      </c>
      <c r="Q147" s="9">
        <v>13823</v>
      </c>
      <c r="R147" s="9">
        <v>58</v>
      </c>
      <c r="S147" s="9">
        <v>10671</v>
      </c>
      <c r="T147" s="9">
        <v>12937</v>
      </c>
      <c r="U147" s="9">
        <v>3</v>
      </c>
      <c r="V147" s="11">
        <v>1574.709734</v>
      </c>
      <c r="W147" s="12">
        <f t="shared" si="0"/>
        <v>524.90324466666664</v>
      </c>
      <c r="X147" s="12">
        <f t="shared" si="1"/>
        <v>0.41959053750994724</v>
      </c>
      <c r="Y147" s="12">
        <f t="shared" si="2"/>
        <v>77.197424582218048</v>
      </c>
      <c r="Z147" s="12">
        <f t="shared" si="3"/>
        <v>147.5690876206541</v>
      </c>
      <c r="AA147" s="12">
        <f t="shared" si="4"/>
        <v>113.91953512262172</v>
      </c>
      <c r="AB147" s="12">
        <f t="shared" si="5"/>
        <v>27.150167827586209</v>
      </c>
      <c r="AC147" s="12">
        <f t="shared" si="6"/>
        <v>5.1724137931034484</v>
      </c>
      <c r="AE147" s="13"/>
      <c r="AF147" s="13"/>
    </row>
    <row r="148" spans="1:32">
      <c r="A148" s="8" t="s">
        <v>699</v>
      </c>
      <c r="B148" s="9" t="s">
        <v>144</v>
      </c>
      <c r="C148" s="9" t="s">
        <v>631</v>
      </c>
      <c r="D148" s="9" t="s">
        <v>700</v>
      </c>
      <c r="E148" s="9"/>
      <c r="F148" s="9" t="str">
        <f ca="1">IFERROR(__xludf.DUMMYFUNCTION("IFS(
  REGEXMATCH(LOWER(VLOOKUP(A148, Data1_Raw_Slack!A:B, 2, FALSE)), ""news|weather""), ""News and Weather"", REGEXMATCH(LOWER(VLOOKUP(A148, Data1_Raw_Slack!A:B, 2, FALSE)), ""sports|ufc|nba|nfl|mlb|soccer|sports fans""), ""Sports"",
  REGEXMATCH(LOWER("&amp;"VLOOKUP(A148, Data1_Raw_Slack!A:B, 2, FALSE)), ""fashion|style|clothing|apparel|shoes|accessories|beauty|cosmetics|fashionistas""), ""Fashion and Beauty"",
  REGEXMATCH(LOWER(VLOOKUP(A148, Data1_Raw_Slack!A:B, 2, FALSE)), ""food|cooking|recipe|restaurant|"&amp;"snack|grocery|foodies""), ""Food"",
  REGEXMATCH(LOWER(VLOOKUP(A148, Data1_Raw_Slack!A:B, 2, FALSE)), ""travel|vacation|airline|hotel|trip|flights|travelers""), ""Travel"",
  REGEXMATCH(LOWER(VLOOKUP(A148, Data1_Raw_Slack!A:B, 2, FALSE)), ""fitness|workou"&amp;"t|gym|exercise|yoga|wellness|fitness enthusiasts""), ""Fitness"",
  REGEXMATCH(LOWER(VLOOKUP(A148, Data1_Raw_Slack!A:B, 2, FALSE)), ""health|medical|pharmacy|mental health|doctor|health-conscious""), ""Health"",
  REGEXMATCH(LOWER(VLOOKUP(A148, Data1_Raw_"&amp;"Slack!A:B, 2, FALSE)), ""pets|dogs|cats|animals|pet care|pet lovers""), ""Pets"",
  REGEXMATCH(LOWER(VLOOKUP(A148, Data1_Raw_Slack!A:B, 2, FALSE)), ""games|gaming|game|xbox|playstation|nintendo|gamers""), ""Gaming"",
  REGEXMATCH(LOWER(VLOOKUP(A148, Data1"&amp;"_Raw_Slack!A:B, 2, FALSE)), ""entertainment|movies|tv|netflix|streaming|celebrity|movie lovers|tv fans|hobb|photo|art""), ""Entertainment"",
  REGEXMATCH(LOWER(VLOOKUP(A148, Data1_Raw_Slack!A:B, 2, FALSE)), ""lifestyle|home|interior|decor|living|lifestyle"&amp;" enthusiasts""), ""Lifestyle"",
  REGEXMATCH(LOWER(VLOOKUP(A148, Data1_Raw_Slack!A:B, 2, FALSE)), ""financial|finance|investing|stocks|retirement|banking|credit|debt|loans|savings|personal finance|insurance|econ|ecom|business|retail|occupation|sale|job|ma"&amp;"rketing""), ""Finance"",
  REGEXMATCH(LOWER(VLOOKUP(A148, Data1_Raw_Slack!A:B, 2, FALSE)), ""auto|automotive""), ""Auto"",
  REGEXMATCH(LOWER(VLOOKUP(A148, Data1_Raw_Slack!A:B, 2, FALSE)), ""parenting|moms|dads|kids|toddlers|baby|parent|children""), ""Par"&amp;"enting"",
  REGEXMATCH(LOWER(VLOOKUP(A148, Data1_Raw_Slack!A:B, 2, FALSE)), ""education|students|learning|school|teachers|college|university|academics""), ""Education"",
  REGEXMATCH(LOWER(VLOOKUP(A148, Data1_Raw_Slack!A:B, 2, FALSE)), ""age|gender|dem"&amp;"ographic|family|household""), ""Demographics"",
  REGEXMATCH(LOWER(VLOOKUP(A148, Data1_Raw_Slack!A:B, 2, FALSE)), ""mortgage|real estate""), ""Real Estate"",REGEXMATCH(LOWER(VLOOKUP(A148, Data1_Raw_Slack!A:B, 2, FALSE)), ""technology|tech|gadgets|smartpho"&amp;"ne|electro|apps|devices|computing|ai|robots|software|computer|internet|tele|mobile|tablet""), ""Technology"", REGEXMATCH(LOWER(VLOOKUP(A148, Data1_Raw_Slack!A:B, 2, FALSE)), ""entertainment|purchas|movies|tv|netflix|streaming|celebrity|movie lovers|tv fan"&amp;"s|media|hobb|photo|art|shop""), ""Entertainment"", REGEXMATCH(LOWER(VLOOKUP(A148, Data1_Raw_Slack!A:B, 2, FALSE)), ""law|government|""), ""Law and Government"",
  TRUE, ""Other""
)"),"Technology")</f>
        <v>Technology</v>
      </c>
      <c r="G148" s="9" t="s">
        <v>135</v>
      </c>
      <c r="H148" s="9" t="s">
        <v>32</v>
      </c>
      <c r="I148" s="9" t="s">
        <v>701</v>
      </c>
      <c r="J148" s="9" t="s">
        <v>46</v>
      </c>
      <c r="K148" s="9" t="s">
        <v>170</v>
      </c>
      <c r="L148" s="9" t="s">
        <v>72</v>
      </c>
      <c r="M148" s="10" t="s">
        <v>702</v>
      </c>
      <c r="N148" s="9" t="str">
        <f ca="1">IFERROR(__xludf.DUMMYFUNCTION("REGEXEXTRACT(LOWER(M148), ""([a-z0-9\-]+)\.(?:co|net|org|io|gg)"")"),"sporcle")</f>
        <v>sporcle</v>
      </c>
      <c r="O148" s="9" t="s">
        <v>703</v>
      </c>
      <c r="P148" s="9" t="s">
        <v>39</v>
      </c>
      <c r="Q148" s="9">
        <v>16956</v>
      </c>
      <c r="R148" s="9">
        <v>65</v>
      </c>
      <c r="S148" s="9">
        <v>7553</v>
      </c>
      <c r="T148" s="9">
        <v>15201</v>
      </c>
      <c r="U148" s="9">
        <v>3</v>
      </c>
      <c r="V148" s="11">
        <v>1502.6801390000001</v>
      </c>
      <c r="W148" s="12">
        <f t="shared" si="0"/>
        <v>500.8933796666667</v>
      </c>
      <c r="X148" s="12">
        <f t="shared" si="1"/>
        <v>0.38334512856805847</v>
      </c>
      <c r="Y148" s="12">
        <f t="shared" si="2"/>
        <v>44.544703939608397</v>
      </c>
      <c r="Z148" s="12">
        <f t="shared" si="3"/>
        <v>198.95142843903085</v>
      </c>
      <c r="AA148" s="12">
        <f t="shared" si="4"/>
        <v>88.622324781788166</v>
      </c>
      <c r="AB148" s="12">
        <f t="shared" si="5"/>
        <v>23.118155984615385</v>
      </c>
      <c r="AC148" s="12">
        <f t="shared" si="6"/>
        <v>4.6153846153846159</v>
      </c>
      <c r="AE148" s="13"/>
      <c r="AF148" s="13"/>
    </row>
    <row r="149" spans="1:32">
      <c r="A149" s="8" t="s">
        <v>704</v>
      </c>
      <c r="B149" s="9" t="s">
        <v>198</v>
      </c>
      <c r="C149" s="9" t="s">
        <v>705</v>
      </c>
      <c r="D149" s="9"/>
      <c r="E149" s="9"/>
      <c r="F149" s="9" t="str">
        <f ca="1">IFERROR(__xludf.DUMMYFUNCTION("IFS(
  REGEXMATCH(LOWER(VLOOKUP(A149, Data1_Raw_Slack!A:B, 2, FALSE)), ""news|weather""), ""News and Weather"", REGEXMATCH(LOWER(VLOOKUP(A149, Data1_Raw_Slack!A:B, 2, FALSE)), ""sports|ufc|nba|nfl|mlb|soccer|sports fans""), ""Sports"",
  REGEXMATCH(LOWER("&amp;"VLOOKUP(A149, Data1_Raw_Slack!A:B, 2, FALSE)), ""fashion|style|clothing|apparel|shoes|accessories|beauty|cosmetics|fashionistas""), ""Fashion and Beauty"",
  REGEXMATCH(LOWER(VLOOKUP(A149, Data1_Raw_Slack!A:B, 2, FALSE)), ""food|cooking|recipe|restaurant|"&amp;"snack|grocery|foodies""), ""Food"",
  REGEXMATCH(LOWER(VLOOKUP(A149, Data1_Raw_Slack!A:B, 2, FALSE)), ""travel|vacation|airline|hotel|trip|flights|travelers""), ""Travel"",
  REGEXMATCH(LOWER(VLOOKUP(A149, Data1_Raw_Slack!A:B, 2, FALSE)), ""fitness|workou"&amp;"t|gym|exercise|yoga|wellness|fitness enthusiasts""), ""Fitness"",
  REGEXMATCH(LOWER(VLOOKUP(A149, Data1_Raw_Slack!A:B, 2, FALSE)), ""health|medical|pharmacy|mental health|doctor|health-conscious""), ""Health"",
  REGEXMATCH(LOWER(VLOOKUP(A149, Data1_Raw_"&amp;"Slack!A:B, 2, FALSE)), ""pets|dogs|cats|animals|pet care|pet lovers""), ""Pets"",
  REGEXMATCH(LOWER(VLOOKUP(A149, Data1_Raw_Slack!A:B, 2, FALSE)), ""games|gaming|game|xbox|playstation|nintendo|gamers""), ""Gaming"",
  REGEXMATCH(LOWER(VLOOKUP(A149, Data1"&amp;"_Raw_Slack!A:B, 2, FALSE)), ""entertainment|movies|tv|netflix|streaming|celebrity|movie lovers|tv fans|hobb|photo|art""), ""Entertainment"",
  REGEXMATCH(LOWER(VLOOKUP(A149, Data1_Raw_Slack!A:B, 2, FALSE)), ""lifestyle|home|interior|decor|living|lifestyle"&amp;" enthusiasts""), ""Lifestyle"",
  REGEXMATCH(LOWER(VLOOKUP(A149, Data1_Raw_Slack!A:B, 2, FALSE)), ""financial|finance|investing|stocks|retirement|banking|credit|debt|loans|savings|personal finance|insurance|econ|ecom|business|retail|occupation|sale|job|ma"&amp;"rketing""), ""Finance"",
  REGEXMATCH(LOWER(VLOOKUP(A149, Data1_Raw_Slack!A:B, 2, FALSE)), ""auto|automotive""), ""Auto"",
  REGEXMATCH(LOWER(VLOOKUP(A149, Data1_Raw_Slack!A:B, 2, FALSE)), ""parenting|moms|dads|kids|toddlers|baby|parent|children""), ""Par"&amp;"enting"",
  REGEXMATCH(LOWER(VLOOKUP(A149, Data1_Raw_Slack!A:B, 2, FALSE)), ""education|students|learning|school|teachers|college|university|academics""), ""Education"",
  REGEXMATCH(LOWER(VLOOKUP(A149, Data1_Raw_Slack!A:B, 2, FALSE)), ""age|gender|dem"&amp;"ographic|family|household""), ""Demographics"",
  REGEXMATCH(LOWER(VLOOKUP(A149, Data1_Raw_Slack!A:B, 2, FALSE)), ""mortgage|real estate""), ""Real Estate"",REGEXMATCH(LOWER(VLOOKUP(A149, Data1_Raw_Slack!A:B, 2, FALSE)), ""technology|tech|gadgets|smartpho"&amp;"ne|electro|apps|devices|computing|ai|robots|software|computer|internet|tele|mobile|tablet""), ""Technology"", REGEXMATCH(LOWER(VLOOKUP(A149, Data1_Raw_Slack!A:B, 2, FALSE)), ""entertainment|purchas|movies|tv|netflix|streaming|celebrity|movie lovers|tv fan"&amp;"s|media|hobb|photo|art|shop""), ""Entertainment"", REGEXMATCH(LOWER(VLOOKUP(A149, Data1_Raw_Slack!A:B, 2, FALSE)), ""law|government|""), ""Law and Government"",
  TRUE, ""Other""
)"),"Law and Government")</f>
        <v>Law and Government</v>
      </c>
      <c r="G149" s="9" t="s">
        <v>127</v>
      </c>
      <c r="H149" s="9" t="s">
        <v>32</v>
      </c>
      <c r="I149" s="9" t="s">
        <v>706</v>
      </c>
      <c r="J149" s="9" t="s">
        <v>34</v>
      </c>
      <c r="K149" s="9" t="s">
        <v>274</v>
      </c>
      <c r="L149" s="9" t="s">
        <v>48</v>
      </c>
      <c r="M149" s="10" t="s">
        <v>707</v>
      </c>
      <c r="N149" s="9" t="str">
        <f ca="1">IFERROR(__xludf.DUMMYFUNCTION("REGEXEXTRACT(LOWER(M149), ""([a-z0-9\-]+)\.(?:co|net|org|io|gg)"")"),"dmv")</f>
        <v>dmv</v>
      </c>
      <c r="O149" s="9" t="s">
        <v>103</v>
      </c>
      <c r="P149" s="9" t="s">
        <v>39</v>
      </c>
      <c r="Q149" s="9">
        <v>14917</v>
      </c>
      <c r="R149" s="9">
        <v>10</v>
      </c>
      <c r="S149" s="9">
        <v>3065</v>
      </c>
      <c r="T149" s="9">
        <v>13109</v>
      </c>
      <c r="U149" s="9">
        <v>3</v>
      </c>
      <c r="V149" s="11">
        <v>1583.537104</v>
      </c>
      <c r="W149" s="12">
        <f t="shared" si="0"/>
        <v>527.8457013333333</v>
      </c>
      <c r="X149" s="12">
        <f t="shared" si="1"/>
        <v>6.7037608098143062E-2</v>
      </c>
      <c r="Y149" s="12">
        <f t="shared" si="2"/>
        <v>20.547026882080846</v>
      </c>
      <c r="Z149" s="12">
        <f t="shared" si="3"/>
        <v>516.65158368678635</v>
      </c>
      <c r="AA149" s="12">
        <f t="shared" si="4"/>
        <v>106.1565397868204</v>
      </c>
      <c r="AB149" s="12">
        <f t="shared" si="5"/>
        <v>158.35371040000001</v>
      </c>
      <c r="AC149" s="12">
        <f t="shared" si="6"/>
        <v>30</v>
      </c>
      <c r="AE149" s="13"/>
      <c r="AF149" s="13"/>
    </row>
    <row r="150" spans="1:32">
      <c r="A150" s="8" t="s">
        <v>708</v>
      </c>
      <c r="B150" s="9" t="s">
        <v>66</v>
      </c>
      <c r="C150" s="9" t="s">
        <v>122</v>
      </c>
      <c r="D150" s="9" t="s">
        <v>709</v>
      </c>
      <c r="E150" s="9"/>
      <c r="F150" s="9" t="str">
        <f ca="1">IFERROR(__xludf.DUMMYFUNCTION("IFS(
  REGEXMATCH(LOWER(VLOOKUP(A150, Data1_Raw_Slack!A:B, 2, FALSE)), ""news|weather""), ""News and Weather"", REGEXMATCH(LOWER(VLOOKUP(A150, Data1_Raw_Slack!A:B, 2, FALSE)), ""sports|ufc|nba|nfl|mlb|soccer|sports fans""), ""Sports"",
  REGEXMATCH(LOWER("&amp;"VLOOKUP(A150, Data1_Raw_Slack!A:B, 2, FALSE)), ""fashion|style|clothing|apparel|shoes|accessories|beauty|cosmetics|fashionistas""), ""Fashion and Beauty"",
  REGEXMATCH(LOWER(VLOOKUP(A150, Data1_Raw_Slack!A:B, 2, FALSE)), ""food|cooking|recipe|restaurant|"&amp;"snack|grocery|foodies""), ""Food"",
  REGEXMATCH(LOWER(VLOOKUP(A150, Data1_Raw_Slack!A:B, 2, FALSE)), ""travel|vacation|airline|hotel|trip|flights|travelers""), ""Travel"",
  REGEXMATCH(LOWER(VLOOKUP(A150, Data1_Raw_Slack!A:B, 2, FALSE)), ""fitness|workou"&amp;"t|gym|exercise|yoga|wellness|fitness enthusiasts""), ""Fitness"",
  REGEXMATCH(LOWER(VLOOKUP(A150, Data1_Raw_Slack!A:B, 2, FALSE)), ""health|medical|pharmacy|mental health|doctor|health-conscious""), ""Health"",
  REGEXMATCH(LOWER(VLOOKUP(A150, Data1_Raw_"&amp;"Slack!A:B, 2, FALSE)), ""pets|dogs|cats|animals|pet care|pet lovers""), ""Pets"",
  REGEXMATCH(LOWER(VLOOKUP(A150, Data1_Raw_Slack!A:B, 2, FALSE)), ""games|gaming|game|xbox|playstation|nintendo|gamers""), ""Gaming"",
  REGEXMATCH(LOWER(VLOOKUP(A150, Data1"&amp;"_Raw_Slack!A:B, 2, FALSE)), ""entertainment|movies|tv|netflix|streaming|celebrity|movie lovers|tv fans|hobb|photo|art""), ""Entertainment"",
  REGEXMATCH(LOWER(VLOOKUP(A150, Data1_Raw_Slack!A:B, 2, FALSE)), ""lifestyle|home|interior|decor|living|lifestyle"&amp;" enthusiasts""), ""Lifestyle"",
  REGEXMATCH(LOWER(VLOOKUP(A150, Data1_Raw_Slack!A:B, 2, FALSE)), ""financial|finance|investing|stocks|retirement|banking|credit|debt|loans|savings|personal finance|insurance|econ|ecom|business|retail|occupation|sale|job|ma"&amp;"rketing""), ""Finance"",
  REGEXMATCH(LOWER(VLOOKUP(A150, Data1_Raw_Slack!A:B, 2, FALSE)), ""auto|automotive""), ""Auto"",
  REGEXMATCH(LOWER(VLOOKUP(A150, Data1_Raw_Slack!A:B, 2, FALSE)), ""parenting|moms|dads|kids|toddlers|baby|parent|children""), ""Par"&amp;"enting"",
  REGEXMATCH(LOWER(VLOOKUP(A150, Data1_Raw_Slack!A:B, 2, FALSE)), ""education|students|learning|school|teachers|college|university|academics""), ""Education"",
  REGEXMATCH(LOWER(VLOOKUP(A150, Data1_Raw_Slack!A:B, 2, FALSE)), ""age|gender|dem"&amp;"ographic|family|household""), ""Demographics"",
  REGEXMATCH(LOWER(VLOOKUP(A150, Data1_Raw_Slack!A:B, 2, FALSE)), ""mortgage|real estate""), ""Real Estate"",REGEXMATCH(LOWER(VLOOKUP(A150, Data1_Raw_Slack!A:B, 2, FALSE)), ""technology|tech|gadgets|smartpho"&amp;"ne|electro|apps|devices|computing|ai|robots|software|computer|internet|tele|mobile|tablet""), ""Technology"", REGEXMATCH(LOWER(VLOOKUP(A150, Data1_Raw_Slack!A:B, 2, FALSE)), ""entertainment|purchas|movies|tv|netflix|streaming|celebrity|movie lovers|tv fan"&amp;"s|media|hobb|photo|art|shop""), ""Entertainment"", REGEXMATCH(LOWER(VLOOKUP(A150, Data1_Raw_Slack!A:B, 2, FALSE)), ""law|government|""), ""Law and Government"",
  TRUE, ""Other""
)"),"Auto")</f>
        <v>Auto</v>
      </c>
      <c r="G150" s="9" t="s">
        <v>122</v>
      </c>
      <c r="H150" s="9" t="s">
        <v>44</v>
      </c>
      <c r="I150" s="9" t="s">
        <v>710</v>
      </c>
      <c r="J150" s="9" t="s">
        <v>46</v>
      </c>
      <c r="K150" s="9" t="s">
        <v>35</v>
      </c>
      <c r="L150" s="9" t="s">
        <v>36</v>
      </c>
      <c r="M150" s="10" t="s">
        <v>49</v>
      </c>
      <c r="N150" s="9" t="str">
        <f ca="1">IFERROR(__xludf.DUMMYFUNCTION("REGEXEXTRACT(LOWER(M150), ""([a-z0-9\-]+)\.(?:co|net|org|io|gg)"")"),"yahoo")</f>
        <v>yahoo</v>
      </c>
      <c r="O150" s="9" t="s">
        <v>50</v>
      </c>
      <c r="P150" s="9" t="s">
        <v>39</v>
      </c>
      <c r="Q150" s="9">
        <v>482834</v>
      </c>
      <c r="R150" s="9">
        <v>1269</v>
      </c>
      <c r="S150" s="9">
        <v>292059</v>
      </c>
      <c r="T150" s="9">
        <v>428761</v>
      </c>
      <c r="U150" s="9">
        <v>7</v>
      </c>
      <c r="V150" s="11">
        <v>1594.463397</v>
      </c>
      <c r="W150" s="12">
        <f t="shared" si="0"/>
        <v>227.78048528571429</v>
      </c>
      <c r="X150" s="12">
        <f t="shared" si="1"/>
        <v>0.26282324774145982</v>
      </c>
      <c r="Y150" s="12">
        <f t="shared" si="2"/>
        <v>60.488490868497244</v>
      </c>
      <c r="Z150" s="12">
        <f t="shared" si="3"/>
        <v>5.4593879900978912</v>
      </c>
      <c r="AA150" s="12">
        <f t="shared" si="4"/>
        <v>3.3023014058661984</v>
      </c>
      <c r="AB150" s="12">
        <f t="shared" si="5"/>
        <v>1.2564723380614657</v>
      </c>
      <c r="AC150" s="12">
        <f t="shared" si="6"/>
        <v>0.55161544523246653</v>
      </c>
      <c r="AE150" s="13"/>
      <c r="AF150" s="13"/>
    </row>
    <row r="151" spans="1:32">
      <c r="A151" s="8" t="s">
        <v>711</v>
      </c>
      <c r="B151" s="9" t="s">
        <v>52</v>
      </c>
      <c r="C151" s="9" t="s">
        <v>224</v>
      </c>
      <c r="D151" s="9" t="s">
        <v>712</v>
      </c>
      <c r="E151" s="9"/>
      <c r="F151" s="9" t="str">
        <f ca="1">IFERROR(__xludf.DUMMYFUNCTION("IFS(
  REGEXMATCH(LOWER(VLOOKUP(A151, Data1_Raw_Slack!A:B, 2, FALSE)), ""news|weather""), ""News and Weather"", REGEXMATCH(LOWER(VLOOKUP(A151, Data1_Raw_Slack!A:B, 2, FALSE)), ""sports|ufc|nba|nfl|mlb|soccer|sports fans""), ""Sports"",
  REGEXMATCH(LOWER("&amp;"VLOOKUP(A151, Data1_Raw_Slack!A:B, 2, FALSE)), ""fashion|style|clothing|apparel|shoes|accessories|beauty|cosmetics|fashionistas""), ""Fashion and Beauty"",
  REGEXMATCH(LOWER(VLOOKUP(A151, Data1_Raw_Slack!A:B, 2, FALSE)), ""food|cooking|recipe|restaurant|"&amp;"snack|grocery|foodies""), ""Food"",
  REGEXMATCH(LOWER(VLOOKUP(A151, Data1_Raw_Slack!A:B, 2, FALSE)), ""travel|vacation|airline|hotel|trip|flights|travelers""), ""Travel"",
  REGEXMATCH(LOWER(VLOOKUP(A151, Data1_Raw_Slack!A:B, 2, FALSE)), ""fitness|workou"&amp;"t|gym|exercise|yoga|wellness|fitness enthusiasts""), ""Fitness"",
  REGEXMATCH(LOWER(VLOOKUP(A151, Data1_Raw_Slack!A:B, 2, FALSE)), ""health|medical|pharmacy|mental health|doctor|health-conscious""), ""Health"",
  REGEXMATCH(LOWER(VLOOKUP(A151, Data1_Raw_"&amp;"Slack!A:B, 2, FALSE)), ""pets|dogs|cats|animals|pet care|pet lovers""), ""Pets"",
  REGEXMATCH(LOWER(VLOOKUP(A151, Data1_Raw_Slack!A:B, 2, FALSE)), ""games|gaming|game|xbox|playstation|nintendo|gamers""), ""Gaming"",
  REGEXMATCH(LOWER(VLOOKUP(A151, Data1"&amp;"_Raw_Slack!A:B, 2, FALSE)), ""entertainment|movies|tv|netflix|streaming|celebrity|movie lovers|tv fans|hobb|photo|art""), ""Entertainment"",
  REGEXMATCH(LOWER(VLOOKUP(A151, Data1_Raw_Slack!A:B, 2, FALSE)), ""lifestyle|home|interior|decor|living|lifestyle"&amp;" enthusiasts""), ""Lifestyle"",
  REGEXMATCH(LOWER(VLOOKUP(A151, Data1_Raw_Slack!A:B, 2, FALSE)), ""financial|finance|investing|stocks|retirement|banking|credit|debt|loans|savings|personal finance|insurance|econ|ecom|business|retail|occupation|sale|job|ma"&amp;"rketing""), ""Finance"",
  REGEXMATCH(LOWER(VLOOKUP(A151, Data1_Raw_Slack!A:B, 2, FALSE)), ""auto|automotive""), ""Auto"",
  REGEXMATCH(LOWER(VLOOKUP(A151, Data1_Raw_Slack!A:B, 2, FALSE)), ""parenting|moms|dads|kids|toddlers|baby|parent|children""), ""Par"&amp;"enting"",
  REGEXMATCH(LOWER(VLOOKUP(A151, Data1_Raw_Slack!A:B, 2, FALSE)), ""education|students|learning|school|teachers|college|university|academics""), ""Education"",
  REGEXMATCH(LOWER(VLOOKUP(A151, Data1_Raw_Slack!A:B, 2, FALSE)), ""age|gender|dem"&amp;"ographic|family|household""), ""Demographics"",
  REGEXMATCH(LOWER(VLOOKUP(A151, Data1_Raw_Slack!A:B, 2, FALSE)), ""mortgage|real estate""), ""Real Estate"",REGEXMATCH(LOWER(VLOOKUP(A151, Data1_Raw_Slack!A:B, 2, FALSE)), ""technology|tech|gadgets|smartpho"&amp;"ne|electro|apps|devices|computing|ai|robots|software|computer|internet|tele|mobile|tablet""), ""Technology"", REGEXMATCH(LOWER(VLOOKUP(A151, Data1_Raw_Slack!A:B, 2, FALSE)), ""entertainment|purchas|movies|tv|netflix|streaming|celebrity|movie lovers|tv fan"&amp;"s|media|hobb|photo|art|shop""), ""Entertainment"", REGEXMATCH(LOWER(VLOOKUP(A151, Data1_Raw_Slack!A:B, 2, FALSE)), ""law|government|""), ""Law and Government"",
  TRUE, ""Other""
)"),"News and Weather")</f>
        <v>News and Weather</v>
      </c>
      <c r="G151" s="9" t="s">
        <v>127</v>
      </c>
      <c r="H151" s="9" t="s">
        <v>123</v>
      </c>
      <c r="I151" s="9" t="s">
        <v>713</v>
      </c>
      <c r="J151" s="9" t="s">
        <v>80</v>
      </c>
      <c r="K151" s="9" t="s">
        <v>714</v>
      </c>
      <c r="L151" s="9" t="s">
        <v>82</v>
      </c>
      <c r="M151" s="10" t="s">
        <v>715</v>
      </c>
      <c r="N151" s="9" t="str">
        <f ca="1">IFERROR(__xludf.DUMMYFUNCTION("REGEXEXTRACT(LOWER(M151), ""([a-z0-9\-]+)\.(?:co|net|org|io|gg)"")"),"bridesblush")</f>
        <v>bridesblush</v>
      </c>
      <c r="O151" s="9" t="s">
        <v>50</v>
      </c>
      <c r="P151" s="9" t="s">
        <v>39</v>
      </c>
      <c r="Q151" s="9">
        <v>9946</v>
      </c>
      <c r="R151" s="9">
        <v>20</v>
      </c>
      <c r="S151" s="9">
        <v>4818</v>
      </c>
      <c r="T151" s="9">
        <v>7382</v>
      </c>
      <c r="U151" s="9">
        <v>3</v>
      </c>
      <c r="V151" s="11">
        <v>1525.962329</v>
      </c>
      <c r="W151" s="12">
        <f t="shared" si="0"/>
        <v>508.65410966666667</v>
      </c>
      <c r="X151" s="12">
        <f t="shared" si="1"/>
        <v>0.20108586366378445</v>
      </c>
      <c r="Y151" s="12">
        <f t="shared" si="2"/>
        <v>48.441584556605669</v>
      </c>
      <c r="Z151" s="12">
        <f t="shared" si="3"/>
        <v>316.72111436280613</v>
      </c>
      <c r="AA151" s="12">
        <f t="shared" si="4"/>
        <v>153.42472642268248</v>
      </c>
      <c r="AB151" s="12">
        <f t="shared" si="5"/>
        <v>76.298116449999995</v>
      </c>
      <c r="AC151" s="12">
        <f t="shared" si="6"/>
        <v>15</v>
      </c>
      <c r="AE151" s="13"/>
      <c r="AF151" s="13"/>
    </row>
    <row r="152" spans="1:32">
      <c r="A152" s="8" t="s">
        <v>716</v>
      </c>
      <c r="B152" s="9" t="s">
        <v>41</v>
      </c>
      <c r="C152" s="9" t="s">
        <v>214</v>
      </c>
      <c r="D152" s="9" t="s">
        <v>326</v>
      </c>
      <c r="E152" s="9" t="s">
        <v>717</v>
      </c>
      <c r="F152" s="9" t="str">
        <f ca="1">IFERROR(__xludf.DUMMYFUNCTION("IFS(
  REGEXMATCH(LOWER(VLOOKUP(A152, Data1_Raw_Slack!A:B, 2, FALSE)), ""news|weather""), ""News and Weather"", REGEXMATCH(LOWER(VLOOKUP(A152, Data1_Raw_Slack!A:B, 2, FALSE)), ""sports|ufc|nba|nfl|mlb|soccer|sports fans""), ""Sports"",
  REGEXMATCH(LOWER("&amp;"VLOOKUP(A152, Data1_Raw_Slack!A:B, 2, FALSE)), ""fashion|style|clothing|apparel|shoes|accessories|beauty|cosmetics|fashionistas""), ""Fashion and Beauty"",
  REGEXMATCH(LOWER(VLOOKUP(A152, Data1_Raw_Slack!A:B, 2, FALSE)), ""food|cooking|recipe|restaurant|"&amp;"snack|grocery|foodies""), ""Food"",
  REGEXMATCH(LOWER(VLOOKUP(A152, Data1_Raw_Slack!A:B, 2, FALSE)), ""travel|vacation|airline|hotel|trip|flights|travelers""), ""Travel"",
  REGEXMATCH(LOWER(VLOOKUP(A152, Data1_Raw_Slack!A:B, 2, FALSE)), ""fitness|workou"&amp;"t|gym|exercise|yoga|wellness|fitness enthusiasts""), ""Fitness"",
  REGEXMATCH(LOWER(VLOOKUP(A152, Data1_Raw_Slack!A:B, 2, FALSE)), ""health|medical|pharmacy|mental health|doctor|health-conscious""), ""Health"",
  REGEXMATCH(LOWER(VLOOKUP(A152, Data1_Raw_"&amp;"Slack!A:B, 2, FALSE)), ""pets|dogs|cats|animals|pet care|pet lovers""), ""Pets"",
  REGEXMATCH(LOWER(VLOOKUP(A152, Data1_Raw_Slack!A:B, 2, FALSE)), ""games|gaming|game|xbox|playstation|nintendo|gamers""), ""Gaming"",
  REGEXMATCH(LOWER(VLOOKUP(A152, Data1"&amp;"_Raw_Slack!A:B, 2, FALSE)), ""entertainment|movies|tv|netflix|streaming|celebrity|movie lovers|tv fans|hobb|photo|art""), ""Entertainment"",
  REGEXMATCH(LOWER(VLOOKUP(A152, Data1_Raw_Slack!A:B, 2, FALSE)), ""lifestyle|home|interior|decor|living|lifestyle"&amp;" enthusiasts""), ""Lifestyle"",
  REGEXMATCH(LOWER(VLOOKUP(A152, Data1_Raw_Slack!A:B, 2, FALSE)), ""financial|finance|investing|stocks|retirement|banking|credit|debt|loans|savings|personal finance|insurance|econ|ecom|business|retail|occupation|sale|job|ma"&amp;"rketing""), ""Finance"",
  REGEXMATCH(LOWER(VLOOKUP(A152, Data1_Raw_Slack!A:B, 2, FALSE)), ""auto|automotive""), ""Auto"",
  REGEXMATCH(LOWER(VLOOKUP(A152, Data1_Raw_Slack!A:B, 2, FALSE)), ""parenting|moms|dads|kids|toddlers|baby|parent|children""), ""Par"&amp;"enting"",
  REGEXMATCH(LOWER(VLOOKUP(A152, Data1_Raw_Slack!A:B, 2, FALSE)), ""education|students|learning|school|teachers|college|university|academics""), ""Education"",
  REGEXMATCH(LOWER(VLOOKUP(A152, Data1_Raw_Slack!A:B, 2, FALSE)), ""age|gender|dem"&amp;"ographic|family|household""), ""Demographics"",
  REGEXMATCH(LOWER(VLOOKUP(A152, Data1_Raw_Slack!A:B, 2, FALSE)), ""mortgage|real estate""), ""Real Estate"",REGEXMATCH(LOWER(VLOOKUP(A152, Data1_Raw_Slack!A:B, 2, FALSE)), ""technology|tech|gadgets|smartpho"&amp;"ne|electro|apps|devices|computing|ai|robots|software|computer|internet|tele|mobile|tablet""), ""Technology"", REGEXMATCH(LOWER(VLOOKUP(A152, Data1_Raw_Slack!A:B, 2, FALSE)), ""entertainment|purchas|movies|tv|netflix|streaming|celebrity|movie lovers|tv fan"&amp;"s|media|hobb|photo|art|shop""), ""Entertainment"", REGEXMATCH(LOWER(VLOOKUP(A152, Data1_Raw_Slack!A:B, 2, FALSE)), ""law|government|""), ""Law and Government"",
  TRUE, ""Other""
)"),"Demographics")</f>
        <v>Demographics</v>
      </c>
      <c r="G152" s="9"/>
      <c r="H152" s="9" t="s">
        <v>44</v>
      </c>
      <c r="I152" s="9" t="s">
        <v>718</v>
      </c>
      <c r="J152" s="9" t="s">
        <v>62</v>
      </c>
      <c r="K152" s="9" t="s">
        <v>81</v>
      </c>
      <c r="L152" s="9" t="s">
        <v>82</v>
      </c>
      <c r="M152" s="10" t="s">
        <v>372</v>
      </c>
      <c r="N152" s="9" t="str">
        <f ca="1">IFERROR(__xludf.DUMMYFUNCTION("REGEXEXTRACT(LOWER(M152), ""([a-z0-9\-]+)\.(?:co|net|org|io|gg)"")"),"accuweather")</f>
        <v>accuweather</v>
      </c>
      <c r="O152" s="9" t="s">
        <v>131</v>
      </c>
      <c r="P152" s="9" t="s">
        <v>39</v>
      </c>
      <c r="Q152" s="9">
        <v>36863</v>
      </c>
      <c r="R152" s="9">
        <v>116</v>
      </c>
      <c r="S152" s="9">
        <v>3570</v>
      </c>
      <c r="T152" s="9">
        <v>29458</v>
      </c>
      <c r="U152" s="9">
        <v>15</v>
      </c>
      <c r="V152" s="11">
        <v>4752.8166849999998</v>
      </c>
      <c r="W152" s="12">
        <f t="shared" si="0"/>
        <v>316.85444566666666</v>
      </c>
      <c r="X152" s="12">
        <f t="shared" si="1"/>
        <v>0.31467867509426795</v>
      </c>
      <c r="Y152" s="12">
        <f t="shared" si="2"/>
        <v>9.6845075007460046</v>
      </c>
      <c r="Z152" s="12">
        <f t="shared" si="3"/>
        <v>1331.321200280112</v>
      </c>
      <c r="AA152" s="12">
        <f t="shared" si="4"/>
        <v>128.93190150014919</v>
      </c>
      <c r="AB152" s="12">
        <f t="shared" si="5"/>
        <v>40.972557629310344</v>
      </c>
      <c r="AC152" s="12">
        <f t="shared" si="6"/>
        <v>12.931034482758621</v>
      </c>
      <c r="AE152" s="13"/>
      <c r="AF152" s="13"/>
    </row>
    <row r="153" spans="1:32">
      <c r="A153" s="8" t="s">
        <v>719</v>
      </c>
      <c r="B153" s="9" t="s">
        <v>52</v>
      </c>
      <c r="C153" s="9" t="s">
        <v>319</v>
      </c>
      <c r="D153" s="9" t="s">
        <v>720</v>
      </c>
      <c r="E153" s="9"/>
      <c r="F153" s="9" t="str">
        <f ca="1">IFERROR(__xludf.DUMMYFUNCTION("IFS(
  REGEXMATCH(LOWER(VLOOKUP(A153, Data1_Raw_Slack!A:B, 2, FALSE)), ""news|weather""), ""News and Weather"", REGEXMATCH(LOWER(VLOOKUP(A153, Data1_Raw_Slack!A:B, 2, FALSE)), ""sports|ufc|nba|nfl|mlb|soccer|sports fans""), ""Sports"",
  REGEXMATCH(LOWER("&amp;"VLOOKUP(A153, Data1_Raw_Slack!A:B, 2, FALSE)), ""fashion|style|clothing|apparel|shoes|accessories|beauty|cosmetics|fashionistas""), ""Fashion and Beauty"",
  REGEXMATCH(LOWER(VLOOKUP(A153, Data1_Raw_Slack!A:B, 2, FALSE)), ""food|cooking|recipe|restaurant|"&amp;"snack|grocery|foodies""), ""Food"",
  REGEXMATCH(LOWER(VLOOKUP(A153, Data1_Raw_Slack!A:B, 2, FALSE)), ""travel|vacation|airline|hotel|trip|flights|travelers""), ""Travel"",
  REGEXMATCH(LOWER(VLOOKUP(A153, Data1_Raw_Slack!A:B, 2, FALSE)), ""fitness|workou"&amp;"t|gym|exercise|yoga|wellness|fitness enthusiasts""), ""Fitness"",
  REGEXMATCH(LOWER(VLOOKUP(A153, Data1_Raw_Slack!A:B, 2, FALSE)), ""health|medical|pharmacy|mental health|doctor|health-conscious""), ""Health"",
  REGEXMATCH(LOWER(VLOOKUP(A153, Data1_Raw_"&amp;"Slack!A:B, 2, FALSE)), ""pets|dogs|cats|animals|pet care|pet lovers""), ""Pets"",
  REGEXMATCH(LOWER(VLOOKUP(A153, Data1_Raw_Slack!A:B, 2, FALSE)), ""games|gaming|game|xbox|playstation|nintendo|gamers""), ""Gaming"",
  REGEXMATCH(LOWER(VLOOKUP(A153, Data1"&amp;"_Raw_Slack!A:B, 2, FALSE)), ""entertainment|movies|tv|netflix|streaming|celebrity|movie lovers|tv fans|hobb|photo|art""), ""Entertainment"",
  REGEXMATCH(LOWER(VLOOKUP(A153, Data1_Raw_Slack!A:B, 2, FALSE)), ""lifestyle|home|interior|decor|living|lifestyle"&amp;" enthusiasts""), ""Lifestyle"",
  REGEXMATCH(LOWER(VLOOKUP(A153, Data1_Raw_Slack!A:B, 2, FALSE)), ""financial|finance|investing|stocks|retirement|banking|credit|debt|loans|savings|personal finance|insurance|econ|ecom|business|retail|occupation|sale|job|ma"&amp;"rketing""), ""Finance"",
  REGEXMATCH(LOWER(VLOOKUP(A153, Data1_Raw_Slack!A:B, 2, FALSE)), ""auto|automotive""), ""Auto"",
  REGEXMATCH(LOWER(VLOOKUP(A153, Data1_Raw_Slack!A:B, 2, FALSE)), ""parenting|moms|dads|kids|toddlers|baby|parent|children""), ""Par"&amp;"enting"",
  REGEXMATCH(LOWER(VLOOKUP(A153, Data1_Raw_Slack!A:B, 2, FALSE)), ""education|students|learning|school|teachers|college|university|academics""), ""Education"",
  REGEXMATCH(LOWER(VLOOKUP(A153, Data1_Raw_Slack!A:B, 2, FALSE)), ""age|gender|dem"&amp;"ographic|family|household""), ""Demographics"",
  REGEXMATCH(LOWER(VLOOKUP(A153, Data1_Raw_Slack!A:B, 2, FALSE)), ""mortgage|real estate""), ""Real Estate"",REGEXMATCH(LOWER(VLOOKUP(A153, Data1_Raw_Slack!A:B, 2, FALSE)), ""technology|tech|gadgets|smartpho"&amp;"ne|electro|apps|devices|computing|ai|robots|software|computer|internet|tele|mobile|tablet""), ""Technology"", REGEXMATCH(LOWER(VLOOKUP(A153, Data1_Raw_Slack!A:B, 2, FALSE)), ""entertainment|purchas|movies|tv|netflix|streaming|celebrity|movie lovers|tv fan"&amp;"s|media|hobb|photo|art|shop""), ""Entertainment"", REGEXMATCH(LOWER(VLOOKUP(A153, Data1_Raw_Slack!A:B, 2, FALSE)), ""law|government|""), ""Law and Government"",
  TRUE, ""Other""
)"),"Food")</f>
        <v>Food</v>
      </c>
      <c r="G153" s="9"/>
      <c r="H153" s="9" t="s">
        <v>32</v>
      </c>
      <c r="I153" s="9" t="s">
        <v>721</v>
      </c>
      <c r="J153" s="9" t="s">
        <v>46</v>
      </c>
      <c r="K153" s="9" t="s">
        <v>236</v>
      </c>
      <c r="L153" s="9" t="s">
        <v>82</v>
      </c>
      <c r="M153" s="10" t="s">
        <v>207</v>
      </c>
      <c r="N153" s="9" t="str">
        <f ca="1">IFERROR(__xludf.DUMMYFUNCTION("REGEXEXTRACT(LOWER(M153), ""([a-z0-9\-]+)\.(?:co|net|org|io|gg)"")"),"realtor")</f>
        <v>realtor</v>
      </c>
      <c r="O153" s="9" t="s">
        <v>50</v>
      </c>
      <c r="P153" s="9" t="s">
        <v>39</v>
      </c>
      <c r="Q153" s="9">
        <v>85280</v>
      </c>
      <c r="R153" s="9">
        <v>211</v>
      </c>
      <c r="S153" s="9">
        <v>35860</v>
      </c>
      <c r="T153" s="9">
        <v>79837</v>
      </c>
      <c r="U153" s="9">
        <v>5</v>
      </c>
      <c r="V153" s="11">
        <v>2217.932092</v>
      </c>
      <c r="W153" s="12">
        <f t="shared" si="0"/>
        <v>443.58641840000001</v>
      </c>
      <c r="X153" s="12">
        <f t="shared" si="1"/>
        <v>0.24742026266416509</v>
      </c>
      <c r="Y153" s="12">
        <f t="shared" si="2"/>
        <v>42.049718574108816</v>
      </c>
      <c r="Z153" s="12">
        <f t="shared" si="3"/>
        <v>61.849751589514781</v>
      </c>
      <c r="AA153" s="12">
        <f t="shared" si="4"/>
        <v>26.007646482176359</v>
      </c>
      <c r="AB153" s="12">
        <f t="shared" si="5"/>
        <v>10.511526502369668</v>
      </c>
      <c r="AC153" s="12">
        <f t="shared" si="6"/>
        <v>2.3696682464454977</v>
      </c>
      <c r="AE153" s="13"/>
      <c r="AF153" s="13"/>
    </row>
    <row r="154" spans="1:32">
      <c r="A154" s="8" t="s">
        <v>722</v>
      </c>
      <c r="B154" s="9" t="s">
        <v>41</v>
      </c>
      <c r="C154" s="9" t="s">
        <v>214</v>
      </c>
      <c r="D154" s="9" t="s">
        <v>326</v>
      </c>
      <c r="E154" s="9" t="s">
        <v>723</v>
      </c>
      <c r="F154" s="9" t="str">
        <f ca="1">IFERROR(__xludf.DUMMYFUNCTION("IFS(
  REGEXMATCH(LOWER(VLOOKUP(A154, Data1_Raw_Slack!A:B, 2, FALSE)), ""news|weather""), ""News and Weather"", REGEXMATCH(LOWER(VLOOKUP(A154, Data1_Raw_Slack!A:B, 2, FALSE)), ""sports|ufc|nba|nfl|mlb|soccer|sports fans""), ""Sports"",
  REGEXMATCH(LOWER("&amp;"VLOOKUP(A154, Data1_Raw_Slack!A:B, 2, FALSE)), ""fashion|style|clothing|apparel|shoes|accessories|beauty|cosmetics|fashionistas""), ""Fashion and Beauty"",
  REGEXMATCH(LOWER(VLOOKUP(A154, Data1_Raw_Slack!A:B, 2, FALSE)), ""food|cooking|recipe|restaurant|"&amp;"snack|grocery|foodies""), ""Food"",
  REGEXMATCH(LOWER(VLOOKUP(A154, Data1_Raw_Slack!A:B, 2, FALSE)), ""travel|vacation|airline|hotel|trip|flights|travelers""), ""Travel"",
  REGEXMATCH(LOWER(VLOOKUP(A154, Data1_Raw_Slack!A:B, 2, FALSE)), ""fitness|workou"&amp;"t|gym|exercise|yoga|wellness|fitness enthusiasts""), ""Fitness"",
  REGEXMATCH(LOWER(VLOOKUP(A154, Data1_Raw_Slack!A:B, 2, FALSE)), ""health|medical|pharmacy|mental health|doctor|health-conscious""), ""Health"",
  REGEXMATCH(LOWER(VLOOKUP(A154, Data1_Raw_"&amp;"Slack!A:B, 2, FALSE)), ""pets|dogs|cats|animals|pet care|pet lovers""), ""Pets"",
  REGEXMATCH(LOWER(VLOOKUP(A154, Data1_Raw_Slack!A:B, 2, FALSE)), ""games|gaming|game|xbox|playstation|nintendo|gamers""), ""Gaming"",
  REGEXMATCH(LOWER(VLOOKUP(A154, Data1"&amp;"_Raw_Slack!A:B, 2, FALSE)), ""entertainment|movies|tv|netflix|streaming|celebrity|movie lovers|tv fans|hobb|photo|art""), ""Entertainment"",
  REGEXMATCH(LOWER(VLOOKUP(A154, Data1_Raw_Slack!A:B, 2, FALSE)), ""lifestyle|home|interior|decor|living|lifestyle"&amp;" enthusiasts""), ""Lifestyle"",
  REGEXMATCH(LOWER(VLOOKUP(A154, Data1_Raw_Slack!A:B, 2, FALSE)), ""financial|finance|investing|stocks|retirement|banking|credit|debt|loans|savings|personal finance|insurance|econ|ecom|business|retail|occupation|sale|job|ma"&amp;"rketing""), ""Finance"",
  REGEXMATCH(LOWER(VLOOKUP(A154, Data1_Raw_Slack!A:B, 2, FALSE)), ""auto|automotive""), ""Auto"",
  REGEXMATCH(LOWER(VLOOKUP(A154, Data1_Raw_Slack!A:B, 2, FALSE)), ""parenting|moms|dads|kids|toddlers|baby|parent|children""), ""Par"&amp;"enting"",
  REGEXMATCH(LOWER(VLOOKUP(A154, Data1_Raw_Slack!A:B, 2, FALSE)), ""education|students|learning|school|teachers|college|university|academics""), ""Education"",
  REGEXMATCH(LOWER(VLOOKUP(A154, Data1_Raw_Slack!A:B, 2, FALSE)), ""age|gender|dem"&amp;"ographic|family|household""), ""Demographics"",
  REGEXMATCH(LOWER(VLOOKUP(A154, Data1_Raw_Slack!A:B, 2, FALSE)), ""mortgage|real estate""), ""Real Estate"",REGEXMATCH(LOWER(VLOOKUP(A154, Data1_Raw_Slack!A:B, 2, FALSE)), ""technology|tech|gadgets|smartpho"&amp;"ne|electro|apps|devices|computing|ai|robots|software|computer|internet|tele|mobile|tablet""), ""Technology"", REGEXMATCH(LOWER(VLOOKUP(A154, Data1_Raw_Slack!A:B, 2, FALSE)), ""entertainment|purchas|movies|tv|netflix|streaming|celebrity|movie lovers|tv fan"&amp;"s|media|hobb|photo|art|shop""), ""Entertainment"", REGEXMATCH(LOWER(VLOOKUP(A154, Data1_Raw_Slack!A:B, 2, FALSE)), ""law|government|""), ""Law and Government"",
  TRUE, ""Other""
)"),"Demographics")</f>
        <v>Demographics</v>
      </c>
      <c r="G154" s="9"/>
      <c r="H154" s="9" t="s">
        <v>32</v>
      </c>
      <c r="I154" s="9" t="s">
        <v>302</v>
      </c>
      <c r="J154" s="9" t="s">
        <v>62</v>
      </c>
      <c r="K154" s="9" t="s">
        <v>35</v>
      </c>
      <c r="L154" s="9" t="s">
        <v>36</v>
      </c>
      <c r="M154" s="10" t="s">
        <v>724</v>
      </c>
      <c r="N154" s="9" t="str">
        <f ca="1">IFERROR(__xludf.DUMMYFUNCTION("REGEXEXTRACT(LOWER(M154), ""([a-z0-9\-]+)\.(?:co|net|org|io|gg)"")"),"tripadvisor")</f>
        <v>tripadvisor</v>
      </c>
      <c r="O154" s="9" t="s">
        <v>725</v>
      </c>
      <c r="P154" s="9" t="s">
        <v>39</v>
      </c>
      <c r="Q154" s="9">
        <v>10386</v>
      </c>
      <c r="R154" s="9">
        <v>65</v>
      </c>
      <c r="S154" s="9">
        <v>5876</v>
      </c>
      <c r="T154" s="9">
        <v>10048</v>
      </c>
      <c r="U154" s="9">
        <v>15</v>
      </c>
      <c r="V154" s="11">
        <v>4439.8380639999996</v>
      </c>
      <c r="W154" s="12">
        <f t="shared" si="0"/>
        <v>295.98920426666666</v>
      </c>
      <c r="X154" s="12">
        <f t="shared" si="1"/>
        <v>0.62584248026189104</v>
      </c>
      <c r="Y154" s="12">
        <f t="shared" si="2"/>
        <v>56.576160215674939</v>
      </c>
      <c r="Z154" s="12">
        <f t="shared" si="3"/>
        <v>755.58850646698431</v>
      </c>
      <c r="AA154" s="12">
        <f t="shared" si="4"/>
        <v>427.4829639899865</v>
      </c>
      <c r="AB154" s="12">
        <f t="shared" si="5"/>
        <v>68.305200984615382</v>
      </c>
      <c r="AC154" s="12">
        <f t="shared" si="6"/>
        <v>23.076923076923077</v>
      </c>
      <c r="AE154" s="13"/>
      <c r="AF154" s="13"/>
    </row>
    <row r="155" spans="1:32">
      <c r="A155" s="8" t="s">
        <v>726</v>
      </c>
      <c r="B155" s="9" t="s">
        <v>92</v>
      </c>
      <c r="C155" s="9" t="s">
        <v>200</v>
      </c>
      <c r="D155" s="9" t="s">
        <v>727</v>
      </c>
      <c r="E155" s="9" t="s">
        <v>728</v>
      </c>
      <c r="F155" s="9" t="str">
        <f ca="1">IFERROR(__xludf.DUMMYFUNCTION("IFS(
  REGEXMATCH(LOWER(VLOOKUP(A155, Data1_Raw_Slack!A:B, 2, FALSE)), ""news|weather""), ""News and Weather"", REGEXMATCH(LOWER(VLOOKUP(A155, Data1_Raw_Slack!A:B, 2, FALSE)), ""sports|ufc|nba|nfl|mlb|soccer|sports fans""), ""Sports"",
  REGEXMATCH(LOWER("&amp;"VLOOKUP(A155, Data1_Raw_Slack!A:B, 2, FALSE)), ""fashion|style|clothing|apparel|shoes|accessories|beauty|cosmetics|fashionistas""), ""Fashion and Beauty"",
  REGEXMATCH(LOWER(VLOOKUP(A155, Data1_Raw_Slack!A:B, 2, FALSE)), ""food|cooking|recipe|restaurant|"&amp;"snack|grocery|foodies""), ""Food"",
  REGEXMATCH(LOWER(VLOOKUP(A155, Data1_Raw_Slack!A:B, 2, FALSE)), ""travel|vacation|airline|hotel|trip|flights|travelers""), ""Travel"",
  REGEXMATCH(LOWER(VLOOKUP(A155, Data1_Raw_Slack!A:B, 2, FALSE)), ""fitness|workou"&amp;"t|gym|exercise|yoga|wellness|fitness enthusiasts""), ""Fitness"",
  REGEXMATCH(LOWER(VLOOKUP(A155, Data1_Raw_Slack!A:B, 2, FALSE)), ""health|medical|pharmacy|mental health|doctor|health-conscious""), ""Health"",
  REGEXMATCH(LOWER(VLOOKUP(A155, Data1_Raw_"&amp;"Slack!A:B, 2, FALSE)), ""pets|dogs|cats|animals|pet care|pet lovers""), ""Pets"",
  REGEXMATCH(LOWER(VLOOKUP(A155, Data1_Raw_Slack!A:B, 2, FALSE)), ""games|gaming|game|xbox|playstation|nintendo|gamers""), ""Gaming"",
  REGEXMATCH(LOWER(VLOOKUP(A155, Data1"&amp;"_Raw_Slack!A:B, 2, FALSE)), ""entertainment|movies|tv|netflix|streaming|celebrity|movie lovers|tv fans|hobb|photo|art""), ""Entertainment"",
  REGEXMATCH(LOWER(VLOOKUP(A155, Data1_Raw_Slack!A:B, 2, FALSE)), ""lifestyle|home|interior|decor|living|lifestyle"&amp;" enthusiasts""), ""Lifestyle"",
  REGEXMATCH(LOWER(VLOOKUP(A155, Data1_Raw_Slack!A:B, 2, FALSE)), ""financial|finance|investing|stocks|retirement|banking|credit|debt|loans|savings|personal finance|insurance|econ|ecom|business|retail|occupation|sale|job|ma"&amp;"rketing""), ""Finance"",
  REGEXMATCH(LOWER(VLOOKUP(A155, Data1_Raw_Slack!A:B, 2, FALSE)), ""auto|automotive""), ""Auto"",
  REGEXMATCH(LOWER(VLOOKUP(A155, Data1_Raw_Slack!A:B, 2, FALSE)), ""parenting|moms|dads|kids|toddlers|baby|parent|children""), ""Par"&amp;"enting"",
  REGEXMATCH(LOWER(VLOOKUP(A155, Data1_Raw_Slack!A:B, 2, FALSE)), ""education|students|learning|school|teachers|college|university|academics""), ""Education"",
  REGEXMATCH(LOWER(VLOOKUP(A155, Data1_Raw_Slack!A:B, 2, FALSE)), ""age|gender|dem"&amp;"ographic|family|household""), ""Demographics"",
  REGEXMATCH(LOWER(VLOOKUP(A155, Data1_Raw_Slack!A:B, 2, FALSE)), ""mortgage|real estate""), ""Real Estate"",REGEXMATCH(LOWER(VLOOKUP(A155, Data1_Raw_Slack!A:B, 2, FALSE)), ""technology|tech|gadgets|smartpho"&amp;"ne|electro|apps|devices|computing|ai|robots|software|computer|internet|tele|mobile|tablet""), ""Technology"", REGEXMATCH(LOWER(VLOOKUP(A155, Data1_Raw_Slack!A:B, 2, FALSE)), ""entertainment|purchas|movies|tv|netflix|streaming|celebrity|movie lovers|tv fan"&amp;"s|media|hobb|photo|art|shop""), ""Entertainment"", REGEXMATCH(LOWER(VLOOKUP(A155, Data1_Raw_Slack!A:B, 2, FALSE)), ""law|government|""), ""Law and Government"",
  TRUE, ""Other""
)"),"Demographics")</f>
        <v>Demographics</v>
      </c>
      <c r="G155" s="9" t="s">
        <v>200</v>
      </c>
      <c r="H155" s="9" t="s">
        <v>44</v>
      </c>
      <c r="I155" s="9" t="s">
        <v>729</v>
      </c>
      <c r="J155" s="9" t="s">
        <v>34</v>
      </c>
      <c r="K155" s="9" t="s">
        <v>142</v>
      </c>
      <c r="L155" s="9" t="s">
        <v>72</v>
      </c>
      <c r="M155" s="10" t="s">
        <v>102</v>
      </c>
      <c r="N155" s="9" t="str">
        <f ca="1">IFERROR(__xludf.DUMMYFUNCTION("REGEXEXTRACT(LOWER(M155), ""([a-z0-9\-]+)\.(?:co|net|org|io|gg)"")"),"cbsnews")</f>
        <v>cbsnews</v>
      </c>
      <c r="O155" s="9" t="s">
        <v>186</v>
      </c>
      <c r="P155" s="9" t="s">
        <v>64</v>
      </c>
      <c r="Q155" s="9">
        <v>13075</v>
      </c>
      <c r="R155" s="9">
        <v>74</v>
      </c>
      <c r="S155" s="9">
        <v>5980</v>
      </c>
      <c r="T155" s="9">
        <v>12114</v>
      </c>
      <c r="U155" s="9">
        <v>15</v>
      </c>
      <c r="V155" s="11">
        <v>1936.1307979999999</v>
      </c>
      <c r="W155" s="12">
        <f t="shared" si="0"/>
        <v>129.07538653333333</v>
      </c>
      <c r="X155" s="12">
        <f t="shared" si="1"/>
        <v>0.56596558317399626</v>
      </c>
      <c r="Y155" s="12">
        <f t="shared" si="2"/>
        <v>45.736137667304014</v>
      </c>
      <c r="Z155" s="12">
        <f t="shared" si="3"/>
        <v>323.7676919732441</v>
      </c>
      <c r="AA155" s="12">
        <f t="shared" si="4"/>
        <v>148.07883732313576</v>
      </c>
      <c r="AB155" s="12">
        <f t="shared" si="5"/>
        <v>26.163929702702703</v>
      </c>
      <c r="AC155" s="12">
        <f t="shared" si="6"/>
        <v>20.27027027027027</v>
      </c>
      <c r="AE155" s="13"/>
      <c r="AF155" s="13"/>
    </row>
    <row r="156" spans="1:32">
      <c r="A156" s="8" t="s">
        <v>730</v>
      </c>
      <c r="B156" s="9" t="s">
        <v>92</v>
      </c>
      <c r="C156" s="9" t="s">
        <v>514</v>
      </c>
      <c r="D156" s="9" t="s">
        <v>465</v>
      </c>
      <c r="E156" s="9"/>
      <c r="F156" s="9" t="str">
        <f ca="1">IFERROR(__xludf.DUMMYFUNCTION("IFS(
  REGEXMATCH(LOWER(VLOOKUP(A156, Data1_Raw_Slack!A:B, 2, FALSE)), ""news|weather""), ""News and Weather"", REGEXMATCH(LOWER(VLOOKUP(A156, Data1_Raw_Slack!A:B, 2, FALSE)), ""sports|ufc|nba|nfl|mlb|soccer|sports fans""), ""Sports"",
  REGEXMATCH(LOWER("&amp;"VLOOKUP(A156, Data1_Raw_Slack!A:B, 2, FALSE)), ""fashion|style|clothing|apparel|shoes|accessories|beauty|cosmetics|fashionistas""), ""Fashion and Beauty"",
  REGEXMATCH(LOWER(VLOOKUP(A156, Data1_Raw_Slack!A:B, 2, FALSE)), ""food|cooking|recipe|restaurant|"&amp;"snack|grocery|foodies""), ""Food"",
  REGEXMATCH(LOWER(VLOOKUP(A156, Data1_Raw_Slack!A:B, 2, FALSE)), ""travel|vacation|airline|hotel|trip|flights|travelers""), ""Travel"",
  REGEXMATCH(LOWER(VLOOKUP(A156, Data1_Raw_Slack!A:B, 2, FALSE)), ""fitness|workou"&amp;"t|gym|exercise|yoga|wellness|fitness enthusiasts""), ""Fitness"",
  REGEXMATCH(LOWER(VLOOKUP(A156, Data1_Raw_Slack!A:B, 2, FALSE)), ""health|medical|pharmacy|mental health|doctor|health-conscious""), ""Health"",
  REGEXMATCH(LOWER(VLOOKUP(A156, Data1_Raw_"&amp;"Slack!A:B, 2, FALSE)), ""pets|dogs|cats|animals|pet care|pet lovers""), ""Pets"",
  REGEXMATCH(LOWER(VLOOKUP(A156, Data1_Raw_Slack!A:B, 2, FALSE)), ""games|gaming|game|xbox|playstation|nintendo|gamers""), ""Gaming"",
  REGEXMATCH(LOWER(VLOOKUP(A156, Data1"&amp;"_Raw_Slack!A:B, 2, FALSE)), ""entertainment|movies|tv|netflix|streaming|celebrity|movie lovers|tv fans|hobb|photo|art""), ""Entertainment"",
  REGEXMATCH(LOWER(VLOOKUP(A156, Data1_Raw_Slack!A:B, 2, FALSE)), ""lifestyle|home|interior|decor|living|lifestyle"&amp;" enthusiasts""), ""Lifestyle"",
  REGEXMATCH(LOWER(VLOOKUP(A156, Data1_Raw_Slack!A:B, 2, FALSE)), ""financial|finance|investing|stocks|retirement|banking|credit|debt|loans|savings|personal finance|insurance|econ|ecom|business|retail|occupation|sale|job|ma"&amp;"rketing""), ""Finance"",
  REGEXMATCH(LOWER(VLOOKUP(A156, Data1_Raw_Slack!A:B, 2, FALSE)), ""auto|automotive""), ""Auto"",
  REGEXMATCH(LOWER(VLOOKUP(A156, Data1_Raw_Slack!A:B, 2, FALSE)), ""parenting|moms|dads|kids|toddlers|baby|parent|children""), ""Par"&amp;"enting"",
  REGEXMATCH(LOWER(VLOOKUP(A156, Data1_Raw_Slack!A:B, 2, FALSE)), ""education|students|learning|school|teachers|college|university|academics""), ""Education"",
  REGEXMATCH(LOWER(VLOOKUP(A156, Data1_Raw_Slack!A:B, 2, FALSE)), ""age|gender|dem"&amp;"ographic|family|household""), ""Demographics"",
  REGEXMATCH(LOWER(VLOOKUP(A156, Data1_Raw_Slack!A:B, 2, FALSE)), ""mortgage|real estate""), ""Real Estate"",REGEXMATCH(LOWER(VLOOKUP(A156, Data1_Raw_Slack!A:B, 2, FALSE)), ""technology|tech|gadgets|smartpho"&amp;"ne|electro|apps|devices|computing|ai|robots|software|computer|internet|tele|mobile|tablet""), ""Technology"", REGEXMATCH(LOWER(VLOOKUP(A156, Data1_Raw_Slack!A:B, 2, FALSE)), ""entertainment|purchas|movies|tv|netflix|streaming|celebrity|movie lovers|tv fan"&amp;"s|media|hobb|photo|art|shop""), ""Entertainment"", REGEXMATCH(LOWER(VLOOKUP(A156, Data1_Raw_Slack!A:B, 2, FALSE)), ""law|government|""), ""Law and Government"",
  TRUE, ""Other""
)"),"Pets")</f>
        <v>Pets</v>
      </c>
      <c r="G156" s="9"/>
      <c r="H156" s="9" t="s">
        <v>32</v>
      </c>
      <c r="I156" s="9" t="s">
        <v>731</v>
      </c>
      <c r="J156" s="9" t="s">
        <v>80</v>
      </c>
      <c r="K156" s="9" t="s">
        <v>148</v>
      </c>
      <c r="L156" s="9" t="s">
        <v>89</v>
      </c>
      <c r="M156" s="10" t="s">
        <v>130</v>
      </c>
      <c r="N156" s="9" t="str">
        <f ca="1">IFERROR(__xludf.DUMMYFUNCTION("REGEXEXTRACT(LOWER(M156), ""([a-z0-9\-]+)\.(?:co|net|org|io|gg)"")"),"weather")</f>
        <v>weather</v>
      </c>
      <c r="O156" s="9" t="s">
        <v>50</v>
      </c>
      <c r="P156" s="9" t="s">
        <v>39</v>
      </c>
      <c r="Q156" s="9">
        <v>68008</v>
      </c>
      <c r="R156" s="9">
        <v>204</v>
      </c>
      <c r="S156" s="9">
        <v>2996</v>
      </c>
      <c r="T156" s="9">
        <v>49686</v>
      </c>
      <c r="U156" s="9">
        <v>9</v>
      </c>
      <c r="V156" s="11">
        <v>1923.808141</v>
      </c>
      <c r="W156" s="12">
        <f t="shared" si="0"/>
        <v>213.7564601111111</v>
      </c>
      <c r="X156" s="12">
        <f t="shared" si="1"/>
        <v>0.29996471003411362</v>
      </c>
      <c r="Y156" s="12">
        <f t="shared" si="2"/>
        <v>4.4053640748147282</v>
      </c>
      <c r="Z156" s="12">
        <f t="shared" si="3"/>
        <v>642.12554773030706</v>
      </c>
      <c r="AA156" s="12">
        <f t="shared" si="4"/>
        <v>28.287968194918246</v>
      </c>
      <c r="AB156" s="12">
        <f t="shared" si="5"/>
        <v>9.4304320637254904</v>
      </c>
      <c r="AC156" s="12">
        <f t="shared" si="6"/>
        <v>4.4117647058823533</v>
      </c>
      <c r="AE156" s="13"/>
      <c r="AF156" s="13"/>
    </row>
    <row r="157" spans="1:32">
      <c r="A157" s="8" t="s">
        <v>732</v>
      </c>
      <c r="B157" s="9" t="s">
        <v>325</v>
      </c>
      <c r="C157" s="9" t="s">
        <v>733</v>
      </c>
      <c r="D157" s="9" t="s">
        <v>734</v>
      </c>
      <c r="E157" s="9"/>
      <c r="F157" s="9" t="str">
        <f ca="1">IFERROR(__xludf.DUMMYFUNCTION("IFS(
  REGEXMATCH(LOWER(VLOOKUP(A157, Data1_Raw_Slack!A:B, 2, FALSE)), ""news|weather""), ""News and Weather"", REGEXMATCH(LOWER(VLOOKUP(A157, Data1_Raw_Slack!A:B, 2, FALSE)), ""sports|ufc|nba|nfl|mlb|soccer|sports fans""), ""Sports"",
  REGEXMATCH(LOWER("&amp;"VLOOKUP(A157, Data1_Raw_Slack!A:B, 2, FALSE)), ""fashion|style|clothing|apparel|shoes|accessories|beauty|cosmetics|fashionistas""), ""Fashion and Beauty"",
  REGEXMATCH(LOWER(VLOOKUP(A157, Data1_Raw_Slack!A:B, 2, FALSE)), ""food|cooking|recipe|restaurant|"&amp;"snack|grocery|foodies""), ""Food"",
  REGEXMATCH(LOWER(VLOOKUP(A157, Data1_Raw_Slack!A:B, 2, FALSE)), ""travel|vacation|airline|hotel|trip|flights|travelers""), ""Travel"",
  REGEXMATCH(LOWER(VLOOKUP(A157, Data1_Raw_Slack!A:B, 2, FALSE)), ""fitness|workou"&amp;"t|gym|exercise|yoga|wellness|fitness enthusiasts""), ""Fitness"",
  REGEXMATCH(LOWER(VLOOKUP(A157, Data1_Raw_Slack!A:B, 2, FALSE)), ""health|medical|pharmacy|mental health|doctor|health-conscious""), ""Health"",
  REGEXMATCH(LOWER(VLOOKUP(A157, Data1_Raw_"&amp;"Slack!A:B, 2, FALSE)), ""pets|dogs|cats|animals|pet care|pet lovers""), ""Pets"",
  REGEXMATCH(LOWER(VLOOKUP(A157, Data1_Raw_Slack!A:B, 2, FALSE)), ""games|gaming|game|xbox|playstation|nintendo|gamers""), ""Gaming"",
  REGEXMATCH(LOWER(VLOOKUP(A157, Data1"&amp;"_Raw_Slack!A:B, 2, FALSE)), ""entertainment|movies|tv|netflix|streaming|celebrity|movie lovers|tv fans|hobb|photo|art""), ""Entertainment"",
  REGEXMATCH(LOWER(VLOOKUP(A157, Data1_Raw_Slack!A:B, 2, FALSE)), ""lifestyle|home|interior|decor|living|lifestyle"&amp;" enthusiasts""), ""Lifestyle"",
  REGEXMATCH(LOWER(VLOOKUP(A157, Data1_Raw_Slack!A:B, 2, FALSE)), ""financial|finance|investing|stocks|retirement|banking|credit|debt|loans|savings|personal finance|insurance|econ|ecom|business|retail|occupation|sale|job|ma"&amp;"rketing""), ""Finance"",
  REGEXMATCH(LOWER(VLOOKUP(A157, Data1_Raw_Slack!A:B, 2, FALSE)), ""auto|automotive""), ""Auto"",
  REGEXMATCH(LOWER(VLOOKUP(A157, Data1_Raw_Slack!A:B, 2, FALSE)), ""parenting|moms|dads|kids|toddlers|baby|parent|children""), ""Par"&amp;"enting"",
  REGEXMATCH(LOWER(VLOOKUP(A157, Data1_Raw_Slack!A:B, 2, FALSE)), ""education|students|learning|school|teachers|college|university|academics""), ""Education"",
  REGEXMATCH(LOWER(VLOOKUP(A157, Data1_Raw_Slack!A:B, 2, FALSE)), ""age|gender|dem"&amp;"ographic|family|household""), ""Demographics"",
  REGEXMATCH(LOWER(VLOOKUP(A157, Data1_Raw_Slack!A:B, 2, FALSE)), ""mortgage|real estate""), ""Real Estate"",REGEXMATCH(LOWER(VLOOKUP(A157, Data1_Raw_Slack!A:B, 2, FALSE)), ""technology|tech|gadgets|smartpho"&amp;"ne|electro|apps|devices|computing|ai|robots|software|computer|internet|tele|mobile|tablet""), ""Technology"", REGEXMATCH(LOWER(VLOOKUP(A157, Data1_Raw_Slack!A:B, 2, FALSE)), ""entertainment|purchas|movies|tv|netflix|streaming|celebrity|movie lovers|tv fan"&amp;"s|media|hobb|photo|art|shop""), ""Entertainment"", REGEXMATCH(LOWER(VLOOKUP(A157, Data1_Raw_Slack!A:B, 2, FALSE)), ""law|government|""), ""Law and Government"",
  TRUE, ""Other""
)"),"Lifestyle")</f>
        <v>Lifestyle</v>
      </c>
      <c r="G157" s="9"/>
      <c r="H157" s="9" t="s">
        <v>32</v>
      </c>
      <c r="I157" s="9" t="s">
        <v>735</v>
      </c>
      <c r="J157" s="9" t="s">
        <v>46</v>
      </c>
      <c r="K157" s="9" t="s">
        <v>176</v>
      </c>
      <c r="L157" s="9" t="s">
        <v>36</v>
      </c>
      <c r="M157" s="10" t="s">
        <v>339</v>
      </c>
      <c r="N157" s="9" t="str">
        <f ca="1">IFERROR(__xludf.DUMMYFUNCTION("REGEXEXTRACT(LOWER(M157), ""([a-z0-9\-]+)\.(?:co|net|org|io|gg)"")"),"foxnews")</f>
        <v>foxnews</v>
      </c>
      <c r="O157" s="9" t="s">
        <v>50</v>
      </c>
      <c r="P157" s="9" t="s">
        <v>39</v>
      </c>
      <c r="Q157" s="9">
        <v>70134</v>
      </c>
      <c r="R157" s="9">
        <v>169</v>
      </c>
      <c r="S157" s="9">
        <v>48862</v>
      </c>
      <c r="T157" s="9">
        <v>66739</v>
      </c>
      <c r="U157" s="9">
        <v>14</v>
      </c>
      <c r="V157" s="11">
        <v>2514.8681160000001</v>
      </c>
      <c r="W157" s="12">
        <f t="shared" si="0"/>
        <v>179.63343685714287</v>
      </c>
      <c r="X157" s="12">
        <f t="shared" si="1"/>
        <v>0.24096729118544499</v>
      </c>
      <c r="Y157" s="12">
        <f t="shared" si="2"/>
        <v>69.669489833746823</v>
      </c>
      <c r="Z157" s="12">
        <f t="shared" si="3"/>
        <v>51.46879202652368</v>
      </c>
      <c r="AA157" s="12">
        <f t="shared" si="4"/>
        <v>35.858044828471215</v>
      </c>
      <c r="AB157" s="12">
        <f t="shared" si="5"/>
        <v>14.880876426035504</v>
      </c>
      <c r="AC157" s="12">
        <f t="shared" si="6"/>
        <v>8.2840236686390547</v>
      </c>
      <c r="AE157" s="13"/>
      <c r="AF157" s="13"/>
    </row>
    <row r="158" spans="1:32">
      <c r="A158" s="8" t="s">
        <v>736</v>
      </c>
      <c r="B158" s="9" t="s">
        <v>521</v>
      </c>
      <c r="C158" s="9" t="s">
        <v>521</v>
      </c>
      <c r="D158" s="9"/>
      <c r="E158" s="9"/>
      <c r="F158" s="9" t="str">
        <f ca="1">IFERROR(__xludf.DUMMYFUNCTION("IFS(
  REGEXMATCH(LOWER(VLOOKUP(A158, Data1_Raw_Slack!A:B, 2, FALSE)), ""news|weather""), ""News and Weather"", REGEXMATCH(LOWER(VLOOKUP(A158, Data1_Raw_Slack!A:B, 2, FALSE)), ""sports|ufc|nba|nfl|mlb|soccer|sports fans""), ""Sports"",
  REGEXMATCH(LOWER("&amp;"VLOOKUP(A158, Data1_Raw_Slack!A:B, 2, FALSE)), ""fashion|style|clothing|apparel|shoes|accessories|beauty|cosmetics|fashionistas""), ""Fashion and Beauty"",
  REGEXMATCH(LOWER(VLOOKUP(A158, Data1_Raw_Slack!A:B, 2, FALSE)), ""food|cooking|recipe|restaurant|"&amp;"snack|grocery|foodies""), ""Food"",
  REGEXMATCH(LOWER(VLOOKUP(A158, Data1_Raw_Slack!A:B, 2, FALSE)), ""travel|vacation|airline|hotel|trip|flights|travelers""), ""Travel"",
  REGEXMATCH(LOWER(VLOOKUP(A158, Data1_Raw_Slack!A:B, 2, FALSE)), ""fitness|workou"&amp;"t|gym|exercise|yoga|wellness|fitness enthusiasts""), ""Fitness"",
  REGEXMATCH(LOWER(VLOOKUP(A158, Data1_Raw_Slack!A:B, 2, FALSE)), ""health|medical|pharmacy|mental health|doctor|health-conscious""), ""Health"",
  REGEXMATCH(LOWER(VLOOKUP(A158, Data1_Raw_"&amp;"Slack!A:B, 2, FALSE)), ""pets|dogs|cats|animals|pet care|pet lovers""), ""Pets"",
  REGEXMATCH(LOWER(VLOOKUP(A158, Data1_Raw_Slack!A:B, 2, FALSE)), ""games|gaming|game|xbox|playstation|nintendo|gamers""), ""Gaming"",
  REGEXMATCH(LOWER(VLOOKUP(A158, Data1"&amp;"_Raw_Slack!A:B, 2, FALSE)), ""entertainment|movies|tv|netflix|streaming|celebrity|movie lovers|tv fans|hobb|photo|art""), ""Entertainment"",
  REGEXMATCH(LOWER(VLOOKUP(A158, Data1_Raw_Slack!A:B, 2, FALSE)), ""lifestyle|home|interior|decor|living|lifestyle"&amp;" enthusiasts""), ""Lifestyle"",
  REGEXMATCH(LOWER(VLOOKUP(A158, Data1_Raw_Slack!A:B, 2, FALSE)), ""financial|finance|investing|stocks|retirement|banking|credit|debt|loans|savings|personal finance|insurance|econ|ecom|business|retail|occupation|sale|job|ma"&amp;"rketing""), ""Finance"",
  REGEXMATCH(LOWER(VLOOKUP(A158, Data1_Raw_Slack!A:B, 2, FALSE)), ""auto|automotive""), ""Auto"",
  REGEXMATCH(LOWER(VLOOKUP(A158, Data1_Raw_Slack!A:B, 2, FALSE)), ""parenting|moms|dads|kids|toddlers|baby|parent|children""), ""Par"&amp;"enting"",
  REGEXMATCH(LOWER(VLOOKUP(A158, Data1_Raw_Slack!A:B, 2, FALSE)), ""education|students|learning|school|teachers|college|university|academics""), ""Education"",
  REGEXMATCH(LOWER(VLOOKUP(A158, Data1_Raw_Slack!A:B, 2, FALSE)), ""age|gender|dem"&amp;"ographic|family|household""), ""Demographics"",
  REGEXMATCH(LOWER(VLOOKUP(A158, Data1_Raw_Slack!A:B, 2, FALSE)), ""mortgage|real estate""), ""Real Estate"",REGEXMATCH(LOWER(VLOOKUP(A158, Data1_Raw_Slack!A:B, 2, FALSE)), ""technology|tech|gadgets|smartpho"&amp;"ne|electro|apps|devices|computing|ai|robots|software|computer|internet|tele|mobile|tablet""), ""Technology"", REGEXMATCH(LOWER(VLOOKUP(A158, Data1_Raw_Slack!A:B, 2, FALSE)), ""entertainment|purchas|movies|tv|netflix|streaming|celebrity|movie lovers|tv fan"&amp;"s|media|hobb|photo|art|shop""), ""Entertainment"", REGEXMATCH(LOWER(VLOOKUP(A158, Data1_Raw_Slack!A:B, 2, FALSE)), ""law|government|""), ""Law and Government"",
  TRUE, ""Other""
)"),"Travel")</f>
        <v>Travel</v>
      </c>
      <c r="G158" s="9"/>
      <c r="H158" s="9" t="s">
        <v>32</v>
      </c>
      <c r="I158" s="9" t="s">
        <v>314</v>
      </c>
      <c r="J158" s="9" t="s">
        <v>80</v>
      </c>
      <c r="K158" s="9" t="s">
        <v>88</v>
      </c>
      <c r="L158" s="9" t="s">
        <v>89</v>
      </c>
      <c r="M158" s="10" t="s">
        <v>737</v>
      </c>
      <c r="N158" s="9" t="str">
        <f ca="1">IFERROR(__xludf.DUMMYFUNCTION("REGEXEXTRACT(LOWER(M158), ""([a-z0-9\-]+)\.(?:co|net|org|io|gg)"")"),"yellowpages")</f>
        <v>yellowpages</v>
      </c>
      <c r="O158" s="9" t="s">
        <v>50</v>
      </c>
      <c r="P158" s="9" t="s">
        <v>39</v>
      </c>
      <c r="Q158" s="9">
        <v>14890</v>
      </c>
      <c r="R158" s="9">
        <v>60</v>
      </c>
      <c r="S158" s="9">
        <v>6248</v>
      </c>
      <c r="T158" s="9">
        <v>11493</v>
      </c>
      <c r="U158" s="9">
        <v>6</v>
      </c>
      <c r="V158" s="11">
        <v>1982.4164840000001</v>
      </c>
      <c r="W158" s="12">
        <f t="shared" si="0"/>
        <v>330.40274733333337</v>
      </c>
      <c r="X158" s="12">
        <f t="shared" si="1"/>
        <v>0.40295500335795831</v>
      </c>
      <c r="Y158" s="12">
        <f t="shared" si="2"/>
        <v>41.961047683008729</v>
      </c>
      <c r="Z158" s="12">
        <f t="shared" si="3"/>
        <v>317.28816965428939</v>
      </c>
      <c r="AA158" s="12">
        <f t="shared" si="4"/>
        <v>133.13744016118201</v>
      </c>
      <c r="AB158" s="12">
        <f t="shared" si="5"/>
        <v>33.040274733333334</v>
      </c>
      <c r="AC158" s="12">
        <f t="shared" si="6"/>
        <v>10</v>
      </c>
      <c r="AE158" s="13"/>
      <c r="AF158" s="13"/>
    </row>
    <row r="159" spans="1:32">
      <c r="A159" s="8" t="s">
        <v>738</v>
      </c>
      <c r="B159" s="9"/>
      <c r="C159" s="9" t="s">
        <v>325</v>
      </c>
      <c r="D159" s="9" t="s">
        <v>572</v>
      </c>
      <c r="E159" s="9" t="s">
        <v>739</v>
      </c>
      <c r="F159" s="9" t="str">
        <f ca="1">IFERROR(__xludf.DUMMYFUNCTION("IFS(
  REGEXMATCH(LOWER(VLOOKUP(A159, Data1_Raw_Slack!A:B, 2, FALSE)), ""news|weather""), ""News and Weather"", REGEXMATCH(LOWER(VLOOKUP(A159, Data1_Raw_Slack!A:B, 2, FALSE)), ""sports|ufc|nba|nfl|mlb|soccer|sports fans""), ""Sports"",
  REGEXMATCH(LOWER("&amp;"VLOOKUP(A159, Data1_Raw_Slack!A:B, 2, FALSE)), ""fashion|style|clothing|apparel|shoes|accessories|beauty|cosmetics|fashionistas""), ""Fashion and Beauty"",
  REGEXMATCH(LOWER(VLOOKUP(A159, Data1_Raw_Slack!A:B, 2, FALSE)), ""food|cooking|recipe|restaurant|"&amp;"snack|grocery|foodies""), ""Food"",
  REGEXMATCH(LOWER(VLOOKUP(A159, Data1_Raw_Slack!A:B, 2, FALSE)), ""travel|vacation|airline|hotel|trip|flights|travelers""), ""Travel"",
  REGEXMATCH(LOWER(VLOOKUP(A159, Data1_Raw_Slack!A:B, 2, FALSE)), ""fitness|workou"&amp;"t|gym|exercise|yoga|wellness|fitness enthusiasts""), ""Fitness"",
  REGEXMATCH(LOWER(VLOOKUP(A159, Data1_Raw_Slack!A:B, 2, FALSE)), ""health|medical|pharmacy|mental health|doctor|health-conscious""), ""Health"",
  REGEXMATCH(LOWER(VLOOKUP(A159, Data1_Raw_"&amp;"Slack!A:B, 2, FALSE)), ""pets|dogs|cats|animals|pet care|pet lovers""), ""Pets"",
  REGEXMATCH(LOWER(VLOOKUP(A159, Data1_Raw_Slack!A:B, 2, FALSE)), ""games|gaming|game|xbox|playstation|nintendo|gamers""), ""Gaming"",
  REGEXMATCH(LOWER(VLOOKUP(A159, Data1"&amp;"_Raw_Slack!A:B, 2, FALSE)), ""entertainment|movies|tv|netflix|streaming|celebrity|movie lovers|tv fans|hobb|photo|art""), ""Entertainment"",
  REGEXMATCH(LOWER(VLOOKUP(A159, Data1_Raw_Slack!A:B, 2, FALSE)), ""lifestyle|home|interior|decor|living|lifestyle"&amp;" enthusiasts""), ""Lifestyle"",
  REGEXMATCH(LOWER(VLOOKUP(A159, Data1_Raw_Slack!A:B, 2, FALSE)), ""financial|finance|investing|stocks|retirement|banking|credit|debt|loans|savings|personal finance|insurance|econ|ecom|business|retail|occupation|sale|job|ma"&amp;"rketing""), ""Finance"",
  REGEXMATCH(LOWER(VLOOKUP(A159, Data1_Raw_Slack!A:B, 2, FALSE)), ""auto|automotive""), ""Auto"",
  REGEXMATCH(LOWER(VLOOKUP(A159, Data1_Raw_Slack!A:B, 2, FALSE)), ""parenting|moms|dads|kids|toddlers|baby|parent|children""), ""Par"&amp;"enting"",
  REGEXMATCH(LOWER(VLOOKUP(A159, Data1_Raw_Slack!A:B, 2, FALSE)), ""education|students|learning|school|teachers|college|university|academics""), ""Education"",
  REGEXMATCH(LOWER(VLOOKUP(A159, Data1_Raw_Slack!A:B, 2, FALSE)), ""age|gender|dem"&amp;"ographic|family|household""), ""Demographics"",
  REGEXMATCH(LOWER(VLOOKUP(A159, Data1_Raw_Slack!A:B, 2, FALSE)), ""mortgage|real estate""), ""Real Estate"",REGEXMATCH(LOWER(VLOOKUP(A159, Data1_Raw_Slack!A:B, 2, FALSE)), ""technology|tech|gadgets|smartpho"&amp;"ne|electro|apps|devices|computing|ai|robots|software|computer|internet|tele|mobile|tablet""), ""Technology"", REGEXMATCH(LOWER(VLOOKUP(A159, Data1_Raw_Slack!A:B, 2, FALSE)), ""entertainment|purchas|movies|tv|netflix|streaming|celebrity|movie lovers|tv fan"&amp;"s|media|hobb|photo|art|shop""), ""Entertainment"", REGEXMATCH(LOWER(VLOOKUP(A159, Data1_Raw_Slack!A:B, 2, FALSE)), ""law|government|""), ""Law and Government"",
  TRUE, ""Other""
)"),"Demographics")</f>
        <v>Demographics</v>
      </c>
      <c r="G159" s="9"/>
      <c r="H159" s="9" t="s">
        <v>32</v>
      </c>
      <c r="I159" s="9" t="s">
        <v>740</v>
      </c>
      <c r="J159" s="9" t="s">
        <v>62</v>
      </c>
      <c r="K159" s="9" t="s">
        <v>88</v>
      </c>
      <c r="L159" s="9" t="s">
        <v>89</v>
      </c>
      <c r="M159" s="10" t="s">
        <v>207</v>
      </c>
      <c r="N159" s="9" t="str">
        <f ca="1">IFERROR(__xludf.DUMMYFUNCTION("REGEXEXTRACT(LOWER(M159), ""([a-z0-9\-]+)\.(?:co|net|org|io|gg)"")"),"realtor")</f>
        <v>realtor</v>
      </c>
      <c r="O159" s="9" t="s">
        <v>103</v>
      </c>
      <c r="P159" s="9" t="s">
        <v>39</v>
      </c>
      <c r="Q159" s="9">
        <v>64577</v>
      </c>
      <c r="R159" s="9">
        <v>240</v>
      </c>
      <c r="S159" s="9">
        <v>37732</v>
      </c>
      <c r="T159" s="9">
        <v>60357</v>
      </c>
      <c r="U159" s="9">
        <v>11</v>
      </c>
      <c r="V159" s="11">
        <v>1801.3491309999999</v>
      </c>
      <c r="W159" s="12">
        <f t="shared" si="0"/>
        <v>163.7590119090909</v>
      </c>
      <c r="X159" s="12">
        <f t="shared" si="1"/>
        <v>0.37164934883937006</v>
      </c>
      <c r="Y159" s="12">
        <f t="shared" si="2"/>
        <v>58.429471793362964</v>
      </c>
      <c r="Z159" s="12">
        <f t="shared" si="3"/>
        <v>47.740621514894521</v>
      </c>
      <c r="AA159" s="12">
        <f t="shared" si="4"/>
        <v>27.894592982021464</v>
      </c>
      <c r="AB159" s="12">
        <f t="shared" si="5"/>
        <v>7.5056213791666666</v>
      </c>
      <c r="AC159" s="12">
        <f t="shared" si="6"/>
        <v>4.583333333333333</v>
      </c>
      <c r="AE159" s="13"/>
      <c r="AF159" s="13"/>
    </row>
    <row r="160" spans="1:32">
      <c r="A160" s="8" t="s">
        <v>741</v>
      </c>
      <c r="B160" s="9" t="s">
        <v>41</v>
      </c>
      <c r="C160" s="9" t="s">
        <v>209</v>
      </c>
      <c r="D160" s="9" t="s">
        <v>742</v>
      </c>
      <c r="E160" s="9"/>
      <c r="F160" s="9" t="str">
        <f ca="1">IFERROR(__xludf.DUMMYFUNCTION("IFS(
  REGEXMATCH(LOWER(VLOOKUP(A160, Data1_Raw_Slack!A:B, 2, FALSE)), ""news|weather""), ""News and Weather"", REGEXMATCH(LOWER(VLOOKUP(A160, Data1_Raw_Slack!A:B, 2, FALSE)), ""sports|ufc|nba|nfl|mlb|soccer|sports fans""), ""Sports"",
  REGEXMATCH(LOWER("&amp;"VLOOKUP(A160, Data1_Raw_Slack!A:B, 2, FALSE)), ""fashion|style|clothing|apparel|shoes|accessories|beauty|cosmetics|fashionistas""), ""Fashion and Beauty"",
  REGEXMATCH(LOWER(VLOOKUP(A160, Data1_Raw_Slack!A:B, 2, FALSE)), ""food|cooking|recipe|restaurant|"&amp;"snack|grocery|foodies""), ""Food"",
  REGEXMATCH(LOWER(VLOOKUP(A160, Data1_Raw_Slack!A:B, 2, FALSE)), ""travel|vacation|airline|hotel|trip|flights|travelers""), ""Travel"",
  REGEXMATCH(LOWER(VLOOKUP(A160, Data1_Raw_Slack!A:B, 2, FALSE)), ""fitness|workou"&amp;"t|gym|exercise|yoga|wellness|fitness enthusiasts""), ""Fitness"",
  REGEXMATCH(LOWER(VLOOKUP(A160, Data1_Raw_Slack!A:B, 2, FALSE)), ""health|medical|pharmacy|mental health|doctor|health-conscious""), ""Health"",
  REGEXMATCH(LOWER(VLOOKUP(A160, Data1_Raw_"&amp;"Slack!A:B, 2, FALSE)), ""pets|dogs|cats|animals|pet care|pet lovers""), ""Pets"",
  REGEXMATCH(LOWER(VLOOKUP(A160, Data1_Raw_Slack!A:B, 2, FALSE)), ""games|gaming|game|xbox|playstation|nintendo|gamers""), ""Gaming"",
  REGEXMATCH(LOWER(VLOOKUP(A160, Data1"&amp;"_Raw_Slack!A:B, 2, FALSE)), ""entertainment|movies|tv|netflix|streaming|celebrity|movie lovers|tv fans|hobb|photo|art""), ""Entertainment"",
  REGEXMATCH(LOWER(VLOOKUP(A160, Data1_Raw_Slack!A:B, 2, FALSE)), ""lifestyle|home|interior|decor|living|lifestyle"&amp;" enthusiasts""), ""Lifestyle"",
  REGEXMATCH(LOWER(VLOOKUP(A160, Data1_Raw_Slack!A:B, 2, FALSE)), ""financial|finance|investing|stocks|retirement|banking|credit|debt|loans|savings|personal finance|insurance|econ|ecom|business|retail|occupation|sale|job|ma"&amp;"rketing""), ""Finance"",
  REGEXMATCH(LOWER(VLOOKUP(A160, Data1_Raw_Slack!A:B, 2, FALSE)), ""auto|automotive""), ""Auto"",
  REGEXMATCH(LOWER(VLOOKUP(A160, Data1_Raw_Slack!A:B, 2, FALSE)), ""parenting|moms|dads|kids|toddlers|baby|parent|children""), ""Par"&amp;"enting"",
  REGEXMATCH(LOWER(VLOOKUP(A160, Data1_Raw_Slack!A:B, 2, FALSE)), ""education|students|learning|school|teachers|college|university|academics""), ""Education"",
  REGEXMATCH(LOWER(VLOOKUP(A160, Data1_Raw_Slack!A:B, 2, FALSE)), ""age|gender|dem"&amp;"ographic|family|household""), ""Demographics"",
  REGEXMATCH(LOWER(VLOOKUP(A160, Data1_Raw_Slack!A:B, 2, FALSE)), ""mortgage|real estate""), ""Real Estate"",REGEXMATCH(LOWER(VLOOKUP(A160, Data1_Raw_Slack!A:B, 2, FALSE)), ""technology|tech|gadgets|smartpho"&amp;"ne|electro|apps|devices|computing|ai|robots|software|computer|internet|tele|mobile|tablet""), ""Technology"", REGEXMATCH(LOWER(VLOOKUP(A160, Data1_Raw_Slack!A:B, 2, FALSE)), ""entertainment|purchas|movies|tv|netflix|streaming|celebrity|movie lovers|tv fan"&amp;"s|media|hobb|photo|art|shop""), ""Entertainment"", REGEXMATCH(LOWER(VLOOKUP(A160, Data1_Raw_Slack!A:B, 2, FALSE)), ""law|government|""), ""Law and Government"",
  TRUE, ""Other""
)"),"Finance")</f>
        <v>Finance</v>
      </c>
      <c r="G160" s="9" t="s">
        <v>209</v>
      </c>
      <c r="H160" s="9" t="s">
        <v>32</v>
      </c>
      <c r="I160" s="9" t="s">
        <v>743</v>
      </c>
      <c r="J160" s="9" t="s">
        <v>46</v>
      </c>
      <c r="K160" s="9" t="s">
        <v>236</v>
      </c>
      <c r="L160" s="9" t="s">
        <v>82</v>
      </c>
      <c r="M160" s="10" t="s">
        <v>744</v>
      </c>
      <c r="N160" s="9" t="str">
        <f ca="1">IFERROR(__xludf.DUMMYFUNCTION("REGEXEXTRACT(LOWER(M160), ""([a-z0-9\-]+)\.(?:co|net|org|io|gg)"")"),"miamiherald")</f>
        <v>miamiherald</v>
      </c>
      <c r="O160" s="9" t="s">
        <v>50</v>
      </c>
      <c r="P160" s="9" t="s">
        <v>39</v>
      </c>
      <c r="Q160" s="9">
        <v>38735</v>
      </c>
      <c r="R160" s="9">
        <v>114</v>
      </c>
      <c r="S160" s="9">
        <v>28719</v>
      </c>
      <c r="T160" s="9">
        <v>36629</v>
      </c>
      <c r="U160" s="9">
        <v>4</v>
      </c>
      <c r="V160" s="11">
        <v>2127.8240660000001</v>
      </c>
      <c r="W160" s="12">
        <f t="shared" si="0"/>
        <v>531.95601650000003</v>
      </c>
      <c r="X160" s="12">
        <f t="shared" si="1"/>
        <v>0.29430747386084938</v>
      </c>
      <c r="Y160" s="12">
        <f t="shared" si="2"/>
        <v>74.142248612366075</v>
      </c>
      <c r="Z160" s="12">
        <f t="shared" si="3"/>
        <v>74.091161461053659</v>
      </c>
      <c r="AA160" s="12">
        <f t="shared" si="4"/>
        <v>54.93285313024397</v>
      </c>
      <c r="AB160" s="12">
        <f t="shared" si="5"/>
        <v>18.665123385964915</v>
      </c>
      <c r="AC160" s="12">
        <f t="shared" si="6"/>
        <v>3.5087719298245612</v>
      </c>
      <c r="AE160" s="13"/>
      <c r="AF160" s="13"/>
    </row>
    <row r="161" spans="1:32">
      <c r="A161" s="8" t="s">
        <v>745</v>
      </c>
      <c r="B161" s="9" t="s">
        <v>41</v>
      </c>
      <c r="C161" s="9" t="s">
        <v>127</v>
      </c>
      <c r="D161" s="9" t="s">
        <v>746</v>
      </c>
      <c r="E161" s="9" t="s">
        <v>747</v>
      </c>
      <c r="F161" s="9" t="str">
        <f ca="1">IFERROR(__xludf.DUMMYFUNCTION("IFS(
  REGEXMATCH(LOWER(VLOOKUP(A161, Data1_Raw_Slack!A:B, 2, FALSE)), ""news|weather""), ""News and Weather"", REGEXMATCH(LOWER(VLOOKUP(A161, Data1_Raw_Slack!A:B, 2, FALSE)), ""sports|ufc|nba|nfl|mlb|soccer|sports fans""), ""Sports"",
  REGEXMATCH(LOWER("&amp;"VLOOKUP(A161, Data1_Raw_Slack!A:B, 2, FALSE)), ""fashion|style|clothing|apparel|shoes|accessories|beauty|cosmetics|fashionistas""), ""Fashion and Beauty"",
  REGEXMATCH(LOWER(VLOOKUP(A161, Data1_Raw_Slack!A:B, 2, FALSE)), ""food|cooking|recipe|restaurant|"&amp;"snack|grocery|foodies""), ""Food"",
  REGEXMATCH(LOWER(VLOOKUP(A161, Data1_Raw_Slack!A:B, 2, FALSE)), ""travel|vacation|airline|hotel|trip|flights|travelers""), ""Travel"",
  REGEXMATCH(LOWER(VLOOKUP(A161, Data1_Raw_Slack!A:B, 2, FALSE)), ""fitness|workou"&amp;"t|gym|exercise|yoga|wellness|fitness enthusiasts""), ""Fitness"",
  REGEXMATCH(LOWER(VLOOKUP(A161, Data1_Raw_Slack!A:B, 2, FALSE)), ""health|medical|pharmacy|mental health|doctor|health-conscious""), ""Health"",
  REGEXMATCH(LOWER(VLOOKUP(A161, Data1_Raw_"&amp;"Slack!A:B, 2, FALSE)), ""pets|dogs|cats|animals|pet care|pet lovers""), ""Pets"",
  REGEXMATCH(LOWER(VLOOKUP(A161, Data1_Raw_Slack!A:B, 2, FALSE)), ""games|gaming|game|xbox|playstation|nintendo|gamers""), ""Gaming"",
  REGEXMATCH(LOWER(VLOOKUP(A161, Data1"&amp;"_Raw_Slack!A:B, 2, FALSE)), ""entertainment|movies|tv|netflix|streaming|celebrity|movie lovers|tv fans|hobb|photo|art""), ""Entertainment"",
  REGEXMATCH(LOWER(VLOOKUP(A161, Data1_Raw_Slack!A:B, 2, FALSE)), ""lifestyle|home|interior|decor|living|lifestyle"&amp;" enthusiasts""), ""Lifestyle"",
  REGEXMATCH(LOWER(VLOOKUP(A161, Data1_Raw_Slack!A:B, 2, FALSE)), ""financial|finance|investing|stocks|retirement|banking|credit|debt|loans|savings|personal finance|insurance|econ|ecom|business|retail|occupation|sale|job|ma"&amp;"rketing""), ""Finance"",
  REGEXMATCH(LOWER(VLOOKUP(A161, Data1_Raw_Slack!A:B, 2, FALSE)), ""auto|automotive""), ""Auto"",
  REGEXMATCH(LOWER(VLOOKUP(A161, Data1_Raw_Slack!A:B, 2, FALSE)), ""parenting|moms|dads|kids|toddlers|baby|parent|children""), ""Par"&amp;"enting"",
  REGEXMATCH(LOWER(VLOOKUP(A161, Data1_Raw_Slack!A:B, 2, FALSE)), ""education|students|learning|school|teachers|college|university|academics""), ""Education"",
  REGEXMATCH(LOWER(VLOOKUP(A161, Data1_Raw_Slack!A:B, 2, FALSE)), ""age|gender|dem"&amp;"ographic|family|household""), ""Demographics"",
  REGEXMATCH(LOWER(VLOOKUP(A161, Data1_Raw_Slack!A:B, 2, FALSE)), ""mortgage|real estate""), ""Real Estate"",REGEXMATCH(LOWER(VLOOKUP(A161, Data1_Raw_Slack!A:B, 2, FALSE)), ""technology|tech|gadgets|smartpho"&amp;"ne|electro|apps|devices|computing|ai|robots|software|computer|internet|tele|mobile|tablet""), ""Technology"", REGEXMATCH(LOWER(VLOOKUP(A161, Data1_Raw_Slack!A:B, 2, FALSE)), ""entertainment|purchas|movies|tv|netflix|streaming|celebrity|movie lovers|tv fan"&amp;"s|media|hobb|photo|art|shop""), ""Entertainment"", REGEXMATCH(LOWER(VLOOKUP(A161, Data1_Raw_Slack!A:B, 2, FALSE)), ""law|government|""), ""Law and Government"",
  TRUE, ""Other""
)"),"Finance")</f>
        <v>Finance</v>
      </c>
      <c r="G161" s="9" t="s">
        <v>127</v>
      </c>
      <c r="H161" s="9" t="s">
        <v>32</v>
      </c>
      <c r="I161" s="9" t="s">
        <v>748</v>
      </c>
      <c r="J161" s="9" t="s">
        <v>80</v>
      </c>
      <c r="K161" s="9" t="s">
        <v>148</v>
      </c>
      <c r="L161" s="9" t="s">
        <v>89</v>
      </c>
      <c r="M161" s="10" t="s">
        <v>749</v>
      </c>
      <c r="N161" s="9" t="str">
        <f ca="1">IFERROR(__xludf.DUMMYFUNCTION("REGEXEXTRACT(LOWER(M161), ""([a-z0-9\-]+)\.(?:co|net|org|io|gg)"")"),"dailyhodl")</f>
        <v>dailyhodl</v>
      </c>
      <c r="O161" s="9" t="s">
        <v>109</v>
      </c>
      <c r="P161" s="9" t="s">
        <v>39</v>
      </c>
      <c r="Q161" s="9">
        <v>39212</v>
      </c>
      <c r="R161" s="9">
        <v>260</v>
      </c>
      <c r="S161" s="9">
        <v>31317</v>
      </c>
      <c r="T161" s="9">
        <v>37660</v>
      </c>
      <c r="U161" s="9">
        <v>1</v>
      </c>
      <c r="V161" s="11">
        <v>3621.4177030000001</v>
      </c>
      <c r="W161" s="12">
        <f t="shared" si="0"/>
        <v>3621.4177030000001</v>
      </c>
      <c r="X161" s="12">
        <f t="shared" si="1"/>
        <v>0.6630623278588188</v>
      </c>
      <c r="Y161" s="12">
        <f t="shared" si="2"/>
        <v>79.865857390594712</v>
      </c>
      <c r="Z161" s="12">
        <f t="shared" si="3"/>
        <v>115.63743982501518</v>
      </c>
      <c r="AA161" s="12">
        <f t="shared" si="4"/>
        <v>92.354832780781393</v>
      </c>
      <c r="AB161" s="12">
        <f t="shared" si="5"/>
        <v>13.928529626923078</v>
      </c>
      <c r="AC161" s="12">
        <f t="shared" si="6"/>
        <v>0.38461538461538464</v>
      </c>
      <c r="AE161" s="13"/>
      <c r="AF161" s="13"/>
    </row>
    <row r="162" spans="1:32">
      <c r="A162" s="8" t="s">
        <v>750</v>
      </c>
      <c r="B162" s="9" t="s">
        <v>41</v>
      </c>
      <c r="C162" s="9" t="s">
        <v>209</v>
      </c>
      <c r="D162" s="9" t="s">
        <v>751</v>
      </c>
      <c r="E162" s="9"/>
      <c r="F162" s="9" t="str">
        <f ca="1">IFERROR(__xludf.DUMMYFUNCTION("IFS(
  REGEXMATCH(LOWER(VLOOKUP(A162, Data1_Raw_Slack!A:B, 2, FALSE)), ""news|weather""), ""News and Weather"", REGEXMATCH(LOWER(VLOOKUP(A162, Data1_Raw_Slack!A:B, 2, FALSE)), ""sports|ufc|nba|nfl|mlb|soccer|sports fans""), ""Sports"",
  REGEXMATCH(LOWER("&amp;"VLOOKUP(A162, Data1_Raw_Slack!A:B, 2, FALSE)), ""fashion|style|clothing|apparel|shoes|accessories|beauty|cosmetics|fashionistas""), ""Fashion and Beauty"",
  REGEXMATCH(LOWER(VLOOKUP(A162, Data1_Raw_Slack!A:B, 2, FALSE)), ""food|cooking|recipe|restaurant|"&amp;"snack|grocery|foodies""), ""Food"",
  REGEXMATCH(LOWER(VLOOKUP(A162, Data1_Raw_Slack!A:B, 2, FALSE)), ""travel|vacation|airline|hotel|trip|flights|travelers""), ""Travel"",
  REGEXMATCH(LOWER(VLOOKUP(A162, Data1_Raw_Slack!A:B, 2, FALSE)), ""fitness|workou"&amp;"t|gym|exercise|yoga|wellness|fitness enthusiasts""), ""Fitness"",
  REGEXMATCH(LOWER(VLOOKUP(A162, Data1_Raw_Slack!A:B, 2, FALSE)), ""health|medical|pharmacy|mental health|doctor|health-conscious""), ""Health"",
  REGEXMATCH(LOWER(VLOOKUP(A162, Data1_Raw_"&amp;"Slack!A:B, 2, FALSE)), ""pets|dogs|cats|animals|pet care|pet lovers""), ""Pets"",
  REGEXMATCH(LOWER(VLOOKUP(A162, Data1_Raw_Slack!A:B, 2, FALSE)), ""games|gaming|game|xbox|playstation|nintendo|gamers""), ""Gaming"",
  REGEXMATCH(LOWER(VLOOKUP(A162, Data1"&amp;"_Raw_Slack!A:B, 2, FALSE)), ""entertainment|movies|tv|netflix|streaming|celebrity|movie lovers|tv fans|hobb|photo|art""), ""Entertainment"",
  REGEXMATCH(LOWER(VLOOKUP(A162, Data1_Raw_Slack!A:B, 2, FALSE)), ""lifestyle|home|interior|decor|living|lifestyle"&amp;" enthusiasts""), ""Lifestyle"",
  REGEXMATCH(LOWER(VLOOKUP(A162, Data1_Raw_Slack!A:B, 2, FALSE)), ""financial|finance|investing|stocks|retirement|banking|credit|debt|loans|savings|personal finance|insurance|econ|ecom|business|retail|occupation|sale|job|ma"&amp;"rketing""), ""Finance"",
  REGEXMATCH(LOWER(VLOOKUP(A162, Data1_Raw_Slack!A:B, 2, FALSE)), ""auto|automotive""), ""Auto"",
  REGEXMATCH(LOWER(VLOOKUP(A162, Data1_Raw_Slack!A:B, 2, FALSE)), ""parenting|moms|dads|kids|toddlers|baby|parent|children""), ""Par"&amp;"enting"",
  REGEXMATCH(LOWER(VLOOKUP(A162, Data1_Raw_Slack!A:B, 2, FALSE)), ""education|students|learning|school|teachers|college|university|academics""), ""Education"",
  REGEXMATCH(LOWER(VLOOKUP(A162, Data1_Raw_Slack!A:B, 2, FALSE)), ""age|gender|dem"&amp;"ographic|family|household""), ""Demographics"",
  REGEXMATCH(LOWER(VLOOKUP(A162, Data1_Raw_Slack!A:B, 2, FALSE)), ""mortgage|real estate""), ""Real Estate"",REGEXMATCH(LOWER(VLOOKUP(A162, Data1_Raw_Slack!A:B, 2, FALSE)), ""technology|tech|gadgets|smartpho"&amp;"ne|electro|apps|devices|computing|ai|robots|software|computer|internet|tele|mobile|tablet""), ""Technology"", REGEXMATCH(LOWER(VLOOKUP(A162, Data1_Raw_Slack!A:B, 2, FALSE)), ""entertainment|purchas|movies|tv|netflix|streaming|celebrity|movie lovers|tv fan"&amp;"s|media|hobb|photo|art|shop""), ""Entertainment"", REGEXMATCH(LOWER(VLOOKUP(A162, Data1_Raw_Slack!A:B, 2, FALSE)), ""law|government|""), ""Law and Government"",
  TRUE, ""Other""
)"),"Finance")</f>
        <v>Finance</v>
      </c>
      <c r="G162" s="9" t="s">
        <v>209</v>
      </c>
      <c r="H162" s="9" t="s">
        <v>44</v>
      </c>
      <c r="I162" s="9" t="s">
        <v>55</v>
      </c>
      <c r="J162" s="9" t="s">
        <v>62</v>
      </c>
      <c r="K162" s="9" t="s">
        <v>236</v>
      </c>
      <c r="L162" s="9" t="s">
        <v>82</v>
      </c>
      <c r="M162" s="10" t="s">
        <v>484</v>
      </c>
      <c r="N162" s="9" t="str">
        <f ca="1">IFERROR(__xludf.DUMMYFUNCTION("REGEXEXTRACT(LOWER(M162), ""([a-z0-9\-]+)\.(?:co|net|org|io|gg)"")"),"whatismyipaddress")</f>
        <v>whatismyipaddress</v>
      </c>
      <c r="O162" s="9" t="s">
        <v>50</v>
      </c>
      <c r="P162" s="9" t="s">
        <v>64</v>
      </c>
      <c r="Q162" s="9">
        <v>7447</v>
      </c>
      <c r="R162" s="9">
        <v>10</v>
      </c>
      <c r="S162" s="9">
        <v>4163</v>
      </c>
      <c r="T162" s="9">
        <v>5586</v>
      </c>
      <c r="U162" s="9">
        <v>19</v>
      </c>
      <c r="V162" s="11">
        <v>3311.9412459999999</v>
      </c>
      <c r="W162" s="12">
        <f t="shared" si="0"/>
        <v>174.31269715789472</v>
      </c>
      <c r="X162" s="12">
        <f t="shared" si="1"/>
        <v>0.13428226131328053</v>
      </c>
      <c r="Y162" s="12">
        <f t="shared" si="2"/>
        <v>55.901705384718682</v>
      </c>
      <c r="Z162" s="12">
        <f t="shared" si="3"/>
        <v>795.56599711746333</v>
      </c>
      <c r="AA162" s="12">
        <f t="shared" si="4"/>
        <v>444.73495984960385</v>
      </c>
      <c r="AB162" s="12">
        <f t="shared" si="5"/>
        <v>331.19412460000001</v>
      </c>
      <c r="AC162" s="12">
        <f t="shared" si="6"/>
        <v>190</v>
      </c>
      <c r="AE162" s="13"/>
      <c r="AF162" s="13"/>
    </row>
    <row r="163" spans="1:32">
      <c r="A163" s="8" t="s">
        <v>752</v>
      </c>
      <c r="B163" s="9" t="s">
        <v>41</v>
      </c>
      <c r="C163" s="9" t="s">
        <v>85</v>
      </c>
      <c r="D163" s="9" t="s">
        <v>753</v>
      </c>
      <c r="E163" s="9"/>
      <c r="F163" s="9" t="str">
        <f ca="1">IFERROR(__xludf.DUMMYFUNCTION("IFS(
  REGEXMATCH(LOWER(VLOOKUP(A163, Data1_Raw_Slack!A:B, 2, FALSE)), ""news|weather""), ""News and Weather"", REGEXMATCH(LOWER(VLOOKUP(A163, Data1_Raw_Slack!A:B, 2, FALSE)), ""sports|ufc|nba|nfl|mlb|soccer|sports fans""), ""Sports"",
  REGEXMATCH(LOWER("&amp;"VLOOKUP(A163, Data1_Raw_Slack!A:B, 2, FALSE)), ""fashion|style|clothing|apparel|shoes|accessories|beauty|cosmetics|fashionistas""), ""Fashion and Beauty"",
  REGEXMATCH(LOWER(VLOOKUP(A163, Data1_Raw_Slack!A:B, 2, FALSE)), ""food|cooking|recipe|restaurant|"&amp;"snack|grocery|foodies""), ""Food"",
  REGEXMATCH(LOWER(VLOOKUP(A163, Data1_Raw_Slack!A:B, 2, FALSE)), ""travel|vacation|airline|hotel|trip|flights|travelers""), ""Travel"",
  REGEXMATCH(LOWER(VLOOKUP(A163, Data1_Raw_Slack!A:B, 2, FALSE)), ""fitness|workou"&amp;"t|gym|exercise|yoga|wellness|fitness enthusiasts""), ""Fitness"",
  REGEXMATCH(LOWER(VLOOKUP(A163, Data1_Raw_Slack!A:B, 2, FALSE)), ""health|medical|pharmacy|mental health|doctor|health-conscious""), ""Health"",
  REGEXMATCH(LOWER(VLOOKUP(A163, Data1_Raw_"&amp;"Slack!A:B, 2, FALSE)), ""pets|dogs|cats|animals|pet care|pet lovers""), ""Pets"",
  REGEXMATCH(LOWER(VLOOKUP(A163, Data1_Raw_Slack!A:B, 2, FALSE)), ""games|gaming|game|xbox|playstation|nintendo|gamers""), ""Gaming"",
  REGEXMATCH(LOWER(VLOOKUP(A163, Data1"&amp;"_Raw_Slack!A:B, 2, FALSE)), ""entertainment|movies|tv|netflix|streaming|celebrity|movie lovers|tv fans|hobb|photo|art""), ""Entertainment"",
  REGEXMATCH(LOWER(VLOOKUP(A163, Data1_Raw_Slack!A:B, 2, FALSE)), ""lifestyle|home|interior|decor|living|lifestyle"&amp;" enthusiasts""), ""Lifestyle"",
  REGEXMATCH(LOWER(VLOOKUP(A163, Data1_Raw_Slack!A:B, 2, FALSE)), ""financial|finance|investing|stocks|retirement|banking|credit|debt|loans|savings|personal finance|insurance|econ|ecom|business|retail|occupation|sale|job|ma"&amp;"rketing""), ""Finance"",
  REGEXMATCH(LOWER(VLOOKUP(A163, Data1_Raw_Slack!A:B, 2, FALSE)), ""auto|automotive""), ""Auto"",
  REGEXMATCH(LOWER(VLOOKUP(A163, Data1_Raw_Slack!A:B, 2, FALSE)), ""parenting|moms|dads|kids|toddlers|baby|parent|children""), ""Par"&amp;"enting"",
  REGEXMATCH(LOWER(VLOOKUP(A163, Data1_Raw_Slack!A:B, 2, FALSE)), ""education|students|learning|school|teachers|college|university|academics""), ""Education"",
  REGEXMATCH(LOWER(VLOOKUP(A163, Data1_Raw_Slack!A:B, 2, FALSE)), ""age|gender|dem"&amp;"ographic|family|household""), ""Demographics"",
  REGEXMATCH(LOWER(VLOOKUP(A163, Data1_Raw_Slack!A:B, 2, FALSE)), ""mortgage|real estate""), ""Real Estate"",REGEXMATCH(LOWER(VLOOKUP(A163, Data1_Raw_Slack!A:B, 2, FALSE)), ""technology|tech|gadgets|smartpho"&amp;"ne|electro|apps|devices|computing|ai|robots|software|computer|internet|tele|mobile|tablet""), ""Technology"", REGEXMATCH(LOWER(VLOOKUP(A163, Data1_Raw_Slack!A:B, 2, FALSE)), ""entertainment|purchas|movies|tv|netflix|streaming|celebrity|movie lovers|tv fan"&amp;"s|media|hobb|photo|art|shop""), ""Entertainment"", REGEXMATCH(LOWER(VLOOKUP(A163, Data1_Raw_Slack!A:B, 2, FALSE)), ""law|government|""), ""Law and Government"",
  TRUE, ""Other""
)"),"Travel")</f>
        <v>Travel</v>
      </c>
      <c r="G163" s="9" t="s">
        <v>85</v>
      </c>
      <c r="H163" s="9" t="s">
        <v>44</v>
      </c>
      <c r="I163" s="9" t="s">
        <v>754</v>
      </c>
      <c r="J163" s="9" t="s">
        <v>34</v>
      </c>
      <c r="K163" s="9" t="s">
        <v>56</v>
      </c>
      <c r="L163" s="9" t="s">
        <v>57</v>
      </c>
      <c r="M163" s="10" t="s">
        <v>755</v>
      </c>
      <c r="N163" s="9" t="str">
        <f ca="1">IFERROR(__xludf.DUMMYFUNCTION("REGEXEXTRACT(LOWER(M163), ""([a-z0-9\-]+)\.(?:co|net|org|io|gg)"")"),"gamerant")</f>
        <v>gamerant</v>
      </c>
      <c r="O163" s="9" t="s">
        <v>50</v>
      </c>
      <c r="P163" s="9" t="s">
        <v>39</v>
      </c>
      <c r="Q163" s="9">
        <v>17770</v>
      </c>
      <c r="R163" s="9">
        <v>70</v>
      </c>
      <c r="S163" s="9">
        <v>12771</v>
      </c>
      <c r="T163" s="9">
        <v>16749</v>
      </c>
      <c r="U163" s="9">
        <v>9</v>
      </c>
      <c r="V163" s="11">
        <v>5195.2346770000004</v>
      </c>
      <c r="W163" s="12">
        <f t="shared" si="0"/>
        <v>577.24829744444446</v>
      </c>
      <c r="X163" s="12">
        <f t="shared" si="1"/>
        <v>0.39392234102419804</v>
      </c>
      <c r="Y163" s="12">
        <f t="shared" si="2"/>
        <v>71.868317388857633</v>
      </c>
      <c r="Z163" s="12">
        <f t="shared" si="3"/>
        <v>406.79936394957326</v>
      </c>
      <c r="AA163" s="12">
        <f t="shared" si="4"/>
        <v>292.35985801913341</v>
      </c>
      <c r="AB163" s="12">
        <f t="shared" si="5"/>
        <v>74.217638242857149</v>
      </c>
      <c r="AC163" s="12">
        <f t="shared" si="6"/>
        <v>12.857142857142856</v>
      </c>
      <c r="AE163" s="13"/>
      <c r="AF163" s="13"/>
    </row>
    <row r="164" spans="1:32">
      <c r="A164" s="8" t="s">
        <v>756</v>
      </c>
      <c r="B164" s="9" t="s">
        <v>92</v>
      </c>
      <c r="C164" s="9" t="s">
        <v>757</v>
      </c>
      <c r="D164" s="9"/>
      <c r="E164" s="9"/>
      <c r="F164" s="9" t="str">
        <f ca="1">IFERROR(__xludf.DUMMYFUNCTION("IFS(
  REGEXMATCH(LOWER(VLOOKUP(A164, Data1_Raw_Slack!A:B, 2, FALSE)), ""news|weather""), ""News and Weather"", REGEXMATCH(LOWER(VLOOKUP(A164, Data1_Raw_Slack!A:B, 2, FALSE)), ""sports|ufc|nba|nfl|mlb|soccer|sports fans""), ""Sports"",
  REGEXMATCH(LOWER("&amp;"VLOOKUP(A164, Data1_Raw_Slack!A:B, 2, FALSE)), ""fashion|style|clothing|apparel|shoes|accessories|beauty|cosmetics|fashionistas""), ""Fashion and Beauty"",
  REGEXMATCH(LOWER(VLOOKUP(A164, Data1_Raw_Slack!A:B, 2, FALSE)), ""food|cooking|recipe|restaurant|"&amp;"snack|grocery|foodies""), ""Food"",
  REGEXMATCH(LOWER(VLOOKUP(A164, Data1_Raw_Slack!A:B, 2, FALSE)), ""travel|vacation|airline|hotel|trip|flights|travelers""), ""Travel"",
  REGEXMATCH(LOWER(VLOOKUP(A164, Data1_Raw_Slack!A:B, 2, FALSE)), ""fitness|workou"&amp;"t|gym|exercise|yoga|wellness|fitness enthusiasts""), ""Fitness"",
  REGEXMATCH(LOWER(VLOOKUP(A164, Data1_Raw_Slack!A:B, 2, FALSE)), ""health|medical|pharmacy|mental health|doctor|health-conscious""), ""Health"",
  REGEXMATCH(LOWER(VLOOKUP(A164, Data1_Raw_"&amp;"Slack!A:B, 2, FALSE)), ""pets|dogs|cats|animals|pet care|pet lovers""), ""Pets"",
  REGEXMATCH(LOWER(VLOOKUP(A164, Data1_Raw_Slack!A:B, 2, FALSE)), ""games|gaming|game|xbox|playstation|nintendo|gamers""), ""Gaming"",
  REGEXMATCH(LOWER(VLOOKUP(A164, Data1"&amp;"_Raw_Slack!A:B, 2, FALSE)), ""entertainment|movies|tv|netflix|streaming|celebrity|movie lovers|tv fans|hobb|photo|art""), ""Entertainment"",
  REGEXMATCH(LOWER(VLOOKUP(A164, Data1_Raw_Slack!A:B, 2, FALSE)), ""lifestyle|home|interior|decor|living|lifestyle"&amp;" enthusiasts""), ""Lifestyle"",
  REGEXMATCH(LOWER(VLOOKUP(A164, Data1_Raw_Slack!A:B, 2, FALSE)), ""financial|finance|investing|stocks|retirement|banking|credit|debt|loans|savings|personal finance|insurance|econ|ecom|business|retail|occupation|sale|job|ma"&amp;"rketing""), ""Finance"",
  REGEXMATCH(LOWER(VLOOKUP(A164, Data1_Raw_Slack!A:B, 2, FALSE)), ""auto|automotive""), ""Auto"",
  REGEXMATCH(LOWER(VLOOKUP(A164, Data1_Raw_Slack!A:B, 2, FALSE)), ""parenting|moms|dads|kids|toddlers|baby|parent|children""), ""Par"&amp;"enting"",
  REGEXMATCH(LOWER(VLOOKUP(A164, Data1_Raw_Slack!A:B, 2, FALSE)), ""education|students|learning|school|teachers|college|university|academics""), ""Education"",
  REGEXMATCH(LOWER(VLOOKUP(A164, Data1_Raw_Slack!A:B, 2, FALSE)), ""age|gender|dem"&amp;"ographic|family|household""), ""Demographics"",
  REGEXMATCH(LOWER(VLOOKUP(A164, Data1_Raw_Slack!A:B, 2, FALSE)), ""mortgage|real estate""), ""Real Estate"",REGEXMATCH(LOWER(VLOOKUP(A164, Data1_Raw_Slack!A:B, 2, FALSE)), ""technology|tech|gadgets|smartpho"&amp;"ne|electro|apps|devices|computing|ai|robots|software|computer|internet|tele|mobile|tablet""), ""Technology"", REGEXMATCH(LOWER(VLOOKUP(A164, Data1_Raw_Slack!A:B, 2, FALSE)), ""entertainment|purchas|movies|tv|netflix|streaming|celebrity|movie lovers|tv fan"&amp;"s|media|hobb|photo|art|shop""), ""Entertainment"", REGEXMATCH(LOWER(VLOOKUP(A164, Data1_Raw_Slack!A:B, 2, FALSE)), ""law|government|""), ""Law and Government"",
  TRUE, ""Other""
)"),"Lifestyle")</f>
        <v>Lifestyle</v>
      </c>
      <c r="G164" s="9"/>
      <c r="H164" s="9" t="s">
        <v>32</v>
      </c>
      <c r="I164" s="9" t="s">
        <v>758</v>
      </c>
      <c r="J164" s="9" t="s">
        <v>46</v>
      </c>
      <c r="K164" s="9" t="s">
        <v>88</v>
      </c>
      <c r="L164" s="9" t="s">
        <v>89</v>
      </c>
      <c r="M164" s="10" t="s">
        <v>759</v>
      </c>
      <c r="N164" s="9" t="str">
        <f ca="1">IFERROR(__xludf.DUMMYFUNCTION("REGEXEXTRACT(LOWER(M164), ""([a-z0-9\-]+)\.(?:co|net|org|io|gg)"")"),"classmates")</f>
        <v>classmates</v>
      </c>
      <c r="O164" s="9" t="s">
        <v>50</v>
      </c>
      <c r="P164" s="9" t="s">
        <v>39</v>
      </c>
      <c r="Q164" s="9">
        <v>29107</v>
      </c>
      <c r="R164" s="9">
        <v>64</v>
      </c>
      <c r="S164" s="9">
        <v>4047</v>
      </c>
      <c r="T164" s="9">
        <v>27357</v>
      </c>
      <c r="U164" s="9">
        <v>9</v>
      </c>
      <c r="V164" s="11">
        <v>3339.454322</v>
      </c>
      <c r="W164" s="12">
        <f t="shared" si="0"/>
        <v>371.05048022222223</v>
      </c>
      <c r="X164" s="12">
        <f t="shared" si="1"/>
        <v>0.21987837977118907</v>
      </c>
      <c r="Y164" s="12">
        <f t="shared" si="2"/>
        <v>13.903871920843782</v>
      </c>
      <c r="Z164" s="12">
        <f t="shared" si="3"/>
        <v>825.16785816654317</v>
      </c>
      <c r="AA164" s="12">
        <f t="shared" si="4"/>
        <v>114.73028213144605</v>
      </c>
      <c r="AB164" s="12">
        <f t="shared" si="5"/>
        <v>52.178973781250001</v>
      </c>
      <c r="AC164" s="12">
        <f t="shared" si="6"/>
        <v>14.0625</v>
      </c>
      <c r="AE164" s="13"/>
      <c r="AF164" s="13"/>
    </row>
    <row r="165" spans="1:32">
      <c r="A165" s="8" t="s">
        <v>760</v>
      </c>
      <c r="B165" s="9" t="s">
        <v>144</v>
      </c>
      <c r="C165" s="9" t="s">
        <v>761</v>
      </c>
      <c r="D165" s="9" t="s">
        <v>762</v>
      </c>
      <c r="E165" s="9"/>
      <c r="F165" s="9" t="str">
        <f ca="1">IFERROR(__xludf.DUMMYFUNCTION("IFS(
  REGEXMATCH(LOWER(VLOOKUP(A165, Data1_Raw_Slack!A:B, 2, FALSE)), ""news|weather""), ""News and Weather"", REGEXMATCH(LOWER(VLOOKUP(A165, Data1_Raw_Slack!A:B, 2, FALSE)), ""sports|ufc|nba|nfl|mlb|soccer|sports fans""), ""Sports"",
  REGEXMATCH(LOWER("&amp;"VLOOKUP(A165, Data1_Raw_Slack!A:B, 2, FALSE)), ""fashion|style|clothing|apparel|shoes|accessories|beauty|cosmetics|fashionistas""), ""Fashion and Beauty"",
  REGEXMATCH(LOWER(VLOOKUP(A165, Data1_Raw_Slack!A:B, 2, FALSE)), ""food|cooking|recipe|restaurant|"&amp;"snack|grocery|foodies""), ""Food"",
  REGEXMATCH(LOWER(VLOOKUP(A165, Data1_Raw_Slack!A:B, 2, FALSE)), ""travel|vacation|airline|hotel|trip|flights|travelers""), ""Travel"",
  REGEXMATCH(LOWER(VLOOKUP(A165, Data1_Raw_Slack!A:B, 2, FALSE)), ""fitness|workou"&amp;"t|gym|exercise|yoga|wellness|fitness enthusiasts""), ""Fitness"",
  REGEXMATCH(LOWER(VLOOKUP(A165, Data1_Raw_Slack!A:B, 2, FALSE)), ""health|medical|pharmacy|mental health|doctor|health-conscious""), ""Health"",
  REGEXMATCH(LOWER(VLOOKUP(A165, Data1_Raw_"&amp;"Slack!A:B, 2, FALSE)), ""pets|dogs|cats|animals|pet care|pet lovers""), ""Pets"",
  REGEXMATCH(LOWER(VLOOKUP(A165, Data1_Raw_Slack!A:B, 2, FALSE)), ""games|gaming|game|xbox|playstation|nintendo|gamers""), ""Gaming"",
  REGEXMATCH(LOWER(VLOOKUP(A165, Data1"&amp;"_Raw_Slack!A:B, 2, FALSE)), ""entertainment|movies|tv|netflix|streaming|celebrity|movie lovers|tv fans|hobb|photo|art""), ""Entertainment"",
  REGEXMATCH(LOWER(VLOOKUP(A165, Data1_Raw_Slack!A:B, 2, FALSE)), ""lifestyle|home|interior|decor|living|lifestyle"&amp;" enthusiasts""), ""Lifestyle"",
  REGEXMATCH(LOWER(VLOOKUP(A165, Data1_Raw_Slack!A:B, 2, FALSE)), ""financial|finance|investing|stocks|retirement|banking|credit|debt|loans|savings|personal finance|insurance|econ|ecom|business|retail|occupation|sale|job|ma"&amp;"rketing""), ""Finance"",
  REGEXMATCH(LOWER(VLOOKUP(A165, Data1_Raw_Slack!A:B, 2, FALSE)), ""auto|automotive""), ""Auto"",
  REGEXMATCH(LOWER(VLOOKUP(A165, Data1_Raw_Slack!A:B, 2, FALSE)), ""parenting|moms|dads|kids|toddlers|baby|parent|children""), ""Par"&amp;"enting"",
  REGEXMATCH(LOWER(VLOOKUP(A165, Data1_Raw_Slack!A:B, 2, FALSE)), ""education|students|learning|school|teachers|college|university|academics""), ""Education"",
  REGEXMATCH(LOWER(VLOOKUP(A165, Data1_Raw_Slack!A:B, 2, FALSE)), ""age|gender|dem"&amp;"ographic|family|household""), ""Demographics"",
  REGEXMATCH(LOWER(VLOOKUP(A165, Data1_Raw_Slack!A:B, 2, FALSE)), ""mortgage|real estate""), ""Real Estate"",REGEXMATCH(LOWER(VLOOKUP(A165, Data1_Raw_Slack!A:B, 2, FALSE)), ""technology|tech|gadgets|smartpho"&amp;"ne|electro|apps|devices|computing|ai|robots|software|computer|internet|tele|mobile|tablet""), ""Technology"", REGEXMATCH(LOWER(VLOOKUP(A165, Data1_Raw_Slack!A:B, 2, FALSE)), ""entertainment|purchas|movies|tv|netflix|streaming|celebrity|movie lovers|tv fan"&amp;"s|media|hobb|photo|art|shop""), ""Entertainment"", REGEXMATCH(LOWER(VLOOKUP(A165, Data1_Raw_Slack!A:B, 2, FALSE)), ""law|government|""), ""Law and Government"",
  TRUE, ""Other""
)"),"Fashion and Beauty")</f>
        <v>Fashion and Beauty</v>
      </c>
      <c r="G165" s="9" t="s">
        <v>122</v>
      </c>
      <c r="H165" s="9" t="s">
        <v>32</v>
      </c>
      <c r="I165" s="9" t="s">
        <v>763</v>
      </c>
      <c r="J165" s="9" t="s">
        <v>80</v>
      </c>
      <c r="K165" s="9" t="s">
        <v>274</v>
      </c>
      <c r="L165" s="9" t="s">
        <v>48</v>
      </c>
      <c r="M165" s="10" t="s">
        <v>112</v>
      </c>
      <c r="N165" s="9" t="str">
        <f ca="1">IFERROR(__xludf.DUMMYFUNCTION("REGEXEXTRACT(LOWER(M165), ""([a-z0-9\-]+)\.(?:co|net|org|io|gg)"")"),"ebay")</f>
        <v>ebay</v>
      </c>
      <c r="O165" s="9" t="s">
        <v>103</v>
      </c>
      <c r="P165" s="9" t="s">
        <v>39</v>
      </c>
      <c r="Q165" s="9">
        <v>37269</v>
      </c>
      <c r="R165" s="9">
        <v>106</v>
      </c>
      <c r="S165" s="9">
        <v>11667</v>
      </c>
      <c r="T165" s="9">
        <v>33260</v>
      </c>
      <c r="U165" s="9">
        <v>6</v>
      </c>
      <c r="V165" s="11">
        <v>1453.075462</v>
      </c>
      <c r="W165" s="12">
        <f t="shared" si="0"/>
        <v>242.17924366666668</v>
      </c>
      <c r="X165" s="12">
        <f t="shared" si="1"/>
        <v>0.28441868577101614</v>
      </c>
      <c r="Y165" s="12">
        <f t="shared" si="2"/>
        <v>31.304837800853257</v>
      </c>
      <c r="Z165" s="12">
        <f t="shared" si="3"/>
        <v>124.54576686380389</v>
      </c>
      <c r="AA165" s="12">
        <f t="shared" si="4"/>
        <v>38.988850304542645</v>
      </c>
      <c r="AB165" s="12">
        <f t="shared" si="5"/>
        <v>13.708259075471698</v>
      </c>
      <c r="AC165" s="12">
        <f t="shared" si="6"/>
        <v>5.6603773584905666</v>
      </c>
      <c r="AE165" s="13"/>
      <c r="AF165" s="13"/>
    </row>
    <row r="166" spans="1:32">
      <c r="A166" s="8" t="s">
        <v>764</v>
      </c>
      <c r="B166" s="9" t="s">
        <v>41</v>
      </c>
      <c r="C166" s="9" t="s">
        <v>42</v>
      </c>
      <c r="D166" s="9" t="s">
        <v>765</v>
      </c>
      <c r="E166" s="9"/>
      <c r="F166" s="9" t="str">
        <f ca="1">IFERROR(__xludf.DUMMYFUNCTION("IFS(
  REGEXMATCH(LOWER(VLOOKUP(A166, Data1_Raw_Slack!A:B, 2, FALSE)), ""news|weather""), ""News and Weather"", REGEXMATCH(LOWER(VLOOKUP(A166, Data1_Raw_Slack!A:B, 2, FALSE)), ""sports|ufc|nba|nfl|mlb|soccer|sports fans""), ""Sports"",
  REGEXMATCH(LOWER("&amp;"VLOOKUP(A166, Data1_Raw_Slack!A:B, 2, FALSE)), ""fashion|style|clothing|apparel|shoes|accessories|beauty|cosmetics|fashionistas""), ""Fashion and Beauty"",
  REGEXMATCH(LOWER(VLOOKUP(A166, Data1_Raw_Slack!A:B, 2, FALSE)), ""food|cooking|recipe|restaurant|"&amp;"snack|grocery|foodies""), ""Food"",
  REGEXMATCH(LOWER(VLOOKUP(A166, Data1_Raw_Slack!A:B, 2, FALSE)), ""travel|vacation|airline|hotel|trip|flights|travelers""), ""Travel"",
  REGEXMATCH(LOWER(VLOOKUP(A166, Data1_Raw_Slack!A:B, 2, FALSE)), ""fitness|workou"&amp;"t|gym|exercise|yoga|wellness|fitness enthusiasts""), ""Fitness"",
  REGEXMATCH(LOWER(VLOOKUP(A166, Data1_Raw_Slack!A:B, 2, FALSE)), ""health|medical|pharmacy|mental health|doctor|health-conscious""), ""Health"",
  REGEXMATCH(LOWER(VLOOKUP(A166, Data1_Raw_"&amp;"Slack!A:B, 2, FALSE)), ""pets|dogs|cats|animals|pet care|pet lovers""), ""Pets"",
  REGEXMATCH(LOWER(VLOOKUP(A166, Data1_Raw_Slack!A:B, 2, FALSE)), ""games|gaming|game|xbox|playstation|nintendo|gamers""), ""Gaming"",
  REGEXMATCH(LOWER(VLOOKUP(A166, Data1"&amp;"_Raw_Slack!A:B, 2, FALSE)), ""entertainment|movies|tv|netflix|streaming|celebrity|movie lovers|tv fans|hobb|photo|art""), ""Entertainment"",
  REGEXMATCH(LOWER(VLOOKUP(A166, Data1_Raw_Slack!A:B, 2, FALSE)), ""lifestyle|home|interior|decor|living|lifestyle"&amp;" enthusiasts""), ""Lifestyle"",
  REGEXMATCH(LOWER(VLOOKUP(A166, Data1_Raw_Slack!A:B, 2, FALSE)), ""financial|finance|investing|stocks|retirement|banking|credit|debt|loans|savings|personal finance|insurance|econ|ecom|business|retail|occupation|sale|job|ma"&amp;"rketing""), ""Finance"",
  REGEXMATCH(LOWER(VLOOKUP(A166, Data1_Raw_Slack!A:B, 2, FALSE)), ""auto|automotive""), ""Auto"",
  REGEXMATCH(LOWER(VLOOKUP(A166, Data1_Raw_Slack!A:B, 2, FALSE)), ""parenting|moms|dads|kids|toddlers|baby|parent|children""), ""Par"&amp;"enting"",
  REGEXMATCH(LOWER(VLOOKUP(A166, Data1_Raw_Slack!A:B, 2, FALSE)), ""education|students|learning|school|teachers|college|university|academics""), ""Education"",
  REGEXMATCH(LOWER(VLOOKUP(A166, Data1_Raw_Slack!A:B, 2, FALSE)), ""age|gender|dem"&amp;"ographic|family|household""), ""Demographics"",
  REGEXMATCH(LOWER(VLOOKUP(A166, Data1_Raw_Slack!A:B, 2, FALSE)), ""mortgage|real estate""), ""Real Estate"",REGEXMATCH(LOWER(VLOOKUP(A166, Data1_Raw_Slack!A:B, 2, FALSE)), ""technology|tech|gadgets|smartpho"&amp;"ne|electro|apps|devices|computing|ai|robots|software|computer|internet|tele|mobile|tablet""), ""Technology"", REGEXMATCH(LOWER(VLOOKUP(A166, Data1_Raw_Slack!A:B, 2, FALSE)), ""entertainment|purchas|movies|tv|netflix|streaming|celebrity|movie lovers|tv fan"&amp;"s|media|hobb|photo|art|shop""), ""Entertainment"", REGEXMATCH(LOWER(VLOOKUP(A166, Data1_Raw_Slack!A:B, 2, FALSE)), ""law|government|""), ""Law and Government"",
  TRUE, ""Other""
)"),"Lifestyle")</f>
        <v>Lifestyle</v>
      </c>
      <c r="G166" s="9"/>
      <c r="H166" s="9" t="s">
        <v>32</v>
      </c>
      <c r="I166" s="9" t="s">
        <v>766</v>
      </c>
      <c r="J166" s="9" t="s">
        <v>34</v>
      </c>
      <c r="K166" s="9" t="s">
        <v>236</v>
      </c>
      <c r="L166" s="9" t="s">
        <v>82</v>
      </c>
      <c r="M166" s="10" t="s">
        <v>484</v>
      </c>
      <c r="N166" s="9" t="str">
        <f ca="1">IFERROR(__xludf.DUMMYFUNCTION("REGEXEXTRACT(LOWER(M166), ""([a-z0-9\-]+)\.(?:co|net|org|io|gg)"")"),"whatismyipaddress")</f>
        <v>whatismyipaddress</v>
      </c>
      <c r="O166" s="9" t="s">
        <v>50</v>
      </c>
      <c r="P166" s="9" t="s">
        <v>39</v>
      </c>
      <c r="Q166" s="9">
        <v>12209</v>
      </c>
      <c r="R166" s="9">
        <v>147</v>
      </c>
      <c r="S166" s="9">
        <v>3976</v>
      </c>
      <c r="T166" s="9">
        <v>5219</v>
      </c>
      <c r="U166" s="9">
        <v>4</v>
      </c>
      <c r="V166" s="11">
        <v>3818.9551820000001</v>
      </c>
      <c r="W166" s="12">
        <f t="shared" si="0"/>
        <v>954.73879550000004</v>
      </c>
      <c r="X166" s="12">
        <f t="shared" si="1"/>
        <v>1.2040298140715866</v>
      </c>
      <c r="Y166" s="12">
        <f t="shared" si="2"/>
        <v>32.566139732983864</v>
      </c>
      <c r="Z166" s="12">
        <f t="shared" si="3"/>
        <v>960.50180633802813</v>
      </c>
      <c r="AA166" s="12">
        <f t="shared" si="4"/>
        <v>312.79836038987634</v>
      </c>
      <c r="AB166" s="12">
        <f t="shared" si="5"/>
        <v>25.979286952380953</v>
      </c>
      <c r="AC166" s="12">
        <f t="shared" si="6"/>
        <v>2.7210884353741496</v>
      </c>
      <c r="AE166" s="13"/>
      <c r="AF166" s="13"/>
    </row>
    <row r="167" spans="1:32">
      <c r="A167" s="8" t="s">
        <v>767</v>
      </c>
      <c r="B167" s="9" t="s">
        <v>768</v>
      </c>
      <c r="C167" s="9" t="s">
        <v>769</v>
      </c>
      <c r="D167" s="9" t="s">
        <v>770</v>
      </c>
      <c r="E167" s="9" t="s">
        <v>771</v>
      </c>
      <c r="F167" s="9" t="str">
        <f ca="1">IFERROR(__xludf.DUMMYFUNCTION("IFS(
  REGEXMATCH(LOWER(VLOOKUP(A167, Data1_Raw_Slack!A:B, 2, FALSE)), ""news|weather""), ""News and Weather"", REGEXMATCH(LOWER(VLOOKUP(A167, Data1_Raw_Slack!A:B, 2, FALSE)), ""sports|ufc|nba|nfl|mlb|soccer|sports fans""), ""Sports"",
  REGEXMATCH(LOWER("&amp;"VLOOKUP(A167, Data1_Raw_Slack!A:B, 2, FALSE)), ""fashion|style|clothing|apparel|shoes|accessories|beauty|cosmetics|fashionistas""), ""Fashion and Beauty"",
  REGEXMATCH(LOWER(VLOOKUP(A167, Data1_Raw_Slack!A:B, 2, FALSE)), ""food|cooking|recipe|restaurant|"&amp;"snack|grocery|foodies""), ""Food"",
  REGEXMATCH(LOWER(VLOOKUP(A167, Data1_Raw_Slack!A:B, 2, FALSE)), ""travel|vacation|airline|hotel|trip|flights|travelers""), ""Travel"",
  REGEXMATCH(LOWER(VLOOKUP(A167, Data1_Raw_Slack!A:B, 2, FALSE)), ""fitness|workou"&amp;"t|gym|exercise|yoga|wellness|fitness enthusiasts""), ""Fitness"",
  REGEXMATCH(LOWER(VLOOKUP(A167, Data1_Raw_Slack!A:B, 2, FALSE)), ""health|medical|pharmacy|mental health|doctor|health-conscious""), ""Health"",
  REGEXMATCH(LOWER(VLOOKUP(A167, Data1_Raw_"&amp;"Slack!A:B, 2, FALSE)), ""pets|dogs|cats|animals|pet care|pet lovers""), ""Pets"",
  REGEXMATCH(LOWER(VLOOKUP(A167, Data1_Raw_Slack!A:B, 2, FALSE)), ""games|gaming|game|xbox|playstation|nintendo|gamers""), ""Gaming"",
  REGEXMATCH(LOWER(VLOOKUP(A167, Data1"&amp;"_Raw_Slack!A:B, 2, FALSE)), ""entertainment|movies|tv|netflix|streaming|celebrity|movie lovers|tv fans|hobb|photo|art""), ""Entertainment"",
  REGEXMATCH(LOWER(VLOOKUP(A167, Data1_Raw_Slack!A:B, 2, FALSE)), ""lifestyle|home|interior|decor|living|lifestyle"&amp;" enthusiasts""), ""Lifestyle"",
  REGEXMATCH(LOWER(VLOOKUP(A167, Data1_Raw_Slack!A:B, 2, FALSE)), ""financial|finance|investing|stocks|retirement|banking|credit|debt|loans|savings|personal finance|insurance|econ|ecom|business|retail|occupation|sale|job|ma"&amp;"rketing""), ""Finance"",
  REGEXMATCH(LOWER(VLOOKUP(A167, Data1_Raw_Slack!A:B, 2, FALSE)), ""auto|automotive""), ""Auto"",
  REGEXMATCH(LOWER(VLOOKUP(A167, Data1_Raw_Slack!A:B, 2, FALSE)), ""parenting|moms|dads|kids|toddlers|baby|parent|children""), ""Par"&amp;"enting"",
  REGEXMATCH(LOWER(VLOOKUP(A167, Data1_Raw_Slack!A:B, 2, FALSE)), ""education|students|learning|school|teachers|college|university|academics""), ""Education"",
  REGEXMATCH(LOWER(VLOOKUP(A167, Data1_Raw_Slack!A:B, 2, FALSE)), ""age|gender|dem"&amp;"ographic|family|household""), ""Demographics"",
  REGEXMATCH(LOWER(VLOOKUP(A167, Data1_Raw_Slack!A:B, 2, FALSE)), ""mortgage|real estate""), ""Real Estate"",REGEXMATCH(LOWER(VLOOKUP(A167, Data1_Raw_Slack!A:B, 2, FALSE)), ""technology|tech|gadgets|smartpho"&amp;"ne|electro|apps|devices|computing|ai|robots|software|computer|internet|tele|mobile|tablet""), ""Technology"", REGEXMATCH(LOWER(VLOOKUP(A167, Data1_Raw_Slack!A:B, 2, FALSE)), ""entertainment|purchas|movies|tv|netflix|streaming|celebrity|movie lovers|tv fan"&amp;"s|media|hobb|photo|art|shop""), ""Entertainment"", REGEXMATCH(LOWER(VLOOKUP(A167, Data1_Raw_Slack!A:B, 2, FALSE)), ""law|government|""), ""Law and Government"",
  TRUE, ""Other""
)"),"Food")</f>
        <v>Food</v>
      </c>
      <c r="G167" s="9" t="s">
        <v>385</v>
      </c>
      <c r="H167" s="9" t="s">
        <v>123</v>
      </c>
      <c r="I167" s="9" t="s">
        <v>772</v>
      </c>
      <c r="J167" s="9" t="s">
        <v>62</v>
      </c>
      <c r="K167" s="9" t="s">
        <v>274</v>
      </c>
      <c r="L167" s="9" t="s">
        <v>48</v>
      </c>
      <c r="M167" s="10" t="s">
        <v>773</v>
      </c>
      <c r="N167" s="9" t="str">
        <f ca="1">IFERROR(__xludf.DUMMYFUNCTION("REGEXEXTRACT(LOWER(M167), ""([a-z0-9\-]+)\.(?:co|net|org|io|gg)"")"),"usnews")</f>
        <v>usnews</v>
      </c>
      <c r="O167" s="9" t="s">
        <v>74</v>
      </c>
      <c r="P167" s="9" t="s">
        <v>39</v>
      </c>
      <c r="Q167" s="9">
        <v>13608</v>
      </c>
      <c r="R167" s="9">
        <v>66</v>
      </c>
      <c r="S167" s="9">
        <v>2714</v>
      </c>
      <c r="T167" s="9">
        <v>9332</v>
      </c>
      <c r="U167" s="9">
        <v>1</v>
      </c>
      <c r="V167" s="11">
        <v>1762.663235</v>
      </c>
      <c r="W167" s="12">
        <f t="shared" si="0"/>
        <v>1762.663235</v>
      </c>
      <c r="X167" s="12">
        <f t="shared" si="1"/>
        <v>0.48500881834215165</v>
      </c>
      <c r="Y167" s="12">
        <f t="shared" si="2"/>
        <v>19.944150499706055</v>
      </c>
      <c r="Z167" s="12">
        <f t="shared" si="3"/>
        <v>649.47060980103163</v>
      </c>
      <c r="AA167" s="12">
        <f t="shared" si="4"/>
        <v>129.53139587007641</v>
      </c>
      <c r="AB167" s="12">
        <f t="shared" si="5"/>
        <v>26.707018712121211</v>
      </c>
      <c r="AC167" s="12">
        <f t="shared" si="6"/>
        <v>1.5151515151515151</v>
      </c>
      <c r="AE167" s="13"/>
      <c r="AF167" s="13"/>
    </row>
    <row r="168" spans="1:32">
      <c r="A168" s="8" t="s">
        <v>774</v>
      </c>
      <c r="B168" s="9" t="s">
        <v>41</v>
      </c>
      <c r="C168" s="9" t="s">
        <v>42</v>
      </c>
      <c r="D168" s="9" t="s">
        <v>775</v>
      </c>
      <c r="E168" s="9"/>
      <c r="F168" s="9" t="str">
        <f ca="1">IFERROR(__xludf.DUMMYFUNCTION("IFS(
  REGEXMATCH(LOWER(VLOOKUP(A168, Data1_Raw_Slack!A:B, 2, FALSE)), ""news|weather""), ""News and Weather"", REGEXMATCH(LOWER(VLOOKUP(A168, Data1_Raw_Slack!A:B, 2, FALSE)), ""sports|ufc|nba|nfl|mlb|soccer|sports fans""), ""Sports"",
  REGEXMATCH(LOWER("&amp;"VLOOKUP(A168, Data1_Raw_Slack!A:B, 2, FALSE)), ""fashion|style|clothing|apparel|shoes|accessories|beauty|cosmetics|fashionistas""), ""Fashion and Beauty"",
  REGEXMATCH(LOWER(VLOOKUP(A168, Data1_Raw_Slack!A:B, 2, FALSE)), ""food|cooking|recipe|restaurant|"&amp;"snack|grocery|foodies""), ""Food"",
  REGEXMATCH(LOWER(VLOOKUP(A168, Data1_Raw_Slack!A:B, 2, FALSE)), ""travel|vacation|airline|hotel|trip|flights|travelers""), ""Travel"",
  REGEXMATCH(LOWER(VLOOKUP(A168, Data1_Raw_Slack!A:B, 2, FALSE)), ""fitness|workou"&amp;"t|gym|exercise|yoga|wellness|fitness enthusiasts""), ""Fitness"",
  REGEXMATCH(LOWER(VLOOKUP(A168, Data1_Raw_Slack!A:B, 2, FALSE)), ""health|medical|pharmacy|mental health|doctor|health-conscious""), ""Health"",
  REGEXMATCH(LOWER(VLOOKUP(A168, Data1_Raw_"&amp;"Slack!A:B, 2, FALSE)), ""pets|dogs|cats|animals|pet care|pet lovers""), ""Pets"",
  REGEXMATCH(LOWER(VLOOKUP(A168, Data1_Raw_Slack!A:B, 2, FALSE)), ""games|gaming|game|xbox|playstation|nintendo|gamers""), ""Gaming"",
  REGEXMATCH(LOWER(VLOOKUP(A168, Data1"&amp;"_Raw_Slack!A:B, 2, FALSE)), ""entertainment|movies|tv|netflix|streaming|celebrity|movie lovers|tv fans|hobb|photo|art""), ""Entertainment"",
  REGEXMATCH(LOWER(VLOOKUP(A168, Data1_Raw_Slack!A:B, 2, FALSE)), ""lifestyle|home|interior|decor|living|lifestyle"&amp;" enthusiasts""), ""Lifestyle"",
  REGEXMATCH(LOWER(VLOOKUP(A168, Data1_Raw_Slack!A:B, 2, FALSE)), ""financial|finance|investing|stocks|retirement|banking|credit|debt|loans|savings|personal finance|insurance|econ|ecom|business|retail|occupation|sale|job|ma"&amp;"rketing""), ""Finance"",
  REGEXMATCH(LOWER(VLOOKUP(A168, Data1_Raw_Slack!A:B, 2, FALSE)), ""auto|automotive""), ""Auto"",
  REGEXMATCH(LOWER(VLOOKUP(A168, Data1_Raw_Slack!A:B, 2, FALSE)), ""parenting|moms|dads|kids|toddlers|baby|parent|children""), ""Par"&amp;"enting"",
  REGEXMATCH(LOWER(VLOOKUP(A168, Data1_Raw_Slack!A:B, 2, FALSE)), ""education|students|learning|school|teachers|college|university|academics""), ""Education"",
  REGEXMATCH(LOWER(VLOOKUP(A168, Data1_Raw_Slack!A:B, 2, FALSE)), ""age|gender|dem"&amp;"ographic|family|household""), ""Demographics"",
  REGEXMATCH(LOWER(VLOOKUP(A168, Data1_Raw_Slack!A:B, 2, FALSE)), ""mortgage|real estate""), ""Real Estate"",REGEXMATCH(LOWER(VLOOKUP(A168, Data1_Raw_Slack!A:B, 2, FALSE)), ""technology|tech|gadgets|smartpho"&amp;"ne|electro|apps|devices|computing|ai|robots|software|computer|internet|tele|mobile|tablet""), ""Technology"", REGEXMATCH(LOWER(VLOOKUP(A168, Data1_Raw_Slack!A:B, 2, FALSE)), ""entertainment|purchas|movies|tv|netflix|streaming|celebrity|movie lovers|tv fan"&amp;"s|media|hobb|photo|art|shop""), ""Entertainment"", REGEXMATCH(LOWER(VLOOKUP(A168, Data1_Raw_Slack!A:B, 2, FALSE)), ""law|government|""), ""Law and Government"",
  TRUE, ""Other""
)"),"Food")</f>
        <v>Food</v>
      </c>
      <c r="G168" s="9"/>
      <c r="H168" s="9" t="s">
        <v>123</v>
      </c>
      <c r="I168" s="9" t="s">
        <v>776</v>
      </c>
      <c r="J168" s="9" t="s">
        <v>62</v>
      </c>
      <c r="K168" s="9" t="s">
        <v>56</v>
      </c>
      <c r="L168" s="9" t="s">
        <v>57</v>
      </c>
      <c r="M168" s="10" t="s">
        <v>398</v>
      </c>
      <c r="N168" s="9" t="str">
        <f ca="1">IFERROR(__xludf.DUMMYFUNCTION("REGEXEXTRACT(LOWER(M168), ""([a-z0-9\-]+)\.(?:co|net|org|io|gg)"")"),"kbb")</f>
        <v>kbb</v>
      </c>
      <c r="O168" s="9" t="s">
        <v>50</v>
      </c>
      <c r="P168" s="9" t="s">
        <v>39</v>
      </c>
      <c r="Q168" s="9">
        <v>58938</v>
      </c>
      <c r="R168" s="9">
        <v>175</v>
      </c>
      <c r="S168" s="9">
        <v>41861</v>
      </c>
      <c r="T168" s="9">
        <v>55929</v>
      </c>
      <c r="U168" s="9">
        <v>9</v>
      </c>
      <c r="V168" s="11">
        <v>4881.1982690000004</v>
      </c>
      <c r="W168" s="12">
        <f t="shared" si="0"/>
        <v>542.35536322222231</v>
      </c>
      <c r="X168" s="12">
        <f t="shared" si="1"/>
        <v>0.29692218941938986</v>
      </c>
      <c r="Y168" s="12">
        <f t="shared" si="2"/>
        <v>71.025484407343313</v>
      </c>
      <c r="Z168" s="12">
        <f t="shared" si="3"/>
        <v>116.60491314110988</v>
      </c>
      <c r="AA168" s="12">
        <f t="shared" si="4"/>
        <v>82.819204401235211</v>
      </c>
      <c r="AB168" s="12">
        <f t="shared" si="5"/>
        <v>27.892561537142861</v>
      </c>
      <c r="AC168" s="12">
        <f t="shared" si="6"/>
        <v>5.1428571428571423</v>
      </c>
      <c r="AE168" s="13"/>
      <c r="AF168" s="13"/>
    </row>
    <row r="169" spans="1:32">
      <c r="A169" s="8" t="s">
        <v>777</v>
      </c>
      <c r="B169" s="9" t="s">
        <v>41</v>
      </c>
      <c r="C169" s="9" t="s">
        <v>661</v>
      </c>
      <c r="D169" s="9" t="s">
        <v>778</v>
      </c>
      <c r="E169" s="9"/>
      <c r="F169" s="9" t="str">
        <f ca="1">IFERROR(__xludf.DUMMYFUNCTION("IFS(
  REGEXMATCH(LOWER(VLOOKUP(A169, Data1_Raw_Slack!A:B, 2, FALSE)), ""news|weather""), ""News and Weather"", REGEXMATCH(LOWER(VLOOKUP(A169, Data1_Raw_Slack!A:B, 2, FALSE)), ""sports|ufc|nba|nfl|mlb|soccer|sports fans""), ""Sports"",
  REGEXMATCH(LOWER("&amp;"VLOOKUP(A169, Data1_Raw_Slack!A:B, 2, FALSE)), ""fashion|style|clothing|apparel|shoes|accessories|beauty|cosmetics|fashionistas""), ""Fashion and Beauty"",
  REGEXMATCH(LOWER(VLOOKUP(A169, Data1_Raw_Slack!A:B, 2, FALSE)), ""food|cooking|recipe|restaurant|"&amp;"snack|grocery|foodies""), ""Food"",
  REGEXMATCH(LOWER(VLOOKUP(A169, Data1_Raw_Slack!A:B, 2, FALSE)), ""travel|vacation|airline|hotel|trip|flights|travelers""), ""Travel"",
  REGEXMATCH(LOWER(VLOOKUP(A169, Data1_Raw_Slack!A:B, 2, FALSE)), ""fitness|workou"&amp;"t|gym|exercise|yoga|wellness|fitness enthusiasts""), ""Fitness"",
  REGEXMATCH(LOWER(VLOOKUP(A169, Data1_Raw_Slack!A:B, 2, FALSE)), ""health|medical|pharmacy|mental health|doctor|health-conscious""), ""Health"",
  REGEXMATCH(LOWER(VLOOKUP(A169, Data1_Raw_"&amp;"Slack!A:B, 2, FALSE)), ""pets|dogs|cats|animals|pet care|pet lovers""), ""Pets"",
  REGEXMATCH(LOWER(VLOOKUP(A169, Data1_Raw_Slack!A:B, 2, FALSE)), ""games|gaming|game|xbox|playstation|nintendo|gamers""), ""Gaming"",
  REGEXMATCH(LOWER(VLOOKUP(A169, Data1"&amp;"_Raw_Slack!A:B, 2, FALSE)), ""entertainment|movies|tv|netflix|streaming|celebrity|movie lovers|tv fans|hobb|photo|art""), ""Entertainment"",
  REGEXMATCH(LOWER(VLOOKUP(A169, Data1_Raw_Slack!A:B, 2, FALSE)), ""lifestyle|home|interior|decor|living|lifestyle"&amp;" enthusiasts""), ""Lifestyle"",
  REGEXMATCH(LOWER(VLOOKUP(A169, Data1_Raw_Slack!A:B, 2, FALSE)), ""financial|finance|investing|stocks|retirement|banking|credit|debt|loans|savings|personal finance|insurance|econ|ecom|business|retail|occupation|sale|job|ma"&amp;"rketing""), ""Finance"",
  REGEXMATCH(LOWER(VLOOKUP(A169, Data1_Raw_Slack!A:B, 2, FALSE)), ""auto|automotive""), ""Auto"",
  REGEXMATCH(LOWER(VLOOKUP(A169, Data1_Raw_Slack!A:B, 2, FALSE)), ""parenting|moms|dads|kids|toddlers|baby|parent|children""), ""Par"&amp;"enting"",
  REGEXMATCH(LOWER(VLOOKUP(A169, Data1_Raw_Slack!A:B, 2, FALSE)), ""education|students|learning|school|teachers|college|university|academics""), ""Education"",
  REGEXMATCH(LOWER(VLOOKUP(A169, Data1_Raw_Slack!A:B, 2, FALSE)), ""age|gender|dem"&amp;"ographic|family|household""), ""Demographics"",
  REGEXMATCH(LOWER(VLOOKUP(A169, Data1_Raw_Slack!A:B, 2, FALSE)), ""mortgage|real estate""), ""Real Estate"",REGEXMATCH(LOWER(VLOOKUP(A169, Data1_Raw_Slack!A:B, 2, FALSE)), ""technology|tech|gadgets|smartpho"&amp;"ne|electro|apps|devices|computing|ai|robots|software|computer|internet|tele|mobile|tablet""), ""Technology"", REGEXMATCH(LOWER(VLOOKUP(A169, Data1_Raw_Slack!A:B, 2, FALSE)), ""entertainment|purchas|movies|tv|netflix|streaming|celebrity|movie lovers|tv fan"&amp;"s|media|hobb|photo|art|shop""), ""Entertainment"", REGEXMATCH(LOWER(VLOOKUP(A169, Data1_Raw_Slack!A:B, 2, FALSE)), ""law|government|""), ""Law and Government"",
  TRUE, ""Other""
)"),"Entertainment")</f>
        <v>Entertainment</v>
      </c>
      <c r="G169" s="9"/>
      <c r="H169" s="9" t="s">
        <v>44</v>
      </c>
      <c r="I169" s="9" t="s">
        <v>510</v>
      </c>
      <c r="J169" s="9" t="s">
        <v>80</v>
      </c>
      <c r="K169" s="9" t="s">
        <v>236</v>
      </c>
      <c r="L169" s="9" t="s">
        <v>82</v>
      </c>
      <c r="M169" s="10" t="s">
        <v>779</v>
      </c>
      <c r="N169" s="9" t="str">
        <f ca="1">IFERROR(__xludf.DUMMYFUNCTION("REGEXEXTRACT(LOWER(M169), ""([a-z0-9\-]+)\.(?:co|net|org|io|gg)"")"),"flightaware")</f>
        <v>flightaware</v>
      </c>
      <c r="O169" s="9" t="s">
        <v>74</v>
      </c>
      <c r="P169" s="9" t="s">
        <v>39</v>
      </c>
      <c r="Q169" s="9">
        <v>12136</v>
      </c>
      <c r="R169" s="9">
        <v>97</v>
      </c>
      <c r="S169" s="9">
        <v>2089</v>
      </c>
      <c r="T169" s="9">
        <v>11500</v>
      </c>
      <c r="U169" s="9">
        <v>3</v>
      </c>
      <c r="V169" s="11">
        <v>5224.9324630000001</v>
      </c>
      <c r="W169" s="12">
        <f t="shared" si="0"/>
        <v>1741.6441543333333</v>
      </c>
      <c r="X169" s="12">
        <f t="shared" si="1"/>
        <v>0.79927488464073826</v>
      </c>
      <c r="Y169" s="12">
        <f t="shared" si="2"/>
        <v>17.213249835201054</v>
      </c>
      <c r="Z169" s="12">
        <f t="shared" si="3"/>
        <v>2501.1644150311154</v>
      </c>
      <c r="AA169" s="12">
        <f t="shared" si="4"/>
        <v>430.53167954845088</v>
      </c>
      <c r="AB169" s="12">
        <f t="shared" si="5"/>
        <v>53.865283123711343</v>
      </c>
      <c r="AC169" s="12">
        <f t="shared" si="6"/>
        <v>3.0927835051546393</v>
      </c>
      <c r="AE169" s="13"/>
      <c r="AF169" s="13"/>
    </row>
    <row r="170" spans="1:32">
      <c r="A170" s="8" t="s">
        <v>780</v>
      </c>
      <c r="B170" s="9" t="s">
        <v>781</v>
      </c>
      <c r="C170" s="9" t="s">
        <v>782</v>
      </c>
      <c r="D170" s="9"/>
      <c r="E170" s="9"/>
      <c r="F170" s="9" t="str">
        <f ca="1">IFERROR(__xludf.DUMMYFUNCTION("IFS(
  REGEXMATCH(LOWER(VLOOKUP(A170, Data1_Raw_Slack!A:B, 2, FALSE)), ""news|weather""), ""News and Weather"", REGEXMATCH(LOWER(VLOOKUP(A170, Data1_Raw_Slack!A:B, 2, FALSE)), ""sports|ufc|nba|nfl|mlb|soccer|sports fans""), ""Sports"",
  REGEXMATCH(LOWER("&amp;"VLOOKUP(A170, Data1_Raw_Slack!A:B, 2, FALSE)), ""fashion|style|clothing|apparel|shoes|accessories|beauty|cosmetics|fashionistas""), ""Fashion and Beauty"",
  REGEXMATCH(LOWER(VLOOKUP(A170, Data1_Raw_Slack!A:B, 2, FALSE)), ""food|cooking|recipe|restaurant|"&amp;"snack|grocery|foodies""), ""Food"",
  REGEXMATCH(LOWER(VLOOKUP(A170, Data1_Raw_Slack!A:B, 2, FALSE)), ""travel|vacation|airline|hotel|trip|flights|travelers""), ""Travel"",
  REGEXMATCH(LOWER(VLOOKUP(A170, Data1_Raw_Slack!A:B, 2, FALSE)), ""fitness|workou"&amp;"t|gym|exercise|yoga|wellness|fitness enthusiasts""), ""Fitness"",
  REGEXMATCH(LOWER(VLOOKUP(A170, Data1_Raw_Slack!A:B, 2, FALSE)), ""health|medical|pharmacy|mental health|doctor|health-conscious""), ""Health"",
  REGEXMATCH(LOWER(VLOOKUP(A170, Data1_Raw_"&amp;"Slack!A:B, 2, FALSE)), ""pets|dogs|cats|animals|pet care|pet lovers""), ""Pets"",
  REGEXMATCH(LOWER(VLOOKUP(A170, Data1_Raw_Slack!A:B, 2, FALSE)), ""games|gaming|game|xbox|playstation|nintendo|gamers""), ""Gaming"",
  REGEXMATCH(LOWER(VLOOKUP(A170, Data1"&amp;"_Raw_Slack!A:B, 2, FALSE)), ""entertainment|movies|tv|netflix|streaming|celebrity|movie lovers|tv fans|hobb|photo|art""), ""Entertainment"",
  REGEXMATCH(LOWER(VLOOKUP(A170, Data1_Raw_Slack!A:B, 2, FALSE)), ""lifestyle|home|interior|decor|living|lifestyle"&amp;" enthusiasts""), ""Lifestyle"",
  REGEXMATCH(LOWER(VLOOKUP(A170, Data1_Raw_Slack!A:B, 2, FALSE)), ""financial|finance|investing|stocks|retirement|banking|credit|debt|loans|savings|personal finance|insurance|econ|ecom|business|retail|occupation|sale|job|ma"&amp;"rketing""), ""Finance"",
  REGEXMATCH(LOWER(VLOOKUP(A170, Data1_Raw_Slack!A:B, 2, FALSE)), ""auto|automotive""), ""Auto"",
  REGEXMATCH(LOWER(VLOOKUP(A170, Data1_Raw_Slack!A:B, 2, FALSE)), ""parenting|moms|dads|kids|toddlers|baby|parent|children""), ""Par"&amp;"enting"",
  REGEXMATCH(LOWER(VLOOKUP(A170, Data1_Raw_Slack!A:B, 2, FALSE)), ""education|students|learning|school|teachers|college|university|academics""), ""Education"",
  REGEXMATCH(LOWER(VLOOKUP(A170, Data1_Raw_Slack!A:B, 2, FALSE)), ""age|gender|dem"&amp;"ographic|family|household""), ""Demographics"",
  REGEXMATCH(LOWER(VLOOKUP(A170, Data1_Raw_Slack!A:B, 2, FALSE)), ""mortgage|real estate""), ""Real Estate"",REGEXMATCH(LOWER(VLOOKUP(A170, Data1_Raw_Slack!A:B, 2, FALSE)), ""technology|tech|gadgets|smartpho"&amp;"ne|electro|apps|devices|computing|ai|robots|software|computer|internet|tele|mobile|tablet""), ""Technology"", REGEXMATCH(LOWER(VLOOKUP(A170, Data1_Raw_Slack!A:B, 2, FALSE)), ""entertainment|purchas|movies|tv|netflix|streaming|celebrity|movie lovers|tv fan"&amp;"s|media|hobb|photo|art|shop""), ""Entertainment"", REGEXMATCH(LOWER(VLOOKUP(A170, Data1_Raw_Slack!A:B, 2, FALSE)), ""law|government|""), ""Law and Government"",
  TRUE, ""Other""
)"),"Lifestyle")</f>
        <v>Lifestyle</v>
      </c>
      <c r="G170" s="9"/>
      <c r="H170" s="9" t="s">
        <v>44</v>
      </c>
      <c r="I170" s="9" t="s">
        <v>397</v>
      </c>
      <c r="J170" s="9" t="s">
        <v>62</v>
      </c>
      <c r="K170" s="9" t="s">
        <v>236</v>
      </c>
      <c r="L170" s="9" t="s">
        <v>82</v>
      </c>
      <c r="M170" s="10" t="s">
        <v>755</v>
      </c>
      <c r="N170" s="9" t="str">
        <f ca="1">IFERROR(__xludf.DUMMYFUNCTION("REGEXEXTRACT(LOWER(M170), ""([a-z0-9\-]+)\.(?:co|net|org|io|gg)"")"),"gamerant")</f>
        <v>gamerant</v>
      </c>
      <c r="O170" s="9" t="s">
        <v>50</v>
      </c>
      <c r="P170" s="9" t="s">
        <v>75</v>
      </c>
      <c r="Q170" s="9">
        <v>16202</v>
      </c>
      <c r="R170" s="9">
        <v>80</v>
      </c>
      <c r="S170" s="9">
        <v>11786</v>
      </c>
      <c r="T170" s="9">
        <v>15365</v>
      </c>
      <c r="U170" s="9">
        <v>2</v>
      </c>
      <c r="V170" s="11">
        <v>1570.34276</v>
      </c>
      <c r="W170" s="12">
        <f t="shared" si="0"/>
        <v>785.17138</v>
      </c>
      <c r="X170" s="12">
        <f t="shared" si="1"/>
        <v>0.49376620170349339</v>
      </c>
      <c r="Y170" s="12">
        <f t="shared" si="2"/>
        <v>72.744105665967169</v>
      </c>
      <c r="Z170" s="12">
        <f t="shared" si="3"/>
        <v>133.23797386730018</v>
      </c>
      <c r="AA170" s="12">
        <f t="shared" si="4"/>
        <v>96.922772497222553</v>
      </c>
      <c r="AB170" s="12">
        <f t="shared" si="5"/>
        <v>19.629284500000001</v>
      </c>
      <c r="AC170" s="12">
        <f t="shared" si="6"/>
        <v>2.5</v>
      </c>
      <c r="AE170" s="13"/>
      <c r="AF170" s="13"/>
    </row>
    <row r="171" spans="1:32">
      <c r="A171" s="8" t="s">
        <v>783</v>
      </c>
      <c r="B171" s="9" t="s">
        <v>92</v>
      </c>
      <c r="C171" s="9" t="s">
        <v>93</v>
      </c>
      <c r="D171" s="9" t="s">
        <v>784</v>
      </c>
      <c r="E171" s="9" t="s">
        <v>785</v>
      </c>
      <c r="F171" s="9" t="str">
        <f ca="1">IFERROR(__xludf.DUMMYFUNCTION("IFS(
  REGEXMATCH(LOWER(VLOOKUP(A171, Data1_Raw_Slack!A:B, 2, FALSE)), ""news|weather""), ""News and Weather"", REGEXMATCH(LOWER(VLOOKUP(A171, Data1_Raw_Slack!A:B, 2, FALSE)), ""sports|ufc|nba|nfl|mlb|soccer|sports fans""), ""Sports"",
  REGEXMATCH(LOWER("&amp;"VLOOKUP(A171, Data1_Raw_Slack!A:B, 2, FALSE)), ""fashion|style|clothing|apparel|shoes|accessories|beauty|cosmetics|fashionistas""), ""Fashion and Beauty"",
  REGEXMATCH(LOWER(VLOOKUP(A171, Data1_Raw_Slack!A:B, 2, FALSE)), ""food|cooking|recipe|restaurant|"&amp;"snack|grocery|foodies""), ""Food"",
  REGEXMATCH(LOWER(VLOOKUP(A171, Data1_Raw_Slack!A:B, 2, FALSE)), ""travel|vacation|airline|hotel|trip|flights|travelers""), ""Travel"",
  REGEXMATCH(LOWER(VLOOKUP(A171, Data1_Raw_Slack!A:B, 2, FALSE)), ""fitness|workou"&amp;"t|gym|exercise|yoga|wellness|fitness enthusiasts""), ""Fitness"",
  REGEXMATCH(LOWER(VLOOKUP(A171, Data1_Raw_Slack!A:B, 2, FALSE)), ""health|medical|pharmacy|mental health|doctor|health-conscious""), ""Health"",
  REGEXMATCH(LOWER(VLOOKUP(A171, Data1_Raw_"&amp;"Slack!A:B, 2, FALSE)), ""pets|dogs|cats|animals|pet care|pet lovers""), ""Pets"",
  REGEXMATCH(LOWER(VLOOKUP(A171, Data1_Raw_Slack!A:B, 2, FALSE)), ""games|gaming|game|xbox|playstation|nintendo|gamers""), ""Gaming"",
  REGEXMATCH(LOWER(VLOOKUP(A171, Data1"&amp;"_Raw_Slack!A:B, 2, FALSE)), ""entertainment|movies|tv|netflix|streaming|celebrity|movie lovers|tv fans|hobb|photo|art""), ""Entertainment"",
  REGEXMATCH(LOWER(VLOOKUP(A171, Data1_Raw_Slack!A:B, 2, FALSE)), ""lifestyle|home|interior|decor|living|lifestyle"&amp;" enthusiasts""), ""Lifestyle"",
  REGEXMATCH(LOWER(VLOOKUP(A171, Data1_Raw_Slack!A:B, 2, FALSE)), ""financial|finance|investing|stocks|retirement|banking|credit|debt|loans|savings|personal finance|insurance|econ|ecom|business|retail|occupation|sale|job|ma"&amp;"rketing""), ""Finance"",
  REGEXMATCH(LOWER(VLOOKUP(A171, Data1_Raw_Slack!A:B, 2, FALSE)), ""auto|automotive""), ""Auto"",
  REGEXMATCH(LOWER(VLOOKUP(A171, Data1_Raw_Slack!A:B, 2, FALSE)), ""parenting|moms|dads|kids|toddlers|baby|parent|children""), ""Par"&amp;"enting"",
  REGEXMATCH(LOWER(VLOOKUP(A171, Data1_Raw_Slack!A:B, 2, FALSE)), ""education|students|learning|school|teachers|college|university|academics""), ""Education"",
  REGEXMATCH(LOWER(VLOOKUP(A171, Data1_Raw_Slack!A:B, 2, FALSE)), ""age|gender|dem"&amp;"ographic|family|household""), ""Demographics"",
  REGEXMATCH(LOWER(VLOOKUP(A171, Data1_Raw_Slack!A:B, 2, FALSE)), ""mortgage|real estate""), ""Real Estate"",REGEXMATCH(LOWER(VLOOKUP(A171, Data1_Raw_Slack!A:B, 2, FALSE)), ""technology|tech|gadgets|smartpho"&amp;"ne|electro|apps|devices|computing|ai|robots|software|computer|internet|tele|mobile|tablet""), ""Technology"", REGEXMATCH(LOWER(VLOOKUP(A171, Data1_Raw_Slack!A:B, 2, FALSE)), ""entertainment|purchas|movies|tv|netflix|streaming|celebrity|movie lovers|tv fan"&amp;"s|media|hobb|photo|art|shop""), ""Entertainment"", REGEXMATCH(LOWER(VLOOKUP(A171, Data1_Raw_Slack!A:B, 2, FALSE)), ""law|government|""), ""Law and Government"",
  TRUE, ""Other""
)"),"Fashion and Beauty")</f>
        <v>Fashion and Beauty</v>
      </c>
      <c r="G171" s="9"/>
      <c r="H171" s="9" t="s">
        <v>123</v>
      </c>
      <c r="I171" s="9" t="s">
        <v>786</v>
      </c>
      <c r="J171" s="9" t="s">
        <v>80</v>
      </c>
      <c r="K171" s="9" t="s">
        <v>88</v>
      </c>
      <c r="L171" s="9" t="s">
        <v>89</v>
      </c>
      <c r="M171" s="10" t="s">
        <v>787</v>
      </c>
      <c r="N171" s="9" t="str">
        <f ca="1">IFERROR(__xludf.DUMMYFUNCTION("REGEXEXTRACT(LOWER(M171), ""([a-z0-9\-]+)\.(?:co|net|org|io|gg)"")"),"sneakertoast")</f>
        <v>sneakertoast</v>
      </c>
      <c r="O171" s="9" t="s">
        <v>74</v>
      </c>
      <c r="P171" s="9" t="s">
        <v>39</v>
      </c>
      <c r="Q171" s="9">
        <v>15475</v>
      </c>
      <c r="R171" s="9">
        <v>110</v>
      </c>
      <c r="S171" s="9">
        <v>6019</v>
      </c>
      <c r="T171" s="9">
        <v>10952</v>
      </c>
      <c r="U171" s="9">
        <v>9</v>
      </c>
      <c r="V171" s="11">
        <v>4156.7133830000002</v>
      </c>
      <c r="W171" s="12">
        <f t="shared" si="0"/>
        <v>461.85704255555561</v>
      </c>
      <c r="X171" s="12">
        <f t="shared" si="1"/>
        <v>0.71082390953150243</v>
      </c>
      <c r="Y171" s="12">
        <f t="shared" si="2"/>
        <v>38.894991922455574</v>
      </c>
      <c r="Z171" s="12">
        <f t="shared" si="3"/>
        <v>690.59866805117133</v>
      </c>
      <c r="AA171" s="12">
        <f t="shared" si="4"/>
        <v>268.60829615508885</v>
      </c>
      <c r="AB171" s="12">
        <f t="shared" si="5"/>
        <v>37.788303481818183</v>
      </c>
      <c r="AC171" s="12">
        <f t="shared" si="6"/>
        <v>8.1818181818181817</v>
      </c>
      <c r="AE171" s="13"/>
      <c r="AF171" s="13"/>
    </row>
    <row r="172" spans="1:32">
      <c r="A172" s="8" t="s">
        <v>788</v>
      </c>
      <c r="B172" s="9" t="s">
        <v>41</v>
      </c>
      <c r="C172" s="9" t="s">
        <v>154</v>
      </c>
      <c r="D172" s="9" t="s">
        <v>188</v>
      </c>
      <c r="E172" s="9" t="s">
        <v>789</v>
      </c>
      <c r="F172" s="9" t="str">
        <f ca="1">IFERROR(__xludf.DUMMYFUNCTION("IFS(
  REGEXMATCH(LOWER(VLOOKUP(A172, Data1_Raw_Slack!A:B, 2, FALSE)), ""news|weather""), ""News and Weather"", REGEXMATCH(LOWER(VLOOKUP(A172, Data1_Raw_Slack!A:B, 2, FALSE)), ""sports|ufc|nba|nfl|mlb|soccer|sports fans""), ""Sports"",
  REGEXMATCH(LOWER("&amp;"VLOOKUP(A172, Data1_Raw_Slack!A:B, 2, FALSE)), ""fashion|style|clothing|apparel|shoes|accessories|beauty|cosmetics|fashionistas""), ""Fashion and Beauty"",
  REGEXMATCH(LOWER(VLOOKUP(A172, Data1_Raw_Slack!A:B, 2, FALSE)), ""food|cooking|recipe|restaurant|"&amp;"snack|grocery|foodies""), ""Food"",
  REGEXMATCH(LOWER(VLOOKUP(A172, Data1_Raw_Slack!A:B, 2, FALSE)), ""travel|vacation|airline|hotel|trip|flights|travelers""), ""Travel"",
  REGEXMATCH(LOWER(VLOOKUP(A172, Data1_Raw_Slack!A:B, 2, FALSE)), ""fitness|workou"&amp;"t|gym|exercise|yoga|wellness|fitness enthusiasts""), ""Fitness"",
  REGEXMATCH(LOWER(VLOOKUP(A172, Data1_Raw_Slack!A:B, 2, FALSE)), ""health|medical|pharmacy|mental health|doctor|health-conscious""), ""Health"",
  REGEXMATCH(LOWER(VLOOKUP(A172, Data1_Raw_"&amp;"Slack!A:B, 2, FALSE)), ""pets|dogs|cats|animals|pet care|pet lovers""), ""Pets"",
  REGEXMATCH(LOWER(VLOOKUP(A172, Data1_Raw_Slack!A:B, 2, FALSE)), ""games|gaming|game|xbox|playstation|nintendo|gamers""), ""Gaming"",
  REGEXMATCH(LOWER(VLOOKUP(A172, Data1"&amp;"_Raw_Slack!A:B, 2, FALSE)), ""entertainment|movies|tv|netflix|streaming|celebrity|movie lovers|tv fans|hobb|photo|art""), ""Entertainment"",
  REGEXMATCH(LOWER(VLOOKUP(A172, Data1_Raw_Slack!A:B, 2, FALSE)), ""lifestyle|home|interior|decor|living|lifestyle"&amp;" enthusiasts""), ""Lifestyle"",
  REGEXMATCH(LOWER(VLOOKUP(A172, Data1_Raw_Slack!A:B, 2, FALSE)), ""financial|finance|investing|stocks|retirement|banking|credit|debt|loans|savings|personal finance|insurance|econ|ecom|business|retail|occupation|sale|job|ma"&amp;"rketing""), ""Finance"",
  REGEXMATCH(LOWER(VLOOKUP(A172, Data1_Raw_Slack!A:B, 2, FALSE)), ""auto|automotive""), ""Auto"",
  REGEXMATCH(LOWER(VLOOKUP(A172, Data1_Raw_Slack!A:B, 2, FALSE)), ""parenting|moms|dads|kids|toddlers|baby|parent|children""), ""Par"&amp;"enting"",
  REGEXMATCH(LOWER(VLOOKUP(A172, Data1_Raw_Slack!A:B, 2, FALSE)), ""education|students|learning|school|teachers|college|university|academics""), ""Education"",
  REGEXMATCH(LOWER(VLOOKUP(A172, Data1_Raw_Slack!A:B, 2, FALSE)), ""age|gender|dem"&amp;"ographic|family|household""), ""Demographics"",
  REGEXMATCH(LOWER(VLOOKUP(A172, Data1_Raw_Slack!A:B, 2, FALSE)), ""mortgage|real estate""), ""Real Estate"",REGEXMATCH(LOWER(VLOOKUP(A172, Data1_Raw_Slack!A:B, 2, FALSE)), ""technology|tech|gadgets|smartpho"&amp;"ne|electro|apps|devices|computing|ai|robots|software|computer|internet|tele|mobile|tablet""), ""Technology"", REGEXMATCH(LOWER(VLOOKUP(A172, Data1_Raw_Slack!A:B, 2, FALSE)), ""entertainment|purchas|movies|tv|netflix|streaming|celebrity|movie lovers|tv fan"&amp;"s|media|hobb|photo|art|shop""), ""Entertainment"", REGEXMATCH(LOWER(VLOOKUP(A172, Data1_Raw_Slack!A:B, 2, FALSE)), ""law|government|""), ""Law and Government"",
  TRUE, ""Other""
)"),"Sports")</f>
        <v>Sports</v>
      </c>
      <c r="G172" s="9" t="s">
        <v>154</v>
      </c>
      <c r="H172" s="9" t="s">
        <v>32</v>
      </c>
      <c r="I172" s="9" t="s">
        <v>748</v>
      </c>
      <c r="J172" s="9" t="s">
        <v>62</v>
      </c>
      <c r="K172" s="9" t="s">
        <v>170</v>
      </c>
      <c r="L172" s="9" t="s">
        <v>72</v>
      </c>
      <c r="M172" s="10" t="s">
        <v>430</v>
      </c>
      <c r="N172" s="9" t="str">
        <f ca="1">IFERROR(__xludf.DUMMYFUNCTION("REGEXEXTRACT(LOWER(M172), ""([a-z0-9\-]+)\.(?:co|net|org|io|gg)"")"),"biblegateway")</f>
        <v>biblegateway</v>
      </c>
      <c r="O172" s="9" t="s">
        <v>131</v>
      </c>
      <c r="P172" s="9" t="s">
        <v>39</v>
      </c>
      <c r="Q172" s="9">
        <v>149618</v>
      </c>
      <c r="R172" s="9">
        <v>260</v>
      </c>
      <c r="S172" s="9">
        <v>126031</v>
      </c>
      <c r="T172" s="9">
        <v>140596</v>
      </c>
      <c r="U172" s="9">
        <v>26</v>
      </c>
      <c r="V172" s="11">
        <v>6605.5861580000001</v>
      </c>
      <c r="W172" s="12">
        <f t="shared" si="0"/>
        <v>254.06100607692309</v>
      </c>
      <c r="X172" s="12">
        <f t="shared" si="1"/>
        <v>0.17377588258097287</v>
      </c>
      <c r="Y172" s="12">
        <f t="shared" si="2"/>
        <v>84.235185606009978</v>
      </c>
      <c r="Z172" s="12">
        <f t="shared" si="3"/>
        <v>52.41239185597194</v>
      </c>
      <c r="AA172" s="12">
        <f t="shared" si="4"/>
        <v>44.149675560427227</v>
      </c>
      <c r="AB172" s="12">
        <f t="shared" si="5"/>
        <v>25.406100607692309</v>
      </c>
      <c r="AC172" s="12">
        <f t="shared" si="6"/>
        <v>10</v>
      </c>
      <c r="AE172" s="13"/>
      <c r="AF172" s="13"/>
    </row>
    <row r="173" spans="1:32">
      <c r="A173" s="8" t="s">
        <v>790</v>
      </c>
      <c r="B173" s="9" t="s">
        <v>52</v>
      </c>
      <c r="C173" s="9" t="s">
        <v>791</v>
      </c>
      <c r="D173" s="9" t="s">
        <v>792</v>
      </c>
      <c r="E173" s="9"/>
      <c r="F173" s="9" t="str">
        <f ca="1">IFERROR(__xludf.DUMMYFUNCTION("IFS(
  REGEXMATCH(LOWER(VLOOKUP(A173, Data1_Raw_Slack!A:B, 2, FALSE)), ""news|weather""), ""News and Weather"", REGEXMATCH(LOWER(VLOOKUP(A173, Data1_Raw_Slack!A:B, 2, FALSE)), ""sports|ufc|nba|nfl|mlb|soccer|sports fans""), ""Sports"",
  REGEXMATCH(LOWER("&amp;"VLOOKUP(A173, Data1_Raw_Slack!A:B, 2, FALSE)), ""fashion|style|clothing|apparel|shoes|accessories|beauty|cosmetics|fashionistas""), ""Fashion and Beauty"",
  REGEXMATCH(LOWER(VLOOKUP(A173, Data1_Raw_Slack!A:B, 2, FALSE)), ""food|cooking|recipe|restaurant|"&amp;"snack|grocery|foodies""), ""Food"",
  REGEXMATCH(LOWER(VLOOKUP(A173, Data1_Raw_Slack!A:B, 2, FALSE)), ""travel|vacation|airline|hotel|trip|flights|travelers""), ""Travel"",
  REGEXMATCH(LOWER(VLOOKUP(A173, Data1_Raw_Slack!A:B, 2, FALSE)), ""fitness|workou"&amp;"t|gym|exercise|yoga|wellness|fitness enthusiasts""), ""Fitness"",
  REGEXMATCH(LOWER(VLOOKUP(A173, Data1_Raw_Slack!A:B, 2, FALSE)), ""health|medical|pharmacy|mental health|doctor|health-conscious""), ""Health"",
  REGEXMATCH(LOWER(VLOOKUP(A173, Data1_Raw_"&amp;"Slack!A:B, 2, FALSE)), ""pets|dogs|cats|animals|pet care|pet lovers""), ""Pets"",
  REGEXMATCH(LOWER(VLOOKUP(A173, Data1_Raw_Slack!A:B, 2, FALSE)), ""games|gaming|game|xbox|playstation|nintendo|gamers""), ""Gaming"",
  REGEXMATCH(LOWER(VLOOKUP(A173, Data1"&amp;"_Raw_Slack!A:B, 2, FALSE)), ""entertainment|movies|tv|netflix|streaming|celebrity|movie lovers|tv fans|hobb|photo|art""), ""Entertainment"",
  REGEXMATCH(LOWER(VLOOKUP(A173, Data1_Raw_Slack!A:B, 2, FALSE)), ""lifestyle|home|interior|decor|living|lifestyle"&amp;" enthusiasts""), ""Lifestyle"",
  REGEXMATCH(LOWER(VLOOKUP(A173, Data1_Raw_Slack!A:B, 2, FALSE)), ""financial|finance|investing|stocks|retirement|banking|credit|debt|loans|savings|personal finance|insurance|econ|ecom|business|retail|occupation|sale|job|ma"&amp;"rketing""), ""Finance"",
  REGEXMATCH(LOWER(VLOOKUP(A173, Data1_Raw_Slack!A:B, 2, FALSE)), ""auto|automotive""), ""Auto"",
  REGEXMATCH(LOWER(VLOOKUP(A173, Data1_Raw_Slack!A:B, 2, FALSE)), ""parenting|moms|dads|kids|toddlers|baby|parent|children""), ""Par"&amp;"enting"",
  REGEXMATCH(LOWER(VLOOKUP(A173, Data1_Raw_Slack!A:B, 2, FALSE)), ""education|students|learning|school|teachers|college|university|academics""), ""Education"",
  REGEXMATCH(LOWER(VLOOKUP(A173, Data1_Raw_Slack!A:B, 2, FALSE)), ""age|gender|dem"&amp;"ographic|family|household""), ""Demographics"",
  REGEXMATCH(LOWER(VLOOKUP(A173, Data1_Raw_Slack!A:B, 2, FALSE)), ""mortgage|real estate""), ""Real Estate"",REGEXMATCH(LOWER(VLOOKUP(A173, Data1_Raw_Slack!A:B, 2, FALSE)), ""technology|tech|gadgets|smartpho"&amp;"ne|electro|apps|devices|computing|ai|robots|software|computer|internet|tele|mobile|tablet""), ""Technology"", REGEXMATCH(LOWER(VLOOKUP(A173, Data1_Raw_Slack!A:B, 2, FALSE)), ""entertainment|purchas|movies|tv|netflix|streaming|celebrity|movie lovers|tv fan"&amp;"s|media|hobb|photo|art|shop""), ""Entertainment"", REGEXMATCH(LOWER(VLOOKUP(A173, Data1_Raw_Slack!A:B, 2, FALSE)), ""law|government|""), ""Law and Government"",
  TRUE, ""Other""
)"),"Food")</f>
        <v>Food</v>
      </c>
      <c r="G173" s="9"/>
      <c r="H173" s="9" t="s">
        <v>32</v>
      </c>
      <c r="I173" s="9" t="s">
        <v>793</v>
      </c>
      <c r="J173" s="9" t="s">
        <v>34</v>
      </c>
      <c r="K173" s="9" t="s">
        <v>299</v>
      </c>
      <c r="L173" s="9" t="s">
        <v>72</v>
      </c>
      <c r="M173" s="10" t="s">
        <v>372</v>
      </c>
      <c r="N173" s="9" t="str">
        <f ca="1">IFERROR(__xludf.DUMMYFUNCTION("REGEXEXTRACT(LOWER(M173), ""([a-z0-9\-]+)\.(?:co|net|org|io|gg)"")"),"accuweather")</f>
        <v>accuweather</v>
      </c>
      <c r="O173" s="9" t="s">
        <v>103</v>
      </c>
      <c r="P173" s="9" t="s">
        <v>39</v>
      </c>
      <c r="Q173" s="9">
        <v>213699</v>
      </c>
      <c r="R173" s="9">
        <v>270</v>
      </c>
      <c r="S173" s="9">
        <v>18395</v>
      </c>
      <c r="T173" s="9">
        <v>164487</v>
      </c>
      <c r="U173" s="9">
        <v>4</v>
      </c>
      <c r="V173" s="11">
        <v>2194.9871250000001</v>
      </c>
      <c r="W173" s="12">
        <f t="shared" si="0"/>
        <v>548.74678125000003</v>
      </c>
      <c r="X173" s="12">
        <f t="shared" si="1"/>
        <v>0.12634593517049683</v>
      </c>
      <c r="Y173" s="12">
        <f t="shared" si="2"/>
        <v>8.6079017683751431</v>
      </c>
      <c r="Z173" s="12">
        <f t="shared" si="3"/>
        <v>119.32520385974451</v>
      </c>
      <c r="AA173" s="12">
        <f t="shared" si="4"/>
        <v>10.271396333160192</v>
      </c>
      <c r="AB173" s="12">
        <f t="shared" si="5"/>
        <v>8.1295819444444444</v>
      </c>
      <c r="AC173" s="12">
        <f t="shared" si="6"/>
        <v>1.4814814814814816</v>
      </c>
      <c r="AE173" s="13"/>
      <c r="AF173" s="13"/>
    </row>
    <row r="174" spans="1:32">
      <c r="A174" s="8" t="s">
        <v>794</v>
      </c>
      <c r="B174" s="9" t="s">
        <v>41</v>
      </c>
      <c r="C174" s="9" t="s">
        <v>127</v>
      </c>
      <c r="D174" s="9" t="s">
        <v>746</v>
      </c>
      <c r="E174" s="9" t="s">
        <v>795</v>
      </c>
      <c r="F174" s="9" t="str">
        <f ca="1">IFERROR(__xludf.DUMMYFUNCTION("IFS(
  REGEXMATCH(LOWER(VLOOKUP(A174, Data1_Raw_Slack!A:B, 2, FALSE)), ""news|weather""), ""News and Weather"", REGEXMATCH(LOWER(VLOOKUP(A174, Data1_Raw_Slack!A:B, 2, FALSE)), ""sports|ufc|nba|nfl|mlb|soccer|sports fans""), ""Sports"",
  REGEXMATCH(LOWER("&amp;"VLOOKUP(A174, Data1_Raw_Slack!A:B, 2, FALSE)), ""fashion|style|clothing|apparel|shoes|accessories|beauty|cosmetics|fashionistas""), ""Fashion and Beauty"",
  REGEXMATCH(LOWER(VLOOKUP(A174, Data1_Raw_Slack!A:B, 2, FALSE)), ""food|cooking|recipe|restaurant|"&amp;"snack|grocery|foodies""), ""Food"",
  REGEXMATCH(LOWER(VLOOKUP(A174, Data1_Raw_Slack!A:B, 2, FALSE)), ""travel|vacation|airline|hotel|trip|flights|travelers""), ""Travel"",
  REGEXMATCH(LOWER(VLOOKUP(A174, Data1_Raw_Slack!A:B, 2, FALSE)), ""fitness|workou"&amp;"t|gym|exercise|yoga|wellness|fitness enthusiasts""), ""Fitness"",
  REGEXMATCH(LOWER(VLOOKUP(A174, Data1_Raw_Slack!A:B, 2, FALSE)), ""health|medical|pharmacy|mental health|doctor|health-conscious""), ""Health"",
  REGEXMATCH(LOWER(VLOOKUP(A174, Data1_Raw_"&amp;"Slack!A:B, 2, FALSE)), ""pets|dogs|cats|animals|pet care|pet lovers""), ""Pets"",
  REGEXMATCH(LOWER(VLOOKUP(A174, Data1_Raw_Slack!A:B, 2, FALSE)), ""games|gaming|game|xbox|playstation|nintendo|gamers""), ""Gaming"",
  REGEXMATCH(LOWER(VLOOKUP(A174, Data1"&amp;"_Raw_Slack!A:B, 2, FALSE)), ""entertainment|movies|tv|netflix|streaming|celebrity|movie lovers|tv fans|hobb|photo|art""), ""Entertainment"",
  REGEXMATCH(LOWER(VLOOKUP(A174, Data1_Raw_Slack!A:B, 2, FALSE)), ""lifestyle|home|interior|decor|living|lifestyle"&amp;" enthusiasts""), ""Lifestyle"",
  REGEXMATCH(LOWER(VLOOKUP(A174, Data1_Raw_Slack!A:B, 2, FALSE)), ""financial|finance|investing|stocks|retirement|banking|credit|debt|loans|savings|personal finance|insurance|econ|ecom|business|retail|occupation|sale|job|ma"&amp;"rketing""), ""Finance"",
  REGEXMATCH(LOWER(VLOOKUP(A174, Data1_Raw_Slack!A:B, 2, FALSE)), ""auto|automotive""), ""Auto"",
  REGEXMATCH(LOWER(VLOOKUP(A174, Data1_Raw_Slack!A:B, 2, FALSE)), ""parenting|moms|dads|kids|toddlers|baby|parent|children""), ""Par"&amp;"enting"",
  REGEXMATCH(LOWER(VLOOKUP(A174, Data1_Raw_Slack!A:B, 2, FALSE)), ""education|students|learning|school|teachers|college|university|academics""), ""Education"",
  REGEXMATCH(LOWER(VLOOKUP(A174, Data1_Raw_Slack!A:B, 2, FALSE)), ""age|gender|dem"&amp;"ographic|family|household""), ""Demographics"",
  REGEXMATCH(LOWER(VLOOKUP(A174, Data1_Raw_Slack!A:B, 2, FALSE)), ""mortgage|real estate""), ""Real Estate"",REGEXMATCH(LOWER(VLOOKUP(A174, Data1_Raw_Slack!A:B, 2, FALSE)), ""technology|tech|gadgets|smartpho"&amp;"ne|electro|apps|devices|computing|ai|robots|software|computer|internet|tele|mobile|tablet""), ""Technology"", REGEXMATCH(LOWER(VLOOKUP(A174, Data1_Raw_Slack!A:B, 2, FALSE)), ""entertainment|purchas|movies|tv|netflix|streaming|celebrity|movie lovers|tv fan"&amp;"s|media|hobb|photo|art|shop""), ""Entertainment"", REGEXMATCH(LOWER(VLOOKUP(A174, Data1_Raw_Slack!A:B, 2, FALSE)), ""law|government|""), ""Law and Government"",
  TRUE, ""Other""
)"),"Finance")</f>
        <v>Finance</v>
      </c>
      <c r="G174" s="9" t="s">
        <v>127</v>
      </c>
      <c r="H174" s="9" t="s">
        <v>44</v>
      </c>
      <c r="I174" s="9" t="s">
        <v>796</v>
      </c>
      <c r="J174" s="9" t="s">
        <v>80</v>
      </c>
      <c r="K174" s="9" t="s">
        <v>236</v>
      </c>
      <c r="L174" s="9" t="s">
        <v>82</v>
      </c>
      <c r="M174" s="10" t="s">
        <v>300</v>
      </c>
      <c r="N174" s="9" t="str">
        <f ca="1">IFERROR(__xludf.DUMMYFUNCTION("REGEXEXTRACT(LOWER(M174), ""([a-z0-9\-]+)\.(?:co|net|org|io|gg)"")"),"the-sun")</f>
        <v>the-sun</v>
      </c>
      <c r="O174" s="9" t="s">
        <v>50</v>
      </c>
      <c r="P174" s="9" t="s">
        <v>39</v>
      </c>
      <c r="Q174" s="9">
        <v>357707</v>
      </c>
      <c r="R174" s="9">
        <v>951</v>
      </c>
      <c r="S174" s="9">
        <v>203987</v>
      </c>
      <c r="T174" s="9">
        <v>338107</v>
      </c>
      <c r="U174" s="9">
        <v>74</v>
      </c>
      <c r="V174" s="11">
        <v>6749.2023529999997</v>
      </c>
      <c r="W174" s="12">
        <f t="shared" si="0"/>
        <v>91.205437202702697</v>
      </c>
      <c r="X174" s="12">
        <f t="shared" si="1"/>
        <v>0.26586004746901792</v>
      </c>
      <c r="Y174" s="12">
        <f t="shared" si="2"/>
        <v>57.026281286080504</v>
      </c>
      <c r="Z174" s="12">
        <f t="shared" si="3"/>
        <v>33.086433709010869</v>
      </c>
      <c r="AA174" s="12">
        <f t="shared" si="4"/>
        <v>18.867962754433098</v>
      </c>
      <c r="AB174" s="12">
        <f t="shared" si="5"/>
        <v>7.096953052576235</v>
      </c>
      <c r="AC174" s="12">
        <f t="shared" si="6"/>
        <v>7.7812828601472139</v>
      </c>
      <c r="AE174" s="13"/>
      <c r="AF174" s="13"/>
    </row>
    <row r="175" spans="1:32">
      <c r="A175" s="8" t="s">
        <v>797</v>
      </c>
      <c r="B175" s="9" t="s">
        <v>798</v>
      </c>
      <c r="C175" s="9" t="s">
        <v>67</v>
      </c>
      <c r="D175" s="9"/>
      <c r="E175" s="9"/>
      <c r="F175" s="9" t="str">
        <f ca="1">IFERROR(__xludf.DUMMYFUNCTION("IFS(
  REGEXMATCH(LOWER(VLOOKUP(A175, Data1_Raw_Slack!A:B, 2, FALSE)), ""news|weather""), ""News and Weather"", REGEXMATCH(LOWER(VLOOKUP(A175, Data1_Raw_Slack!A:B, 2, FALSE)), ""sports|ufc|nba|nfl|mlb|soccer|sports fans""), ""Sports"",
  REGEXMATCH(LOWER("&amp;"VLOOKUP(A175, Data1_Raw_Slack!A:B, 2, FALSE)), ""fashion|style|clothing|apparel|shoes|accessories|beauty|cosmetics|fashionistas""), ""Fashion and Beauty"",
  REGEXMATCH(LOWER(VLOOKUP(A175, Data1_Raw_Slack!A:B, 2, FALSE)), ""food|cooking|recipe|restaurant|"&amp;"snack|grocery|foodies""), ""Food"",
  REGEXMATCH(LOWER(VLOOKUP(A175, Data1_Raw_Slack!A:B, 2, FALSE)), ""travel|vacation|airline|hotel|trip|flights|travelers""), ""Travel"",
  REGEXMATCH(LOWER(VLOOKUP(A175, Data1_Raw_Slack!A:B, 2, FALSE)), ""fitness|workou"&amp;"t|gym|exercise|yoga|wellness|fitness enthusiasts""), ""Fitness"",
  REGEXMATCH(LOWER(VLOOKUP(A175, Data1_Raw_Slack!A:B, 2, FALSE)), ""health|medical|pharmacy|mental health|doctor|health-conscious""), ""Health"",
  REGEXMATCH(LOWER(VLOOKUP(A175, Data1_Raw_"&amp;"Slack!A:B, 2, FALSE)), ""pets|dogs|cats|animals|pet care|pet lovers""), ""Pets"",
  REGEXMATCH(LOWER(VLOOKUP(A175, Data1_Raw_Slack!A:B, 2, FALSE)), ""games|gaming|game|xbox|playstation|nintendo|gamers""), ""Gaming"",
  REGEXMATCH(LOWER(VLOOKUP(A175, Data1"&amp;"_Raw_Slack!A:B, 2, FALSE)), ""entertainment|movies|tv|netflix|streaming|celebrity|movie lovers|tv fans|hobb|photo|art""), ""Entertainment"",
  REGEXMATCH(LOWER(VLOOKUP(A175, Data1_Raw_Slack!A:B, 2, FALSE)), ""lifestyle|home|interior|decor|living|lifestyle"&amp;" enthusiasts""), ""Lifestyle"",
  REGEXMATCH(LOWER(VLOOKUP(A175, Data1_Raw_Slack!A:B, 2, FALSE)), ""financial|finance|investing|stocks|retirement|banking|credit|debt|loans|savings|personal finance|insurance|econ|ecom|business|retail|occupation|sale|job|ma"&amp;"rketing""), ""Finance"",
  REGEXMATCH(LOWER(VLOOKUP(A175, Data1_Raw_Slack!A:B, 2, FALSE)), ""auto|automotive""), ""Auto"",
  REGEXMATCH(LOWER(VLOOKUP(A175, Data1_Raw_Slack!A:B, 2, FALSE)), ""parenting|moms|dads|kids|toddlers|baby|parent|children""), ""Par"&amp;"enting"",
  REGEXMATCH(LOWER(VLOOKUP(A175, Data1_Raw_Slack!A:B, 2, FALSE)), ""education|students|learning|school|teachers|college|university|academics""), ""Education"",
  REGEXMATCH(LOWER(VLOOKUP(A175, Data1_Raw_Slack!A:B, 2, FALSE)), ""age|gender|dem"&amp;"ographic|family|household""), ""Demographics"",
  REGEXMATCH(LOWER(VLOOKUP(A175, Data1_Raw_Slack!A:B, 2, FALSE)), ""mortgage|real estate""), ""Real Estate"",REGEXMATCH(LOWER(VLOOKUP(A175, Data1_Raw_Slack!A:B, 2, FALSE)), ""technology|tech|gadgets|smartpho"&amp;"ne|electro|apps|devices|computing|ai|robots|software|computer|internet|tele|mobile|tablet""), ""Technology"", REGEXMATCH(LOWER(VLOOKUP(A175, Data1_Raw_Slack!A:B, 2, FALSE)), ""entertainment|purchas|movies|tv|netflix|streaming|celebrity|movie lovers|tv fan"&amp;"s|media|hobb|photo|art|shop""), ""Entertainment"", REGEXMATCH(LOWER(VLOOKUP(A175, Data1_Raw_Slack!A:B, 2, FALSE)), ""law|government|""), ""Law and Government"",
  TRUE, ""Other""
)"),"Entertainment")</f>
        <v>Entertainment</v>
      </c>
      <c r="G175" s="9" t="s">
        <v>69</v>
      </c>
      <c r="H175" s="9" t="s">
        <v>44</v>
      </c>
      <c r="I175" s="9" t="s">
        <v>603</v>
      </c>
      <c r="J175" s="9" t="s">
        <v>46</v>
      </c>
      <c r="K175" s="9" t="s">
        <v>236</v>
      </c>
      <c r="L175" s="9" t="s">
        <v>82</v>
      </c>
      <c r="M175" s="10" t="s">
        <v>799</v>
      </c>
      <c r="N175" s="9" t="str">
        <f ca="1">IFERROR(__xludf.DUMMYFUNCTION("REGEXEXTRACT(LOWER(M175), ""([a-z0-9\-]+)\.(?:co|net|org|io|gg)"")"),"streetinsider")</f>
        <v>streetinsider</v>
      </c>
      <c r="O175" s="9" t="s">
        <v>50</v>
      </c>
      <c r="P175" s="9" t="s">
        <v>39</v>
      </c>
      <c r="Q175" s="9">
        <v>756687</v>
      </c>
      <c r="R175" s="9">
        <v>1984</v>
      </c>
      <c r="S175" s="9">
        <v>442979</v>
      </c>
      <c r="T175" s="9">
        <v>611813</v>
      </c>
      <c r="U175" s="9">
        <v>14</v>
      </c>
      <c r="V175" s="11">
        <v>2452.9975039999999</v>
      </c>
      <c r="W175" s="12">
        <f t="shared" si="0"/>
        <v>175.21410742857142</v>
      </c>
      <c r="X175" s="12">
        <f t="shared" si="1"/>
        <v>0.26219559738703058</v>
      </c>
      <c r="Y175" s="12">
        <f t="shared" si="2"/>
        <v>58.541907023643859</v>
      </c>
      <c r="Z175" s="12">
        <f t="shared" si="3"/>
        <v>5.5375029154880933</v>
      </c>
      <c r="AA175" s="12">
        <f t="shared" si="4"/>
        <v>3.241759808216607</v>
      </c>
      <c r="AB175" s="12">
        <f t="shared" si="5"/>
        <v>1.2363898709677419</v>
      </c>
      <c r="AC175" s="12">
        <f t="shared" si="6"/>
        <v>0.70564516129032251</v>
      </c>
      <c r="AE175" s="13"/>
      <c r="AF175" s="13"/>
    </row>
    <row r="176" spans="1:32">
      <c r="A176" s="8" t="s">
        <v>800</v>
      </c>
      <c r="B176" s="9" t="s">
        <v>41</v>
      </c>
      <c r="C176" s="9" t="s">
        <v>120</v>
      </c>
      <c r="D176" s="9" t="s">
        <v>801</v>
      </c>
      <c r="E176" s="9"/>
      <c r="F176" s="9" t="str">
        <f ca="1">IFERROR(__xludf.DUMMYFUNCTION("IFS(
  REGEXMATCH(LOWER(VLOOKUP(A176, Data1_Raw_Slack!A:B, 2, FALSE)), ""news|weather""), ""News and Weather"", REGEXMATCH(LOWER(VLOOKUP(A176, Data1_Raw_Slack!A:B, 2, FALSE)), ""sports|ufc|nba|nfl|mlb|soccer|sports fans""), ""Sports"",
  REGEXMATCH(LOWER("&amp;"VLOOKUP(A176, Data1_Raw_Slack!A:B, 2, FALSE)), ""fashion|style|clothing|apparel|shoes|accessories|beauty|cosmetics|fashionistas""), ""Fashion and Beauty"",
  REGEXMATCH(LOWER(VLOOKUP(A176, Data1_Raw_Slack!A:B, 2, FALSE)), ""food|cooking|recipe|restaurant|"&amp;"snack|grocery|foodies""), ""Food"",
  REGEXMATCH(LOWER(VLOOKUP(A176, Data1_Raw_Slack!A:B, 2, FALSE)), ""travel|vacation|airline|hotel|trip|flights|travelers""), ""Travel"",
  REGEXMATCH(LOWER(VLOOKUP(A176, Data1_Raw_Slack!A:B, 2, FALSE)), ""fitness|workou"&amp;"t|gym|exercise|yoga|wellness|fitness enthusiasts""), ""Fitness"",
  REGEXMATCH(LOWER(VLOOKUP(A176, Data1_Raw_Slack!A:B, 2, FALSE)), ""health|medical|pharmacy|mental health|doctor|health-conscious""), ""Health"",
  REGEXMATCH(LOWER(VLOOKUP(A176, Data1_Raw_"&amp;"Slack!A:B, 2, FALSE)), ""pets|dogs|cats|animals|pet care|pet lovers""), ""Pets"",
  REGEXMATCH(LOWER(VLOOKUP(A176, Data1_Raw_Slack!A:B, 2, FALSE)), ""games|gaming|game|xbox|playstation|nintendo|gamers""), ""Gaming"",
  REGEXMATCH(LOWER(VLOOKUP(A176, Data1"&amp;"_Raw_Slack!A:B, 2, FALSE)), ""entertainment|movies|tv|netflix|streaming|celebrity|movie lovers|tv fans|hobb|photo|art""), ""Entertainment"",
  REGEXMATCH(LOWER(VLOOKUP(A176, Data1_Raw_Slack!A:B, 2, FALSE)), ""lifestyle|home|interior|decor|living|lifestyle"&amp;" enthusiasts""), ""Lifestyle"",
  REGEXMATCH(LOWER(VLOOKUP(A176, Data1_Raw_Slack!A:B, 2, FALSE)), ""financial|finance|investing|stocks|retirement|banking|credit|debt|loans|savings|personal finance|insurance|econ|ecom|business|retail|occupation|sale|job|ma"&amp;"rketing""), ""Finance"",
  REGEXMATCH(LOWER(VLOOKUP(A176, Data1_Raw_Slack!A:B, 2, FALSE)), ""auto|automotive""), ""Auto"",
  REGEXMATCH(LOWER(VLOOKUP(A176, Data1_Raw_Slack!A:B, 2, FALSE)), ""parenting|moms|dads|kids|toddlers|baby|parent|children""), ""Par"&amp;"enting"",
  REGEXMATCH(LOWER(VLOOKUP(A176, Data1_Raw_Slack!A:B, 2, FALSE)), ""education|students|learning|school|teachers|college|university|academics""), ""Education"",
  REGEXMATCH(LOWER(VLOOKUP(A176, Data1_Raw_Slack!A:B, 2, FALSE)), ""age|gender|dem"&amp;"ographic|family|household""), ""Demographics"",
  REGEXMATCH(LOWER(VLOOKUP(A176, Data1_Raw_Slack!A:B, 2, FALSE)), ""mortgage|real estate""), ""Real Estate"",REGEXMATCH(LOWER(VLOOKUP(A176, Data1_Raw_Slack!A:B, 2, FALSE)), ""technology|tech|gadgets|smartpho"&amp;"ne|electro|apps|devices|computing|ai|robots|software|computer|internet|tele|mobile|tablet""), ""Technology"", REGEXMATCH(LOWER(VLOOKUP(A176, Data1_Raw_Slack!A:B, 2, FALSE)), ""entertainment|purchas|movies|tv|netflix|streaming|celebrity|movie lovers|tv fan"&amp;"s|media|hobb|photo|art|shop""), ""Entertainment"", REGEXMATCH(LOWER(VLOOKUP(A176, Data1_Raw_Slack!A:B, 2, FALSE)), ""law|government|""), ""Law and Government"",
  TRUE, ""Other""
)"),"Auto")</f>
        <v>Auto</v>
      </c>
      <c r="G176" s="9" t="s">
        <v>122</v>
      </c>
      <c r="H176" s="9" t="s">
        <v>44</v>
      </c>
      <c r="I176" s="9" t="s">
        <v>802</v>
      </c>
      <c r="J176" s="9" t="s">
        <v>34</v>
      </c>
      <c r="K176" s="9" t="s">
        <v>170</v>
      </c>
      <c r="L176" s="9" t="s">
        <v>72</v>
      </c>
      <c r="M176" s="10" t="s">
        <v>112</v>
      </c>
      <c r="N176" s="9" t="str">
        <f ca="1">IFERROR(__xludf.DUMMYFUNCTION("REGEXEXTRACT(LOWER(M176), ""([a-z0-9\-]+)\.(?:co|net|org|io|gg)"")"),"ebay")</f>
        <v>ebay</v>
      </c>
      <c r="O176" s="9" t="s">
        <v>50</v>
      </c>
      <c r="P176" s="9" t="s">
        <v>64</v>
      </c>
      <c r="Q176" s="9">
        <v>104538</v>
      </c>
      <c r="R176" s="9">
        <v>347</v>
      </c>
      <c r="S176" s="9">
        <v>49049</v>
      </c>
      <c r="T176" s="9">
        <v>97093</v>
      </c>
      <c r="U176" s="9">
        <v>2</v>
      </c>
      <c r="V176" s="11">
        <v>5266.4242329999997</v>
      </c>
      <c r="W176" s="12">
        <f t="shared" si="0"/>
        <v>2633.2121164999999</v>
      </c>
      <c r="X176" s="12">
        <f t="shared" si="1"/>
        <v>0.33193671200903019</v>
      </c>
      <c r="Y176" s="12">
        <f t="shared" si="2"/>
        <v>46.919780366947904</v>
      </c>
      <c r="Z176" s="12">
        <f t="shared" si="3"/>
        <v>107.37067489653202</v>
      </c>
      <c r="AA176" s="12">
        <f t="shared" si="4"/>
        <v>50.378084839962497</v>
      </c>
      <c r="AB176" s="12">
        <f t="shared" si="5"/>
        <v>15.177015080691643</v>
      </c>
      <c r="AC176" s="12">
        <f t="shared" si="6"/>
        <v>0.57636887608069165</v>
      </c>
      <c r="AE176" s="13"/>
      <c r="AF176" s="13"/>
    </row>
    <row r="177" spans="1:32">
      <c r="A177" s="8" t="s">
        <v>803</v>
      </c>
      <c r="B177" s="9" t="s">
        <v>144</v>
      </c>
      <c r="C177" s="9" t="s">
        <v>804</v>
      </c>
      <c r="D177" s="9"/>
      <c r="E177" s="9"/>
      <c r="F177" s="9" t="str">
        <f ca="1">IFERROR(__xludf.DUMMYFUNCTION("IFS(
  REGEXMATCH(LOWER(VLOOKUP(A177, Data1_Raw_Slack!A:B, 2, FALSE)), ""news|weather""), ""News and Weather"", REGEXMATCH(LOWER(VLOOKUP(A177, Data1_Raw_Slack!A:B, 2, FALSE)), ""sports|ufc|nba|nfl|mlb|soccer|sports fans""), ""Sports"",
  REGEXMATCH(LOWER("&amp;"VLOOKUP(A177, Data1_Raw_Slack!A:B, 2, FALSE)), ""fashion|style|clothing|apparel|shoes|accessories|beauty|cosmetics|fashionistas""), ""Fashion and Beauty"",
  REGEXMATCH(LOWER(VLOOKUP(A177, Data1_Raw_Slack!A:B, 2, FALSE)), ""food|cooking|recipe|restaurant|"&amp;"snack|grocery|foodies""), ""Food"",
  REGEXMATCH(LOWER(VLOOKUP(A177, Data1_Raw_Slack!A:B, 2, FALSE)), ""travel|vacation|airline|hotel|trip|flights|travelers""), ""Travel"",
  REGEXMATCH(LOWER(VLOOKUP(A177, Data1_Raw_Slack!A:B, 2, FALSE)), ""fitness|workou"&amp;"t|gym|exercise|yoga|wellness|fitness enthusiasts""), ""Fitness"",
  REGEXMATCH(LOWER(VLOOKUP(A177, Data1_Raw_Slack!A:B, 2, FALSE)), ""health|medical|pharmacy|mental health|doctor|health-conscious""), ""Health"",
  REGEXMATCH(LOWER(VLOOKUP(A177, Data1_Raw_"&amp;"Slack!A:B, 2, FALSE)), ""pets|dogs|cats|animals|pet care|pet lovers""), ""Pets"",
  REGEXMATCH(LOWER(VLOOKUP(A177, Data1_Raw_Slack!A:B, 2, FALSE)), ""games|gaming|game|xbox|playstation|nintendo|gamers""), ""Gaming"",
  REGEXMATCH(LOWER(VLOOKUP(A177, Data1"&amp;"_Raw_Slack!A:B, 2, FALSE)), ""entertainment|movies|tv|netflix|streaming|celebrity|movie lovers|tv fans|hobb|photo|art""), ""Entertainment"",
  REGEXMATCH(LOWER(VLOOKUP(A177, Data1_Raw_Slack!A:B, 2, FALSE)), ""lifestyle|home|interior|decor|living|lifestyle"&amp;" enthusiasts""), ""Lifestyle"",
  REGEXMATCH(LOWER(VLOOKUP(A177, Data1_Raw_Slack!A:B, 2, FALSE)), ""financial|finance|investing|stocks|retirement|banking|credit|debt|loans|savings|personal finance|insurance|econ|ecom|business|retail|occupation|sale|job|ma"&amp;"rketing""), ""Finance"",
  REGEXMATCH(LOWER(VLOOKUP(A177, Data1_Raw_Slack!A:B, 2, FALSE)), ""auto|automotive""), ""Auto"",
  REGEXMATCH(LOWER(VLOOKUP(A177, Data1_Raw_Slack!A:B, 2, FALSE)), ""parenting|moms|dads|kids|toddlers|baby|parent|children""), ""Par"&amp;"enting"",
  REGEXMATCH(LOWER(VLOOKUP(A177, Data1_Raw_Slack!A:B, 2, FALSE)), ""education|students|learning|school|teachers|college|university|academics""), ""Education"",
  REGEXMATCH(LOWER(VLOOKUP(A177, Data1_Raw_Slack!A:B, 2, FALSE)), ""age|gender|dem"&amp;"ographic|family|household""), ""Demographics"",
  REGEXMATCH(LOWER(VLOOKUP(A177, Data1_Raw_Slack!A:B, 2, FALSE)), ""mortgage|real estate""), ""Real Estate"",REGEXMATCH(LOWER(VLOOKUP(A177, Data1_Raw_Slack!A:B, 2, FALSE)), ""technology|tech|gadgets|smartpho"&amp;"ne|electro|apps|devices|computing|ai|robots|software|computer|internet|tele|mobile|tablet""), ""Technology"", REGEXMATCH(LOWER(VLOOKUP(A177, Data1_Raw_Slack!A:B, 2, FALSE)), ""entertainment|purchas|movies|tv|netflix|streaming|celebrity|movie lovers|tv fan"&amp;"s|media|hobb|photo|art|shop""), ""Entertainment"", REGEXMATCH(LOWER(VLOOKUP(A177, Data1_Raw_Slack!A:B, 2, FALSE)), ""law|government|""), ""Law and Government"",
  TRUE, ""Other""
)"),"Law and Government")</f>
        <v>Law and Government</v>
      </c>
      <c r="G177" s="9"/>
      <c r="H177" s="9" t="s">
        <v>123</v>
      </c>
      <c r="I177" s="9" t="s">
        <v>805</v>
      </c>
      <c r="J177" s="9" t="s">
        <v>80</v>
      </c>
      <c r="K177" s="9" t="s">
        <v>405</v>
      </c>
      <c r="L177" s="9" t="s">
        <v>72</v>
      </c>
      <c r="M177" s="10" t="s">
        <v>806</v>
      </c>
      <c r="N177" s="9" t="str">
        <f ca="1">IFERROR(__xludf.DUMMYFUNCTION("REGEXEXTRACT(LOWER(M177), ""([a-z0-9\-]+)\.(?:co|net|org|io|gg)"")"),"thehulltruth")</f>
        <v>thehulltruth</v>
      </c>
      <c r="O177" s="9" t="s">
        <v>74</v>
      </c>
      <c r="P177" s="9" t="s">
        <v>39</v>
      </c>
      <c r="Q177" s="9">
        <v>7531</v>
      </c>
      <c r="R177" s="9">
        <v>10</v>
      </c>
      <c r="S177" s="9">
        <v>3059</v>
      </c>
      <c r="T177" s="9">
        <v>6523</v>
      </c>
      <c r="U177" s="9">
        <v>1</v>
      </c>
      <c r="V177" s="11">
        <v>1937.0583879999999</v>
      </c>
      <c r="W177" s="12">
        <f t="shared" si="0"/>
        <v>1937.0583879999999</v>
      </c>
      <c r="X177" s="12">
        <f t="shared" si="1"/>
        <v>0.13278449077147789</v>
      </c>
      <c r="Y177" s="12">
        <f t="shared" si="2"/>
        <v>40.618775726995089</v>
      </c>
      <c r="Z177" s="12">
        <f t="shared" si="3"/>
        <v>633.23255573716892</v>
      </c>
      <c r="AA177" s="12">
        <f t="shared" si="4"/>
        <v>257.21131164519983</v>
      </c>
      <c r="AB177" s="12">
        <f t="shared" si="5"/>
        <v>193.70583879999998</v>
      </c>
      <c r="AC177" s="12">
        <f t="shared" si="6"/>
        <v>10</v>
      </c>
      <c r="AE177" s="13"/>
      <c r="AF177" s="13"/>
    </row>
    <row r="178" spans="1:32">
      <c r="A178" s="8" t="s">
        <v>807</v>
      </c>
      <c r="B178" s="9" t="s">
        <v>41</v>
      </c>
      <c r="C178" s="9" t="s">
        <v>105</v>
      </c>
      <c r="D178" s="9" t="s">
        <v>808</v>
      </c>
      <c r="E178" s="9"/>
      <c r="F178" s="9" t="str">
        <f ca="1">IFERROR(__xludf.DUMMYFUNCTION("IFS(
  REGEXMATCH(LOWER(VLOOKUP(A178, Data1_Raw_Slack!A:B, 2, FALSE)), ""news|weather""), ""News and Weather"", REGEXMATCH(LOWER(VLOOKUP(A178, Data1_Raw_Slack!A:B, 2, FALSE)), ""sports|ufc|nba|nfl|mlb|soccer|sports fans""), ""Sports"",
  REGEXMATCH(LOWER("&amp;"VLOOKUP(A178, Data1_Raw_Slack!A:B, 2, FALSE)), ""fashion|style|clothing|apparel|shoes|accessories|beauty|cosmetics|fashionistas""), ""Fashion and Beauty"",
  REGEXMATCH(LOWER(VLOOKUP(A178, Data1_Raw_Slack!A:B, 2, FALSE)), ""food|cooking|recipe|restaurant|"&amp;"snack|grocery|foodies""), ""Food"",
  REGEXMATCH(LOWER(VLOOKUP(A178, Data1_Raw_Slack!A:B, 2, FALSE)), ""travel|vacation|airline|hotel|trip|flights|travelers""), ""Travel"",
  REGEXMATCH(LOWER(VLOOKUP(A178, Data1_Raw_Slack!A:B, 2, FALSE)), ""fitness|workou"&amp;"t|gym|exercise|yoga|wellness|fitness enthusiasts""), ""Fitness"",
  REGEXMATCH(LOWER(VLOOKUP(A178, Data1_Raw_Slack!A:B, 2, FALSE)), ""health|medical|pharmacy|mental health|doctor|health-conscious""), ""Health"",
  REGEXMATCH(LOWER(VLOOKUP(A178, Data1_Raw_"&amp;"Slack!A:B, 2, FALSE)), ""pets|dogs|cats|animals|pet care|pet lovers""), ""Pets"",
  REGEXMATCH(LOWER(VLOOKUP(A178, Data1_Raw_Slack!A:B, 2, FALSE)), ""games|gaming|game|xbox|playstation|nintendo|gamers""), ""Gaming"",
  REGEXMATCH(LOWER(VLOOKUP(A178, Data1"&amp;"_Raw_Slack!A:B, 2, FALSE)), ""entertainment|movies|tv|netflix|streaming|celebrity|movie lovers|tv fans|hobb|photo|art""), ""Entertainment"",
  REGEXMATCH(LOWER(VLOOKUP(A178, Data1_Raw_Slack!A:B, 2, FALSE)), ""lifestyle|home|interior|decor|living|lifestyle"&amp;" enthusiasts""), ""Lifestyle"",
  REGEXMATCH(LOWER(VLOOKUP(A178, Data1_Raw_Slack!A:B, 2, FALSE)), ""financial|finance|investing|stocks|retirement|banking|credit|debt|loans|savings|personal finance|insurance|econ|ecom|business|retail|occupation|sale|job|ma"&amp;"rketing""), ""Finance"",
  REGEXMATCH(LOWER(VLOOKUP(A178, Data1_Raw_Slack!A:B, 2, FALSE)), ""auto|automotive""), ""Auto"",
  REGEXMATCH(LOWER(VLOOKUP(A178, Data1_Raw_Slack!A:B, 2, FALSE)), ""parenting|moms|dads|kids|toddlers|baby|parent|children""), ""Par"&amp;"enting"",
  REGEXMATCH(LOWER(VLOOKUP(A178, Data1_Raw_Slack!A:B, 2, FALSE)), ""education|students|learning|school|teachers|college|university|academics""), ""Education"",
  REGEXMATCH(LOWER(VLOOKUP(A178, Data1_Raw_Slack!A:B, 2, FALSE)), ""age|gender|dem"&amp;"ographic|family|household""), ""Demographics"",
  REGEXMATCH(LOWER(VLOOKUP(A178, Data1_Raw_Slack!A:B, 2, FALSE)), ""mortgage|real estate""), ""Real Estate"",REGEXMATCH(LOWER(VLOOKUP(A178, Data1_Raw_Slack!A:B, 2, FALSE)), ""technology|tech|gadgets|smartpho"&amp;"ne|electro|apps|devices|computing|ai|robots|software|computer|internet|tele|mobile|tablet""), ""Technology"", REGEXMATCH(LOWER(VLOOKUP(A178, Data1_Raw_Slack!A:B, 2, FALSE)), ""entertainment|purchas|movies|tv|netflix|streaming|celebrity|movie lovers|tv fan"&amp;"s|media|hobb|photo|art|shop""), ""Entertainment"", REGEXMATCH(LOWER(VLOOKUP(A178, Data1_Raw_Slack!A:B, 2, FALSE)), ""law|government|""), ""Law and Government"",
  TRUE, ""Other""
)"),"Demographics")</f>
        <v>Demographics</v>
      </c>
      <c r="G178" s="9" t="s">
        <v>105</v>
      </c>
      <c r="H178" s="9" t="s">
        <v>32</v>
      </c>
      <c r="I178" s="9" t="s">
        <v>809</v>
      </c>
      <c r="J178" s="9" t="s">
        <v>62</v>
      </c>
      <c r="K178" s="9" t="s">
        <v>142</v>
      </c>
      <c r="L178" s="9" t="s">
        <v>72</v>
      </c>
      <c r="M178" s="10" t="s">
        <v>810</v>
      </c>
      <c r="N178" s="9" t="str">
        <f ca="1">IFERROR(__xludf.DUMMYFUNCTION("REGEXEXTRACT(LOWER(M178), ""([a-z0-9\-]+)\.(?:co|net|org|io|gg)"")"),"houseplans")</f>
        <v>houseplans</v>
      </c>
      <c r="O178" s="9" t="s">
        <v>109</v>
      </c>
      <c r="P178" s="9" t="s">
        <v>39</v>
      </c>
      <c r="Q178" s="9">
        <v>7320</v>
      </c>
      <c r="R178" s="9">
        <v>33</v>
      </c>
      <c r="S178" s="9">
        <v>4020</v>
      </c>
      <c r="T178" s="9">
        <v>6692</v>
      </c>
      <c r="U178" s="9">
        <v>15</v>
      </c>
      <c r="V178" s="11">
        <v>1730.37357</v>
      </c>
      <c r="W178" s="12">
        <f t="shared" si="0"/>
        <v>115.358238</v>
      </c>
      <c r="X178" s="12">
        <f t="shared" si="1"/>
        <v>0.4508196721311476</v>
      </c>
      <c r="Y178" s="12">
        <f t="shared" si="2"/>
        <v>54.918032786885249</v>
      </c>
      <c r="Z178" s="12">
        <f t="shared" si="3"/>
        <v>430.44118656716415</v>
      </c>
      <c r="AA178" s="12">
        <f t="shared" si="4"/>
        <v>236.3898319672131</v>
      </c>
      <c r="AB178" s="12">
        <f t="shared" si="5"/>
        <v>52.435562727272725</v>
      </c>
      <c r="AC178" s="12">
        <f t="shared" si="6"/>
        <v>45.454545454545453</v>
      </c>
      <c r="AE178" s="13"/>
      <c r="AF178" s="13"/>
    </row>
    <row r="179" spans="1:32">
      <c r="A179" s="8" t="s">
        <v>811</v>
      </c>
      <c r="B179" s="9" t="s">
        <v>41</v>
      </c>
      <c r="C179" s="9" t="s">
        <v>105</v>
      </c>
      <c r="D179" s="9" t="s">
        <v>812</v>
      </c>
      <c r="E179" s="9" t="s">
        <v>813</v>
      </c>
      <c r="F179" s="9" t="str">
        <f ca="1">IFERROR(__xludf.DUMMYFUNCTION("IFS(
  REGEXMATCH(LOWER(VLOOKUP(A179, Data1_Raw_Slack!A:B, 2, FALSE)), ""news|weather""), ""News and Weather"", REGEXMATCH(LOWER(VLOOKUP(A179, Data1_Raw_Slack!A:B, 2, FALSE)), ""sports|ufc|nba|nfl|mlb|soccer|sports fans""), ""Sports"",
  REGEXMATCH(LOWER("&amp;"VLOOKUP(A179, Data1_Raw_Slack!A:B, 2, FALSE)), ""fashion|style|clothing|apparel|shoes|accessories|beauty|cosmetics|fashionistas""), ""Fashion and Beauty"",
  REGEXMATCH(LOWER(VLOOKUP(A179, Data1_Raw_Slack!A:B, 2, FALSE)), ""food|cooking|recipe|restaurant|"&amp;"snack|grocery|foodies""), ""Food"",
  REGEXMATCH(LOWER(VLOOKUP(A179, Data1_Raw_Slack!A:B, 2, FALSE)), ""travel|vacation|airline|hotel|trip|flights|travelers""), ""Travel"",
  REGEXMATCH(LOWER(VLOOKUP(A179, Data1_Raw_Slack!A:B, 2, FALSE)), ""fitness|workou"&amp;"t|gym|exercise|yoga|wellness|fitness enthusiasts""), ""Fitness"",
  REGEXMATCH(LOWER(VLOOKUP(A179, Data1_Raw_Slack!A:B, 2, FALSE)), ""health|medical|pharmacy|mental health|doctor|health-conscious""), ""Health"",
  REGEXMATCH(LOWER(VLOOKUP(A179, Data1_Raw_"&amp;"Slack!A:B, 2, FALSE)), ""pets|dogs|cats|animals|pet care|pet lovers""), ""Pets"",
  REGEXMATCH(LOWER(VLOOKUP(A179, Data1_Raw_Slack!A:B, 2, FALSE)), ""games|gaming|game|xbox|playstation|nintendo|gamers""), ""Gaming"",
  REGEXMATCH(LOWER(VLOOKUP(A179, Data1"&amp;"_Raw_Slack!A:B, 2, FALSE)), ""entertainment|movies|tv|netflix|streaming|celebrity|movie lovers|tv fans|hobb|photo|art""), ""Entertainment"",
  REGEXMATCH(LOWER(VLOOKUP(A179, Data1_Raw_Slack!A:B, 2, FALSE)), ""lifestyle|home|interior|decor|living|lifestyle"&amp;" enthusiasts""), ""Lifestyle"",
  REGEXMATCH(LOWER(VLOOKUP(A179, Data1_Raw_Slack!A:B, 2, FALSE)), ""financial|finance|investing|stocks|retirement|banking|credit|debt|loans|savings|personal finance|insurance|econ|ecom|business|retail|occupation|sale|job|ma"&amp;"rketing""), ""Finance"",
  REGEXMATCH(LOWER(VLOOKUP(A179, Data1_Raw_Slack!A:B, 2, FALSE)), ""auto|automotive""), ""Auto"",
  REGEXMATCH(LOWER(VLOOKUP(A179, Data1_Raw_Slack!A:B, 2, FALSE)), ""parenting|moms|dads|kids|toddlers|baby|parent|children""), ""Par"&amp;"enting"",
  REGEXMATCH(LOWER(VLOOKUP(A179, Data1_Raw_Slack!A:B, 2, FALSE)), ""education|students|learning|school|teachers|college|university|academics""), ""Education"",
  REGEXMATCH(LOWER(VLOOKUP(A179, Data1_Raw_Slack!A:B, 2, FALSE)), ""age|gender|dem"&amp;"ographic|family|household""), ""Demographics"",
  REGEXMATCH(LOWER(VLOOKUP(A179, Data1_Raw_Slack!A:B, 2, FALSE)), ""mortgage|real estate""), ""Real Estate"",REGEXMATCH(LOWER(VLOOKUP(A179, Data1_Raw_Slack!A:B, 2, FALSE)), ""technology|tech|gadgets|smartpho"&amp;"ne|electro|apps|devices|computing|ai|robots|software|computer|internet|tele|mobile|tablet""), ""Technology"", REGEXMATCH(LOWER(VLOOKUP(A179, Data1_Raw_Slack!A:B, 2, FALSE)), ""entertainment|purchas|movies|tv|netflix|streaming|celebrity|movie lovers|tv fan"&amp;"s|media|hobb|photo|art|shop""), ""Entertainment"", REGEXMATCH(LOWER(VLOOKUP(A179, Data1_Raw_Slack!A:B, 2, FALSE)), ""law|government|""), ""Law and Government"",
  TRUE, ""Other""
)"),"Fashion and Beauty")</f>
        <v>Fashion and Beauty</v>
      </c>
      <c r="G179" s="9" t="s">
        <v>105</v>
      </c>
      <c r="H179" s="9" t="s">
        <v>44</v>
      </c>
      <c r="I179" s="9" t="s">
        <v>814</v>
      </c>
      <c r="J179" s="9" t="s">
        <v>62</v>
      </c>
      <c r="K179" s="9" t="s">
        <v>88</v>
      </c>
      <c r="L179" s="9" t="s">
        <v>89</v>
      </c>
      <c r="M179" s="10" t="s">
        <v>229</v>
      </c>
      <c r="N179" s="9" t="str">
        <f ca="1">IFERROR(__xludf.DUMMYFUNCTION("REGEXEXTRACT(LOWER(M179), ""([a-z0-9\-]+)\.(?:co|net|org|io|gg)"")"),"msn")</f>
        <v>msn</v>
      </c>
      <c r="O179" s="9" t="s">
        <v>50</v>
      </c>
      <c r="P179" s="9" t="s">
        <v>39</v>
      </c>
      <c r="Q179" s="9">
        <v>109128</v>
      </c>
      <c r="R179" s="9">
        <v>470</v>
      </c>
      <c r="S179" s="9">
        <v>38487</v>
      </c>
      <c r="T179" s="9">
        <v>90615</v>
      </c>
      <c r="U179" s="9">
        <v>3</v>
      </c>
      <c r="V179" s="11">
        <v>5153.1172040000001</v>
      </c>
      <c r="W179" s="12">
        <f t="shared" si="0"/>
        <v>1717.7057346666668</v>
      </c>
      <c r="X179" s="12">
        <f t="shared" si="1"/>
        <v>0.4306868997874056</v>
      </c>
      <c r="Y179" s="12">
        <f t="shared" si="2"/>
        <v>35.267758961952936</v>
      </c>
      <c r="Z179" s="12">
        <f t="shared" si="3"/>
        <v>133.8924105282303</v>
      </c>
      <c r="AA179" s="12">
        <f t="shared" si="4"/>
        <v>47.220852613444762</v>
      </c>
      <c r="AB179" s="12">
        <f t="shared" si="5"/>
        <v>10.964079157446809</v>
      </c>
      <c r="AC179" s="12">
        <f t="shared" si="6"/>
        <v>0.63829787234042545</v>
      </c>
      <c r="AE179" s="13"/>
      <c r="AF179" s="13"/>
    </row>
    <row r="180" spans="1:32">
      <c r="A180" s="8" t="s">
        <v>815</v>
      </c>
      <c r="B180" s="9" t="s">
        <v>41</v>
      </c>
      <c r="C180" s="9" t="s">
        <v>85</v>
      </c>
      <c r="D180" s="9" t="s">
        <v>816</v>
      </c>
      <c r="E180" s="9"/>
      <c r="F180" s="9" t="str">
        <f ca="1">IFERROR(__xludf.DUMMYFUNCTION("IFS(
  REGEXMATCH(LOWER(VLOOKUP(A180, Data1_Raw_Slack!A:B, 2, FALSE)), ""news|weather""), ""News and Weather"", REGEXMATCH(LOWER(VLOOKUP(A180, Data1_Raw_Slack!A:B, 2, FALSE)), ""sports|ufc|nba|nfl|mlb|soccer|sports fans""), ""Sports"",
  REGEXMATCH(LOWER("&amp;"VLOOKUP(A180, Data1_Raw_Slack!A:B, 2, FALSE)), ""fashion|style|clothing|apparel|shoes|accessories|beauty|cosmetics|fashionistas""), ""Fashion and Beauty"",
  REGEXMATCH(LOWER(VLOOKUP(A180, Data1_Raw_Slack!A:B, 2, FALSE)), ""food|cooking|recipe|restaurant|"&amp;"snack|grocery|foodies""), ""Food"",
  REGEXMATCH(LOWER(VLOOKUP(A180, Data1_Raw_Slack!A:B, 2, FALSE)), ""travel|vacation|airline|hotel|trip|flights|travelers""), ""Travel"",
  REGEXMATCH(LOWER(VLOOKUP(A180, Data1_Raw_Slack!A:B, 2, FALSE)), ""fitness|workou"&amp;"t|gym|exercise|yoga|wellness|fitness enthusiasts""), ""Fitness"",
  REGEXMATCH(LOWER(VLOOKUP(A180, Data1_Raw_Slack!A:B, 2, FALSE)), ""health|medical|pharmacy|mental health|doctor|health-conscious""), ""Health"",
  REGEXMATCH(LOWER(VLOOKUP(A180, Data1_Raw_"&amp;"Slack!A:B, 2, FALSE)), ""pets|dogs|cats|animals|pet care|pet lovers""), ""Pets"",
  REGEXMATCH(LOWER(VLOOKUP(A180, Data1_Raw_Slack!A:B, 2, FALSE)), ""games|gaming|game|xbox|playstation|nintendo|gamers""), ""Gaming"",
  REGEXMATCH(LOWER(VLOOKUP(A180, Data1"&amp;"_Raw_Slack!A:B, 2, FALSE)), ""entertainment|movies|tv|netflix|streaming|celebrity|movie lovers|tv fans|hobb|photo|art""), ""Entertainment"",
  REGEXMATCH(LOWER(VLOOKUP(A180, Data1_Raw_Slack!A:B, 2, FALSE)), ""lifestyle|home|interior|decor|living|lifestyle"&amp;" enthusiasts""), ""Lifestyle"",
  REGEXMATCH(LOWER(VLOOKUP(A180, Data1_Raw_Slack!A:B, 2, FALSE)), ""financial|finance|investing|stocks|retirement|banking|credit|debt|loans|savings|personal finance|insurance|econ|ecom|business|retail|occupation|sale|job|ma"&amp;"rketing""), ""Finance"",
  REGEXMATCH(LOWER(VLOOKUP(A180, Data1_Raw_Slack!A:B, 2, FALSE)), ""auto|automotive""), ""Auto"",
  REGEXMATCH(LOWER(VLOOKUP(A180, Data1_Raw_Slack!A:B, 2, FALSE)), ""parenting|moms|dads|kids|toddlers|baby|parent|children""), ""Par"&amp;"enting"",
  REGEXMATCH(LOWER(VLOOKUP(A180, Data1_Raw_Slack!A:B, 2, FALSE)), ""education|students|learning|school|teachers|college|university|academics""), ""Education"",
  REGEXMATCH(LOWER(VLOOKUP(A180, Data1_Raw_Slack!A:B, 2, FALSE)), ""age|gender|dem"&amp;"ographic|family|household""), ""Demographics"",
  REGEXMATCH(LOWER(VLOOKUP(A180, Data1_Raw_Slack!A:B, 2, FALSE)), ""mortgage|real estate""), ""Real Estate"",REGEXMATCH(LOWER(VLOOKUP(A180, Data1_Raw_Slack!A:B, 2, FALSE)), ""technology|tech|gadgets|smartpho"&amp;"ne|electro|apps|devices|computing|ai|robots|software|computer|internet|tele|mobile|tablet""), ""Technology"", REGEXMATCH(LOWER(VLOOKUP(A180, Data1_Raw_Slack!A:B, 2, FALSE)), ""entertainment|purchas|movies|tv|netflix|streaming|celebrity|movie lovers|tv fan"&amp;"s|media|hobb|photo|art|shop""), ""Entertainment"", REGEXMATCH(LOWER(VLOOKUP(A180, Data1_Raw_Slack!A:B, 2, FALSE)), ""law|government|""), ""Law and Government"",
  TRUE, ""Other""
)"),"Travel")</f>
        <v>Travel</v>
      </c>
      <c r="G180" s="9" t="s">
        <v>85</v>
      </c>
      <c r="H180" s="9" t="s">
        <v>123</v>
      </c>
      <c r="I180" s="9" t="s">
        <v>817</v>
      </c>
      <c r="J180" s="9" t="s">
        <v>34</v>
      </c>
      <c r="K180" s="9" t="s">
        <v>142</v>
      </c>
      <c r="L180" s="9" t="s">
        <v>72</v>
      </c>
      <c r="M180" s="10" t="s">
        <v>166</v>
      </c>
      <c r="N180" s="9" t="str">
        <f ca="1">IFERROR(__xludf.DUMMYFUNCTION("REGEXEXTRACT(LOWER(M180), ""([a-z0-9\-]+)\.(?:co|net|org|io|gg)"")"),"nypost")</f>
        <v>nypost</v>
      </c>
      <c r="O180" s="9" t="s">
        <v>109</v>
      </c>
      <c r="P180" s="9" t="s">
        <v>39</v>
      </c>
      <c r="Q180" s="9">
        <v>140359</v>
      </c>
      <c r="R180" s="9">
        <v>352</v>
      </c>
      <c r="S180" s="9">
        <v>76130</v>
      </c>
      <c r="T180" s="9">
        <v>133578</v>
      </c>
      <c r="U180" s="9">
        <v>26</v>
      </c>
      <c r="V180" s="11">
        <v>6094.6667989999996</v>
      </c>
      <c r="W180" s="12">
        <f t="shared" si="0"/>
        <v>234.41026149999999</v>
      </c>
      <c r="X180" s="12">
        <f t="shared" si="1"/>
        <v>0.25078548579000992</v>
      </c>
      <c r="Y180" s="12">
        <f t="shared" si="2"/>
        <v>54.239485889754135</v>
      </c>
      <c r="Z180" s="12">
        <f t="shared" si="3"/>
        <v>80.056046223564948</v>
      </c>
      <c r="AA180" s="12">
        <f t="shared" si="4"/>
        <v>43.42198789532555</v>
      </c>
      <c r="AB180" s="12">
        <f t="shared" si="5"/>
        <v>17.314394315340909</v>
      </c>
      <c r="AC180" s="12">
        <f t="shared" si="6"/>
        <v>7.3863636363636367</v>
      </c>
      <c r="AE180" s="13"/>
      <c r="AF180" s="13"/>
    </row>
    <row r="181" spans="1:32">
      <c r="A181" s="8" t="s">
        <v>818</v>
      </c>
      <c r="B181" s="9" t="s">
        <v>41</v>
      </c>
      <c r="C181" s="9" t="s">
        <v>319</v>
      </c>
      <c r="D181" s="9" t="s">
        <v>384</v>
      </c>
      <c r="E181" s="9"/>
      <c r="F181" s="9" t="str">
        <f ca="1">IFERROR(__xludf.DUMMYFUNCTION("IFS(
  REGEXMATCH(LOWER(VLOOKUP(A181, Data1_Raw_Slack!A:B, 2, FALSE)), ""news|weather""), ""News and Weather"", REGEXMATCH(LOWER(VLOOKUP(A181, Data1_Raw_Slack!A:B, 2, FALSE)), ""sports|ufc|nba|nfl|mlb|soccer|sports fans""), ""Sports"",
  REGEXMATCH(LOWER("&amp;"VLOOKUP(A181, Data1_Raw_Slack!A:B, 2, FALSE)), ""fashion|style|clothing|apparel|shoes|accessories|beauty|cosmetics|fashionistas""), ""Fashion and Beauty"",
  REGEXMATCH(LOWER(VLOOKUP(A181, Data1_Raw_Slack!A:B, 2, FALSE)), ""food|cooking|recipe|restaurant|"&amp;"snack|grocery|foodies""), ""Food"",
  REGEXMATCH(LOWER(VLOOKUP(A181, Data1_Raw_Slack!A:B, 2, FALSE)), ""travel|vacation|airline|hotel|trip|flights|travelers""), ""Travel"",
  REGEXMATCH(LOWER(VLOOKUP(A181, Data1_Raw_Slack!A:B, 2, FALSE)), ""fitness|workou"&amp;"t|gym|exercise|yoga|wellness|fitness enthusiasts""), ""Fitness"",
  REGEXMATCH(LOWER(VLOOKUP(A181, Data1_Raw_Slack!A:B, 2, FALSE)), ""health|medical|pharmacy|mental health|doctor|health-conscious""), ""Health"",
  REGEXMATCH(LOWER(VLOOKUP(A181, Data1_Raw_"&amp;"Slack!A:B, 2, FALSE)), ""pets|dogs|cats|animals|pet care|pet lovers""), ""Pets"",
  REGEXMATCH(LOWER(VLOOKUP(A181, Data1_Raw_Slack!A:B, 2, FALSE)), ""games|gaming|game|xbox|playstation|nintendo|gamers""), ""Gaming"",
  REGEXMATCH(LOWER(VLOOKUP(A181, Data1"&amp;"_Raw_Slack!A:B, 2, FALSE)), ""entertainment|movies|tv|netflix|streaming|celebrity|movie lovers|tv fans|hobb|photo|art""), ""Entertainment"",
  REGEXMATCH(LOWER(VLOOKUP(A181, Data1_Raw_Slack!A:B, 2, FALSE)), ""lifestyle|home|interior|decor|living|lifestyle"&amp;" enthusiasts""), ""Lifestyle"",
  REGEXMATCH(LOWER(VLOOKUP(A181, Data1_Raw_Slack!A:B, 2, FALSE)), ""financial|finance|investing|stocks|retirement|banking|credit|debt|loans|savings|personal finance|insurance|econ|ecom|business|retail|occupation|sale|job|ma"&amp;"rketing""), ""Finance"",
  REGEXMATCH(LOWER(VLOOKUP(A181, Data1_Raw_Slack!A:B, 2, FALSE)), ""auto|automotive""), ""Auto"",
  REGEXMATCH(LOWER(VLOOKUP(A181, Data1_Raw_Slack!A:B, 2, FALSE)), ""parenting|moms|dads|kids|toddlers|baby|parent|children""), ""Par"&amp;"enting"",
  REGEXMATCH(LOWER(VLOOKUP(A181, Data1_Raw_Slack!A:B, 2, FALSE)), ""education|students|learning|school|teachers|college|university|academics""), ""Education"",
  REGEXMATCH(LOWER(VLOOKUP(A181, Data1_Raw_Slack!A:B, 2, FALSE)), ""age|gender|dem"&amp;"ographic|family|household""), ""Demographics"",
  REGEXMATCH(LOWER(VLOOKUP(A181, Data1_Raw_Slack!A:B, 2, FALSE)), ""mortgage|real estate""), ""Real Estate"",REGEXMATCH(LOWER(VLOOKUP(A181, Data1_Raw_Slack!A:B, 2, FALSE)), ""technology|tech|gadgets|smartpho"&amp;"ne|electro|apps|devices|computing|ai|robots|software|computer|internet|tele|mobile|tablet""), ""Technology"", REGEXMATCH(LOWER(VLOOKUP(A181, Data1_Raw_Slack!A:B, 2, FALSE)), ""entertainment|purchas|movies|tv|netflix|streaming|celebrity|movie lovers|tv fan"&amp;"s|media|hobb|photo|art|shop""), ""Entertainment"", REGEXMATCH(LOWER(VLOOKUP(A181, Data1_Raw_Slack!A:B, 2, FALSE)), ""law|government|""), ""Law and Government"",
  TRUE, ""Other""
)"),"Food")</f>
        <v>Food</v>
      </c>
      <c r="G181" s="9"/>
      <c r="H181" s="9" t="s">
        <v>44</v>
      </c>
      <c r="I181" s="9" t="s">
        <v>302</v>
      </c>
      <c r="J181" s="9" t="s">
        <v>46</v>
      </c>
      <c r="K181" s="9" t="s">
        <v>148</v>
      </c>
      <c r="L181" s="9" t="s">
        <v>89</v>
      </c>
      <c r="M181" s="10" t="s">
        <v>49</v>
      </c>
      <c r="N181" s="9" t="str">
        <f ca="1">IFERROR(__xludf.DUMMYFUNCTION("REGEXEXTRACT(LOWER(M181), ""([a-z0-9\-]+)\.(?:co|net|org|io|gg)"")"),"yahoo")</f>
        <v>yahoo</v>
      </c>
      <c r="O181" s="9" t="s">
        <v>819</v>
      </c>
      <c r="P181" s="9" t="s">
        <v>39</v>
      </c>
      <c r="Q181" s="9">
        <v>908899</v>
      </c>
      <c r="R181" s="9">
        <v>1984</v>
      </c>
      <c r="S181" s="9">
        <v>644697</v>
      </c>
      <c r="T181" s="9">
        <v>853964</v>
      </c>
      <c r="U181" s="9">
        <v>32</v>
      </c>
      <c r="V181" s="11">
        <v>5181.087383</v>
      </c>
      <c r="W181" s="12">
        <f t="shared" si="0"/>
        <v>161.90898071875</v>
      </c>
      <c r="X181" s="12">
        <f t="shared" si="1"/>
        <v>0.21828608019152843</v>
      </c>
      <c r="Y181" s="12">
        <f t="shared" si="2"/>
        <v>70.931643669978726</v>
      </c>
      <c r="Z181" s="12">
        <f t="shared" si="3"/>
        <v>8.036468888485599</v>
      </c>
      <c r="AA181" s="12">
        <f t="shared" si="4"/>
        <v>5.7003994756293048</v>
      </c>
      <c r="AB181" s="12">
        <f t="shared" si="5"/>
        <v>2.6114351728830645</v>
      </c>
      <c r="AC181" s="12">
        <f t="shared" si="6"/>
        <v>1.6129032258064515</v>
      </c>
      <c r="AE181" s="13"/>
      <c r="AF181" s="13"/>
    </row>
    <row r="182" spans="1:32">
      <c r="A182" s="8" t="s">
        <v>820</v>
      </c>
      <c r="B182" s="9" t="s">
        <v>66</v>
      </c>
      <c r="C182" s="9" t="s">
        <v>388</v>
      </c>
      <c r="D182" s="9" t="s">
        <v>821</v>
      </c>
      <c r="E182" s="9"/>
      <c r="F182" s="9" t="str">
        <f ca="1">IFERROR(__xludf.DUMMYFUNCTION("IFS(
  REGEXMATCH(LOWER(VLOOKUP(A182, Data1_Raw_Slack!A:B, 2, FALSE)), ""news|weather""), ""News and Weather"", REGEXMATCH(LOWER(VLOOKUP(A182, Data1_Raw_Slack!A:B, 2, FALSE)), ""sports|ufc|nba|nfl|mlb|soccer|sports fans""), ""Sports"",
  REGEXMATCH(LOWER("&amp;"VLOOKUP(A182, Data1_Raw_Slack!A:B, 2, FALSE)), ""fashion|style|clothing|apparel|shoes|accessories|beauty|cosmetics|fashionistas""), ""Fashion and Beauty"",
  REGEXMATCH(LOWER(VLOOKUP(A182, Data1_Raw_Slack!A:B, 2, FALSE)), ""food|cooking|recipe|restaurant|"&amp;"snack|grocery|foodies""), ""Food"",
  REGEXMATCH(LOWER(VLOOKUP(A182, Data1_Raw_Slack!A:B, 2, FALSE)), ""travel|vacation|airline|hotel|trip|flights|travelers""), ""Travel"",
  REGEXMATCH(LOWER(VLOOKUP(A182, Data1_Raw_Slack!A:B, 2, FALSE)), ""fitness|workou"&amp;"t|gym|exercise|yoga|wellness|fitness enthusiasts""), ""Fitness"",
  REGEXMATCH(LOWER(VLOOKUP(A182, Data1_Raw_Slack!A:B, 2, FALSE)), ""health|medical|pharmacy|mental health|doctor|health-conscious""), ""Health"",
  REGEXMATCH(LOWER(VLOOKUP(A182, Data1_Raw_"&amp;"Slack!A:B, 2, FALSE)), ""pets|dogs|cats|animals|pet care|pet lovers""), ""Pets"",
  REGEXMATCH(LOWER(VLOOKUP(A182, Data1_Raw_Slack!A:B, 2, FALSE)), ""games|gaming|game|xbox|playstation|nintendo|gamers""), ""Gaming"",
  REGEXMATCH(LOWER(VLOOKUP(A182, Data1"&amp;"_Raw_Slack!A:B, 2, FALSE)), ""entertainment|movies|tv|netflix|streaming|celebrity|movie lovers|tv fans|hobb|photo|art""), ""Entertainment"",
  REGEXMATCH(LOWER(VLOOKUP(A182, Data1_Raw_Slack!A:B, 2, FALSE)), ""lifestyle|home|interior|decor|living|lifestyle"&amp;" enthusiasts""), ""Lifestyle"",
  REGEXMATCH(LOWER(VLOOKUP(A182, Data1_Raw_Slack!A:B, 2, FALSE)), ""financial|finance|investing|stocks|retirement|banking|credit|debt|loans|savings|personal finance|insurance|econ|ecom|business|retail|occupation|sale|job|ma"&amp;"rketing""), ""Finance"",
  REGEXMATCH(LOWER(VLOOKUP(A182, Data1_Raw_Slack!A:B, 2, FALSE)), ""auto|automotive""), ""Auto"",
  REGEXMATCH(LOWER(VLOOKUP(A182, Data1_Raw_Slack!A:B, 2, FALSE)), ""parenting|moms|dads|kids|toddlers|baby|parent|children""), ""Par"&amp;"enting"",
  REGEXMATCH(LOWER(VLOOKUP(A182, Data1_Raw_Slack!A:B, 2, FALSE)), ""education|students|learning|school|teachers|college|university|academics""), ""Education"",
  REGEXMATCH(LOWER(VLOOKUP(A182, Data1_Raw_Slack!A:B, 2, FALSE)), ""age|gender|dem"&amp;"ographic|family|household""), ""Demographics"",
  REGEXMATCH(LOWER(VLOOKUP(A182, Data1_Raw_Slack!A:B, 2, FALSE)), ""mortgage|real estate""), ""Real Estate"",REGEXMATCH(LOWER(VLOOKUP(A182, Data1_Raw_Slack!A:B, 2, FALSE)), ""technology|tech|gadgets|smartpho"&amp;"ne|electro|apps|devices|computing|ai|robots|software|computer|internet|tele|mobile|tablet""), ""Technology"", REGEXMATCH(LOWER(VLOOKUP(A182, Data1_Raw_Slack!A:B, 2, FALSE)), ""entertainment|purchas|movies|tv|netflix|streaming|celebrity|movie lovers|tv fan"&amp;"s|media|hobb|photo|art|shop""), ""Entertainment"", REGEXMATCH(LOWER(VLOOKUP(A182, Data1_Raw_Slack!A:B, 2, FALSE)), ""law|government|""), ""Law and Government"",
  TRUE, ""Other""
)"),"Fashion and Beauty")</f>
        <v>Fashion and Beauty</v>
      </c>
      <c r="G182" s="9"/>
      <c r="H182" s="9" t="s">
        <v>44</v>
      </c>
      <c r="I182" s="9" t="s">
        <v>748</v>
      </c>
      <c r="J182" s="9" t="s">
        <v>62</v>
      </c>
      <c r="K182" s="9" t="s">
        <v>56</v>
      </c>
      <c r="L182" s="9" t="s">
        <v>57</v>
      </c>
      <c r="M182" s="10" t="s">
        <v>90</v>
      </c>
      <c r="N182" s="9" t="str">
        <f ca="1">IFERROR(__xludf.DUMMYFUNCTION("REGEXEXTRACT(LOWER(M182), ""([a-z0-9\-]+)\.(?:co|net|org|io|gg)"")"),"live")</f>
        <v>live</v>
      </c>
      <c r="O182" s="9" t="s">
        <v>50</v>
      </c>
      <c r="P182" s="9" t="s">
        <v>64</v>
      </c>
      <c r="Q182" s="9">
        <v>50183</v>
      </c>
      <c r="R182" s="9">
        <v>199</v>
      </c>
      <c r="S182" s="9">
        <v>41506</v>
      </c>
      <c r="T182" s="9">
        <v>46163</v>
      </c>
      <c r="U182" s="9">
        <v>15</v>
      </c>
      <c r="V182" s="11">
        <v>1628.8828129999999</v>
      </c>
      <c r="W182" s="12">
        <f t="shared" si="0"/>
        <v>108.59218753333333</v>
      </c>
      <c r="X182" s="12">
        <f t="shared" si="1"/>
        <v>0.39654863200685486</v>
      </c>
      <c r="Y182" s="12">
        <f t="shared" si="2"/>
        <v>82.709284020485029</v>
      </c>
      <c r="Z182" s="12">
        <f t="shared" si="3"/>
        <v>39.244514359369731</v>
      </c>
      <c r="AA182" s="12">
        <f t="shared" si="4"/>
        <v>32.458856843951139</v>
      </c>
      <c r="AB182" s="12">
        <f t="shared" si="5"/>
        <v>8.1853407688442203</v>
      </c>
      <c r="AC182" s="12">
        <f t="shared" si="6"/>
        <v>7.5376884422110546</v>
      </c>
      <c r="AE182" s="13"/>
      <c r="AF182" s="13"/>
    </row>
    <row r="183" spans="1:32">
      <c r="A183" s="8" t="s">
        <v>822</v>
      </c>
      <c r="B183" s="9" t="s">
        <v>41</v>
      </c>
      <c r="C183" s="9" t="s">
        <v>214</v>
      </c>
      <c r="D183" s="9" t="s">
        <v>215</v>
      </c>
      <c r="E183" s="9" t="s">
        <v>823</v>
      </c>
      <c r="F183" s="9" t="str">
        <f ca="1">IFERROR(__xludf.DUMMYFUNCTION("IFS(
  REGEXMATCH(LOWER(VLOOKUP(A183, Data1_Raw_Slack!A:B, 2, FALSE)), ""news|weather""), ""News and Weather"", REGEXMATCH(LOWER(VLOOKUP(A183, Data1_Raw_Slack!A:B, 2, FALSE)), ""sports|ufc|nba|nfl|mlb|soccer|sports fans""), ""Sports"",
  REGEXMATCH(LOWER("&amp;"VLOOKUP(A183, Data1_Raw_Slack!A:B, 2, FALSE)), ""fashion|style|clothing|apparel|shoes|accessories|beauty|cosmetics|fashionistas""), ""Fashion and Beauty"",
  REGEXMATCH(LOWER(VLOOKUP(A183, Data1_Raw_Slack!A:B, 2, FALSE)), ""food|cooking|recipe|restaurant|"&amp;"snack|grocery|foodies""), ""Food"",
  REGEXMATCH(LOWER(VLOOKUP(A183, Data1_Raw_Slack!A:B, 2, FALSE)), ""travel|vacation|airline|hotel|trip|flights|travelers""), ""Travel"",
  REGEXMATCH(LOWER(VLOOKUP(A183, Data1_Raw_Slack!A:B, 2, FALSE)), ""fitness|workou"&amp;"t|gym|exercise|yoga|wellness|fitness enthusiasts""), ""Fitness"",
  REGEXMATCH(LOWER(VLOOKUP(A183, Data1_Raw_Slack!A:B, 2, FALSE)), ""health|medical|pharmacy|mental health|doctor|health-conscious""), ""Health"",
  REGEXMATCH(LOWER(VLOOKUP(A183, Data1_Raw_"&amp;"Slack!A:B, 2, FALSE)), ""pets|dogs|cats|animals|pet care|pet lovers""), ""Pets"",
  REGEXMATCH(LOWER(VLOOKUP(A183, Data1_Raw_Slack!A:B, 2, FALSE)), ""games|gaming|game|xbox|playstation|nintendo|gamers""), ""Gaming"",
  REGEXMATCH(LOWER(VLOOKUP(A183, Data1"&amp;"_Raw_Slack!A:B, 2, FALSE)), ""entertainment|movies|tv|netflix|streaming|celebrity|movie lovers|tv fans|hobb|photo|art""), ""Entertainment"",
  REGEXMATCH(LOWER(VLOOKUP(A183, Data1_Raw_Slack!A:B, 2, FALSE)), ""lifestyle|home|interior|decor|living|lifestyle"&amp;" enthusiasts""), ""Lifestyle"",
  REGEXMATCH(LOWER(VLOOKUP(A183, Data1_Raw_Slack!A:B, 2, FALSE)), ""financial|finance|investing|stocks|retirement|banking|credit|debt|loans|savings|personal finance|insurance|econ|ecom|business|retail|occupation|sale|job|ma"&amp;"rketing""), ""Finance"",
  REGEXMATCH(LOWER(VLOOKUP(A183, Data1_Raw_Slack!A:B, 2, FALSE)), ""auto|automotive""), ""Auto"",
  REGEXMATCH(LOWER(VLOOKUP(A183, Data1_Raw_Slack!A:B, 2, FALSE)), ""parenting|moms|dads|kids|toddlers|baby|parent|children""), ""Par"&amp;"enting"",
  REGEXMATCH(LOWER(VLOOKUP(A183, Data1_Raw_Slack!A:B, 2, FALSE)), ""education|students|learning|school|teachers|college|university|academics""), ""Education"",
  REGEXMATCH(LOWER(VLOOKUP(A183, Data1_Raw_Slack!A:B, 2, FALSE)), ""age|gender|dem"&amp;"ographic|family|household""), ""Demographics"",
  REGEXMATCH(LOWER(VLOOKUP(A183, Data1_Raw_Slack!A:B, 2, FALSE)), ""mortgage|real estate""), ""Real Estate"",REGEXMATCH(LOWER(VLOOKUP(A183, Data1_Raw_Slack!A:B, 2, FALSE)), ""technology|tech|gadgets|smartpho"&amp;"ne|electro|apps|devices|computing|ai|robots|software|computer|internet|tele|mobile|tablet""), ""Technology"", REGEXMATCH(LOWER(VLOOKUP(A183, Data1_Raw_Slack!A:B, 2, FALSE)), ""entertainment|purchas|movies|tv|netflix|streaming|celebrity|movie lovers|tv fan"&amp;"s|media|hobb|photo|art|shop""), ""Entertainment"", REGEXMATCH(LOWER(VLOOKUP(A183, Data1_Raw_Slack!A:B, 2, FALSE)), ""law|government|""), ""Law and Government"",
  TRUE, ""Other""
)"),"Demographics")</f>
        <v>Demographics</v>
      </c>
      <c r="G183" s="9"/>
      <c r="H183" s="9" t="s">
        <v>44</v>
      </c>
      <c r="I183" s="9" t="s">
        <v>824</v>
      </c>
      <c r="J183" s="9" t="s">
        <v>80</v>
      </c>
      <c r="K183" s="9" t="s">
        <v>299</v>
      </c>
      <c r="L183" s="9" t="s">
        <v>72</v>
      </c>
      <c r="M183" s="10" t="s">
        <v>49</v>
      </c>
      <c r="N183" s="9" t="str">
        <f ca="1">IFERROR(__xludf.DUMMYFUNCTION("REGEXEXTRACT(LOWER(M183), ""([a-z0-9\-]+)\.(?:co|net|org|io|gg)"")"),"yahoo")</f>
        <v>yahoo</v>
      </c>
      <c r="O183" s="9" t="s">
        <v>50</v>
      </c>
      <c r="P183" s="9" t="s">
        <v>39</v>
      </c>
      <c r="Q183" s="9">
        <v>766674</v>
      </c>
      <c r="R183" s="9">
        <v>1984</v>
      </c>
      <c r="S183" s="9">
        <v>344201</v>
      </c>
      <c r="T183" s="9">
        <v>720606</v>
      </c>
      <c r="U183" s="9">
        <v>17</v>
      </c>
      <c r="V183" s="11">
        <v>5816.2346189999998</v>
      </c>
      <c r="W183" s="12">
        <f t="shared" si="0"/>
        <v>342.1314481764706</v>
      </c>
      <c r="X183" s="12">
        <f t="shared" si="1"/>
        <v>0.25878013340741957</v>
      </c>
      <c r="Y183" s="12">
        <f t="shared" si="2"/>
        <v>44.895353174882672</v>
      </c>
      <c r="Z183" s="12">
        <f t="shared" si="3"/>
        <v>16.897785360879251</v>
      </c>
      <c r="AA183" s="12">
        <f t="shared" si="4"/>
        <v>7.5863204165003637</v>
      </c>
      <c r="AB183" s="12">
        <f t="shared" si="5"/>
        <v>2.9315698684475806</v>
      </c>
      <c r="AC183" s="12">
        <f t="shared" si="6"/>
        <v>0.85685483870967738</v>
      </c>
      <c r="AE183" s="13"/>
      <c r="AF183" s="13"/>
    </row>
    <row r="184" spans="1:32">
      <c r="A184" s="8" t="s">
        <v>825</v>
      </c>
      <c r="B184" s="9" t="s">
        <v>92</v>
      </c>
      <c r="C184" s="9" t="s">
        <v>514</v>
      </c>
      <c r="D184" s="9" t="s">
        <v>826</v>
      </c>
      <c r="E184" s="9"/>
      <c r="F184" s="9" t="str">
        <f ca="1">IFERROR(__xludf.DUMMYFUNCTION("IFS(
  REGEXMATCH(LOWER(VLOOKUP(A184, Data1_Raw_Slack!A:B, 2, FALSE)), ""news|weather""), ""News and Weather"", REGEXMATCH(LOWER(VLOOKUP(A184, Data1_Raw_Slack!A:B, 2, FALSE)), ""sports|ufc|nba|nfl|mlb|soccer|sports fans""), ""Sports"",
  REGEXMATCH(LOWER("&amp;"VLOOKUP(A184, Data1_Raw_Slack!A:B, 2, FALSE)), ""fashion|style|clothing|apparel|shoes|accessories|beauty|cosmetics|fashionistas""), ""Fashion and Beauty"",
  REGEXMATCH(LOWER(VLOOKUP(A184, Data1_Raw_Slack!A:B, 2, FALSE)), ""food|cooking|recipe|restaurant|"&amp;"snack|grocery|foodies""), ""Food"",
  REGEXMATCH(LOWER(VLOOKUP(A184, Data1_Raw_Slack!A:B, 2, FALSE)), ""travel|vacation|airline|hotel|trip|flights|travelers""), ""Travel"",
  REGEXMATCH(LOWER(VLOOKUP(A184, Data1_Raw_Slack!A:B, 2, FALSE)), ""fitness|workou"&amp;"t|gym|exercise|yoga|wellness|fitness enthusiasts""), ""Fitness"",
  REGEXMATCH(LOWER(VLOOKUP(A184, Data1_Raw_Slack!A:B, 2, FALSE)), ""health|medical|pharmacy|mental health|doctor|health-conscious""), ""Health"",
  REGEXMATCH(LOWER(VLOOKUP(A184, Data1_Raw_"&amp;"Slack!A:B, 2, FALSE)), ""pets|dogs|cats|animals|pet care|pet lovers""), ""Pets"",
  REGEXMATCH(LOWER(VLOOKUP(A184, Data1_Raw_Slack!A:B, 2, FALSE)), ""games|gaming|game|xbox|playstation|nintendo|gamers""), ""Gaming"",
  REGEXMATCH(LOWER(VLOOKUP(A184, Data1"&amp;"_Raw_Slack!A:B, 2, FALSE)), ""entertainment|movies|tv|netflix|streaming|celebrity|movie lovers|tv fans|hobb|photo|art""), ""Entertainment"",
  REGEXMATCH(LOWER(VLOOKUP(A184, Data1_Raw_Slack!A:B, 2, FALSE)), ""lifestyle|home|interior|decor|living|lifestyle"&amp;" enthusiasts""), ""Lifestyle"",
  REGEXMATCH(LOWER(VLOOKUP(A184, Data1_Raw_Slack!A:B, 2, FALSE)), ""financial|finance|investing|stocks|retirement|banking|credit|debt|loans|savings|personal finance|insurance|econ|ecom|business|retail|occupation|sale|job|ma"&amp;"rketing""), ""Finance"",
  REGEXMATCH(LOWER(VLOOKUP(A184, Data1_Raw_Slack!A:B, 2, FALSE)), ""auto|automotive""), ""Auto"",
  REGEXMATCH(LOWER(VLOOKUP(A184, Data1_Raw_Slack!A:B, 2, FALSE)), ""parenting|moms|dads|kids|toddlers|baby|parent|children""), ""Par"&amp;"enting"",
  REGEXMATCH(LOWER(VLOOKUP(A184, Data1_Raw_Slack!A:B, 2, FALSE)), ""education|students|learning|school|teachers|college|university|academics""), ""Education"",
  REGEXMATCH(LOWER(VLOOKUP(A184, Data1_Raw_Slack!A:B, 2, FALSE)), ""age|gender|dem"&amp;"ographic|family|household""), ""Demographics"",
  REGEXMATCH(LOWER(VLOOKUP(A184, Data1_Raw_Slack!A:B, 2, FALSE)), ""mortgage|real estate""), ""Real Estate"",REGEXMATCH(LOWER(VLOOKUP(A184, Data1_Raw_Slack!A:B, 2, FALSE)), ""technology|tech|gadgets|smartpho"&amp;"ne|electro|apps|devices|computing|ai|robots|software|computer|internet|tele|mobile|tablet""), ""Technology"", REGEXMATCH(LOWER(VLOOKUP(A184, Data1_Raw_Slack!A:B, 2, FALSE)), ""entertainment|purchas|movies|tv|netflix|streaming|celebrity|movie lovers|tv fan"&amp;"s|media|hobb|photo|art|shop""), ""Entertainment"", REGEXMATCH(LOWER(VLOOKUP(A184, Data1_Raw_Slack!A:B, 2, FALSE)), ""law|government|""), ""Law and Government"",
  TRUE, ""Other""
)"),"Technology")</f>
        <v>Technology</v>
      </c>
      <c r="G184" s="9"/>
      <c r="H184" s="9" t="s">
        <v>44</v>
      </c>
      <c r="I184" s="9" t="s">
        <v>827</v>
      </c>
      <c r="J184" s="9" t="s">
        <v>34</v>
      </c>
      <c r="K184" s="9" t="s">
        <v>443</v>
      </c>
      <c r="L184" s="9" t="s">
        <v>72</v>
      </c>
      <c r="M184" s="10" t="s">
        <v>562</v>
      </c>
      <c r="N184" s="9" t="str">
        <f ca="1">IFERROR(__xludf.DUMMYFUNCTION("REGEXEXTRACT(LOWER(M184), ""([a-z0-9\-]+)\.(?:co|net|org|io|gg)"")"),"screenrant")</f>
        <v>screenrant</v>
      </c>
      <c r="O184" s="9" t="s">
        <v>131</v>
      </c>
      <c r="P184" s="9" t="s">
        <v>39</v>
      </c>
      <c r="Q184" s="9">
        <v>10389</v>
      </c>
      <c r="R184" s="9">
        <v>55</v>
      </c>
      <c r="S184" s="9">
        <v>8161</v>
      </c>
      <c r="T184" s="9">
        <v>9951</v>
      </c>
      <c r="U184" s="9">
        <v>2</v>
      </c>
      <c r="V184" s="11">
        <v>2582.4938470000002</v>
      </c>
      <c r="W184" s="12">
        <f t="shared" si="0"/>
        <v>1291.2469235000001</v>
      </c>
      <c r="X184" s="12">
        <f t="shared" si="1"/>
        <v>0.52940610260852827</v>
      </c>
      <c r="Y184" s="12">
        <f t="shared" si="2"/>
        <v>78.554240061603622</v>
      </c>
      <c r="Z184" s="12">
        <f t="shared" si="3"/>
        <v>316.44330927582411</v>
      </c>
      <c r="AA184" s="12">
        <f t="shared" si="4"/>
        <v>248.57963682741362</v>
      </c>
      <c r="AB184" s="12">
        <f t="shared" si="5"/>
        <v>46.954433581818186</v>
      </c>
      <c r="AC184" s="12">
        <f t="shared" si="6"/>
        <v>3.6363636363636362</v>
      </c>
      <c r="AE184" s="13"/>
      <c r="AF184" s="13"/>
    </row>
    <row r="185" spans="1:32">
      <c r="A185" s="8" t="s">
        <v>828</v>
      </c>
      <c r="B185" s="9" t="s">
        <v>41</v>
      </c>
      <c r="C185" s="9" t="s">
        <v>319</v>
      </c>
      <c r="D185" s="9" t="s">
        <v>829</v>
      </c>
      <c r="E185" s="9"/>
      <c r="F185" s="9" t="str">
        <f ca="1">IFERROR(__xludf.DUMMYFUNCTION("IFS(
  REGEXMATCH(LOWER(VLOOKUP(A185, Data1_Raw_Slack!A:B, 2, FALSE)), ""news|weather""), ""News and Weather"", REGEXMATCH(LOWER(VLOOKUP(A185, Data1_Raw_Slack!A:B, 2, FALSE)), ""sports|ufc|nba|nfl|mlb|soccer|sports fans""), ""Sports"",
  REGEXMATCH(LOWER("&amp;"VLOOKUP(A185, Data1_Raw_Slack!A:B, 2, FALSE)), ""fashion|style|clothing|apparel|shoes|accessories|beauty|cosmetics|fashionistas""), ""Fashion and Beauty"",
  REGEXMATCH(LOWER(VLOOKUP(A185, Data1_Raw_Slack!A:B, 2, FALSE)), ""food|cooking|recipe|restaurant|"&amp;"snack|grocery|foodies""), ""Food"",
  REGEXMATCH(LOWER(VLOOKUP(A185, Data1_Raw_Slack!A:B, 2, FALSE)), ""travel|vacation|airline|hotel|trip|flights|travelers""), ""Travel"",
  REGEXMATCH(LOWER(VLOOKUP(A185, Data1_Raw_Slack!A:B, 2, FALSE)), ""fitness|workou"&amp;"t|gym|exercise|yoga|wellness|fitness enthusiasts""), ""Fitness"",
  REGEXMATCH(LOWER(VLOOKUP(A185, Data1_Raw_Slack!A:B, 2, FALSE)), ""health|medical|pharmacy|mental health|doctor|health-conscious""), ""Health"",
  REGEXMATCH(LOWER(VLOOKUP(A185, Data1_Raw_"&amp;"Slack!A:B, 2, FALSE)), ""pets|dogs|cats|animals|pet care|pet lovers""), ""Pets"",
  REGEXMATCH(LOWER(VLOOKUP(A185, Data1_Raw_Slack!A:B, 2, FALSE)), ""games|gaming|game|xbox|playstation|nintendo|gamers""), ""Gaming"",
  REGEXMATCH(LOWER(VLOOKUP(A185, Data1"&amp;"_Raw_Slack!A:B, 2, FALSE)), ""entertainment|movies|tv|netflix|streaming|celebrity|movie lovers|tv fans|hobb|photo|art""), ""Entertainment"",
  REGEXMATCH(LOWER(VLOOKUP(A185, Data1_Raw_Slack!A:B, 2, FALSE)), ""lifestyle|home|interior|decor|living|lifestyle"&amp;" enthusiasts""), ""Lifestyle"",
  REGEXMATCH(LOWER(VLOOKUP(A185, Data1_Raw_Slack!A:B, 2, FALSE)), ""financial|finance|investing|stocks|retirement|banking|credit|debt|loans|savings|personal finance|insurance|econ|ecom|business|retail|occupation|sale|job|ma"&amp;"rketing""), ""Finance"",
  REGEXMATCH(LOWER(VLOOKUP(A185, Data1_Raw_Slack!A:B, 2, FALSE)), ""auto|automotive""), ""Auto"",
  REGEXMATCH(LOWER(VLOOKUP(A185, Data1_Raw_Slack!A:B, 2, FALSE)), ""parenting|moms|dads|kids|toddlers|baby|parent|children""), ""Par"&amp;"enting"",
  REGEXMATCH(LOWER(VLOOKUP(A185, Data1_Raw_Slack!A:B, 2, FALSE)), ""education|students|learning|school|teachers|college|university|academics""), ""Education"",
  REGEXMATCH(LOWER(VLOOKUP(A185, Data1_Raw_Slack!A:B, 2, FALSE)), ""age|gender|dem"&amp;"ographic|family|household""), ""Demographics"",
  REGEXMATCH(LOWER(VLOOKUP(A185, Data1_Raw_Slack!A:B, 2, FALSE)), ""mortgage|real estate""), ""Real Estate"",REGEXMATCH(LOWER(VLOOKUP(A185, Data1_Raw_Slack!A:B, 2, FALSE)), ""technology|tech|gadgets|smartpho"&amp;"ne|electro|apps|devices|computing|ai|robots|software|computer|internet|tele|mobile|tablet""), ""Technology"", REGEXMATCH(LOWER(VLOOKUP(A185, Data1_Raw_Slack!A:B, 2, FALSE)), ""entertainment|purchas|movies|tv|netflix|streaming|celebrity|movie lovers|tv fan"&amp;"s|media|hobb|photo|art|shop""), ""Entertainment"", REGEXMATCH(LOWER(VLOOKUP(A185, Data1_Raw_Slack!A:B, 2, FALSE)), ""law|government|""), ""Law and Government"",
  TRUE, ""Other""
)"),"Food")</f>
        <v>Food</v>
      </c>
      <c r="G185" s="9"/>
      <c r="H185" s="9" t="s">
        <v>44</v>
      </c>
      <c r="I185" s="9" t="s">
        <v>830</v>
      </c>
      <c r="J185" s="9" t="s">
        <v>34</v>
      </c>
      <c r="K185" s="9" t="s">
        <v>236</v>
      </c>
      <c r="L185" s="9" t="s">
        <v>82</v>
      </c>
      <c r="M185" s="10" t="s">
        <v>112</v>
      </c>
      <c r="N185" s="9" t="str">
        <f ca="1">IFERROR(__xludf.DUMMYFUNCTION("REGEXEXTRACT(LOWER(M185), ""([a-z0-9\-]+)\.(?:co|net|org|io|gg)"")"),"ebay")</f>
        <v>ebay</v>
      </c>
      <c r="O185" s="9" t="s">
        <v>50</v>
      </c>
      <c r="P185" s="9" t="s">
        <v>39</v>
      </c>
      <c r="Q185" s="9">
        <v>262807</v>
      </c>
      <c r="R185" s="9">
        <v>684</v>
      </c>
      <c r="S185" s="9">
        <v>109871</v>
      </c>
      <c r="T185" s="9">
        <v>236426</v>
      </c>
      <c r="U185" s="9">
        <v>12</v>
      </c>
      <c r="V185" s="11">
        <v>5150.4689230000004</v>
      </c>
      <c r="W185" s="12">
        <f t="shared" si="0"/>
        <v>429.20574358333334</v>
      </c>
      <c r="X185" s="12">
        <f t="shared" si="1"/>
        <v>0.26026704007123097</v>
      </c>
      <c r="Y185" s="12">
        <f t="shared" si="2"/>
        <v>41.806725087231314</v>
      </c>
      <c r="Z185" s="12">
        <f t="shared" si="3"/>
        <v>46.877419182495842</v>
      </c>
      <c r="AA185" s="12">
        <f t="shared" si="4"/>
        <v>19.597913765615072</v>
      </c>
      <c r="AB185" s="12">
        <f t="shared" si="5"/>
        <v>7.5299253260233927</v>
      </c>
      <c r="AC185" s="12">
        <f t="shared" si="6"/>
        <v>1.7543859649122806</v>
      </c>
      <c r="AE185" s="13"/>
      <c r="AF185" s="13"/>
    </row>
    <row r="186" spans="1:32">
      <c r="A186" s="8" t="s">
        <v>831</v>
      </c>
      <c r="B186" s="9" t="s">
        <v>41</v>
      </c>
      <c r="C186" s="9" t="s">
        <v>85</v>
      </c>
      <c r="D186" s="9" t="s">
        <v>99</v>
      </c>
      <c r="E186" s="9" t="s">
        <v>832</v>
      </c>
      <c r="F186" s="9" t="str">
        <f ca="1">IFERROR(__xludf.DUMMYFUNCTION("IFS(
  REGEXMATCH(LOWER(VLOOKUP(A186, Data1_Raw_Slack!A:B, 2, FALSE)), ""news|weather""), ""News and Weather"", REGEXMATCH(LOWER(VLOOKUP(A186, Data1_Raw_Slack!A:B, 2, FALSE)), ""sports|ufc|nba|nfl|mlb|soccer|sports fans""), ""Sports"",
  REGEXMATCH(LOWER("&amp;"VLOOKUP(A186, Data1_Raw_Slack!A:B, 2, FALSE)), ""fashion|style|clothing|apparel|shoes|accessories|beauty|cosmetics|fashionistas""), ""Fashion and Beauty"",
  REGEXMATCH(LOWER(VLOOKUP(A186, Data1_Raw_Slack!A:B, 2, FALSE)), ""food|cooking|recipe|restaurant|"&amp;"snack|grocery|foodies""), ""Food"",
  REGEXMATCH(LOWER(VLOOKUP(A186, Data1_Raw_Slack!A:B, 2, FALSE)), ""travel|vacation|airline|hotel|trip|flights|travelers""), ""Travel"",
  REGEXMATCH(LOWER(VLOOKUP(A186, Data1_Raw_Slack!A:B, 2, FALSE)), ""fitness|workou"&amp;"t|gym|exercise|yoga|wellness|fitness enthusiasts""), ""Fitness"",
  REGEXMATCH(LOWER(VLOOKUP(A186, Data1_Raw_Slack!A:B, 2, FALSE)), ""health|medical|pharmacy|mental health|doctor|health-conscious""), ""Health"",
  REGEXMATCH(LOWER(VLOOKUP(A186, Data1_Raw_"&amp;"Slack!A:B, 2, FALSE)), ""pets|dogs|cats|animals|pet care|pet lovers""), ""Pets"",
  REGEXMATCH(LOWER(VLOOKUP(A186, Data1_Raw_Slack!A:B, 2, FALSE)), ""games|gaming|game|xbox|playstation|nintendo|gamers""), ""Gaming"",
  REGEXMATCH(LOWER(VLOOKUP(A186, Data1"&amp;"_Raw_Slack!A:B, 2, FALSE)), ""entertainment|movies|tv|netflix|streaming|celebrity|movie lovers|tv fans|hobb|photo|art""), ""Entertainment"",
  REGEXMATCH(LOWER(VLOOKUP(A186, Data1_Raw_Slack!A:B, 2, FALSE)), ""lifestyle|home|interior|decor|living|lifestyle"&amp;" enthusiasts""), ""Lifestyle"",
  REGEXMATCH(LOWER(VLOOKUP(A186, Data1_Raw_Slack!A:B, 2, FALSE)), ""financial|finance|investing|stocks|retirement|banking|credit|debt|loans|savings|personal finance|insurance|econ|ecom|business|retail|occupation|sale|job|ma"&amp;"rketing""), ""Finance"",
  REGEXMATCH(LOWER(VLOOKUP(A186, Data1_Raw_Slack!A:B, 2, FALSE)), ""auto|automotive""), ""Auto"",
  REGEXMATCH(LOWER(VLOOKUP(A186, Data1_Raw_Slack!A:B, 2, FALSE)), ""parenting|moms|dads|kids|toddlers|baby|parent|children""), ""Par"&amp;"enting"",
  REGEXMATCH(LOWER(VLOOKUP(A186, Data1_Raw_Slack!A:B, 2, FALSE)), ""education|students|learning|school|teachers|college|university|academics""), ""Education"",
  REGEXMATCH(LOWER(VLOOKUP(A186, Data1_Raw_Slack!A:B, 2, FALSE)), ""age|gender|dem"&amp;"ographic|family|household""), ""Demographics"",
  REGEXMATCH(LOWER(VLOOKUP(A186, Data1_Raw_Slack!A:B, 2, FALSE)), ""mortgage|real estate""), ""Real Estate"",REGEXMATCH(LOWER(VLOOKUP(A186, Data1_Raw_Slack!A:B, 2, FALSE)), ""technology|tech|gadgets|smartpho"&amp;"ne|electro|apps|devices|computing|ai|robots|software|computer|internet|tele|mobile|tablet""), ""Technology"", REGEXMATCH(LOWER(VLOOKUP(A186, Data1_Raw_Slack!A:B, 2, FALSE)), ""entertainment|purchas|movies|tv|netflix|streaming|celebrity|movie lovers|tv fan"&amp;"s|media|hobb|photo|art|shop""), ""Entertainment"", REGEXMATCH(LOWER(VLOOKUP(A186, Data1_Raw_Slack!A:B, 2, FALSE)), ""law|government|""), ""Law and Government"",
  TRUE, ""Other""
)"),"Travel")</f>
        <v>Travel</v>
      </c>
      <c r="G186" s="9" t="s">
        <v>85</v>
      </c>
      <c r="H186" s="9" t="s">
        <v>32</v>
      </c>
      <c r="I186" s="9" t="s">
        <v>833</v>
      </c>
      <c r="J186" s="9" t="s">
        <v>62</v>
      </c>
      <c r="K186" s="9" t="s">
        <v>88</v>
      </c>
      <c r="L186" s="9" t="s">
        <v>89</v>
      </c>
      <c r="M186" s="10" t="s">
        <v>668</v>
      </c>
      <c r="N186" s="9" t="str">
        <f ca="1">IFERROR(__xludf.DUMMYFUNCTION("REGEXEXTRACT(LOWER(M186), ""([a-z0-9\-]+)\.(?:co|net|org|io|gg)"")"),"slickdeals")</f>
        <v>slickdeals</v>
      </c>
      <c r="O186" s="9" t="s">
        <v>186</v>
      </c>
      <c r="P186" s="9" t="s">
        <v>39</v>
      </c>
      <c r="Q186" s="9">
        <v>47360</v>
      </c>
      <c r="R186" s="9">
        <v>126</v>
      </c>
      <c r="S186" s="9">
        <v>8047</v>
      </c>
      <c r="T186" s="9">
        <v>33641</v>
      </c>
      <c r="U186" s="9">
        <v>9</v>
      </c>
      <c r="V186" s="11">
        <v>6502.2749329999997</v>
      </c>
      <c r="W186" s="12">
        <f t="shared" si="0"/>
        <v>722.47499255555556</v>
      </c>
      <c r="X186" s="12">
        <f t="shared" si="1"/>
        <v>0.26604729729729731</v>
      </c>
      <c r="Y186" s="12">
        <f t="shared" si="2"/>
        <v>16.991131756756754</v>
      </c>
      <c r="Z186" s="12">
        <f t="shared" si="3"/>
        <v>808.03714837827761</v>
      </c>
      <c r="AA186" s="12">
        <f t="shared" si="4"/>
        <v>137.29465652449323</v>
      </c>
      <c r="AB186" s="12">
        <f t="shared" si="5"/>
        <v>51.605356611111105</v>
      </c>
      <c r="AC186" s="12">
        <f t="shared" si="6"/>
        <v>7.1428571428571423</v>
      </c>
      <c r="AE186" s="13"/>
      <c r="AF186" s="13"/>
    </row>
    <row r="187" spans="1:32">
      <c r="A187" s="8" t="s">
        <v>834</v>
      </c>
      <c r="B187" s="9" t="s">
        <v>41</v>
      </c>
      <c r="C187" s="9" t="s">
        <v>105</v>
      </c>
      <c r="D187" s="9" t="s">
        <v>835</v>
      </c>
      <c r="E187" s="9"/>
      <c r="F187" s="9" t="str">
        <f ca="1">IFERROR(__xludf.DUMMYFUNCTION("IFS(
  REGEXMATCH(LOWER(VLOOKUP(A187, Data1_Raw_Slack!A:B, 2, FALSE)), ""news|weather""), ""News and Weather"", REGEXMATCH(LOWER(VLOOKUP(A187, Data1_Raw_Slack!A:B, 2, FALSE)), ""sports|ufc|nba|nfl|mlb|soccer|sports fans""), ""Sports"",
  REGEXMATCH(LOWER("&amp;"VLOOKUP(A187, Data1_Raw_Slack!A:B, 2, FALSE)), ""fashion|style|clothing|apparel|shoes|accessories|beauty|cosmetics|fashionistas""), ""Fashion and Beauty"",
  REGEXMATCH(LOWER(VLOOKUP(A187, Data1_Raw_Slack!A:B, 2, FALSE)), ""food|cooking|recipe|restaurant|"&amp;"snack|grocery|foodies""), ""Food"",
  REGEXMATCH(LOWER(VLOOKUP(A187, Data1_Raw_Slack!A:B, 2, FALSE)), ""travel|vacation|airline|hotel|trip|flights|travelers""), ""Travel"",
  REGEXMATCH(LOWER(VLOOKUP(A187, Data1_Raw_Slack!A:B, 2, FALSE)), ""fitness|workou"&amp;"t|gym|exercise|yoga|wellness|fitness enthusiasts""), ""Fitness"",
  REGEXMATCH(LOWER(VLOOKUP(A187, Data1_Raw_Slack!A:B, 2, FALSE)), ""health|medical|pharmacy|mental health|doctor|health-conscious""), ""Health"",
  REGEXMATCH(LOWER(VLOOKUP(A187, Data1_Raw_"&amp;"Slack!A:B, 2, FALSE)), ""pets|dogs|cats|animals|pet care|pet lovers""), ""Pets"",
  REGEXMATCH(LOWER(VLOOKUP(A187, Data1_Raw_Slack!A:B, 2, FALSE)), ""games|gaming|game|xbox|playstation|nintendo|gamers""), ""Gaming"",
  REGEXMATCH(LOWER(VLOOKUP(A187, Data1"&amp;"_Raw_Slack!A:B, 2, FALSE)), ""entertainment|movies|tv|netflix|streaming|celebrity|movie lovers|tv fans|hobb|photo|art""), ""Entertainment"",
  REGEXMATCH(LOWER(VLOOKUP(A187, Data1_Raw_Slack!A:B, 2, FALSE)), ""lifestyle|home|interior|decor|living|lifestyle"&amp;" enthusiasts""), ""Lifestyle"",
  REGEXMATCH(LOWER(VLOOKUP(A187, Data1_Raw_Slack!A:B, 2, FALSE)), ""financial|finance|investing|stocks|retirement|banking|credit|debt|loans|savings|personal finance|insurance|econ|ecom|business|retail|occupation|sale|job|ma"&amp;"rketing""), ""Finance"",
  REGEXMATCH(LOWER(VLOOKUP(A187, Data1_Raw_Slack!A:B, 2, FALSE)), ""auto|automotive""), ""Auto"",
  REGEXMATCH(LOWER(VLOOKUP(A187, Data1_Raw_Slack!A:B, 2, FALSE)), ""parenting|moms|dads|kids|toddlers|baby|parent|children""), ""Par"&amp;"enting"",
  REGEXMATCH(LOWER(VLOOKUP(A187, Data1_Raw_Slack!A:B, 2, FALSE)), ""education|students|learning|school|teachers|college|university|academics""), ""Education"",
  REGEXMATCH(LOWER(VLOOKUP(A187, Data1_Raw_Slack!A:B, 2, FALSE)), ""age|gender|dem"&amp;"ographic|family|household""), ""Demographics"",
  REGEXMATCH(LOWER(VLOOKUP(A187, Data1_Raw_Slack!A:B, 2, FALSE)), ""mortgage|real estate""), ""Real Estate"",REGEXMATCH(LOWER(VLOOKUP(A187, Data1_Raw_Slack!A:B, 2, FALSE)), ""technology|tech|gadgets|smartpho"&amp;"ne|electro|apps|devices|computing|ai|robots|software|computer|internet|tele|mobile|tablet""), ""Technology"", REGEXMATCH(LOWER(VLOOKUP(A187, Data1_Raw_Slack!A:B, 2, FALSE)), ""entertainment|purchas|movies|tv|netflix|streaming|celebrity|movie lovers|tv fan"&amp;"s|media|hobb|photo|art|shop""), ""Entertainment"", REGEXMATCH(LOWER(VLOOKUP(A187, Data1_Raw_Slack!A:B, 2, FALSE)), ""law|government|""), ""Law and Government"",
  TRUE, ""Other""
)"),"Fashion and Beauty")</f>
        <v>Fashion and Beauty</v>
      </c>
      <c r="G187" s="9" t="s">
        <v>105</v>
      </c>
      <c r="H187" s="9" t="s">
        <v>123</v>
      </c>
      <c r="I187" s="9" t="s">
        <v>836</v>
      </c>
      <c r="J187" s="9" t="s">
        <v>34</v>
      </c>
      <c r="K187" s="9" t="s">
        <v>236</v>
      </c>
      <c r="L187" s="9" t="s">
        <v>82</v>
      </c>
      <c r="M187" s="10" t="s">
        <v>49</v>
      </c>
      <c r="N187" s="9" t="str">
        <f ca="1">IFERROR(__xludf.DUMMYFUNCTION("REGEXEXTRACT(LOWER(M187), ""([a-z0-9\-]+)\.(?:co|net|org|io|gg)"")"),"yahoo")</f>
        <v>yahoo</v>
      </c>
      <c r="O187" s="9" t="s">
        <v>131</v>
      </c>
      <c r="P187" s="9" t="s">
        <v>39</v>
      </c>
      <c r="Q187" s="9">
        <v>1083050</v>
      </c>
      <c r="R187" s="9">
        <v>3984</v>
      </c>
      <c r="S187" s="9">
        <v>590156</v>
      </c>
      <c r="T187" s="9">
        <v>953556</v>
      </c>
      <c r="U187" s="9">
        <v>19</v>
      </c>
      <c r="V187" s="11">
        <v>7495.749847</v>
      </c>
      <c r="W187" s="12">
        <f t="shared" si="0"/>
        <v>394.51314984210529</v>
      </c>
      <c r="X187" s="12">
        <f t="shared" si="1"/>
        <v>0.36785005309080837</v>
      </c>
      <c r="Y187" s="12">
        <f t="shared" si="2"/>
        <v>54.490189741932504</v>
      </c>
      <c r="Z187" s="12">
        <f t="shared" si="3"/>
        <v>12.701302447149567</v>
      </c>
      <c r="AA187" s="12">
        <f t="shared" si="4"/>
        <v>6.9209638031485161</v>
      </c>
      <c r="AB187" s="12">
        <f t="shared" si="5"/>
        <v>1.8814633150100402</v>
      </c>
      <c r="AC187" s="12">
        <f t="shared" si="6"/>
        <v>0.4769076305220884</v>
      </c>
      <c r="AE187" s="13"/>
      <c r="AF187" s="13"/>
    </row>
    <row r="188" spans="1:32">
      <c r="A188" s="8" t="s">
        <v>837</v>
      </c>
      <c r="B188" s="9" t="s">
        <v>41</v>
      </c>
      <c r="C188" s="9" t="s">
        <v>374</v>
      </c>
      <c r="D188" s="9" t="s">
        <v>838</v>
      </c>
      <c r="E188" s="9"/>
      <c r="F188" s="9" t="str">
        <f ca="1">IFERROR(__xludf.DUMMYFUNCTION("IFS(
  REGEXMATCH(LOWER(VLOOKUP(A188, Data1_Raw_Slack!A:B, 2, FALSE)), ""news|weather""), ""News and Weather"", REGEXMATCH(LOWER(VLOOKUP(A188, Data1_Raw_Slack!A:B, 2, FALSE)), ""sports|ufc|nba|nfl|mlb|soccer|sports fans""), ""Sports"",
  REGEXMATCH(LOWER("&amp;"VLOOKUP(A188, Data1_Raw_Slack!A:B, 2, FALSE)), ""fashion|style|clothing|apparel|shoes|accessories|beauty|cosmetics|fashionistas""), ""Fashion and Beauty"",
  REGEXMATCH(LOWER(VLOOKUP(A188, Data1_Raw_Slack!A:B, 2, FALSE)), ""food|cooking|recipe|restaurant|"&amp;"snack|grocery|foodies""), ""Food"",
  REGEXMATCH(LOWER(VLOOKUP(A188, Data1_Raw_Slack!A:B, 2, FALSE)), ""travel|vacation|airline|hotel|trip|flights|travelers""), ""Travel"",
  REGEXMATCH(LOWER(VLOOKUP(A188, Data1_Raw_Slack!A:B, 2, FALSE)), ""fitness|workou"&amp;"t|gym|exercise|yoga|wellness|fitness enthusiasts""), ""Fitness"",
  REGEXMATCH(LOWER(VLOOKUP(A188, Data1_Raw_Slack!A:B, 2, FALSE)), ""health|medical|pharmacy|mental health|doctor|health-conscious""), ""Health"",
  REGEXMATCH(LOWER(VLOOKUP(A188, Data1_Raw_"&amp;"Slack!A:B, 2, FALSE)), ""pets|dogs|cats|animals|pet care|pet lovers""), ""Pets"",
  REGEXMATCH(LOWER(VLOOKUP(A188, Data1_Raw_Slack!A:B, 2, FALSE)), ""games|gaming|game|xbox|playstation|nintendo|gamers""), ""Gaming"",
  REGEXMATCH(LOWER(VLOOKUP(A188, Data1"&amp;"_Raw_Slack!A:B, 2, FALSE)), ""entertainment|movies|tv|netflix|streaming|celebrity|movie lovers|tv fans|hobb|photo|art""), ""Entertainment"",
  REGEXMATCH(LOWER(VLOOKUP(A188, Data1_Raw_Slack!A:B, 2, FALSE)), ""lifestyle|home|interior|decor|living|lifestyle"&amp;" enthusiasts""), ""Lifestyle"",
  REGEXMATCH(LOWER(VLOOKUP(A188, Data1_Raw_Slack!A:B, 2, FALSE)), ""financial|finance|investing|stocks|retirement|banking|credit|debt|loans|savings|personal finance|insurance|econ|ecom|business|retail|occupation|sale|job|ma"&amp;"rketing""), ""Finance"",
  REGEXMATCH(LOWER(VLOOKUP(A188, Data1_Raw_Slack!A:B, 2, FALSE)), ""auto|automotive""), ""Auto"",
  REGEXMATCH(LOWER(VLOOKUP(A188, Data1_Raw_Slack!A:B, 2, FALSE)), ""parenting|moms|dads|kids|toddlers|baby|parent|children""), ""Par"&amp;"enting"",
  REGEXMATCH(LOWER(VLOOKUP(A188, Data1_Raw_Slack!A:B, 2, FALSE)), ""education|students|learning|school|teachers|college|university|academics""), ""Education"",
  REGEXMATCH(LOWER(VLOOKUP(A188, Data1_Raw_Slack!A:B, 2, FALSE)), ""age|gender|dem"&amp;"ographic|family|household""), ""Demographics"",
  REGEXMATCH(LOWER(VLOOKUP(A188, Data1_Raw_Slack!A:B, 2, FALSE)), ""mortgage|real estate""), ""Real Estate"",REGEXMATCH(LOWER(VLOOKUP(A188, Data1_Raw_Slack!A:B, 2, FALSE)), ""technology|tech|gadgets|smartpho"&amp;"ne|electro|apps|devices|computing|ai|robots|software|computer|internet|tele|mobile|tablet""), ""Technology"", REGEXMATCH(LOWER(VLOOKUP(A188, Data1_Raw_Slack!A:B, 2, FALSE)), ""entertainment|purchas|movies|tv|netflix|streaming|celebrity|movie lovers|tv fan"&amp;"s|media|hobb|photo|art|shop""), ""Entertainment"", REGEXMATCH(LOWER(VLOOKUP(A188, Data1_Raw_Slack!A:B, 2, FALSE)), ""law|government|""), ""Law and Government"",
  TRUE, ""Other""
)"),"Finance")</f>
        <v>Finance</v>
      </c>
      <c r="G188" s="9"/>
      <c r="H188" s="9" t="s">
        <v>32</v>
      </c>
      <c r="I188" s="9" t="s">
        <v>307</v>
      </c>
      <c r="J188" s="9" t="s">
        <v>34</v>
      </c>
      <c r="K188" s="9" t="s">
        <v>35</v>
      </c>
      <c r="L188" s="9" t="s">
        <v>36</v>
      </c>
      <c r="M188" s="10" t="s">
        <v>58</v>
      </c>
      <c r="N188" s="9" t="str">
        <f ca="1">IFERROR(__xludf.DUMMYFUNCTION("REGEXEXTRACT(LOWER(M188), ""([a-z0-9\-]+)\.(?:co|net|org|io|gg)"")"),"forbes")</f>
        <v>forbes</v>
      </c>
      <c r="O188" s="9" t="s">
        <v>50</v>
      </c>
      <c r="P188" s="9" t="s">
        <v>39</v>
      </c>
      <c r="Q188" s="9">
        <v>15326</v>
      </c>
      <c r="R188" s="9">
        <v>68</v>
      </c>
      <c r="S188" s="9">
        <v>7941</v>
      </c>
      <c r="T188" s="9">
        <v>14331</v>
      </c>
      <c r="U188" s="9">
        <v>8</v>
      </c>
      <c r="V188" s="11">
        <v>6943.5158240000001</v>
      </c>
      <c r="W188" s="12">
        <f t="shared" si="0"/>
        <v>867.93947800000001</v>
      </c>
      <c r="X188" s="12">
        <f t="shared" si="1"/>
        <v>0.44369046065509588</v>
      </c>
      <c r="Y188" s="12">
        <f t="shared" si="2"/>
        <v>51.813911000913478</v>
      </c>
      <c r="Z188" s="12">
        <f t="shared" si="3"/>
        <v>874.38809016496668</v>
      </c>
      <c r="AA188" s="12">
        <f t="shared" si="4"/>
        <v>453.05466684066295</v>
      </c>
      <c r="AB188" s="12">
        <f t="shared" si="5"/>
        <v>102.11052682352941</v>
      </c>
      <c r="AC188" s="12">
        <f t="shared" si="6"/>
        <v>11.76470588235294</v>
      </c>
      <c r="AE188" s="13"/>
      <c r="AF188" s="13"/>
    </row>
    <row r="189" spans="1:32">
      <c r="A189" s="8" t="s">
        <v>839</v>
      </c>
      <c r="B189" s="9" t="s">
        <v>840</v>
      </c>
      <c r="C189" s="9" t="s">
        <v>841</v>
      </c>
      <c r="D189" s="9" t="s">
        <v>842</v>
      </c>
      <c r="E189" s="9"/>
      <c r="F189" s="9" t="str">
        <f ca="1">IFERROR(__xludf.DUMMYFUNCTION("IFS(
  REGEXMATCH(LOWER(VLOOKUP(A189, Data1_Raw_Slack!A:B, 2, FALSE)), ""news|weather""), ""News and Weather"", REGEXMATCH(LOWER(VLOOKUP(A189, Data1_Raw_Slack!A:B, 2, FALSE)), ""sports|ufc|nba|nfl|mlb|soccer|sports fans""), ""Sports"",
  REGEXMATCH(LOWER("&amp;"VLOOKUP(A189, Data1_Raw_Slack!A:B, 2, FALSE)), ""fashion|style|clothing|apparel|shoes|accessories|beauty|cosmetics|fashionistas""), ""Fashion and Beauty"",
  REGEXMATCH(LOWER(VLOOKUP(A189, Data1_Raw_Slack!A:B, 2, FALSE)), ""food|cooking|recipe|restaurant|"&amp;"snack|grocery|foodies""), ""Food"",
  REGEXMATCH(LOWER(VLOOKUP(A189, Data1_Raw_Slack!A:B, 2, FALSE)), ""travel|vacation|airline|hotel|trip|flights|travelers""), ""Travel"",
  REGEXMATCH(LOWER(VLOOKUP(A189, Data1_Raw_Slack!A:B, 2, FALSE)), ""fitness|workou"&amp;"t|gym|exercise|yoga|wellness|fitness enthusiasts""), ""Fitness"",
  REGEXMATCH(LOWER(VLOOKUP(A189, Data1_Raw_Slack!A:B, 2, FALSE)), ""health|medical|pharmacy|mental health|doctor|health-conscious""), ""Health"",
  REGEXMATCH(LOWER(VLOOKUP(A189, Data1_Raw_"&amp;"Slack!A:B, 2, FALSE)), ""pets|dogs|cats|animals|pet care|pet lovers""), ""Pets"",
  REGEXMATCH(LOWER(VLOOKUP(A189, Data1_Raw_Slack!A:B, 2, FALSE)), ""games|gaming|game|xbox|playstation|nintendo|gamers""), ""Gaming"",
  REGEXMATCH(LOWER(VLOOKUP(A189, Data1"&amp;"_Raw_Slack!A:B, 2, FALSE)), ""entertainment|movies|tv|netflix|streaming|celebrity|movie lovers|tv fans|hobb|photo|art""), ""Entertainment"",
  REGEXMATCH(LOWER(VLOOKUP(A189, Data1_Raw_Slack!A:B, 2, FALSE)), ""lifestyle|home|interior|decor|living|lifestyle"&amp;" enthusiasts""), ""Lifestyle"",
  REGEXMATCH(LOWER(VLOOKUP(A189, Data1_Raw_Slack!A:B, 2, FALSE)), ""financial|finance|investing|stocks|retirement|banking|credit|debt|loans|savings|personal finance|insurance|econ|ecom|business|retail|occupation|sale|job|ma"&amp;"rketing""), ""Finance"",
  REGEXMATCH(LOWER(VLOOKUP(A189, Data1_Raw_Slack!A:B, 2, FALSE)), ""auto|automotive""), ""Auto"",
  REGEXMATCH(LOWER(VLOOKUP(A189, Data1_Raw_Slack!A:B, 2, FALSE)), ""parenting|moms|dads|kids|toddlers|baby|parent|children""), ""Par"&amp;"enting"",
  REGEXMATCH(LOWER(VLOOKUP(A189, Data1_Raw_Slack!A:B, 2, FALSE)), ""education|students|learning|school|teachers|college|university|academics""), ""Education"",
  REGEXMATCH(LOWER(VLOOKUP(A189, Data1_Raw_Slack!A:B, 2, FALSE)), ""age|gender|dem"&amp;"ographic|family|household""), ""Demographics"",
  REGEXMATCH(LOWER(VLOOKUP(A189, Data1_Raw_Slack!A:B, 2, FALSE)), ""mortgage|real estate""), ""Real Estate"",REGEXMATCH(LOWER(VLOOKUP(A189, Data1_Raw_Slack!A:B, 2, FALSE)), ""technology|tech|gadgets|smartpho"&amp;"ne|electro|apps|devices|computing|ai|robots|software|computer|internet|tele|mobile|tablet""), ""Technology"", REGEXMATCH(LOWER(VLOOKUP(A189, Data1_Raw_Slack!A:B, 2, FALSE)), ""entertainment|purchas|movies|tv|netflix|streaming|celebrity|movie lovers|tv fan"&amp;"s|media|hobb|photo|art|shop""), ""Entertainment"", REGEXMATCH(LOWER(VLOOKUP(A189, Data1_Raw_Slack!A:B, 2, FALSE)), ""law|government|""), ""Law and Government"",
  TRUE, ""Other""
)"),"Demographics")</f>
        <v>Demographics</v>
      </c>
      <c r="G189" s="9" t="s">
        <v>135</v>
      </c>
      <c r="H189" s="9" t="s">
        <v>44</v>
      </c>
      <c r="I189" s="9" t="s">
        <v>843</v>
      </c>
      <c r="J189" s="9" t="s">
        <v>62</v>
      </c>
      <c r="K189" s="9" t="s">
        <v>71</v>
      </c>
      <c r="L189" s="9" t="s">
        <v>72</v>
      </c>
      <c r="M189" s="10" t="s">
        <v>844</v>
      </c>
      <c r="N189" s="9" t="str">
        <f ca="1">IFERROR(__xludf.DUMMYFUNCTION("REGEXEXTRACT(LOWER(M189), ""([a-z0-9\-]+)\.(?:co|net|org|io|gg)"")"),"taboolanews")</f>
        <v>taboolanews</v>
      </c>
      <c r="O189" s="9" t="s">
        <v>118</v>
      </c>
      <c r="P189" s="9" t="s">
        <v>39</v>
      </c>
      <c r="Q189" s="9">
        <v>217824</v>
      </c>
      <c r="R189" s="9">
        <v>560</v>
      </c>
      <c r="S189" s="9">
        <v>75089</v>
      </c>
      <c r="T189" s="9">
        <v>179723</v>
      </c>
      <c r="U189" s="9">
        <v>16</v>
      </c>
      <c r="V189" s="11">
        <v>1451.808544</v>
      </c>
      <c r="W189" s="12">
        <f t="shared" si="0"/>
        <v>90.738033999999999</v>
      </c>
      <c r="X189" s="12">
        <f t="shared" si="1"/>
        <v>0.25708829146466872</v>
      </c>
      <c r="Y189" s="12">
        <f t="shared" si="2"/>
        <v>34.472326281768765</v>
      </c>
      <c r="Z189" s="12">
        <f t="shared" si="3"/>
        <v>19.334503642344416</v>
      </c>
      <c r="AA189" s="12">
        <f t="shared" si="4"/>
        <v>6.6650531805494344</v>
      </c>
      <c r="AB189" s="12">
        <f t="shared" si="5"/>
        <v>2.5925152571428569</v>
      </c>
      <c r="AC189" s="12">
        <f t="shared" si="6"/>
        <v>2.8571428571428572</v>
      </c>
      <c r="AE189" s="13"/>
      <c r="AF189" s="13"/>
    </row>
    <row r="190" spans="1:32">
      <c r="A190" s="8" t="s">
        <v>845</v>
      </c>
      <c r="B190" s="9" t="s">
        <v>41</v>
      </c>
      <c r="C190" s="9" t="s">
        <v>154</v>
      </c>
      <c r="D190" s="9" t="s">
        <v>469</v>
      </c>
      <c r="E190" s="9" t="s">
        <v>846</v>
      </c>
      <c r="F190" s="9" t="str">
        <f ca="1">IFERROR(__xludf.DUMMYFUNCTION("IFS(
  REGEXMATCH(LOWER(VLOOKUP(A190, Data1_Raw_Slack!A:B, 2, FALSE)), ""news|weather""), ""News and Weather"", REGEXMATCH(LOWER(VLOOKUP(A190, Data1_Raw_Slack!A:B, 2, FALSE)), ""sports|ufc|nba|nfl|mlb|soccer|sports fans""), ""Sports"",
  REGEXMATCH(LOWER("&amp;"VLOOKUP(A190, Data1_Raw_Slack!A:B, 2, FALSE)), ""fashion|style|clothing|apparel|shoes|accessories|beauty|cosmetics|fashionistas""), ""Fashion and Beauty"",
  REGEXMATCH(LOWER(VLOOKUP(A190, Data1_Raw_Slack!A:B, 2, FALSE)), ""food|cooking|recipe|restaurant|"&amp;"snack|grocery|foodies""), ""Food"",
  REGEXMATCH(LOWER(VLOOKUP(A190, Data1_Raw_Slack!A:B, 2, FALSE)), ""travel|vacation|airline|hotel|trip|flights|travelers""), ""Travel"",
  REGEXMATCH(LOWER(VLOOKUP(A190, Data1_Raw_Slack!A:B, 2, FALSE)), ""fitness|workou"&amp;"t|gym|exercise|yoga|wellness|fitness enthusiasts""), ""Fitness"",
  REGEXMATCH(LOWER(VLOOKUP(A190, Data1_Raw_Slack!A:B, 2, FALSE)), ""health|medical|pharmacy|mental health|doctor|health-conscious""), ""Health"",
  REGEXMATCH(LOWER(VLOOKUP(A190, Data1_Raw_"&amp;"Slack!A:B, 2, FALSE)), ""pets|dogs|cats|animals|pet care|pet lovers""), ""Pets"",
  REGEXMATCH(LOWER(VLOOKUP(A190, Data1_Raw_Slack!A:B, 2, FALSE)), ""games|gaming|game|xbox|playstation|nintendo|gamers""), ""Gaming"",
  REGEXMATCH(LOWER(VLOOKUP(A190, Data1"&amp;"_Raw_Slack!A:B, 2, FALSE)), ""entertainment|movies|tv|netflix|streaming|celebrity|movie lovers|tv fans|hobb|photo|art""), ""Entertainment"",
  REGEXMATCH(LOWER(VLOOKUP(A190, Data1_Raw_Slack!A:B, 2, FALSE)), ""lifestyle|home|interior|decor|living|lifestyle"&amp;" enthusiasts""), ""Lifestyle"",
  REGEXMATCH(LOWER(VLOOKUP(A190, Data1_Raw_Slack!A:B, 2, FALSE)), ""financial|finance|investing|stocks|retirement|banking|credit|debt|loans|savings|personal finance|insurance|econ|ecom|business|retail|occupation|sale|job|ma"&amp;"rketing""), ""Finance"",
  REGEXMATCH(LOWER(VLOOKUP(A190, Data1_Raw_Slack!A:B, 2, FALSE)), ""auto|automotive""), ""Auto"",
  REGEXMATCH(LOWER(VLOOKUP(A190, Data1_Raw_Slack!A:B, 2, FALSE)), ""parenting|moms|dads|kids|toddlers|baby|parent|children""), ""Par"&amp;"enting"",
  REGEXMATCH(LOWER(VLOOKUP(A190, Data1_Raw_Slack!A:B, 2, FALSE)), ""education|students|learning|school|teachers|college|university|academics""), ""Education"",
  REGEXMATCH(LOWER(VLOOKUP(A190, Data1_Raw_Slack!A:B, 2, FALSE)), ""age|gender|dem"&amp;"ographic|family|household""), ""Demographics"",
  REGEXMATCH(LOWER(VLOOKUP(A190, Data1_Raw_Slack!A:B, 2, FALSE)), ""mortgage|real estate""), ""Real Estate"",REGEXMATCH(LOWER(VLOOKUP(A190, Data1_Raw_Slack!A:B, 2, FALSE)), ""technology|tech|gadgets|smartpho"&amp;"ne|electro|apps|devices|computing|ai|robots|software|computer|internet|tele|mobile|tablet""), ""Technology"", REGEXMATCH(LOWER(VLOOKUP(A190, Data1_Raw_Slack!A:B, 2, FALSE)), ""entertainment|purchas|movies|tv|netflix|streaming|celebrity|movie lovers|tv fan"&amp;"s|media|hobb|photo|art|shop""), ""Entertainment"", REGEXMATCH(LOWER(VLOOKUP(A190, Data1_Raw_Slack!A:B, 2, FALSE)), ""law|government|""), ""Law and Government"",
  TRUE, ""Other""
)"),"Sports")</f>
        <v>Sports</v>
      </c>
      <c r="G190" s="9" t="s">
        <v>154</v>
      </c>
      <c r="H190" s="9" t="s">
        <v>32</v>
      </c>
      <c r="I190" s="9" t="s">
        <v>776</v>
      </c>
      <c r="J190" s="9" t="s">
        <v>34</v>
      </c>
      <c r="K190" s="9" t="s">
        <v>236</v>
      </c>
      <c r="L190" s="9" t="s">
        <v>82</v>
      </c>
      <c r="M190" s="10" t="s">
        <v>73</v>
      </c>
      <c r="N190" s="9" t="str">
        <f ca="1">IFERROR(__xludf.DUMMYFUNCTION("REGEXEXTRACT(LOWER(M190), ""([a-z0-9\-]+)\.(?:co|net|org|io|gg)"")"),"aol")</f>
        <v>aol</v>
      </c>
      <c r="O190" s="9" t="s">
        <v>50</v>
      </c>
      <c r="P190" s="9" t="s">
        <v>39</v>
      </c>
      <c r="Q190" s="9">
        <v>7514</v>
      </c>
      <c r="R190" s="9">
        <v>20</v>
      </c>
      <c r="S190" s="9">
        <v>2646</v>
      </c>
      <c r="T190" s="9">
        <v>3373</v>
      </c>
      <c r="U190" s="9">
        <v>3</v>
      </c>
      <c r="V190" s="11">
        <v>6756.2951789999997</v>
      </c>
      <c r="W190" s="12">
        <f t="shared" si="0"/>
        <v>2252.0983929999998</v>
      </c>
      <c r="X190" s="12">
        <f t="shared" si="1"/>
        <v>0.26616981634282671</v>
      </c>
      <c r="Y190" s="12">
        <f t="shared" si="2"/>
        <v>35.214266702155975</v>
      </c>
      <c r="Z190" s="12">
        <f t="shared" si="3"/>
        <v>2553.3995385487528</v>
      </c>
      <c r="AA190" s="12">
        <f t="shared" si="4"/>
        <v>899.1609234761778</v>
      </c>
      <c r="AB190" s="12">
        <f t="shared" si="5"/>
        <v>337.81475895</v>
      </c>
      <c r="AC190" s="12">
        <f t="shared" si="6"/>
        <v>15</v>
      </c>
      <c r="AE190" s="13"/>
      <c r="AF190" s="13"/>
    </row>
    <row r="191" spans="1:32">
      <c r="A191" s="8" t="s">
        <v>847</v>
      </c>
      <c r="B191" s="9" t="s">
        <v>92</v>
      </c>
      <c r="C191" s="9" t="s">
        <v>178</v>
      </c>
      <c r="D191" s="9" t="s">
        <v>602</v>
      </c>
      <c r="E191" s="9" t="s">
        <v>848</v>
      </c>
      <c r="F191" s="9" t="str">
        <f ca="1">IFERROR(__xludf.DUMMYFUNCTION("IFS(
  REGEXMATCH(LOWER(VLOOKUP(A191, Data1_Raw_Slack!A:B, 2, FALSE)), ""news|weather""), ""News and Weather"", REGEXMATCH(LOWER(VLOOKUP(A191, Data1_Raw_Slack!A:B, 2, FALSE)), ""sports|ufc|nba|nfl|mlb|soccer|sports fans""), ""Sports"",
  REGEXMATCH(LOWER("&amp;"VLOOKUP(A191, Data1_Raw_Slack!A:B, 2, FALSE)), ""fashion|style|clothing|apparel|shoes|accessories|beauty|cosmetics|fashionistas""), ""Fashion and Beauty"",
  REGEXMATCH(LOWER(VLOOKUP(A191, Data1_Raw_Slack!A:B, 2, FALSE)), ""food|cooking|recipe|restaurant|"&amp;"snack|grocery|foodies""), ""Food"",
  REGEXMATCH(LOWER(VLOOKUP(A191, Data1_Raw_Slack!A:B, 2, FALSE)), ""travel|vacation|airline|hotel|trip|flights|travelers""), ""Travel"",
  REGEXMATCH(LOWER(VLOOKUP(A191, Data1_Raw_Slack!A:B, 2, FALSE)), ""fitness|workou"&amp;"t|gym|exercise|yoga|wellness|fitness enthusiasts""), ""Fitness"",
  REGEXMATCH(LOWER(VLOOKUP(A191, Data1_Raw_Slack!A:B, 2, FALSE)), ""health|medical|pharmacy|mental health|doctor|health-conscious""), ""Health"",
  REGEXMATCH(LOWER(VLOOKUP(A191, Data1_Raw_"&amp;"Slack!A:B, 2, FALSE)), ""pets|dogs|cats|animals|pet care|pet lovers""), ""Pets"",
  REGEXMATCH(LOWER(VLOOKUP(A191, Data1_Raw_Slack!A:B, 2, FALSE)), ""games|gaming|game|xbox|playstation|nintendo|gamers""), ""Gaming"",
  REGEXMATCH(LOWER(VLOOKUP(A191, Data1"&amp;"_Raw_Slack!A:B, 2, FALSE)), ""entertainment|movies|tv|netflix|streaming|celebrity|movie lovers|tv fans|hobb|photo|art""), ""Entertainment"",
  REGEXMATCH(LOWER(VLOOKUP(A191, Data1_Raw_Slack!A:B, 2, FALSE)), ""lifestyle|home|interior|decor|living|lifestyle"&amp;" enthusiasts""), ""Lifestyle"",
  REGEXMATCH(LOWER(VLOOKUP(A191, Data1_Raw_Slack!A:B, 2, FALSE)), ""financial|finance|investing|stocks|retirement|banking|credit|debt|loans|savings|personal finance|insurance|econ|ecom|business|retail|occupation|sale|job|ma"&amp;"rketing""), ""Finance"",
  REGEXMATCH(LOWER(VLOOKUP(A191, Data1_Raw_Slack!A:B, 2, FALSE)), ""auto|automotive""), ""Auto"",
  REGEXMATCH(LOWER(VLOOKUP(A191, Data1_Raw_Slack!A:B, 2, FALSE)), ""parenting|moms|dads|kids|toddlers|baby|parent|children""), ""Par"&amp;"enting"",
  REGEXMATCH(LOWER(VLOOKUP(A191, Data1_Raw_Slack!A:B, 2, FALSE)), ""education|students|learning|school|teachers|college|university|academics""), ""Education"",
  REGEXMATCH(LOWER(VLOOKUP(A191, Data1_Raw_Slack!A:B, 2, FALSE)), ""age|gender|dem"&amp;"ographic|family|household""), ""Demographics"",
  REGEXMATCH(LOWER(VLOOKUP(A191, Data1_Raw_Slack!A:B, 2, FALSE)), ""mortgage|real estate""), ""Real Estate"",REGEXMATCH(LOWER(VLOOKUP(A191, Data1_Raw_Slack!A:B, 2, FALSE)), ""technology|tech|gadgets|smartpho"&amp;"ne|electro|apps|devices|computing|ai|robots|software|computer|internet|tele|mobile|tablet""), ""Technology"", REGEXMATCH(LOWER(VLOOKUP(A191, Data1_Raw_Slack!A:B, 2, FALSE)), ""entertainment|purchas|movies|tv|netflix|streaming|celebrity|movie lovers|tv fan"&amp;"s|media|hobb|photo|art|shop""), ""Entertainment"", REGEXMATCH(LOWER(VLOOKUP(A191, Data1_Raw_Slack!A:B, 2, FALSE)), ""law|government|""), ""Law and Government"",
  TRUE, ""Other""
)"),"Food")</f>
        <v>Food</v>
      </c>
      <c r="G191" s="9"/>
      <c r="H191" s="9" t="s">
        <v>32</v>
      </c>
      <c r="I191" s="9" t="s">
        <v>849</v>
      </c>
      <c r="J191" s="9" t="s">
        <v>62</v>
      </c>
      <c r="K191" s="9" t="s">
        <v>142</v>
      </c>
      <c r="L191" s="9" t="s">
        <v>72</v>
      </c>
      <c r="M191" s="10" t="s">
        <v>354</v>
      </c>
      <c r="N191" s="9" t="str">
        <f ca="1">IFERROR(__xludf.DUMMYFUNCTION("REGEXEXTRACT(LOWER(M191), ""([a-z0-9\-]+)\.(?:co|net|org|io|gg)"")"),"yahoo")</f>
        <v>yahoo</v>
      </c>
      <c r="O191" s="9" t="s">
        <v>50</v>
      </c>
      <c r="P191" s="9" t="s">
        <v>39</v>
      </c>
      <c r="Q191" s="9">
        <v>263752</v>
      </c>
      <c r="R191" s="9">
        <v>702</v>
      </c>
      <c r="S191" s="9">
        <v>127042</v>
      </c>
      <c r="T191" s="9">
        <v>225121</v>
      </c>
      <c r="U191" s="9">
        <v>4</v>
      </c>
      <c r="V191" s="11">
        <v>1465.5147099999999</v>
      </c>
      <c r="W191" s="12">
        <f t="shared" si="0"/>
        <v>366.37867749999998</v>
      </c>
      <c r="X191" s="12">
        <f t="shared" si="1"/>
        <v>0.26615911917255602</v>
      </c>
      <c r="Y191" s="12">
        <f t="shared" si="2"/>
        <v>48.16721768934454</v>
      </c>
      <c r="Z191" s="12">
        <f t="shared" si="3"/>
        <v>11.535670959210339</v>
      </c>
      <c r="AA191" s="12">
        <f t="shared" si="4"/>
        <v>5.5564117428493427</v>
      </c>
      <c r="AB191" s="12">
        <f t="shared" si="5"/>
        <v>2.0876277920227917</v>
      </c>
      <c r="AC191" s="12">
        <f t="shared" si="6"/>
        <v>0.56980056980056981</v>
      </c>
      <c r="AE191" s="13"/>
      <c r="AF191" s="13"/>
    </row>
    <row r="192" spans="1:32">
      <c r="A192" s="8" t="s">
        <v>850</v>
      </c>
      <c r="B192" s="9" t="s">
        <v>92</v>
      </c>
      <c r="C192" s="9" t="s">
        <v>851</v>
      </c>
      <c r="D192" s="9" t="s">
        <v>852</v>
      </c>
      <c r="E192" s="9"/>
      <c r="F192" s="9" t="str">
        <f ca="1">IFERROR(__xludf.DUMMYFUNCTION("IFS(
  REGEXMATCH(LOWER(VLOOKUP(A192, Data1_Raw_Slack!A:B, 2, FALSE)), ""news|weather""), ""News and Weather"", REGEXMATCH(LOWER(VLOOKUP(A192, Data1_Raw_Slack!A:B, 2, FALSE)), ""sports|ufc|nba|nfl|mlb|soccer|sports fans""), ""Sports"",
  REGEXMATCH(LOWER("&amp;"VLOOKUP(A192, Data1_Raw_Slack!A:B, 2, FALSE)), ""fashion|style|clothing|apparel|shoes|accessories|beauty|cosmetics|fashionistas""), ""Fashion and Beauty"",
  REGEXMATCH(LOWER(VLOOKUP(A192, Data1_Raw_Slack!A:B, 2, FALSE)), ""food|cooking|recipe|restaurant|"&amp;"snack|grocery|foodies""), ""Food"",
  REGEXMATCH(LOWER(VLOOKUP(A192, Data1_Raw_Slack!A:B, 2, FALSE)), ""travel|vacation|airline|hotel|trip|flights|travelers""), ""Travel"",
  REGEXMATCH(LOWER(VLOOKUP(A192, Data1_Raw_Slack!A:B, 2, FALSE)), ""fitness|workou"&amp;"t|gym|exercise|yoga|wellness|fitness enthusiasts""), ""Fitness"",
  REGEXMATCH(LOWER(VLOOKUP(A192, Data1_Raw_Slack!A:B, 2, FALSE)), ""health|medical|pharmacy|mental health|doctor|health-conscious""), ""Health"",
  REGEXMATCH(LOWER(VLOOKUP(A192, Data1_Raw_"&amp;"Slack!A:B, 2, FALSE)), ""pets|dogs|cats|animals|pet care|pet lovers""), ""Pets"",
  REGEXMATCH(LOWER(VLOOKUP(A192, Data1_Raw_Slack!A:B, 2, FALSE)), ""games|gaming|game|xbox|playstation|nintendo|gamers""), ""Gaming"",
  REGEXMATCH(LOWER(VLOOKUP(A192, Data1"&amp;"_Raw_Slack!A:B, 2, FALSE)), ""entertainment|movies|tv|netflix|streaming|celebrity|movie lovers|tv fans|hobb|photo|art""), ""Entertainment"",
  REGEXMATCH(LOWER(VLOOKUP(A192, Data1_Raw_Slack!A:B, 2, FALSE)), ""lifestyle|home|interior|decor|living|lifestyle"&amp;" enthusiasts""), ""Lifestyle"",
  REGEXMATCH(LOWER(VLOOKUP(A192, Data1_Raw_Slack!A:B, 2, FALSE)), ""financial|finance|investing|stocks|retirement|banking|credit|debt|loans|savings|personal finance|insurance|econ|ecom|business|retail|occupation|sale|job|ma"&amp;"rketing""), ""Finance"",
  REGEXMATCH(LOWER(VLOOKUP(A192, Data1_Raw_Slack!A:B, 2, FALSE)), ""auto|automotive""), ""Auto"",
  REGEXMATCH(LOWER(VLOOKUP(A192, Data1_Raw_Slack!A:B, 2, FALSE)), ""parenting|moms|dads|kids|toddlers|baby|parent|children""), ""Par"&amp;"enting"",
  REGEXMATCH(LOWER(VLOOKUP(A192, Data1_Raw_Slack!A:B, 2, FALSE)), ""education|students|learning|school|teachers|college|university|academics""), ""Education"",
  REGEXMATCH(LOWER(VLOOKUP(A192, Data1_Raw_Slack!A:B, 2, FALSE)), ""age|gender|dem"&amp;"ographic|family|household""), ""Demographics"",
  REGEXMATCH(LOWER(VLOOKUP(A192, Data1_Raw_Slack!A:B, 2, FALSE)), ""mortgage|real estate""), ""Real Estate"",REGEXMATCH(LOWER(VLOOKUP(A192, Data1_Raw_Slack!A:B, 2, FALSE)), ""technology|tech|gadgets|smartpho"&amp;"ne|electro|apps|devices|computing|ai|robots|software|computer|internet|tele|mobile|tablet""), ""Technology"", REGEXMATCH(LOWER(VLOOKUP(A192, Data1_Raw_Slack!A:B, 2, FALSE)), ""entertainment|purchas|movies|tv|netflix|streaming|celebrity|movie lovers|tv fan"&amp;"s|media|hobb|photo|art|shop""), ""Entertainment"", REGEXMATCH(LOWER(VLOOKUP(A192, Data1_Raw_Slack!A:B, 2, FALSE)), ""law|government|""), ""Law and Government"",
  TRUE, ""Other""
)"),"Demographics")</f>
        <v>Demographics</v>
      </c>
      <c r="G192" s="9"/>
      <c r="H192" s="9" t="s">
        <v>44</v>
      </c>
      <c r="I192" s="9" t="s">
        <v>853</v>
      </c>
      <c r="J192" s="9" t="s">
        <v>46</v>
      </c>
      <c r="K192" s="9" t="s">
        <v>56</v>
      </c>
      <c r="L192" s="9" t="s">
        <v>57</v>
      </c>
      <c r="M192" s="10" t="s">
        <v>102</v>
      </c>
      <c r="N192" s="9" t="str">
        <f ca="1">IFERROR(__xludf.DUMMYFUNCTION("REGEXEXTRACT(LOWER(M192), ""([a-z0-9\-]+)\.(?:co|net|org|io|gg)"")"),"cbsnews")</f>
        <v>cbsnews</v>
      </c>
      <c r="O192" s="9" t="s">
        <v>50</v>
      </c>
      <c r="P192" s="9" t="s">
        <v>75</v>
      </c>
      <c r="Q192" s="9">
        <v>65983</v>
      </c>
      <c r="R192" s="9">
        <v>212</v>
      </c>
      <c r="S192" s="9">
        <v>8536</v>
      </c>
      <c r="T192" s="9">
        <v>57434</v>
      </c>
      <c r="U192" s="9">
        <v>3</v>
      </c>
      <c r="V192" s="11">
        <v>1599.076249</v>
      </c>
      <c r="W192" s="12">
        <f t="shared" si="0"/>
        <v>533.02541633333328</v>
      </c>
      <c r="X192" s="12">
        <f t="shared" si="1"/>
        <v>0.32129487898398068</v>
      </c>
      <c r="Y192" s="12">
        <f t="shared" si="2"/>
        <v>12.936665504751224</v>
      </c>
      <c r="Z192" s="12">
        <f t="shared" si="3"/>
        <v>187.33320630271791</v>
      </c>
      <c r="AA192" s="12">
        <f t="shared" si="4"/>
        <v>24.234670278708151</v>
      </c>
      <c r="AB192" s="12">
        <f t="shared" si="5"/>
        <v>7.5428124952830187</v>
      </c>
      <c r="AC192" s="12">
        <f t="shared" si="6"/>
        <v>1.4150943396226416</v>
      </c>
      <c r="AE192" s="13"/>
      <c r="AF192" s="13"/>
    </row>
    <row r="193" spans="1:32">
      <c r="A193" s="8" t="s">
        <v>854</v>
      </c>
      <c r="B193" s="9"/>
      <c r="C193" s="9" t="s">
        <v>67</v>
      </c>
      <c r="D193" s="9"/>
      <c r="E193" s="9"/>
      <c r="F193" s="9" t="str">
        <f ca="1">IFERROR(__xludf.DUMMYFUNCTION("IFS(
  REGEXMATCH(LOWER(VLOOKUP(A193, Data1_Raw_Slack!A:B, 2, FALSE)), ""news|weather""), ""News and Weather"", REGEXMATCH(LOWER(VLOOKUP(A193, Data1_Raw_Slack!A:B, 2, FALSE)), ""sports|ufc|nba|nfl|mlb|soccer|sports fans""), ""Sports"",
  REGEXMATCH(LOWER("&amp;"VLOOKUP(A193, Data1_Raw_Slack!A:B, 2, FALSE)), ""fashion|style|clothing|apparel|shoes|accessories|beauty|cosmetics|fashionistas""), ""Fashion and Beauty"",
  REGEXMATCH(LOWER(VLOOKUP(A193, Data1_Raw_Slack!A:B, 2, FALSE)), ""food|cooking|recipe|restaurant|"&amp;"snack|grocery|foodies""), ""Food"",
  REGEXMATCH(LOWER(VLOOKUP(A193, Data1_Raw_Slack!A:B, 2, FALSE)), ""travel|vacation|airline|hotel|trip|flights|travelers""), ""Travel"",
  REGEXMATCH(LOWER(VLOOKUP(A193, Data1_Raw_Slack!A:B, 2, FALSE)), ""fitness|workou"&amp;"t|gym|exercise|yoga|wellness|fitness enthusiasts""), ""Fitness"",
  REGEXMATCH(LOWER(VLOOKUP(A193, Data1_Raw_Slack!A:B, 2, FALSE)), ""health|medical|pharmacy|mental health|doctor|health-conscious""), ""Health"",
  REGEXMATCH(LOWER(VLOOKUP(A193, Data1_Raw_"&amp;"Slack!A:B, 2, FALSE)), ""pets|dogs|cats|animals|pet care|pet lovers""), ""Pets"",
  REGEXMATCH(LOWER(VLOOKUP(A193, Data1_Raw_Slack!A:B, 2, FALSE)), ""games|gaming|game|xbox|playstation|nintendo|gamers""), ""Gaming"",
  REGEXMATCH(LOWER(VLOOKUP(A193, Data1"&amp;"_Raw_Slack!A:B, 2, FALSE)), ""entertainment|movies|tv|netflix|streaming|celebrity|movie lovers|tv fans|hobb|photo|art""), ""Entertainment"",
  REGEXMATCH(LOWER(VLOOKUP(A193, Data1_Raw_Slack!A:B, 2, FALSE)), ""lifestyle|home|interior|decor|living|lifestyle"&amp;" enthusiasts""), ""Lifestyle"",
  REGEXMATCH(LOWER(VLOOKUP(A193, Data1_Raw_Slack!A:B, 2, FALSE)), ""financial|finance|investing|stocks|retirement|banking|credit|debt|loans|savings|personal finance|insurance|econ|ecom|business|retail|occupation|sale|job|ma"&amp;"rketing""), ""Finance"",
  REGEXMATCH(LOWER(VLOOKUP(A193, Data1_Raw_Slack!A:B, 2, FALSE)), ""auto|automotive""), ""Auto"",
  REGEXMATCH(LOWER(VLOOKUP(A193, Data1_Raw_Slack!A:B, 2, FALSE)), ""parenting|moms|dads|kids|toddlers|baby|parent|children""), ""Par"&amp;"enting"",
  REGEXMATCH(LOWER(VLOOKUP(A193, Data1_Raw_Slack!A:B, 2, FALSE)), ""education|students|learning|school|teachers|college|university|academics""), ""Education"",
  REGEXMATCH(LOWER(VLOOKUP(A193, Data1_Raw_Slack!A:B, 2, FALSE)), ""age|gender|dem"&amp;"ographic|family|household""), ""Demographics"",
  REGEXMATCH(LOWER(VLOOKUP(A193, Data1_Raw_Slack!A:B, 2, FALSE)), ""mortgage|real estate""), ""Real Estate"",REGEXMATCH(LOWER(VLOOKUP(A193, Data1_Raw_Slack!A:B, 2, FALSE)), ""technology|tech|gadgets|smartpho"&amp;"ne|electro|apps|devices|computing|ai|robots|software|computer|internet|tele|mobile|tablet""), ""Technology"", REGEXMATCH(LOWER(VLOOKUP(A193, Data1_Raw_Slack!A:B, 2, FALSE)), ""entertainment|purchas|movies|tv|netflix|streaming|celebrity|movie lovers|tv fan"&amp;"s|media|hobb|photo|art|shop""), ""Entertainment"", REGEXMATCH(LOWER(VLOOKUP(A193, Data1_Raw_Slack!A:B, 2, FALSE)), ""law|government|""), ""Law and Government"",
  TRUE, ""Other""
)"),"Entertainment")</f>
        <v>Entertainment</v>
      </c>
      <c r="G193" s="9" t="s">
        <v>69</v>
      </c>
      <c r="H193" s="9" t="s">
        <v>44</v>
      </c>
      <c r="I193" s="9" t="s">
        <v>855</v>
      </c>
      <c r="J193" s="9" t="s">
        <v>80</v>
      </c>
      <c r="K193" s="9" t="s">
        <v>236</v>
      </c>
      <c r="L193" s="9" t="s">
        <v>82</v>
      </c>
      <c r="M193" s="10" t="s">
        <v>354</v>
      </c>
      <c r="N193" s="9" t="str">
        <f ca="1">IFERROR(__xludf.DUMMYFUNCTION("REGEXEXTRACT(LOWER(M193), ""([a-z0-9\-]+)\.(?:co|net|org|io|gg)"")"),"yahoo")</f>
        <v>yahoo</v>
      </c>
      <c r="O193" s="9" t="s">
        <v>50</v>
      </c>
      <c r="P193" s="9" t="s">
        <v>39</v>
      </c>
      <c r="Q193" s="9">
        <v>421110</v>
      </c>
      <c r="R193" s="9">
        <v>984</v>
      </c>
      <c r="S193" s="9">
        <v>212140</v>
      </c>
      <c r="T193" s="9">
        <v>389474</v>
      </c>
      <c r="U193" s="9">
        <v>4</v>
      </c>
      <c r="V193" s="11">
        <v>1635.920216</v>
      </c>
      <c r="W193" s="12">
        <f t="shared" si="0"/>
        <v>408.980054</v>
      </c>
      <c r="X193" s="12">
        <f t="shared" si="1"/>
        <v>0.23366816271283039</v>
      </c>
      <c r="Y193" s="12">
        <f t="shared" si="2"/>
        <v>50.376386217377878</v>
      </c>
      <c r="Z193" s="12">
        <f t="shared" si="3"/>
        <v>7.7115122843405297</v>
      </c>
      <c r="AA193" s="12">
        <f t="shared" si="4"/>
        <v>3.884781211559925</v>
      </c>
      <c r="AB193" s="12">
        <f t="shared" si="5"/>
        <v>1.6625205447154472</v>
      </c>
      <c r="AC193" s="12">
        <f t="shared" si="6"/>
        <v>0.40650406504065045</v>
      </c>
      <c r="AE193" s="13"/>
      <c r="AF193" s="13"/>
    </row>
    <row r="194" spans="1:32">
      <c r="A194" s="8" t="s">
        <v>856</v>
      </c>
      <c r="B194" s="9" t="s">
        <v>66</v>
      </c>
      <c r="C194" s="9" t="s">
        <v>420</v>
      </c>
      <c r="D194" s="9" t="s">
        <v>421</v>
      </c>
      <c r="E194" s="9" t="s">
        <v>857</v>
      </c>
      <c r="F194" s="9" t="str">
        <f ca="1">IFERROR(__xludf.DUMMYFUNCTION("IFS(
  REGEXMATCH(LOWER(VLOOKUP(A194, Data1_Raw_Slack!A:B, 2, FALSE)), ""news|weather""), ""News and Weather"", REGEXMATCH(LOWER(VLOOKUP(A194, Data1_Raw_Slack!A:B, 2, FALSE)), ""sports|ufc|nba|nfl|mlb|soccer|sports fans""), ""Sports"",
  REGEXMATCH(LOWER("&amp;"VLOOKUP(A194, Data1_Raw_Slack!A:B, 2, FALSE)), ""fashion|style|clothing|apparel|shoes|accessories|beauty|cosmetics|fashionistas""), ""Fashion and Beauty"",
  REGEXMATCH(LOWER(VLOOKUP(A194, Data1_Raw_Slack!A:B, 2, FALSE)), ""food|cooking|recipe|restaurant|"&amp;"snack|grocery|foodies""), ""Food"",
  REGEXMATCH(LOWER(VLOOKUP(A194, Data1_Raw_Slack!A:B, 2, FALSE)), ""travel|vacation|airline|hotel|trip|flights|travelers""), ""Travel"",
  REGEXMATCH(LOWER(VLOOKUP(A194, Data1_Raw_Slack!A:B, 2, FALSE)), ""fitness|workou"&amp;"t|gym|exercise|yoga|wellness|fitness enthusiasts""), ""Fitness"",
  REGEXMATCH(LOWER(VLOOKUP(A194, Data1_Raw_Slack!A:B, 2, FALSE)), ""health|medical|pharmacy|mental health|doctor|health-conscious""), ""Health"",
  REGEXMATCH(LOWER(VLOOKUP(A194, Data1_Raw_"&amp;"Slack!A:B, 2, FALSE)), ""pets|dogs|cats|animals|pet care|pet lovers""), ""Pets"",
  REGEXMATCH(LOWER(VLOOKUP(A194, Data1_Raw_Slack!A:B, 2, FALSE)), ""games|gaming|game|xbox|playstation|nintendo|gamers""), ""Gaming"",
  REGEXMATCH(LOWER(VLOOKUP(A194, Data1"&amp;"_Raw_Slack!A:B, 2, FALSE)), ""entertainment|movies|tv|netflix|streaming|celebrity|movie lovers|tv fans|hobb|photo|art""), ""Entertainment"",
  REGEXMATCH(LOWER(VLOOKUP(A194, Data1_Raw_Slack!A:B, 2, FALSE)), ""lifestyle|home|interior|decor|living|lifestyle"&amp;" enthusiasts""), ""Lifestyle"",
  REGEXMATCH(LOWER(VLOOKUP(A194, Data1_Raw_Slack!A:B, 2, FALSE)), ""financial|finance|investing|stocks|retirement|banking|credit|debt|loans|savings|personal finance|insurance|econ|ecom|business|retail|occupation|sale|job|ma"&amp;"rketing""), ""Finance"",
  REGEXMATCH(LOWER(VLOOKUP(A194, Data1_Raw_Slack!A:B, 2, FALSE)), ""auto|automotive""), ""Auto"",
  REGEXMATCH(LOWER(VLOOKUP(A194, Data1_Raw_Slack!A:B, 2, FALSE)), ""parenting|moms|dads|kids|toddlers|baby|parent|children""), ""Par"&amp;"enting"",
  REGEXMATCH(LOWER(VLOOKUP(A194, Data1_Raw_Slack!A:B, 2, FALSE)), ""education|students|learning|school|teachers|college|university|academics""), ""Education"",
  REGEXMATCH(LOWER(VLOOKUP(A194, Data1_Raw_Slack!A:B, 2, FALSE)), ""age|gender|dem"&amp;"ographic|family|household""), ""Demographics"",
  REGEXMATCH(LOWER(VLOOKUP(A194, Data1_Raw_Slack!A:B, 2, FALSE)), ""mortgage|real estate""), ""Real Estate"",REGEXMATCH(LOWER(VLOOKUP(A194, Data1_Raw_Slack!A:B, 2, FALSE)), ""technology|tech|gadgets|smartpho"&amp;"ne|electro|apps|devices|computing|ai|robots|software|computer|internet|tele|mobile|tablet""), ""Technology"", REGEXMATCH(LOWER(VLOOKUP(A194, Data1_Raw_Slack!A:B, 2, FALSE)), ""entertainment|purchas|movies|tv|netflix|streaming|celebrity|movie lovers|tv fan"&amp;"s|media|hobb|photo|art|shop""), ""Entertainment"", REGEXMATCH(LOWER(VLOOKUP(A194, Data1_Raw_Slack!A:B, 2, FALSE)), ""law|government|""), ""Law and Government"",
  TRUE, ""Other""
)"),"Fashion and Beauty")</f>
        <v>Fashion and Beauty</v>
      </c>
      <c r="G194" s="9"/>
      <c r="H194" s="9" t="s">
        <v>44</v>
      </c>
      <c r="I194" s="9" t="s">
        <v>858</v>
      </c>
      <c r="J194" s="9" t="s">
        <v>62</v>
      </c>
      <c r="K194" s="9" t="s">
        <v>35</v>
      </c>
      <c r="L194" s="9" t="s">
        <v>36</v>
      </c>
      <c r="M194" s="10" t="s">
        <v>112</v>
      </c>
      <c r="N194" s="9" t="str">
        <f ca="1">IFERROR(__xludf.DUMMYFUNCTION("REGEXEXTRACT(LOWER(M194), ""([a-z0-9\-]+)\.(?:co|net|org|io|gg)"")"),"ebay")</f>
        <v>ebay</v>
      </c>
      <c r="O194" s="9" t="s">
        <v>593</v>
      </c>
      <c r="P194" s="9" t="s">
        <v>39</v>
      </c>
      <c r="Q194" s="9">
        <v>435848</v>
      </c>
      <c r="R194" s="9">
        <v>1058</v>
      </c>
      <c r="S194" s="9">
        <v>274912</v>
      </c>
      <c r="T194" s="9">
        <v>415601</v>
      </c>
      <c r="U194" s="9">
        <v>15</v>
      </c>
      <c r="V194" s="11">
        <v>1554.439959</v>
      </c>
      <c r="W194" s="12">
        <f t="shared" si="0"/>
        <v>103.6293306</v>
      </c>
      <c r="X194" s="12">
        <f t="shared" si="1"/>
        <v>0.24274517721774563</v>
      </c>
      <c r="Y194" s="12">
        <f t="shared" si="2"/>
        <v>63.075200528624656</v>
      </c>
      <c r="Z194" s="12">
        <f t="shared" si="3"/>
        <v>5.6543183236817605</v>
      </c>
      <c r="AA194" s="12">
        <f t="shared" si="4"/>
        <v>3.5664726211890385</v>
      </c>
      <c r="AB194" s="12">
        <f t="shared" si="5"/>
        <v>1.469224913988658</v>
      </c>
      <c r="AC194" s="12">
        <f t="shared" si="6"/>
        <v>1.4177693761814745</v>
      </c>
      <c r="AE194" s="13"/>
      <c r="AF194" s="13"/>
    </row>
    <row r="195" spans="1:32">
      <c r="A195" s="8" t="s">
        <v>859</v>
      </c>
      <c r="B195" s="9" t="s">
        <v>41</v>
      </c>
      <c r="C195" s="9" t="s">
        <v>253</v>
      </c>
      <c r="D195" s="9" t="s">
        <v>860</v>
      </c>
      <c r="E195" s="9"/>
      <c r="F195" s="9" t="str">
        <f ca="1">IFERROR(__xludf.DUMMYFUNCTION("IFS(
  REGEXMATCH(LOWER(VLOOKUP(A195, Data1_Raw_Slack!A:B, 2, FALSE)), ""news|weather""), ""News and Weather"", REGEXMATCH(LOWER(VLOOKUP(A195, Data1_Raw_Slack!A:B, 2, FALSE)), ""sports|ufc|nba|nfl|mlb|soccer|sports fans""), ""Sports"",
  REGEXMATCH(LOWER("&amp;"VLOOKUP(A195, Data1_Raw_Slack!A:B, 2, FALSE)), ""fashion|style|clothing|apparel|shoes|accessories|beauty|cosmetics|fashionistas""), ""Fashion and Beauty"",
  REGEXMATCH(LOWER(VLOOKUP(A195, Data1_Raw_Slack!A:B, 2, FALSE)), ""food|cooking|recipe|restaurant|"&amp;"snack|grocery|foodies""), ""Food"",
  REGEXMATCH(LOWER(VLOOKUP(A195, Data1_Raw_Slack!A:B, 2, FALSE)), ""travel|vacation|airline|hotel|trip|flights|travelers""), ""Travel"",
  REGEXMATCH(LOWER(VLOOKUP(A195, Data1_Raw_Slack!A:B, 2, FALSE)), ""fitness|workou"&amp;"t|gym|exercise|yoga|wellness|fitness enthusiasts""), ""Fitness"",
  REGEXMATCH(LOWER(VLOOKUP(A195, Data1_Raw_Slack!A:B, 2, FALSE)), ""health|medical|pharmacy|mental health|doctor|health-conscious""), ""Health"",
  REGEXMATCH(LOWER(VLOOKUP(A195, Data1_Raw_"&amp;"Slack!A:B, 2, FALSE)), ""pets|dogs|cats|animals|pet care|pet lovers""), ""Pets"",
  REGEXMATCH(LOWER(VLOOKUP(A195, Data1_Raw_Slack!A:B, 2, FALSE)), ""games|gaming|game|xbox|playstation|nintendo|gamers""), ""Gaming"",
  REGEXMATCH(LOWER(VLOOKUP(A195, Data1"&amp;"_Raw_Slack!A:B, 2, FALSE)), ""entertainment|movies|tv|netflix|streaming|celebrity|movie lovers|tv fans|hobb|photo|art""), ""Entertainment"",
  REGEXMATCH(LOWER(VLOOKUP(A195, Data1_Raw_Slack!A:B, 2, FALSE)), ""lifestyle|home|interior|decor|living|lifestyle"&amp;" enthusiasts""), ""Lifestyle"",
  REGEXMATCH(LOWER(VLOOKUP(A195, Data1_Raw_Slack!A:B, 2, FALSE)), ""financial|finance|investing|stocks|retirement|banking|credit|debt|loans|savings|personal finance|insurance|econ|ecom|business|retail|occupation|sale|job|ma"&amp;"rketing""), ""Finance"",
  REGEXMATCH(LOWER(VLOOKUP(A195, Data1_Raw_Slack!A:B, 2, FALSE)), ""auto|automotive""), ""Auto"",
  REGEXMATCH(LOWER(VLOOKUP(A195, Data1_Raw_Slack!A:B, 2, FALSE)), ""parenting|moms|dads|kids|toddlers|baby|parent|children""), ""Par"&amp;"enting"",
  REGEXMATCH(LOWER(VLOOKUP(A195, Data1_Raw_Slack!A:B, 2, FALSE)), ""education|students|learning|school|teachers|college|university|academics""), ""Education"",
  REGEXMATCH(LOWER(VLOOKUP(A195, Data1_Raw_Slack!A:B, 2, FALSE)), ""age|gender|dem"&amp;"ographic|family|household""), ""Demographics"",
  REGEXMATCH(LOWER(VLOOKUP(A195, Data1_Raw_Slack!A:B, 2, FALSE)), ""mortgage|real estate""), ""Real Estate"",REGEXMATCH(LOWER(VLOOKUP(A195, Data1_Raw_Slack!A:B, 2, FALSE)), ""technology|tech|gadgets|smartpho"&amp;"ne|electro|apps|devices|computing|ai|robots|software|computer|internet|tele|mobile|tablet""), ""Technology"", REGEXMATCH(LOWER(VLOOKUP(A195, Data1_Raw_Slack!A:B, 2, FALSE)), ""entertainment|purchas|movies|tv|netflix|streaming|celebrity|movie lovers|tv fan"&amp;"s|media|hobb|photo|art|shop""), ""Entertainment"", REGEXMATCH(LOWER(VLOOKUP(A195, Data1_Raw_Slack!A:B, 2, FALSE)), ""law|government|""), ""Law and Government"",
  TRUE, ""Other""
)"),"Entertainment")</f>
        <v>Entertainment</v>
      </c>
      <c r="G195" s="9"/>
      <c r="H195" s="9" t="s">
        <v>32</v>
      </c>
      <c r="I195" s="9" t="s">
        <v>861</v>
      </c>
      <c r="J195" s="9" t="s">
        <v>80</v>
      </c>
      <c r="K195" s="9" t="s">
        <v>56</v>
      </c>
      <c r="L195" s="9" t="s">
        <v>57</v>
      </c>
      <c r="M195" s="10" t="s">
        <v>398</v>
      </c>
      <c r="N195" s="9" t="str">
        <f ca="1">IFERROR(__xludf.DUMMYFUNCTION("REGEXEXTRACT(LOWER(M195), ""([a-z0-9\-]+)\.(?:co|net|org|io|gg)"")"),"kbb")</f>
        <v>kbb</v>
      </c>
      <c r="O195" s="9" t="s">
        <v>131</v>
      </c>
      <c r="P195" s="9" t="s">
        <v>39</v>
      </c>
      <c r="Q195" s="9">
        <v>96728</v>
      </c>
      <c r="R195" s="9">
        <v>341</v>
      </c>
      <c r="S195" s="9">
        <v>69700</v>
      </c>
      <c r="T195" s="9">
        <v>91910</v>
      </c>
      <c r="U195" s="9">
        <v>15</v>
      </c>
      <c r="V195" s="11">
        <v>6587.2433309999997</v>
      </c>
      <c r="W195" s="12">
        <f t="shared" si="0"/>
        <v>439.1495554</v>
      </c>
      <c r="X195" s="12">
        <f t="shared" si="1"/>
        <v>0.35253494334629065</v>
      </c>
      <c r="Y195" s="12">
        <f t="shared" si="2"/>
        <v>72.057728889256467</v>
      </c>
      <c r="Z195" s="12">
        <f t="shared" si="3"/>
        <v>94.508512639885211</v>
      </c>
      <c r="AA195" s="12">
        <f t="shared" si="4"/>
        <v>68.100687815317173</v>
      </c>
      <c r="AB195" s="12">
        <f t="shared" si="5"/>
        <v>19.317429123167155</v>
      </c>
      <c r="AC195" s="12">
        <f t="shared" si="6"/>
        <v>4.3988269794721413</v>
      </c>
      <c r="AE195" s="13"/>
      <c r="AF195" s="13"/>
    </row>
    <row r="196" spans="1:32">
      <c r="A196" s="8" t="s">
        <v>862</v>
      </c>
      <c r="B196" s="9" t="s">
        <v>498</v>
      </c>
      <c r="C196" s="9" t="s">
        <v>863</v>
      </c>
      <c r="D196" s="9" t="s">
        <v>864</v>
      </c>
      <c r="E196" s="9"/>
      <c r="F196" s="9" t="str">
        <f ca="1">IFERROR(__xludf.DUMMYFUNCTION("IFS(
  REGEXMATCH(LOWER(VLOOKUP(A196, Data1_Raw_Slack!A:B, 2, FALSE)), ""news|weather""), ""News and Weather"", REGEXMATCH(LOWER(VLOOKUP(A196, Data1_Raw_Slack!A:B, 2, FALSE)), ""sports|ufc|nba|nfl|mlb|soccer|sports fans""), ""Sports"",
  REGEXMATCH(LOWER("&amp;"VLOOKUP(A196, Data1_Raw_Slack!A:B, 2, FALSE)), ""fashion|style|clothing|apparel|shoes|accessories|beauty|cosmetics|fashionistas""), ""Fashion and Beauty"",
  REGEXMATCH(LOWER(VLOOKUP(A196, Data1_Raw_Slack!A:B, 2, FALSE)), ""food|cooking|recipe|restaurant|"&amp;"snack|grocery|foodies""), ""Food"",
  REGEXMATCH(LOWER(VLOOKUP(A196, Data1_Raw_Slack!A:B, 2, FALSE)), ""travel|vacation|airline|hotel|trip|flights|travelers""), ""Travel"",
  REGEXMATCH(LOWER(VLOOKUP(A196, Data1_Raw_Slack!A:B, 2, FALSE)), ""fitness|workou"&amp;"t|gym|exercise|yoga|wellness|fitness enthusiasts""), ""Fitness"",
  REGEXMATCH(LOWER(VLOOKUP(A196, Data1_Raw_Slack!A:B, 2, FALSE)), ""health|medical|pharmacy|mental health|doctor|health-conscious""), ""Health"",
  REGEXMATCH(LOWER(VLOOKUP(A196, Data1_Raw_"&amp;"Slack!A:B, 2, FALSE)), ""pets|dogs|cats|animals|pet care|pet lovers""), ""Pets"",
  REGEXMATCH(LOWER(VLOOKUP(A196, Data1_Raw_Slack!A:B, 2, FALSE)), ""games|gaming|game|xbox|playstation|nintendo|gamers""), ""Gaming"",
  REGEXMATCH(LOWER(VLOOKUP(A196, Data1"&amp;"_Raw_Slack!A:B, 2, FALSE)), ""entertainment|movies|tv|netflix|streaming|celebrity|movie lovers|tv fans|hobb|photo|art""), ""Entertainment"",
  REGEXMATCH(LOWER(VLOOKUP(A196, Data1_Raw_Slack!A:B, 2, FALSE)), ""lifestyle|home|interior|decor|living|lifestyle"&amp;" enthusiasts""), ""Lifestyle"",
  REGEXMATCH(LOWER(VLOOKUP(A196, Data1_Raw_Slack!A:B, 2, FALSE)), ""financial|finance|investing|stocks|retirement|banking|credit|debt|loans|savings|personal finance|insurance|econ|ecom|business|retail|occupation|sale|job|ma"&amp;"rketing""), ""Finance"",
  REGEXMATCH(LOWER(VLOOKUP(A196, Data1_Raw_Slack!A:B, 2, FALSE)), ""auto|automotive""), ""Auto"",
  REGEXMATCH(LOWER(VLOOKUP(A196, Data1_Raw_Slack!A:B, 2, FALSE)), ""parenting|moms|dads|kids|toddlers|baby|parent|children""), ""Par"&amp;"enting"",
  REGEXMATCH(LOWER(VLOOKUP(A196, Data1_Raw_Slack!A:B, 2, FALSE)), ""education|students|learning|school|teachers|college|university|academics""), ""Education"",
  REGEXMATCH(LOWER(VLOOKUP(A196, Data1_Raw_Slack!A:B, 2, FALSE)), ""age|gender|dem"&amp;"ographic|family|household""), ""Demographics"",
  REGEXMATCH(LOWER(VLOOKUP(A196, Data1_Raw_Slack!A:B, 2, FALSE)), ""mortgage|real estate""), ""Real Estate"",REGEXMATCH(LOWER(VLOOKUP(A196, Data1_Raw_Slack!A:B, 2, FALSE)), ""technology|tech|gadgets|smartpho"&amp;"ne|electro|apps|devices|computing|ai|robots|software|computer|internet|tele|mobile|tablet""), ""Technology"", REGEXMATCH(LOWER(VLOOKUP(A196, Data1_Raw_Slack!A:B, 2, FALSE)), ""entertainment|purchas|movies|tv|netflix|streaming|celebrity|movie lovers|tv fan"&amp;"s|media|hobb|photo|art|shop""), ""Entertainment"", REGEXMATCH(LOWER(VLOOKUP(A196, Data1_Raw_Slack!A:B, 2, FALSE)), ""law|government|""), ""Law and Government"",
  TRUE, ""Other""
)"),"Fashion and Beauty")</f>
        <v>Fashion and Beauty</v>
      </c>
      <c r="G196" s="9" t="s">
        <v>865</v>
      </c>
      <c r="H196" s="9" t="s">
        <v>32</v>
      </c>
      <c r="I196" s="9" t="s">
        <v>568</v>
      </c>
      <c r="J196" s="9" t="s">
        <v>80</v>
      </c>
      <c r="K196" s="9" t="s">
        <v>443</v>
      </c>
      <c r="L196" s="9" t="s">
        <v>72</v>
      </c>
      <c r="M196" s="10" t="s">
        <v>555</v>
      </c>
      <c r="N196" s="9" t="str">
        <f ca="1">IFERROR(__xludf.DUMMYFUNCTION("REGEXEXTRACT(LOWER(M196), ""([a-z0-9\-]+)\.(?:co|net|org|io|gg)"")"),"jdpower")</f>
        <v>jdpower</v>
      </c>
      <c r="O196" s="9" t="s">
        <v>131</v>
      </c>
      <c r="P196" s="9" t="s">
        <v>39</v>
      </c>
      <c r="Q196" s="9">
        <v>9040</v>
      </c>
      <c r="R196" s="9">
        <v>21</v>
      </c>
      <c r="S196" s="9">
        <v>3585</v>
      </c>
      <c r="T196" s="9">
        <v>8450</v>
      </c>
      <c r="U196" s="9">
        <v>3</v>
      </c>
      <c r="V196" s="11">
        <v>1473.192464</v>
      </c>
      <c r="W196" s="12">
        <f t="shared" si="0"/>
        <v>491.06415466666664</v>
      </c>
      <c r="X196" s="12">
        <f t="shared" si="1"/>
        <v>0.23230088495575221</v>
      </c>
      <c r="Y196" s="12">
        <f t="shared" si="2"/>
        <v>39.657079646017699</v>
      </c>
      <c r="Z196" s="12">
        <f t="shared" si="3"/>
        <v>410.9323470013947</v>
      </c>
      <c r="AA196" s="12">
        <f t="shared" si="4"/>
        <v>162.96376814159291</v>
      </c>
      <c r="AB196" s="12">
        <f t="shared" si="5"/>
        <v>70.152022095238095</v>
      </c>
      <c r="AC196" s="12">
        <f t="shared" si="6"/>
        <v>14.285714285714285</v>
      </c>
      <c r="AE196" s="13"/>
      <c r="AF196" s="13"/>
    </row>
    <row r="197" spans="1:32">
      <c r="A197" s="8" t="s">
        <v>866</v>
      </c>
      <c r="B197" s="9" t="s">
        <v>66</v>
      </c>
      <c r="C197" s="9" t="s">
        <v>85</v>
      </c>
      <c r="D197" s="9" t="s">
        <v>867</v>
      </c>
      <c r="E197" s="9"/>
      <c r="F197" s="9" t="str">
        <f ca="1">IFERROR(__xludf.DUMMYFUNCTION("IFS(
  REGEXMATCH(LOWER(VLOOKUP(A197, Data1_Raw_Slack!A:B, 2, FALSE)), ""news|weather""), ""News and Weather"", REGEXMATCH(LOWER(VLOOKUP(A197, Data1_Raw_Slack!A:B, 2, FALSE)), ""sports|ufc|nba|nfl|mlb|soccer|sports fans""), ""Sports"",
  REGEXMATCH(LOWER("&amp;"VLOOKUP(A197, Data1_Raw_Slack!A:B, 2, FALSE)), ""fashion|style|clothing|apparel|shoes|accessories|beauty|cosmetics|fashionistas""), ""Fashion and Beauty"",
  REGEXMATCH(LOWER(VLOOKUP(A197, Data1_Raw_Slack!A:B, 2, FALSE)), ""food|cooking|recipe|restaurant|"&amp;"snack|grocery|foodies""), ""Food"",
  REGEXMATCH(LOWER(VLOOKUP(A197, Data1_Raw_Slack!A:B, 2, FALSE)), ""travel|vacation|airline|hotel|trip|flights|travelers""), ""Travel"",
  REGEXMATCH(LOWER(VLOOKUP(A197, Data1_Raw_Slack!A:B, 2, FALSE)), ""fitness|workou"&amp;"t|gym|exercise|yoga|wellness|fitness enthusiasts""), ""Fitness"",
  REGEXMATCH(LOWER(VLOOKUP(A197, Data1_Raw_Slack!A:B, 2, FALSE)), ""health|medical|pharmacy|mental health|doctor|health-conscious""), ""Health"",
  REGEXMATCH(LOWER(VLOOKUP(A197, Data1_Raw_"&amp;"Slack!A:B, 2, FALSE)), ""pets|dogs|cats|animals|pet care|pet lovers""), ""Pets"",
  REGEXMATCH(LOWER(VLOOKUP(A197, Data1_Raw_Slack!A:B, 2, FALSE)), ""games|gaming|game|xbox|playstation|nintendo|gamers""), ""Gaming"",
  REGEXMATCH(LOWER(VLOOKUP(A197, Data1"&amp;"_Raw_Slack!A:B, 2, FALSE)), ""entertainment|movies|tv|netflix|streaming|celebrity|movie lovers|tv fans|hobb|photo|art""), ""Entertainment"",
  REGEXMATCH(LOWER(VLOOKUP(A197, Data1_Raw_Slack!A:B, 2, FALSE)), ""lifestyle|home|interior|decor|living|lifestyle"&amp;" enthusiasts""), ""Lifestyle"",
  REGEXMATCH(LOWER(VLOOKUP(A197, Data1_Raw_Slack!A:B, 2, FALSE)), ""financial|finance|investing|stocks|retirement|banking|credit|debt|loans|savings|personal finance|insurance|econ|ecom|business|retail|occupation|sale|job|ma"&amp;"rketing""), ""Finance"",
  REGEXMATCH(LOWER(VLOOKUP(A197, Data1_Raw_Slack!A:B, 2, FALSE)), ""auto|automotive""), ""Auto"",
  REGEXMATCH(LOWER(VLOOKUP(A197, Data1_Raw_Slack!A:B, 2, FALSE)), ""parenting|moms|dads|kids|toddlers|baby|parent|children""), ""Par"&amp;"enting"",
  REGEXMATCH(LOWER(VLOOKUP(A197, Data1_Raw_Slack!A:B, 2, FALSE)), ""education|students|learning|school|teachers|college|university|academics""), ""Education"",
  REGEXMATCH(LOWER(VLOOKUP(A197, Data1_Raw_Slack!A:B, 2, FALSE)), ""age|gender|dem"&amp;"ographic|family|household""), ""Demographics"",
  REGEXMATCH(LOWER(VLOOKUP(A197, Data1_Raw_Slack!A:B, 2, FALSE)), ""mortgage|real estate""), ""Real Estate"",REGEXMATCH(LOWER(VLOOKUP(A197, Data1_Raw_Slack!A:B, 2, FALSE)), ""technology|tech|gadgets|smartpho"&amp;"ne|electro|apps|devices|computing|ai|robots|software|computer|internet|tele|mobile|tablet""), ""Technology"", REGEXMATCH(LOWER(VLOOKUP(A197, Data1_Raw_Slack!A:B, 2, FALSE)), ""entertainment|purchas|movies|tv|netflix|streaming|celebrity|movie lovers|tv fan"&amp;"s|media|hobb|photo|art|shop""), ""Entertainment"", REGEXMATCH(LOWER(VLOOKUP(A197, Data1_Raw_Slack!A:B, 2, FALSE)), ""law|government|""), ""Law and Government"",
  TRUE, ""Other""
)"),"Travel")</f>
        <v>Travel</v>
      </c>
      <c r="G197" s="9" t="s">
        <v>85</v>
      </c>
      <c r="H197" s="9" t="s">
        <v>123</v>
      </c>
      <c r="I197" s="9" t="s">
        <v>868</v>
      </c>
      <c r="J197" s="9" t="s">
        <v>80</v>
      </c>
      <c r="K197" s="9" t="s">
        <v>56</v>
      </c>
      <c r="L197" s="9" t="s">
        <v>57</v>
      </c>
      <c r="M197" s="10" t="s">
        <v>869</v>
      </c>
      <c r="N197" s="9" t="str">
        <f ca="1">IFERROR(__xludf.DUMMYFUNCTION("REGEXEXTRACT(LOWER(M197), ""([a-z0-9\-]+)\.(?:co|net|org|io|gg)"")"),"w3schools")</f>
        <v>w3schools</v>
      </c>
      <c r="O197" s="9" t="s">
        <v>103</v>
      </c>
      <c r="P197" s="9" t="s">
        <v>39</v>
      </c>
      <c r="Q197" s="9">
        <v>32400</v>
      </c>
      <c r="R197" s="9">
        <v>87</v>
      </c>
      <c r="S197" s="9">
        <v>5152</v>
      </c>
      <c r="T197" s="9">
        <v>30383</v>
      </c>
      <c r="U197" s="9">
        <v>9</v>
      </c>
      <c r="V197" s="11">
        <v>1522.352623</v>
      </c>
      <c r="W197" s="12">
        <f t="shared" si="0"/>
        <v>169.15029144444443</v>
      </c>
      <c r="X197" s="12">
        <f t="shared" si="1"/>
        <v>0.26851851851851849</v>
      </c>
      <c r="Y197" s="12">
        <f t="shared" si="2"/>
        <v>15.901234567901234</v>
      </c>
      <c r="Z197" s="12">
        <f t="shared" si="3"/>
        <v>295.48769856366459</v>
      </c>
      <c r="AA197" s="12">
        <f t="shared" si="4"/>
        <v>46.986192067901236</v>
      </c>
      <c r="AB197" s="12">
        <f t="shared" si="5"/>
        <v>17.498306011494254</v>
      </c>
      <c r="AC197" s="12">
        <f t="shared" si="6"/>
        <v>10.344827586206897</v>
      </c>
      <c r="AE197" s="13"/>
      <c r="AF197" s="13"/>
    </row>
    <row r="198" spans="1:32">
      <c r="A198" s="8" t="s">
        <v>870</v>
      </c>
      <c r="B198" s="9" t="s">
        <v>41</v>
      </c>
      <c r="C198" s="9" t="s">
        <v>105</v>
      </c>
      <c r="D198" s="9" t="s">
        <v>808</v>
      </c>
      <c r="E198" s="9" t="s">
        <v>871</v>
      </c>
      <c r="F198" s="9" t="str">
        <f ca="1">IFERROR(__xludf.DUMMYFUNCTION("IFS(
  REGEXMATCH(LOWER(VLOOKUP(A198, Data1_Raw_Slack!A:B, 2, FALSE)), ""news|weather""), ""News and Weather"", REGEXMATCH(LOWER(VLOOKUP(A198, Data1_Raw_Slack!A:B, 2, FALSE)), ""sports|ufc|nba|nfl|mlb|soccer|sports fans""), ""Sports"",
  REGEXMATCH(LOWER("&amp;"VLOOKUP(A198, Data1_Raw_Slack!A:B, 2, FALSE)), ""fashion|style|clothing|apparel|shoes|accessories|beauty|cosmetics|fashionistas""), ""Fashion and Beauty"",
  REGEXMATCH(LOWER(VLOOKUP(A198, Data1_Raw_Slack!A:B, 2, FALSE)), ""food|cooking|recipe|restaurant|"&amp;"snack|grocery|foodies""), ""Food"",
  REGEXMATCH(LOWER(VLOOKUP(A198, Data1_Raw_Slack!A:B, 2, FALSE)), ""travel|vacation|airline|hotel|trip|flights|travelers""), ""Travel"",
  REGEXMATCH(LOWER(VLOOKUP(A198, Data1_Raw_Slack!A:B, 2, FALSE)), ""fitness|workou"&amp;"t|gym|exercise|yoga|wellness|fitness enthusiasts""), ""Fitness"",
  REGEXMATCH(LOWER(VLOOKUP(A198, Data1_Raw_Slack!A:B, 2, FALSE)), ""health|medical|pharmacy|mental health|doctor|health-conscious""), ""Health"",
  REGEXMATCH(LOWER(VLOOKUP(A198, Data1_Raw_"&amp;"Slack!A:B, 2, FALSE)), ""pets|dogs|cats|animals|pet care|pet lovers""), ""Pets"",
  REGEXMATCH(LOWER(VLOOKUP(A198, Data1_Raw_Slack!A:B, 2, FALSE)), ""games|gaming|game|xbox|playstation|nintendo|gamers""), ""Gaming"",
  REGEXMATCH(LOWER(VLOOKUP(A198, Data1"&amp;"_Raw_Slack!A:B, 2, FALSE)), ""entertainment|movies|tv|netflix|streaming|celebrity|movie lovers|tv fans|hobb|photo|art""), ""Entertainment"",
  REGEXMATCH(LOWER(VLOOKUP(A198, Data1_Raw_Slack!A:B, 2, FALSE)), ""lifestyle|home|interior|decor|living|lifestyle"&amp;" enthusiasts""), ""Lifestyle"",
  REGEXMATCH(LOWER(VLOOKUP(A198, Data1_Raw_Slack!A:B, 2, FALSE)), ""financial|finance|investing|stocks|retirement|banking|credit|debt|loans|savings|personal finance|insurance|econ|ecom|business|retail|occupation|sale|job|ma"&amp;"rketing""), ""Finance"",
  REGEXMATCH(LOWER(VLOOKUP(A198, Data1_Raw_Slack!A:B, 2, FALSE)), ""auto|automotive""), ""Auto"",
  REGEXMATCH(LOWER(VLOOKUP(A198, Data1_Raw_Slack!A:B, 2, FALSE)), ""parenting|moms|dads|kids|toddlers|baby|parent|children""), ""Par"&amp;"enting"",
  REGEXMATCH(LOWER(VLOOKUP(A198, Data1_Raw_Slack!A:B, 2, FALSE)), ""education|students|learning|school|teachers|college|university|academics""), ""Education"",
  REGEXMATCH(LOWER(VLOOKUP(A198, Data1_Raw_Slack!A:B, 2, FALSE)), ""age|gender|dem"&amp;"ographic|family|household""), ""Demographics"",
  REGEXMATCH(LOWER(VLOOKUP(A198, Data1_Raw_Slack!A:B, 2, FALSE)), ""mortgage|real estate""), ""Real Estate"",REGEXMATCH(LOWER(VLOOKUP(A198, Data1_Raw_Slack!A:B, 2, FALSE)), ""technology|tech|gadgets|smartpho"&amp;"ne|electro|apps|devices|computing|ai|robots|software|computer|internet|tele|mobile|tablet""), ""Technology"", REGEXMATCH(LOWER(VLOOKUP(A198, Data1_Raw_Slack!A:B, 2, FALSE)), ""entertainment|purchas|movies|tv|netflix|streaming|celebrity|movie lovers|tv fan"&amp;"s|media|hobb|photo|art|shop""), ""Entertainment"", REGEXMATCH(LOWER(VLOOKUP(A198, Data1_Raw_Slack!A:B, 2, FALSE)), ""law|government|""), ""Law and Government"",
  TRUE, ""Other""
)"),"Fashion and Beauty")</f>
        <v>Fashion and Beauty</v>
      </c>
      <c r="G198" s="9" t="s">
        <v>105</v>
      </c>
      <c r="H198" s="9" t="s">
        <v>32</v>
      </c>
      <c r="I198" s="9" t="s">
        <v>872</v>
      </c>
      <c r="J198" s="9" t="s">
        <v>34</v>
      </c>
      <c r="K198" s="9" t="s">
        <v>236</v>
      </c>
      <c r="L198" s="9" t="s">
        <v>82</v>
      </c>
      <c r="M198" s="10" t="s">
        <v>58</v>
      </c>
      <c r="N198" s="9" t="str">
        <f ca="1">IFERROR(__xludf.DUMMYFUNCTION("REGEXEXTRACT(LOWER(M198), ""([a-z0-9\-]+)\.(?:co|net|org|io|gg)"")"),"forbes")</f>
        <v>forbes</v>
      </c>
      <c r="O198" s="9" t="s">
        <v>50</v>
      </c>
      <c r="P198" s="9" t="s">
        <v>39</v>
      </c>
      <c r="Q198" s="9">
        <v>18095</v>
      </c>
      <c r="R198" s="9">
        <v>50</v>
      </c>
      <c r="S198" s="9">
        <v>10021</v>
      </c>
      <c r="T198" s="9">
        <v>16755</v>
      </c>
      <c r="U198" s="9">
        <v>24</v>
      </c>
      <c r="V198" s="11">
        <v>6768.7587679999997</v>
      </c>
      <c r="W198" s="12">
        <f t="shared" si="0"/>
        <v>282.03161533333332</v>
      </c>
      <c r="X198" s="12">
        <f t="shared" si="1"/>
        <v>0.27631942525559544</v>
      </c>
      <c r="Y198" s="12">
        <f t="shared" si="2"/>
        <v>55.379939209726444</v>
      </c>
      <c r="Z198" s="12">
        <f t="shared" si="3"/>
        <v>675.4574162259255</v>
      </c>
      <c r="AA198" s="12">
        <f t="shared" si="4"/>
        <v>374.06790649350648</v>
      </c>
      <c r="AB198" s="12">
        <f t="shared" si="5"/>
        <v>135.37517535999999</v>
      </c>
      <c r="AC198" s="12">
        <f t="shared" si="6"/>
        <v>48</v>
      </c>
      <c r="AE198" s="13"/>
      <c r="AF198" s="13"/>
    </row>
    <row r="199" spans="1:32">
      <c r="A199" s="8" t="s">
        <v>873</v>
      </c>
      <c r="B199" s="9" t="s">
        <v>874</v>
      </c>
      <c r="C199" s="9" t="s">
        <v>122</v>
      </c>
      <c r="D199" s="9" t="s">
        <v>875</v>
      </c>
      <c r="E199" s="9" t="s">
        <v>876</v>
      </c>
      <c r="F199" s="9" t="str">
        <f ca="1">IFERROR(__xludf.DUMMYFUNCTION("IFS(
  REGEXMATCH(LOWER(VLOOKUP(A199, Data1_Raw_Slack!A:B, 2, FALSE)), ""news|weather""), ""News and Weather"", REGEXMATCH(LOWER(VLOOKUP(A199, Data1_Raw_Slack!A:B, 2, FALSE)), ""sports|ufc|nba|nfl|mlb|soccer|sports fans""), ""Sports"",
  REGEXMATCH(LOWER("&amp;"VLOOKUP(A199, Data1_Raw_Slack!A:B, 2, FALSE)), ""fashion|style|clothing|apparel|shoes|accessories|beauty|cosmetics|fashionistas""), ""Fashion and Beauty"",
  REGEXMATCH(LOWER(VLOOKUP(A199, Data1_Raw_Slack!A:B, 2, FALSE)), ""food|cooking|recipe|restaurant|"&amp;"snack|grocery|foodies""), ""Food"",
  REGEXMATCH(LOWER(VLOOKUP(A199, Data1_Raw_Slack!A:B, 2, FALSE)), ""travel|vacation|airline|hotel|trip|flights|travelers""), ""Travel"",
  REGEXMATCH(LOWER(VLOOKUP(A199, Data1_Raw_Slack!A:B, 2, FALSE)), ""fitness|workou"&amp;"t|gym|exercise|yoga|wellness|fitness enthusiasts""), ""Fitness"",
  REGEXMATCH(LOWER(VLOOKUP(A199, Data1_Raw_Slack!A:B, 2, FALSE)), ""health|medical|pharmacy|mental health|doctor|health-conscious""), ""Health"",
  REGEXMATCH(LOWER(VLOOKUP(A199, Data1_Raw_"&amp;"Slack!A:B, 2, FALSE)), ""pets|dogs|cats|animals|pet care|pet lovers""), ""Pets"",
  REGEXMATCH(LOWER(VLOOKUP(A199, Data1_Raw_Slack!A:B, 2, FALSE)), ""games|gaming|game|xbox|playstation|nintendo|gamers""), ""Gaming"",
  REGEXMATCH(LOWER(VLOOKUP(A199, Data1"&amp;"_Raw_Slack!A:B, 2, FALSE)), ""entertainment|movies|tv|netflix|streaming|celebrity|movie lovers|tv fans|hobb|photo|art""), ""Entertainment"",
  REGEXMATCH(LOWER(VLOOKUP(A199, Data1_Raw_Slack!A:B, 2, FALSE)), ""lifestyle|home|interior|decor|living|lifestyle"&amp;" enthusiasts""), ""Lifestyle"",
  REGEXMATCH(LOWER(VLOOKUP(A199, Data1_Raw_Slack!A:B, 2, FALSE)), ""financial|finance|investing|stocks|retirement|banking|credit|debt|loans|savings|personal finance|insurance|econ|ecom|business|retail|occupation|sale|job|ma"&amp;"rketing""), ""Finance"",
  REGEXMATCH(LOWER(VLOOKUP(A199, Data1_Raw_Slack!A:B, 2, FALSE)), ""auto|automotive""), ""Auto"",
  REGEXMATCH(LOWER(VLOOKUP(A199, Data1_Raw_Slack!A:B, 2, FALSE)), ""parenting|moms|dads|kids|toddlers|baby|parent|children""), ""Par"&amp;"enting"",
  REGEXMATCH(LOWER(VLOOKUP(A199, Data1_Raw_Slack!A:B, 2, FALSE)), ""education|students|learning|school|teachers|college|university|academics""), ""Education"",
  REGEXMATCH(LOWER(VLOOKUP(A199, Data1_Raw_Slack!A:B, 2, FALSE)), ""age|gender|dem"&amp;"ographic|family|household""), ""Demographics"",
  REGEXMATCH(LOWER(VLOOKUP(A199, Data1_Raw_Slack!A:B, 2, FALSE)), ""mortgage|real estate""), ""Real Estate"",REGEXMATCH(LOWER(VLOOKUP(A199, Data1_Raw_Slack!A:B, 2, FALSE)), ""technology|tech|gadgets|smartpho"&amp;"ne|electro|apps|devices|computing|ai|robots|software|computer|internet|tele|mobile|tablet""), ""Technology"", REGEXMATCH(LOWER(VLOOKUP(A199, Data1_Raw_Slack!A:B, 2, FALSE)), ""entertainment|purchas|movies|tv|netflix|streaming|celebrity|movie lovers|tv fan"&amp;"s|media|hobb|photo|art|shop""), ""Entertainment"", REGEXMATCH(LOWER(VLOOKUP(A199, Data1_Raw_Slack!A:B, 2, FALSE)), ""law|government|""), ""Law and Government"",
  TRUE, ""Other""
)"),"Auto")</f>
        <v>Auto</v>
      </c>
      <c r="G199" s="9" t="s">
        <v>122</v>
      </c>
      <c r="H199" s="9" t="s">
        <v>32</v>
      </c>
      <c r="I199" s="9" t="s">
        <v>877</v>
      </c>
      <c r="J199" s="9" t="s">
        <v>80</v>
      </c>
      <c r="K199" s="9" t="s">
        <v>148</v>
      </c>
      <c r="L199" s="9" t="s">
        <v>89</v>
      </c>
      <c r="M199" s="10" t="s">
        <v>878</v>
      </c>
      <c r="N199" s="9" t="str">
        <f ca="1">IFERROR(__xludf.DUMMYFUNCTION("REGEXEXTRACT(LOWER(M199), ""([a-z0-9\-]+)\.(?:co|net|org|io|gg)"")"),"si")</f>
        <v>si</v>
      </c>
      <c r="O199" s="9" t="s">
        <v>118</v>
      </c>
      <c r="P199" s="9" t="s">
        <v>39</v>
      </c>
      <c r="Q199" s="9">
        <v>11561</v>
      </c>
      <c r="R199" s="9">
        <v>87</v>
      </c>
      <c r="S199" s="9">
        <v>4063</v>
      </c>
      <c r="T199" s="9">
        <v>9941</v>
      </c>
      <c r="U199" s="9">
        <v>5</v>
      </c>
      <c r="V199" s="11">
        <v>1911.931953</v>
      </c>
      <c r="W199" s="12">
        <f t="shared" si="0"/>
        <v>382.38639060000003</v>
      </c>
      <c r="X199" s="12">
        <f t="shared" si="1"/>
        <v>0.75253005795346417</v>
      </c>
      <c r="Y199" s="12">
        <f t="shared" si="2"/>
        <v>35.144018683504882</v>
      </c>
      <c r="Z199" s="12">
        <f t="shared" si="3"/>
        <v>470.57148732463702</v>
      </c>
      <c r="AA199" s="12">
        <f t="shared" si="4"/>
        <v>165.37773142461725</v>
      </c>
      <c r="AB199" s="12">
        <f t="shared" si="5"/>
        <v>21.976229344827587</v>
      </c>
      <c r="AC199" s="12">
        <f t="shared" si="6"/>
        <v>5.7471264367816088</v>
      </c>
      <c r="AE199" s="13"/>
      <c r="AF199" s="13"/>
    </row>
    <row r="200" spans="1:32">
      <c r="A200" s="8" t="s">
        <v>879</v>
      </c>
      <c r="B200" s="9" t="s">
        <v>67</v>
      </c>
      <c r="C200" s="9" t="s">
        <v>151</v>
      </c>
      <c r="D200" s="9" t="s">
        <v>880</v>
      </c>
      <c r="E200" s="9" t="s">
        <v>881</v>
      </c>
      <c r="F200" s="9" t="str">
        <f ca="1">IFERROR(__xludf.DUMMYFUNCTION("IFS(
  REGEXMATCH(LOWER(VLOOKUP(A200, Data1_Raw_Slack!A:B, 2, FALSE)), ""news|weather""), ""News and Weather"", REGEXMATCH(LOWER(VLOOKUP(A200, Data1_Raw_Slack!A:B, 2, FALSE)), ""sports|ufc|nba|nfl|mlb|soccer|sports fans""), ""Sports"",
  REGEXMATCH(LOWER("&amp;"VLOOKUP(A200, Data1_Raw_Slack!A:B, 2, FALSE)), ""fashion|style|clothing|apparel|shoes|accessories|beauty|cosmetics|fashionistas""), ""Fashion and Beauty"",
  REGEXMATCH(LOWER(VLOOKUP(A200, Data1_Raw_Slack!A:B, 2, FALSE)), ""food|cooking|recipe|restaurant|"&amp;"snack|grocery|foodies""), ""Food"",
  REGEXMATCH(LOWER(VLOOKUP(A200, Data1_Raw_Slack!A:B, 2, FALSE)), ""travel|vacation|airline|hotel|trip|flights|travelers""), ""Travel"",
  REGEXMATCH(LOWER(VLOOKUP(A200, Data1_Raw_Slack!A:B, 2, FALSE)), ""fitness|workou"&amp;"t|gym|exercise|yoga|wellness|fitness enthusiasts""), ""Fitness"",
  REGEXMATCH(LOWER(VLOOKUP(A200, Data1_Raw_Slack!A:B, 2, FALSE)), ""health|medical|pharmacy|mental health|doctor|health-conscious""), ""Health"",
  REGEXMATCH(LOWER(VLOOKUP(A200, Data1_Raw_"&amp;"Slack!A:B, 2, FALSE)), ""pets|dogs|cats|animals|pet care|pet lovers""), ""Pets"",
  REGEXMATCH(LOWER(VLOOKUP(A200, Data1_Raw_Slack!A:B, 2, FALSE)), ""games|gaming|game|xbox|playstation|nintendo|gamers""), ""Gaming"",
  REGEXMATCH(LOWER(VLOOKUP(A200, Data1"&amp;"_Raw_Slack!A:B, 2, FALSE)), ""entertainment|movies|tv|netflix|streaming|celebrity|movie lovers|tv fans|hobb|photo|art""), ""Entertainment"",
  REGEXMATCH(LOWER(VLOOKUP(A200, Data1_Raw_Slack!A:B, 2, FALSE)), ""lifestyle|home|interior|decor|living|lifestyle"&amp;" enthusiasts""), ""Lifestyle"",
  REGEXMATCH(LOWER(VLOOKUP(A200, Data1_Raw_Slack!A:B, 2, FALSE)), ""financial|finance|investing|stocks|retirement|banking|credit|debt|loans|savings|personal finance|insurance|econ|ecom|business|retail|occupation|sale|job|ma"&amp;"rketing""), ""Finance"",
  REGEXMATCH(LOWER(VLOOKUP(A200, Data1_Raw_Slack!A:B, 2, FALSE)), ""auto|automotive""), ""Auto"",
  REGEXMATCH(LOWER(VLOOKUP(A200, Data1_Raw_Slack!A:B, 2, FALSE)), ""parenting|moms|dads|kids|toddlers|baby|parent|children""), ""Par"&amp;"enting"",
  REGEXMATCH(LOWER(VLOOKUP(A200, Data1_Raw_Slack!A:B, 2, FALSE)), ""education|students|learning|school|teachers|college|university|academics""), ""Education"",
  REGEXMATCH(LOWER(VLOOKUP(A200, Data1_Raw_Slack!A:B, 2, FALSE)), ""age|gender|dem"&amp;"ographic|family|household""), ""Demographics"",
  REGEXMATCH(LOWER(VLOOKUP(A200, Data1_Raw_Slack!A:B, 2, FALSE)), ""mortgage|real estate""), ""Real Estate"",REGEXMATCH(LOWER(VLOOKUP(A200, Data1_Raw_Slack!A:B, 2, FALSE)), ""technology|tech|gadgets|smartpho"&amp;"ne|electro|apps|devices|computing|ai|robots|software|computer|internet|tele|mobile|tablet""), ""Technology"", REGEXMATCH(LOWER(VLOOKUP(A200, Data1_Raw_Slack!A:B, 2, FALSE)), ""entertainment|purchas|movies|tv|netflix|streaming|celebrity|movie lovers|tv fan"&amp;"s|media|hobb|photo|art|shop""), ""Entertainment"", REGEXMATCH(LOWER(VLOOKUP(A200, Data1_Raw_Slack!A:B, 2, FALSE)), ""law|government|""), ""Law and Government"",
  TRUE, ""Other""
)"),"Sports")</f>
        <v>Sports</v>
      </c>
      <c r="G200" s="9" t="s">
        <v>154</v>
      </c>
      <c r="H200" s="9" t="s">
        <v>32</v>
      </c>
      <c r="I200" s="9" t="s">
        <v>882</v>
      </c>
      <c r="J200" s="9" t="s">
        <v>46</v>
      </c>
      <c r="K200" s="9" t="s">
        <v>405</v>
      </c>
      <c r="L200" s="9" t="s">
        <v>72</v>
      </c>
      <c r="M200" s="10" t="s">
        <v>511</v>
      </c>
      <c r="N200" s="9" t="str">
        <f ca="1">IFERROR(__xludf.DUMMYFUNCTION("REGEXEXTRACT(LOWER(M200), ""([a-z0-9\-]+)\.(?:co|net|org|io|gg)"")"),"yahoo")</f>
        <v>yahoo</v>
      </c>
      <c r="O200" s="9" t="s">
        <v>103</v>
      </c>
      <c r="P200" s="9" t="s">
        <v>39</v>
      </c>
      <c r="Q200" s="9">
        <v>10992</v>
      </c>
      <c r="R200" s="9">
        <v>97</v>
      </c>
      <c r="S200" s="9">
        <v>6677</v>
      </c>
      <c r="T200" s="9">
        <v>10132</v>
      </c>
      <c r="U200" s="9">
        <v>3</v>
      </c>
      <c r="V200" s="11">
        <v>1675.987427</v>
      </c>
      <c r="W200" s="12">
        <f t="shared" si="0"/>
        <v>558.66247566666664</v>
      </c>
      <c r="X200" s="12">
        <f t="shared" si="1"/>
        <v>0.8824599708879185</v>
      </c>
      <c r="Y200" s="12">
        <f t="shared" si="2"/>
        <v>60.744177583697237</v>
      </c>
      <c r="Z200" s="12">
        <f t="shared" si="3"/>
        <v>251.0090500224652</v>
      </c>
      <c r="AA200" s="12">
        <f t="shared" si="4"/>
        <v>152.47338309679768</v>
      </c>
      <c r="AB200" s="12">
        <f t="shared" si="5"/>
        <v>17.278220896907218</v>
      </c>
      <c r="AC200" s="12">
        <f t="shared" si="6"/>
        <v>3.0927835051546393</v>
      </c>
      <c r="AE200" s="13"/>
      <c r="AF200" s="13"/>
    </row>
    <row r="201" spans="1:32">
      <c r="A201" s="8" t="s">
        <v>883</v>
      </c>
      <c r="B201" s="9" t="s">
        <v>66</v>
      </c>
      <c r="C201" s="9" t="s">
        <v>67</v>
      </c>
      <c r="D201" s="9" t="s">
        <v>884</v>
      </c>
      <c r="E201" s="9"/>
      <c r="F201" s="9" t="str">
        <f ca="1">IFERROR(__xludf.DUMMYFUNCTION("IFS(
  REGEXMATCH(LOWER(VLOOKUP(A201, Data1_Raw_Slack!A:B, 2, FALSE)), ""news|weather""), ""News and Weather"", REGEXMATCH(LOWER(VLOOKUP(A201, Data1_Raw_Slack!A:B, 2, FALSE)), ""sports|ufc|nba|nfl|mlb|soccer|sports fans""), ""Sports"",
  REGEXMATCH(LOWER("&amp;"VLOOKUP(A201, Data1_Raw_Slack!A:B, 2, FALSE)), ""fashion|style|clothing|apparel|shoes|accessories|beauty|cosmetics|fashionistas""), ""Fashion and Beauty"",
  REGEXMATCH(LOWER(VLOOKUP(A201, Data1_Raw_Slack!A:B, 2, FALSE)), ""food|cooking|recipe|restaurant|"&amp;"snack|grocery|foodies""), ""Food"",
  REGEXMATCH(LOWER(VLOOKUP(A201, Data1_Raw_Slack!A:B, 2, FALSE)), ""travel|vacation|airline|hotel|trip|flights|travelers""), ""Travel"",
  REGEXMATCH(LOWER(VLOOKUP(A201, Data1_Raw_Slack!A:B, 2, FALSE)), ""fitness|workou"&amp;"t|gym|exercise|yoga|wellness|fitness enthusiasts""), ""Fitness"",
  REGEXMATCH(LOWER(VLOOKUP(A201, Data1_Raw_Slack!A:B, 2, FALSE)), ""health|medical|pharmacy|mental health|doctor|health-conscious""), ""Health"",
  REGEXMATCH(LOWER(VLOOKUP(A201, Data1_Raw_"&amp;"Slack!A:B, 2, FALSE)), ""pets|dogs|cats|animals|pet care|pet lovers""), ""Pets"",
  REGEXMATCH(LOWER(VLOOKUP(A201, Data1_Raw_Slack!A:B, 2, FALSE)), ""games|gaming|game|xbox|playstation|nintendo|gamers""), ""Gaming"",
  REGEXMATCH(LOWER(VLOOKUP(A201, Data1"&amp;"_Raw_Slack!A:B, 2, FALSE)), ""entertainment|movies|tv|netflix|streaming|celebrity|movie lovers|tv fans|hobb|photo|art""), ""Entertainment"",
  REGEXMATCH(LOWER(VLOOKUP(A201, Data1_Raw_Slack!A:B, 2, FALSE)), ""lifestyle|home|interior|decor|living|lifestyle"&amp;" enthusiasts""), ""Lifestyle"",
  REGEXMATCH(LOWER(VLOOKUP(A201, Data1_Raw_Slack!A:B, 2, FALSE)), ""financial|finance|investing|stocks|retirement|banking|credit|debt|loans|savings|personal finance|insurance|econ|ecom|business|retail|occupation|sale|job|ma"&amp;"rketing""), ""Finance"",
  REGEXMATCH(LOWER(VLOOKUP(A201, Data1_Raw_Slack!A:B, 2, FALSE)), ""auto|automotive""), ""Auto"",
  REGEXMATCH(LOWER(VLOOKUP(A201, Data1_Raw_Slack!A:B, 2, FALSE)), ""parenting|moms|dads|kids|toddlers|baby|parent|children""), ""Par"&amp;"enting"",
  REGEXMATCH(LOWER(VLOOKUP(A201, Data1_Raw_Slack!A:B, 2, FALSE)), ""education|students|learning|school|teachers|college|university|academics""), ""Education"",
  REGEXMATCH(LOWER(VLOOKUP(A201, Data1_Raw_Slack!A:B, 2, FALSE)), ""age|gender|dem"&amp;"ographic|family|household""), ""Demographics"",
  REGEXMATCH(LOWER(VLOOKUP(A201, Data1_Raw_Slack!A:B, 2, FALSE)), ""mortgage|real estate""), ""Real Estate"",REGEXMATCH(LOWER(VLOOKUP(A201, Data1_Raw_Slack!A:B, 2, FALSE)), ""technology|tech|gadgets|smartpho"&amp;"ne|electro|apps|devices|computing|ai|robots|software|computer|internet|tele|mobile|tablet""), ""Technology"", REGEXMATCH(LOWER(VLOOKUP(A201, Data1_Raw_Slack!A:B, 2, FALSE)), ""entertainment|purchas|movies|tv|netflix|streaming|celebrity|movie lovers|tv fan"&amp;"s|media|hobb|photo|art|shop""), ""Entertainment"", REGEXMATCH(LOWER(VLOOKUP(A201, Data1_Raw_Slack!A:B, 2, FALSE)), ""law|government|""), ""Law and Government"",
  TRUE, ""Other""
)"),"Entertainment")</f>
        <v>Entertainment</v>
      </c>
      <c r="G201" s="9" t="s">
        <v>69</v>
      </c>
      <c r="H201" s="9" t="s">
        <v>32</v>
      </c>
      <c r="I201" s="9" t="s">
        <v>885</v>
      </c>
      <c r="J201" s="9" t="s">
        <v>46</v>
      </c>
      <c r="K201" s="9" t="s">
        <v>88</v>
      </c>
      <c r="L201" s="9" t="s">
        <v>89</v>
      </c>
      <c r="M201" s="10" t="s">
        <v>49</v>
      </c>
      <c r="N201" s="9" t="str">
        <f ca="1">IFERROR(__xludf.DUMMYFUNCTION("REGEXEXTRACT(LOWER(M201), ""([a-z0-9\-]+)\.(?:co|net|org|io|gg)"")"),"yahoo")</f>
        <v>yahoo</v>
      </c>
      <c r="O201" s="9" t="s">
        <v>50</v>
      </c>
      <c r="P201" s="9" t="s">
        <v>39</v>
      </c>
      <c r="Q201" s="9">
        <v>780475</v>
      </c>
      <c r="R201" s="9">
        <v>2186</v>
      </c>
      <c r="S201" s="9">
        <v>453974</v>
      </c>
      <c r="T201" s="9">
        <v>691696</v>
      </c>
      <c r="U201" s="9">
        <v>11</v>
      </c>
      <c r="V201" s="11">
        <v>1726.2494569999999</v>
      </c>
      <c r="W201" s="12">
        <f t="shared" si="0"/>
        <v>156.93176881818181</v>
      </c>
      <c r="X201" s="12">
        <f t="shared" si="1"/>
        <v>0.28008584515839713</v>
      </c>
      <c r="Y201" s="12">
        <f t="shared" si="2"/>
        <v>58.166373042057714</v>
      </c>
      <c r="Z201" s="12">
        <f t="shared" si="3"/>
        <v>3.8025293452929021</v>
      </c>
      <c r="AA201" s="12">
        <f t="shared" si="4"/>
        <v>2.2117934040167846</v>
      </c>
      <c r="AB201" s="12">
        <f t="shared" si="5"/>
        <v>0.7896841065873742</v>
      </c>
      <c r="AC201" s="12">
        <f t="shared" si="6"/>
        <v>0.5032021957913998</v>
      </c>
      <c r="AE201" s="13"/>
      <c r="AF201" s="13"/>
    </row>
    <row r="202" spans="1:32">
      <c r="A202" s="8" t="s">
        <v>886</v>
      </c>
      <c r="B202" s="9" t="s">
        <v>41</v>
      </c>
      <c r="C202" s="9" t="s">
        <v>120</v>
      </c>
      <c r="D202" s="9" t="s">
        <v>887</v>
      </c>
      <c r="E202" s="9"/>
      <c r="F202" s="9" t="str">
        <f ca="1">IFERROR(__xludf.DUMMYFUNCTION("IFS(
  REGEXMATCH(LOWER(VLOOKUP(A202, Data1_Raw_Slack!A:B, 2, FALSE)), ""news|weather""), ""News and Weather"", REGEXMATCH(LOWER(VLOOKUP(A202, Data1_Raw_Slack!A:B, 2, FALSE)), ""sports|ufc|nba|nfl|mlb|soccer|sports fans""), ""Sports"",
  REGEXMATCH(LOWER("&amp;"VLOOKUP(A202, Data1_Raw_Slack!A:B, 2, FALSE)), ""fashion|style|clothing|apparel|shoes|accessories|beauty|cosmetics|fashionistas""), ""Fashion and Beauty"",
  REGEXMATCH(LOWER(VLOOKUP(A202, Data1_Raw_Slack!A:B, 2, FALSE)), ""food|cooking|recipe|restaurant|"&amp;"snack|grocery|foodies""), ""Food"",
  REGEXMATCH(LOWER(VLOOKUP(A202, Data1_Raw_Slack!A:B, 2, FALSE)), ""travel|vacation|airline|hotel|trip|flights|travelers""), ""Travel"",
  REGEXMATCH(LOWER(VLOOKUP(A202, Data1_Raw_Slack!A:B, 2, FALSE)), ""fitness|workou"&amp;"t|gym|exercise|yoga|wellness|fitness enthusiasts""), ""Fitness"",
  REGEXMATCH(LOWER(VLOOKUP(A202, Data1_Raw_Slack!A:B, 2, FALSE)), ""health|medical|pharmacy|mental health|doctor|health-conscious""), ""Health"",
  REGEXMATCH(LOWER(VLOOKUP(A202, Data1_Raw_"&amp;"Slack!A:B, 2, FALSE)), ""pets|dogs|cats|animals|pet care|pet lovers""), ""Pets"",
  REGEXMATCH(LOWER(VLOOKUP(A202, Data1_Raw_Slack!A:B, 2, FALSE)), ""games|gaming|game|xbox|playstation|nintendo|gamers""), ""Gaming"",
  REGEXMATCH(LOWER(VLOOKUP(A202, Data1"&amp;"_Raw_Slack!A:B, 2, FALSE)), ""entertainment|movies|tv|netflix|streaming|celebrity|movie lovers|tv fans|hobb|photo|art""), ""Entertainment"",
  REGEXMATCH(LOWER(VLOOKUP(A202, Data1_Raw_Slack!A:B, 2, FALSE)), ""lifestyle|home|interior|decor|living|lifestyle"&amp;" enthusiasts""), ""Lifestyle"",
  REGEXMATCH(LOWER(VLOOKUP(A202, Data1_Raw_Slack!A:B, 2, FALSE)), ""financial|finance|investing|stocks|retirement|banking|credit|debt|loans|savings|personal finance|insurance|econ|ecom|business|retail|occupation|sale|job|ma"&amp;"rketing""), ""Finance"",
  REGEXMATCH(LOWER(VLOOKUP(A202, Data1_Raw_Slack!A:B, 2, FALSE)), ""auto|automotive""), ""Auto"",
  REGEXMATCH(LOWER(VLOOKUP(A202, Data1_Raw_Slack!A:B, 2, FALSE)), ""parenting|moms|dads|kids|toddlers|baby|parent|children""), ""Par"&amp;"enting"",
  REGEXMATCH(LOWER(VLOOKUP(A202, Data1_Raw_Slack!A:B, 2, FALSE)), ""education|students|learning|school|teachers|college|university|academics""), ""Education"",
  REGEXMATCH(LOWER(VLOOKUP(A202, Data1_Raw_Slack!A:B, 2, FALSE)), ""age|gender|dem"&amp;"ographic|family|household""), ""Demographics"",
  REGEXMATCH(LOWER(VLOOKUP(A202, Data1_Raw_Slack!A:B, 2, FALSE)), ""mortgage|real estate""), ""Real Estate"",REGEXMATCH(LOWER(VLOOKUP(A202, Data1_Raw_Slack!A:B, 2, FALSE)), ""technology|tech|gadgets|smartpho"&amp;"ne|electro|apps|devices|computing|ai|robots|software|computer|internet|tele|mobile|tablet""), ""Technology"", REGEXMATCH(LOWER(VLOOKUP(A202, Data1_Raw_Slack!A:B, 2, FALSE)), ""entertainment|purchas|movies|tv|netflix|streaming|celebrity|movie lovers|tv fan"&amp;"s|media|hobb|photo|art|shop""), ""Entertainment"", REGEXMATCH(LOWER(VLOOKUP(A202, Data1_Raw_Slack!A:B, 2, FALSE)), ""law|government|""), ""Law and Government"",
  TRUE, ""Other""
)"),"Auto")</f>
        <v>Auto</v>
      </c>
      <c r="G202" s="9" t="s">
        <v>122</v>
      </c>
      <c r="H202" s="9" t="s">
        <v>32</v>
      </c>
      <c r="I202" s="9" t="s">
        <v>731</v>
      </c>
      <c r="J202" s="9" t="s">
        <v>62</v>
      </c>
      <c r="K202" s="9" t="s">
        <v>438</v>
      </c>
      <c r="L202" s="9" t="s">
        <v>82</v>
      </c>
      <c r="M202" s="10" t="s">
        <v>888</v>
      </c>
      <c r="N202" s="9" t="str">
        <f ca="1">IFERROR(__xludf.DUMMYFUNCTION("REGEXEXTRACT(LOWER(M202), ""([a-z0-9\-]+)\.(?:co|net|org|io|gg)"")"),"microsoftcasualgames")</f>
        <v>microsoftcasualgames</v>
      </c>
      <c r="O202" s="9" t="s">
        <v>74</v>
      </c>
      <c r="P202" s="9" t="s">
        <v>39</v>
      </c>
      <c r="Q202" s="9">
        <v>90463</v>
      </c>
      <c r="R202" s="9">
        <v>204</v>
      </c>
      <c r="S202" s="9">
        <v>803</v>
      </c>
      <c r="T202" s="9">
        <v>2465</v>
      </c>
      <c r="U202" s="9">
        <v>9</v>
      </c>
      <c r="V202" s="11">
        <v>6120.6025140000002</v>
      </c>
      <c r="W202" s="12">
        <f t="shared" si="0"/>
        <v>680.06694600000003</v>
      </c>
      <c r="X202" s="12">
        <f t="shared" si="1"/>
        <v>0.22550656069332212</v>
      </c>
      <c r="Y202" s="12">
        <f t="shared" si="2"/>
        <v>0.88765572665067494</v>
      </c>
      <c r="Z202" s="12">
        <f t="shared" si="3"/>
        <v>7622.1700049813198</v>
      </c>
      <c r="AA202" s="12">
        <f t="shared" si="4"/>
        <v>67.658628544266719</v>
      </c>
      <c r="AB202" s="12">
        <f t="shared" si="5"/>
        <v>30.0029535</v>
      </c>
      <c r="AC202" s="12">
        <f t="shared" si="6"/>
        <v>4.4117647058823533</v>
      </c>
      <c r="AE202" s="13"/>
      <c r="AF202" s="13"/>
    </row>
    <row r="203" spans="1:32">
      <c r="A203" s="8" t="s">
        <v>889</v>
      </c>
      <c r="B203" s="9" t="s">
        <v>41</v>
      </c>
      <c r="C203" s="9" t="s">
        <v>42</v>
      </c>
      <c r="D203" s="9" t="s">
        <v>890</v>
      </c>
      <c r="E203" s="9"/>
      <c r="F203" s="9" t="str">
        <f ca="1">IFERROR(__xludf.DUMMYFUNCTION("IFS(
  REGEXMATCH(LOWER(VLOOKUP(A203, Data1_Raw_Slack!A:B, 2, FALSE)), ""news|weather""), ""News and Weather"", REGEXMATCH(LOWER(VLOOKUP(A203, Data1_Raw_Slack!A:B, 2, FALSE)), ""sports|ufc|nba|nfl|mlb|soccer|sports fans""), ""Sports"",
  REGEXMATCH(LOWER("&amp;"VLOOKUP(A203, Data1_Raw_Slack!A:B, 2, FALSE)), ""fashion|style|clothing|apparel|shoes|accessories|beauty|cosmetics|fashionistas""), ""Fashion and Beauty"",
  REGEXMATCH(LOWER(VLOOKUP(A203, Data1_Raw_Slack!A:B, 2, FALSE)), ""food|cooking|recipe|restaurant|"&amp;"snack|grocery|foodies""), ""Food"",
  REGEXMATCH(LOWER(VLOOKUP(A203, Data1_Raw_Slack!A:B, 2, FALSE)), ""travel|vacation|airline|hotel|trip|flights|travelers""), ""Travel"",
  REGEXMATCH(LOWER(VLOOKUP(A203, Data1_Raw_Slack!A:B, 2, FALSE)), ""fitness|workou"&amp;"t|gym|exercise|yoga|wellness|fitness enthusiasts""), ""Fitness"",
  REGEXMATCH(LOWER(VLOOKUP(A203, Data1_Raw_Slack!A:B, 2, FALSE)), ""health|medical|pharmacy|mental health|doctor|health-conscious""), ""Health"",
  REGEXMATCH(LOWER(VLOOKUP(A203, Data1_Raw_"&amp;"Slack!A:B, 2, FALSE)), ""pets|dogs|cats|animals|pet care|pet lovers""), ""Pets"",
  REGEXMATCH(LOWER(VLOOKUP(A203, Data1_Raw_Slack!A:B, 2, FALSE)), ""games|gaming|game|xbox|playstation|nintendo|gamers""), ""Gaming"",
  REGEXMATCH(LOWER(VLOOKUP(A203, Data1"&amp;"_Raw_Slack!A:B, 2, FALSE)), ""entertainment|movies|tv|netflix|streaming|celebrity|movie lovers|tv fans|hobb|photo|art""), ""Entertainment"",
  REGEXMATCH(LOWER(VLOOKUP(A203, Data1_Raw_Slack!A:B, 2, FALSE)), ""lifestyle|home|interior|decor|living|lifestyle"&amp;" enthusiasts""), ""Lifestyle"",
  REGEXMATCH(LOWER(VLOOKUP(A203, Data1_Raw_Slack!A:B, 2, FALSE)), ""financial|finance|investing|stocks|retirement|banking|credit|debt|loans|savings|personal finance|insurance|econ|ecom|business|retail|occupation|sale|job|ma"&amp;"rketing""), ""Finance"",
  REGEXMATCH(LOWER(VLOOKUP(A203, Data1_Raw_Slack!A:B, 2, FALSE)), ""auto|automotive""), ""Auto"",
  REGEXMATCH(LOWER(VLOOKUP(A203, Data1_Raw_Slack!A:B, 2, FALSE)), ""parenting|moms|dads|kids|toddlers|baby|parent|children""), ""Par"&amp;"enting"",
  REGEXMATCH(LOWER(VLOOKUP(A203, Data1_Raw_Slack!A:B, 2, FALSE)), ""education|students|learning|school|teachers|college|university|academics""), ""Education"",
  REGEXMATCH(LOWER(VLOOKUP(A203, Data1_Raw_Slack!A:B, 2, FALSE)), ""age|gender|dem"&amp;"ographic|family|household""), ""Demographics"",
  REGEXMATCH(LOWER(VLOOKUP(A203, Data1_Raw_Slack!A:B, 2, FALSE)), ""mortgage|real estate""), ""Real Estate"",REGEXMATCH(LOWER(VLOOKUP(A203, Data1_Raw_Slack!A:B, 2, FALSE)), ""technology|tech|gadgets|smartpho"&amp;"ne|electro|apps|devices|computing|ai|robots|software|computer|internet|tele|mobile|tablet""), ""Technology"", REGEXMATCH(LOWER(VLOOKUP(A203, Data1_Raw_Slack!A:B, 2, FALSE)), ""entertainment|purchas|movies|tv|netflix|streaming|celebrity|movie lovers|tv fan"&amp;"s|media|hobb|photo|art|shop""), ""Entertainment"", REGEXMATCH(LOWER(VLOOKUP(A203, Data1_Raw_Slack!A:B, 2, FALSE)), ""law|government|""), ""Law and Government"",
  TRUE, ""Other""
)"),"Law and Government")</f>
        <v>Law and Government</v>
      </c>
      <c r="G203" s="9"/>
      <c r="H203" s="9" t="s">
        <v>44</v>
      </c>
      <c r="I203" s="9" t="s">
        <v>457</v>
      </c>
      <c r="J203" s="9" t="s">
        <v>80</v>
      </c>
      <c r="K203" s="9" t="s">
        <v>35</v>
      </c>
      <c r="L203" s="9" t="s">
        <v>36</v>
      </c>
      <c r="M203" s="10" t="s">
        <v>207</v>
      </c>
      <c r="N203" s="9" t="str">
        <f ca="1">IFERROR(__xludf.DUMMYFUNCTION("REGEXEXTRACT(LOWER(M203), ""([a-z0-9\-]+)\.(?:co|net|org|io|gg)"")"),"realtor")</f>
        <v>realtor</v>
      </c>
      <c r="O203" s="9" t="s">
        <v>50</v>
      </c>
      <c r="P203" s="9" t="s">
        <v>39</v>
      </c>
      <c r="Q203" s="9">
        <v>224877</v>
      </c>
      <c r="R203" s="9">
        <v>805</v>
      </c>
      <c r="S203" s="9">
        <v>121175</v>
      </c>
      <c r="T203" s="9">
        <v>213280</v>
      </c>
      <c r="U203" s="9">
        <v>11</v>
      </c>
      <c r="V203" s="11">
        <v>7360.9929689999999</v>
      </c>
      <c r="W203" s="12">
        <f t="shared" si="0"/>
        <v>669.18117900000004</v>
      </c>
      <c r="X203" s="12">
        <f t="shared" si="1"/>
        <v>0.35797346994134571</v>
      </c>
      <c r="Y203" s="12">
        <f t="shared" si="2"/>
        <v>53.885012695829268</v>
      </c>
      <c r="Z203" s="12">
        <f t="shared" si="3"/>
        <v>60.74679570043326</v>
      </c>
      <c r="AA203" s="12">
        <f t="shared" si="4"/>
        <v>32.733418575487939</v>
      </c>
      <c r="AB203" s="12">
        <f t="shared" si="5"/>
        <v>9.1440906447204959</v>
      </c>
      <c r="AC203" s="12">
        <f t="shared" si="6"/>
        <v>1.3664596273291925</v>
      </c>
      <c r="AE203" s="13"/>
      <c r="AF203" s="13"/>
    </row>
    <row r="204" spans="1:32">
      <c r="A204" s="8" t="s">
        <v>891</v>
      </c>
      <c r="B204" s="9" t="s">
        <v>66</v>
      </c>
      <c r="C204" s="9" t="s">
        <v>892</v>
      </c>
      <c r="D204" s="9" t="s">
        <v>893</v>
      </c>
      <c r="E204" s="9"/>
      <c r="F204" s="9" t="str">
        <f ca="1">IFERROR(__xludf.DUMMYFUNCTION("IFS(
  REGEXMATCH(LOWER(VLOOKUP(A204, Data1_Raw_Slack!A:B, 2, FALSE)), ""news|weather""), ""News and Weather"", REGEXMATCH(LOWER(VLOOKUP(A204, Data1_Raw_Slack!A:B, 2, FALSE)), ""sports|ufc|nba|nfl|mlb|soccer|sports fans""), ""Sports"",
  REGEXMATCH(LOWER("&amp;"VLOOKUP(A204, Data1_Raw_Slack!A:B, 2, FALSE)), ""fashion|style|clothing|apparel|shoes|accessories|beauty|cosmetics|fashionistas""), ""Fashion and Beauty"",
  REGEXMATCH(LOWER(VLOOKUP(A204, Data1_Raw_Slack!A:B, 2, FALSE)), ""food|cooking|recipe|restaurant|"&amp;"snack|grocery|foodies""), ""Food"",
  REGEXMATCH(LOWER(VLOOKUP(A204, Data1_Raw_Slack!A:B, 2, FALSE)), ""travel|vacation|airline|hotel|trip|flights|travelers""), ""Travel"",
  REGEXMATCH(LOWER(VLOOKUP(A204, Data1_Raw_Slack!A:B, 2, FALSE)), ""fitness|workou"&amp;"t|gym|exercise|yoga|wellness|fitness enthusiasts""), ""Fitness"",
  REGEXMATCH(LOWER(VLOOKUP(A204, Data1_Raw_Slack!A:B, 2, FALSE)), ""health|medical|pharmacy|mental health|doctor|health-conscious""), ""Health"",
  REGEXMATCH(LOWER(VLOOKUP(A204, Data1_Raw_"&amp;"Slack!A:B, 2, FALSE)), ""pets|dogs|cats|animals|pet care|pet lovers""), ""Pets"",
  REGEXMATCH(LOWER(VLOOKUP(A204, Data1_Raw_Slack!A:B, 2, FALSE)), ""games|gaming|game|xbox|playstation|nintendo|gamers""), ""Gaming"",
  REGEXMATCH(LOWER(VLOOKUP(A204, Data1"&amp;"_Raw_Slack!A:B, 2, FALSE)), ""entertainment|movies|tv|netflix|streaming|celebrity|movie lovers|tv fans|hobb|photo|art""), ""Entertainment"",
  REGEXMATCH(LOWER(VLOOKUP(A204, Data1_Raw_Slack!A:B, 2, FALSE)), ""lifestyle|home|interior|decor|living|lifestyle"&amp;" enthusiasts""), ""Lifestyle"",
  REGEXMATCH(LOWER(VLOOKUP(A204, Data1_Raw_Slack!A:B, 2, FALSE)), ""financial|finance|investing|stocks|retirement|banking|credit|debt|loans|savings|personal finance|insurance|econ|ecom|business|retail|occupation|sale|job|ma"&amp;"rketing""), ""Finance"",
  REGEXMATCH(LOWER(VLOOKUP(A204, Data1_Raw_Slack!A:B, 2, FALSE)), ""auto|automotive""), ""Auto"",
  REGEXMATCH(LOWER(VLOOKUP(A204, Data1_Raw_Slack!A:B, 2, FALSE)), ""parenting|moms|dads|kids|toddlers|baby|parent|children""), ""Par"&amp;"enting"",
  REGEXMATCH(LOWER(VLOOKUP(A204, Data1_Raw_Slack!A:B, 2, FALSE)), ""education|students|learning|school|teachers|college|university|academics""), ""Education"",
  REGEXMATCH(LOWER(VLOOKUP(A204, Data1_Raw_Slack!A:B, 2, FALSE)), ""age|gender|dem"&amp;"ographic|family|household""), ""Demographics"",
  REGEXMATCH(LOWER(VLOOKUP(A204, Data1_Raw_Slack!A:B, 2, FALSE)), ""mortgage|real estate""), ""Real Estate"",REGEXMATCH(LOWER(VLOOKUP(A204, Data1_Raw_Slack!A:B, 2, FALSE)), ""technology|tech|gadgets|smartpho"&amp;"ne|electro|apps|devices|computing|ai|robots|software|computer|internet|tele|mobile|tablet""), ""Technology"", REGEXMATCH(LOWER(VLOOKUP(A204, Data1_Raw_Slack!A:B, 2, FALSE)), ""entertainment|purchas|movies|tv|netflix|streaming|celebrity|movie lovers|tv fan"&amp;"s|media|hobb|photo|art|shop""), ""Entertainment"", REGEXMATCH(LOWER(VLOOKUP(A204, Data1_Raw_Slack!A:B, 2, FALSE)), ""law|government|""), ""Law and Government"",
  TRUE, ""Other""
)"),"Finance")</f>
        <v>Finance</v>
      </c>
      <c r="G204" s="9" t="s">
        <v>135</v>
      </c>
      <c r="H204" s="9" t="s">
        <v>32</v>
      </c>
      <c r="I204" s="9" t="s">
        <v>894</v>
      </c>
      <c r="J204" s="9" t="s">
        <v>46</v>
      </c>
      <c r="K204" s="9" t="s">
        <v>895</v>
      </c>
      <c r="L204" s="9" t="s">
        <v>265</v>
      </c>
      <c r="M204" s="10" t="s">
        <v>896</v>
      </c>
      <c r="N204" s="9" t="str">
        <f ca="1">IFERROR(__xludf.DUMMYFUNCTION("REGEXEXTRACT(LOWER(M204), ""([a-z0-9\-]+)\.(?:co|net|org|io|gg)"")"),"merriam-webster")</f>
        <v>merriam-webster</v>
      </c>
      <c r="O204" s="9" t="s">
        <v>725</v>
      </c>
      <c r="P204" s="9" t="s">
        <v>39</v>
      </c>
      <c r="Q204" s="9">
        <v>12148</v>
      </c>
      <c r="R204" s="9">
        <v>40</v>
      </c>
      <c r="S204" s="9">
        <v>7950</v>
      </c>
      <c r="T204" s="9">
        <v>11360</v>
      </c>
      <c r="U204" s="9">
        <v>9</v>
      </c>
      <c r="V204" s="11">
        <v>1936.008049</v>
      </c>
      <c r="W204" s="12">
        <f t="shared" si="0"/>
        <v>215.11200544444443</v>
      </c>
      <c r="X204" s="12">
        <f t="shared" si="1"/>
        <v>0.32927230819888048</v>
      </c>
      <c r="Y204" s="12">
        <f t="shared" si="2"/>
        <v>65.442871254527489</v>
      </c>
      <c r="Z204" s="12">
        <f t="shared" si="3"/>
        <v>243.52302503144654</v>
      </c>
      <c r="AA204" s="12">
        <f t="shared" si="4"/>
        <v>159.36845974646033</v>
      </c>
      <c r="AB204" s="12">
        <f t="shared" si="5"/>
        <v>48.400201225000004</v>
      </c>
      <c r="AC204" s="12">
        <f t="shared" si="6"/>
        <v>22.5</v>
      </c>
      <c r="AE204" s="13"/>
      <c r="AF204" s="13"/>
    </row>
    <row r="205" spans="1:32">
      <c r="A205" s="8" t="s">
        <v>897</v>
      </c>
      <c r="B205" s="9" t="s">
        <v>768</v>
      </c>
      <c r="C205" s="9" t="s">
        <v>769</v>
      </c>
      <c r="D205" s="9" t="s">
        <v>770</v>
      </c>
      <c r="E205" s="9" t="s">
        <v>898</v>
      </c>
      <c r="F205" s="9" t="str">
        <f ca="1">IFERROR(__xludf.DUMMYFUNCTION("IFS(
  REGEXMATCH(LOWER(VLOOKUP(A205, Data1_Raw_Slack!A:B, 2, FALSE)), ""news|weather""), ""News and Weather"", REGEXMATCH(LOWER(VLOOKUP(A205, Data1_Raw_Slack!A:B, 2, FALSE)), ""sports|ufc|nba|nfl|mlb|soccer|sports fans""), ""Sports"",
  REGEXMATCH(LOWER("&amp;"VLOOKUP(A205, Data1_Raw_Slack!A:B, 2, FALSE)), ""fashion|style|clothing|apparel|shoes|accessories|beauty|cosmetics|fashionistas""), ""Fashion and Beauty"",
  REGEXMATCH(LOWER(VLOOKUP(A205, Data1_Raw_Slack!A:B, 2, FALSE)), ""food|cooking|recipe|restaurant|"&amp;"snack|grocery|foodies""), ""Food"",
  REGEXMATCH(LOWER(VLOOKUP(A205, Data1_Raw_Slack!A:B, 2, FALSE)), ""travel|vacation|airline|hotel|trip|flights|travelers""), ""Travel"",
  REGEXMATCH(LOWER(VLOOKUP(A205, Data1_Raw_Slack!A:B, 2, FALSE)), ""fitness|workou"&amp;"t|gym|exercise|yoga|wellness|fitness enthusiasts""), ""Fitness"",
  REGEXMATCH(LOWER(VLOOKUP(A205, Data1_Raw_Slack!A:B, 2, FALSE)), ""health|medical|pharmacy|mental health|doctor|health-conscious""), ""Health"",
  REGEXMATCH(LOWER(VLOOKUP(A205, Data1_Raw_"&amp;"Slack!A:B, 2, FALSE)), ""pets|dogs|cats|animals|pet care|pet lovers""), ""Pets"",
  REGEXMATCH(LOWER(VLOOKUP(A205, Data1_Raw_Slack!A:B, 2, FALSE)), ""games|gaming|game|xbox|playstation|nintendo|gamers""), ""Gaming"",
  REGEXMATCH(LOWER(VLOOKUP(A205, Data1"&amp;"_Raw_Slack!A:B, 2, FALSE)), ""entertainment|movies|tv|netflix|streaming|celebrity|movie lovers|tv fans|hobb|photo|art""), ""Entertainment"",
  REGEXMATCH(LOWER(VLOOKUP(A205, Data1_Raw_Slack!A:B, 2, FALSE)), ""lifestyle|home|interior|decor|living|lifestyle"&amp;" enthusiasts""), ""Lifestyle"",
  REGEXMATCH(LOWER(VLOOKUP(A205, Data1_Raw_Slack!A:B, 2, FALSE)), ""financial|finance|investing|stocks|retirement|banking|credit|debt|loans|savings|personal finance|insurance|econ|ecom|business|retail|occupation|sale|job|ma"&amp;"rketing""), ""Finance"",
  REGEXMATCH(LOWER(VLOOKUP(A205, Data1_Raw_Slack!A:B, 2, FALSE)), ""auto|automotive""), ""Auto"",
  REGEXMATCH(LOWER(VLOOKUP(A205, Data1_Raw_Slack!A:B, 2, FALSE)), ""parenting|moms|dads|kids|toddlers|baby|parent|children""), ""Par"&amp;"enting"",
  REGEXMATCH(LOWER(VLOOKUP(A205, Data1_Raw_Slack!A:B, 2, FALSE)), ""education|students|learning|school|teachers|college|university|academics""), ""Education"",
  REGEXMATCH(LOWER(VLOOKUP(A205, Data1_Raw_Slack!A:B, 2, FALSE)), ""age|gender|dem"&amp;"ographic|family|household""), ""Demographics"",
  REGEXMATCH(LOWER(VLOOKUP(A205, Data1_Raw_Slack!A:B, 2, FALSE)), ""mortgage|real estate""), ""Real Estate"",REGEXMATCH(LOWER(VLOOKUP(A205, Data1_Raw_Slack!A:B, 2, FALSE)), ""technology|tech|gadgets|smartpho"&amp;"ne|electro|apps|devices|computing|ai|robots|software|computer|internet|tele|mobile|tablet""), ""Technology"", REGEXMATCH(LOWER(VLOOKUP(A205, Data1_Raw_Slack!A:B, 2, FALSE)), ""entertainment|purchas|movies|tv|netflix|streaming|celebrity|movie lovers|tv fan"&amp;"s|media|hobb|photo|art|shop""), ""Entertainment"", REGEXMATCH(LOWER(VLOOKUP(A205, Data1_Raw_Slack!A:B, 2, FALSE)), ""law|government|""), ""Law and Government"",
  TRUE, ""Other""
)"),"Food")</f>
        <v>Food</v>
      </c>
      <c r="G205" s="9" t="s">
        <v>385</v>
      </c>
      <c r="H205" s="9" t="s">
        <v>44</v>
      </c>
      <c r="I205" s="9" t="s">
        <v>55</v>
      </c>
      <c r="J205" s="9" t="s">
        <v>62</v>
      </c>
      <c r="K205" s="9" t="s">
        <v>236</v>
      </c>
      <c r="L205" s="9" t="s">
        <v>82</v>
      </c>
      <c r="M205" s="10" t="s">
        <v>112</v>
      </c>
      <c r="N205" s="9" t="str">
        <f ca="1">IFERROR(__xludf.DUMMYFUNCTION("REGEXEXTRACT(LOWER(M205), ""([a-z0-9\-]+)\.(?:co|net|org|io|gg)"")"),"ebay")</f>
        <v>ebay</v>
      </c>
      <c r="O205" s="9" t="s">
        <v>103</v>
      </c>
      <c r="P205" s="9" t="s">
        <v>39</v>
      </c>
      <c r="Q205" s="9">
        <v>9210</v>
      </c>
      <c r="R205" s="9">
        <v>80</v>
      </c>
      <c r="S205" s="9">
        <v>3798</v>
      </c>
      <c r="T205" s="9">
        <v>8619</v>
      </c>
      <c r="U205" s="9">
        <v>2</v>
      </c>
      <c r="V205" s="11">
        <v>1536.629068</v>
      </c>
      <c r="W205" s="12">
        <f t="shared" si="0"/>
        <v>768.31453399999998</v>
      </c>
      <c r="X205" s="12">
        <f t="shared" si="1"/>
        <v>0.86862106406080353</v>
      </c>
      <c r="Y205" s="12">
        <f t="shared" si="2"/>
        <v>41.237785016286644</v>
      </c>
      <c r="Z205" s="12">
        <f t="shared" si="3"/>
        <v>404.58901211163766</v>
      </c>
      <c r="AA205" s="12">
        <f t="shared" si="4"/>
        <v>166.84354701411507</v>
      </c>
      <c r="AB205" s="12">
        <f t="shared" si="5"/>
        <v>19.20786335</v>
      </c>
      <c r="AC205" s="12">
        <f t="shared" si="6"/>
        <v>2.5</v>
      </c>
      <c r="AE205" s="13"/>
      <c r="AF205" s="13"/>
    </row>
    <row r="206" spans="1:32">
      <c r="A206" s="8" t="s">
        <v>899</v>
      </c>
      <c r="B206" s="9" t="s">
        <v>41</v>
      </c>
      <c r="C206" s="9" t="s">
        <v>120</v>
      </c>
      <c r="D206" s="9" t="s">
        <v>900</v>
      </c>
      <c r="E206" s="9"/>
      <c r="F206" s="9" t="str">
        <f ca="1">IFERROR(__xludf.DUMMYFUNCTION("IFS(
  REGEXMATCH(LOWER(VLOOKUP(A206, Data1_Raw_Slack!A:B, 2, FALSE)), ""news|weather""), ""News and Weather"", REGEXMATCH(LOWER(VLOOKUP(A206, Data1_Raw_Slack!A:B, 2, FALSE)), ""sports|ufc|nba|nfl|mlb|soccer|sports fans""), ""Sports"",
  REGEXMATCH(LOWER("&amp;"VLOOKUP(A206, Data1_Raw_Slack!A:B, 2, FALSE)), ""fashion|style|clothing|apparel|shoes|accessories|beauty|cosmetics|fashionistas""), ""Fashion and Beauty"",
  REGEXMATCH(LOWER(VLOOKUP(A206, Data1_Raw_Slack!A:B, 2, FALSE)), ""food|cooking|recipe|restaurant|"&amp;"snack|grocery|foodies""), ""Food"",
  REGEXMATCH(LOWER(VLOOKUP(A206, Data1_Raw_Slack!A:B, 2, FALSE)), ""travel|vacation|airline|hotel|trip|flights|travelers""), ""Travel"",
  REGEXMATCH(LOWER(VLOOKUP(A206, Data1_Raw_Slack!A:B, 2, FALSE)), ""fitness|workou"&amp;"t|gym|exercise|yoga|wellness|fitness enthusiasts""), ""Fitness"",
  REGEXMATCH(LOWER(VLOOKUP(A206, Data1_Raw_Slack!A:B, 2, FALSE)), ""health|medical|pharmacy|mental health|doctor|health-conscious""), ""Health"",
  REGEXMATCH(LOWER(VLOOKUP(A206, Data1_Raw_"&amp;"Slack!A:B, 2, FALSE)), ""pets|dogs|cats|animals|pet care|pet lovers""), ""Pets"",
  REGEXMATCH(LOWER(VLOOKUP(A206, Data1_Raw_Slack!A:B, 2, FALSE)), ""games|gaming|game|xbox|playstation|nintendo|gamers""), ""Gaming"",
  REGEXMATCH(LOWER(VLOOKUP(A206, Data1"&amp;"_Raw_Slack!A:B, 2, FALSE)), ""entertainment|movies|tv|netflix|streaming|celebrity|movie lovers|tv fans|hobb|photo|art""), ""Entertainment"",
  REGEXMATCH(LOWER(VLOOKUP(A206, Data1_Raw_Slack!A:B, 2, FALSE)), ""lifestyle|home|interior|decor|living|lifestyle"&amp;" enthusiasts""), ""Lifestyle"",
  REGEXMATCH(LOWER(VLOOKUP(A206, Data1_Raw_Slack!A:B, 2, FALSE)), ""financial|finance|investing|stocks|retirement|banking|credit|debt|loans|savings|personal finance|insurance|econ|ecom|business|retail|occupation|sale|job|ma"&amp;"rketing""), ""Finance"",
  REGEXMATCH(LOWER(VLOOKUP(A206, Data1_Raw_Slack!A:B, 2, FALSE)), ""auto|automotive""), ""Auto"",
  REGEXMATCH(LOWER(VLOOKUP(A206, Data1_Raw_Slack!A:B, 2, FALSE)), ""parenting|moms|dads|kids|toddlers|baby|parent|children""), ""Par"&amp;"enting"",
  REGEXMATCH(LOWER(VLOOKUP(A206, Data1_Raw_Slack!A:B, 2, FALSE)), ""education|students|learning|school|teachers|college|university|academics""), ""Education"",
  REGEXMATCH(LOWER(VLOOKUP(A206, Data1_Raw_Slack!A:B, 2, FALSE)), ""age|gender|dem"&amp;"ographic|family|household""), ""Demographics"",
  REGEXMATCH(LOWER(VLOOKUP(A206, Data1_Raw_Slack!A:B, 2, FALSE)), ""mortgage|real estate""), ""Real Estate"",REGEXMATCH(LOWER(VLOOKUP(A206, Data1_Raw_Slack!A:B, 2, FALSE)), ""technology|tech|gadgets|smartpho"&amp;"ne|electro|apps|devices|computing|ai|robots|software|computer|internet|tele|mobile|tablet""), ""Technology"", REGEXMATCH(LOWER(VLOOKUP(A206, Data1_Raw_Slack!A:B, 2, FALSE)), ""entertainment|purchas|movies|tv|netflix|streaming|celebrity|movie lovers|tv fan"&amp;"s|media|hobb|photo|art|shop""), ""Entertainment"", REGEXMATCH(LOWER(VLOOKUP(A206, Data1_Raw_Slack!A:B, 2, FALSE)), ""law|government|""), ""Law and Government"",
  TRUE, ""Other""
)"),"Auto")</f>
        <v>Auto</v>
      </c>
      <c r="G206" s="9" t="s">
        <v>122</v>
      </c>
      <c r="H206" s="9" t="s">
        <v>32</v>
      </c>
      <c r="I206" s="9" t="s">
        <v>307</v>
      </c>
      <c r="J206" s="9" t="s">
        <v>46</v>
      </c>
      <c r="K206" s="9" t="s">
        <v>299</v>
      </c>
      <c r="L206" s="9" t="s">
        <v>72</v>
      </c>
      <c r="M206" s="10" t="s">
        <v>339</v>
      </c>
      <c r="N206" s="9" t="str">
        <f ca="1">IFERROR(__xludf.DUMMYFUNCTION("REGEXEXTRACT(LOWER(M206), ""([a-z0-9\-]+)\.(?:co|net|org|io|gg)"")"),"foxnews")</f>
        <v>foxnews</v>
      </c>
      <c r="O206" s="9" t="s">
        <v>103</v>
      </c>
      <c r="P206" s="9" t="s">
        <v>39</v>
      </c>
      <c r="Q206" s="9">
        <v>38408</v>
      </c>
      <c r="R206" s="9">
        <v>101</v>
      </c>
      <c r="S206" s="9">
        <v>23557</v>
      </c>
      <c r="T206" s="9">
        <v>35247</v>
      </c>
      <c r="U206" s="9">
        <v>7</v>
      </c>
      <c r="V206" s="11">
        <v>5343.4594310000002</v>
      </c>
      <c r="W206" s="12">
        <f t="shared" si="0"/>
        <v>763.35134728571427</v>
      </c>
      <c r="X206" s="12">
        <f t="shared" si="1"/>
        <v>0.26296604873984586</v>
      </c>
      <c r="Y206" s="12">
        <f t="shared" si="2"/>
        <v>61.333576338262866</v>
      </c>
      <c r="Z206" s="12">
        <f t="shared" si="3"/>
        <v>226.83106639215521</v>
      </c>
      <c r="AA206" s="12">
        <f t="shared" si="4"/>
        <v>139.12360526452821</v>
      </c>
      <c r="AB206" s="12">
        <f t="shared" si="5"/>
        <v>52.905538920792083</v>
      </c>
      <c r="AC206" s="12">
        <f t="shared" si="6"/>
        <v>6.9306930693069315</v>
      </c>
      <c r="AE206" s="13"/>
      <c r="AF206" s="13"/>
    </row>
    <row r="207" spans="1:32">
      <c r="A207" s="8" t="s">
        <v>901</v>
      </c>
      <c r="B207" s="9" t="s">
        <v>41</v>
      </c>
      <c r="C207" s="9" t="s">
        <v>281</v>
      </c>
      <c r="D207" s="9" t="s">
        <v>902</v>
      </c>
      <c r="E207" s="9"/>
      <c r="F207" s="9" t="str">
        <f ca="1">IFERROR(__xludf.DUMMYFUNCTION("IFS(
  REGEXMATCH(LOWER(VLOOKUP(A207, Data1_Raw_Slack!A:B, 2, FALSE)), ""news|weather""), ""News and Weather"", REGEXMATCH(LOWER(VLOOKUP(A207, Data1_Raw_Slack!A:B, 2, FALSE)), ""sports|ufc|nba|nfl|mlb|soccer|sports fans""), ""Sports"",
  REGEXMATCH(LOWER("&amp;"VLOOKUP(A207, Data1_Raw_Slack!A:B, 2, FALSE)), ""fashion|style|clothing|apparel|shoes|accessories|beauty|cosmetics|fashionistas""), ""Fashion and Beauty"",
  REGEXMATCH(LOWER(VLOOKUP(A207, Data1_Raw_Slack!A:B, 2, FALSE)), ""food|cooking|recipe|restaurant|"&amp;"snack|grocery|foodies""), ""Food"",
  REGEXMATCH(LOWER(VLOOKUP(A207, Data1_Raw_Slack!A:B, 2, FALSE)), ""travel|vacation|airline|hotel|trip|flights|travelers""), ""Travel"",
  REGEXMATCH(LOWER(VLOOKUP(A207, Data1_Raw_Slack!A:B, 2, FALSE)), ""fitness|workou"&amp;"t|gym|exercise|yoga|wellness|fitness enthusiasts""), ""Fitness"",
  REGEXMATCH(LOWER(VLOOKUP(A207, Data1_Raw_Slack!A:B, 2, FALSE)), ""health|medical|pharmacy|mental health|doctor|health-conscious""), ""Health"",
  REGEXMATCH(LOWER(VLOOKUP(A207, Data1_Raw_"&amp;"Slack!A:B, 2, FALSE)), ""pets|dogs|cats|animals|pet care|pet lovers""), ""Pets"",
  REGEXMATCH(LOWER(VLOOKUP(A207, Data1_Raw_Slack!A:B, 2, FALSE)), ""games|gaming|game|xbox|playstation|nintendo|gamers""), ""Gaming"",
  REGEXMATCH(LOWER(VLOOKUP(A207, Data1"&amp;"_Raw_Slack!A:B, 2, FALSE)), ""entertainment|movies|tv|netflix|streaming|celebrity|movie lovers|tv fans|hobb|photo|art""), ""Entertainment"",
  REGEXMATCH(LOWER(VLOOKUP(A207, Data1_Raw_Slack!A:B, 2, FALSE)), ""lifestyle|home|interior|decor|living|lifestyle"&amp;" enthusiasts""), ""Lifestyle"",
  REGEXMATCH(LOWER(VLOOKUP(A207, Data1_Raw_Slack!A:B, 2, FALSE)), ""financial|finance|investing|stocks|retirement|banking|credit|debt|loans|savings|personal finance|insurance|econ|ecom|business|retail|occupation|sale|job|ma"&amp;"rketing""), ""Finance"",
  REGEXMATCH(LOWER(VLOOKUP(A207, Data1_Raw_Slack!A:B, 2, FALSE)), ""auto|automotive""), ""Auto"",
  REGEXMATCH(LOWER(VLOOKUP(A207, Data1_Raw_Slack!A:B, 2, FALSE)), ""parenting|moms|dads|kids|toddlers|baby|parent|children""), ""Par"&amp;"enting"",
  REGEXMATCH(LOWER(VLOOKUP(A207, Data1_Raw_Slack!A:B, 2, FALSE)), ""education|students|learning|school|teachers|college|university|academics""), ""Education"",
  REGEXMATCH(LOWER(VLOOKUP(A207, Data1_Raw_Slack!A:B, 2, FALSE)), ""age|gender|dem"&amp;"ographic|family|household""), ""Demographics"",
  REGEXMATCH(LOWER(VLOOKUP(A207, Data1_Raw_Slack!A:B, 2, FALSE)), ""mortgage|real estate""), ""Real Estate"",REGEXMATCH(LOWER(VLOOKUP(A207, Data1_Raw_Slack!A:B, 2, FALSE)), ""technology|tech|gadgets|smartpho"&amp;"ne|electro|apps|devices|computing|ai|robots|software|computer|internet|tele|mobile|tablet""), ""Technology"", REGEXMATCH(LOWER(VLOOKUP(A207, Data1_Raw_Slack!A:B, 2, FALSE)), ""entertainment|purchas|movies|tv|netflix|streaming|celebrity|movie lovers|tv fan"&amp;"s|media|hobb|photo|art|shop""), ""Entertainment"", REGEXMATCH(LOWER(VLOOKUP(A207, Data1_Raw_Slack!A:B, 2, FALSE)), ""law|government|""), ""Law and Government"",
  TRUE, ""Other""
)"),"Gaming")</f>
        <v>Gaming</v>
      </c>
      <c r="G207" s="9" t="s">
        <v>69</v>
      </c>
      <c r="H207" s="9" t="s">
        <v>32</v>
      </c>
      <c r="I207" s="9" t="s">
        <v>903</v>
      </c>
      <c r="J207" s="9" t="s">
        <v>46</v>
      </c>
      <c r="K207" s="9" t="s">
        <v>299</v>
      </c>
      <c r="L207" s="9" t="s">
        <v>72</v>
      </c>
      <c r="M207" s="10" t="s">
        <v>354</v>
      </c>
      <c r="N207" s="9" t="str">
        <f ca="1">IFERROR(__xludf.DUMMYFUNCTION("REGEXEXTRACT(LOWER(M207), ""([a-z0-9\-]+)\.(?:co|net|org|io|gg)"")"),"yahoo")</f>
        <v>yahoo</v>
      </c>
      <c r="O207" s="9" t="s">
        <v>103</v>
      </c>
      <c r="P207" s="9" t="s">
        <v>39</v>
      </c>
      <c r="Q207" s="9">
        <v>120603</v>
      </c>
      <c r="R207" s="9">
        <v>298</v>
      </c>
      <c r="S207" s="9">
        <v>47405</v>
      </c>
      <c r="T207" s="9">
        <v>100881</v>
      </c>
      <c r="U207" s="9">
        <v>10</v>
      </c>
      <c r="V207" s="11">
        <v>6633.5326349999996</v>
      </c>
      <c r="W207" s="12">
        <f t="shared" si="0"/>
        <v>663.35326349999991</v>
      </c>
      <c r="X207" s="12">
        <f t="shared" si="1"/>
        <v>0.24709169755312888</v>
      </c>
      <c r="Y207" s="12">
        <f t="shared" si="2"/>
        <v>39.30665074666468</v>
      </c>
      <c r="Z207" s="12">
        <f t="shared" si="3"/>
        <v>139.9331850015821</v>
      </c>
      <c r="AA207" s="12">
        <f t="shared" si="4"/>
        <v>55.00304830725603</v>
      </c>
      <c r="AB207" s="12">
        <f t="shared" si="5"/>
        <v>22.260176627516778</v>
      </c>
      <c r="AC207" s="12">
        <f t="shared" si="6"/>
        <v>3.3557046979865772</v>
      </c>
      <c r="AE207" s="13"/>
      <c r="AF207" s="13"/>
    </row>
    <row r="208" spans="1:32">
      <c r="A208" s="8" t="s">
        <v>904</v>
      </c>
      <c r="B208" s="9" t="s">
        <v>905</v>
      </c>
      <c r="C208" s="9" t="s">
        <v>85</v>
      </c>
      <c r="D208" s="9" t="s">
        <v>906</v>
      </c>
      <c r="E208" s="9" t="s">
        <v>907</v>
      </c>
      <c r="F208" s="9" t="str">
        <f ca="1">IFERROR(__xludf.DUMMYFUNCTION("IFS(
  REGEXMATCH(LOWER(VLOOKUP(A208, Data1_Raw_Slack!A:B, 2, FALSE)), ""news|weather""), ""News and Weather"", REGEXMATCH(LOWER(VLOOKUP(A208, Data1_Raw_Slack!A:B, 2, FALSE)), ""sports|ufc|nba|nfl|mlb|soccer|sports fans""), ""Sports"",
  REGEXMATCH(LOWER("&amp;"VLOOKUP(A208, Data1_Raw_Slack!A:B, 2, FALSE)), ""fashion|style|clothing|apparel|shoes|accessories|beauty|cosmetics|fashionistas""), ""Fashion and Beauty"",
  REGEXMATCH(LOWER(VLOOKUP(A208, Data1_Raw_Slack!A:B, 2, FALSE)), ""food|cooking|recipe|restaurant|"&amp;"snack|grocery|foodies""), ""Food"",
  REGEXMATCH(LOWER(VLOOKUP(A208, Data1_Raw_Slack!A:B, 2, FALSE)), ""travel|vacation|airline|hotel|trip|flights|travelers""), ""Travel"",
  REGEXMATCH(LOWER(VLOOKUP(A208, Data1_Raw_Slack!A:B, 2, FALSE)), ""fitness|workou"&amp;"t|gym|exercise|yoga|wellness|fitness enthusiasts""), ""Fitness"",
  REGEXMATCH(LOWER(VLOOKUP(A208, Data1_Raw_Slack!A:B, 2, FALSE)), ""health|medical|pharmacy|mental health|doctor|health-conscious""), ""Health"",
  REGEXMATCH(LOWER(VLOOKUP(A208, Data1_Raw_"&amp;"Slack!A:B, 2, FALSE)), ""pets|dogs|cats|animals|pet care|pet lovers""), ""Pets"",
  REGEXMATCH(LOWER(VLOOKUP(A208, Data1_Raw_Slack!A:B, 2, FALSE)), ""games|gaming|game|xbox|playstation|nintendo|gamers""), ""Gaming"",
  REGEXMATCH(LOWER(VLOOKUP(A208, Data1"&amp;"_Raw_Slack!A:B, 2, FALSE)), ""entertainment|movies|tv|netflix|streaming|celebrity|movie lovers|tv fans|hobb|photo|art""), ""Entertainment"",
  REGEXMATCH(LOWER(VLOOKUP(A208, Data1_Raw_Slack!A:B, 2, FALSE)), ""lifestyle|home|interior|decor|living|lifestyle"&amp;" enthusiasts""), ""Lifestyle"",
  REGEXMATCH(LOWER(VLOOKUP(A208, Data1_Raw_Slack!A:B, 2, FALSE)), ""financial|finance|investing|stocks|retirement|banking|credit|debt|loans|savings|personal finance|insurance|econ|ecom|business|retail|occupation|sale|job|ma"&amp;"rketing""), ""Finance"",
  REGEXMATCH(LOWER(VLOOKUP(A208, Data1_Raw_Slack!A:B, 2, FALSE)), ""auto|automotive""), ""Auto"",
  REGEXMATCH(LOWER(VLOOKUP(A208, Data1_Raw_Slack!A:B, 2, FALSE)), ""parenting|moms|dads|kids|toddlers|baby|parent|children""), ""Par"&amp;"enting"",
  REGEXMATCH(LOWER(VLOOKUP(A208, Data1_Raw_Slack!A:B, 2, FALSE)), ""education|students|learning|school|teachers|college|university|academics""), ""Education"",
  REGEXMATCH(LOWER(VLOOKUP(A208, Data1_Raw_Slack!A:B, 2, FALSE)), ""age|gender|dem"&amp;"ographic|family|household""), ""Demographics"",
  REGEXMATCH(LOWER(VLOOKUP(A208, Data1_Raw_Slack!A:B, 2, FALSE)), ""mortgage|real estate""), ""Real Estate"",REGEXMATCH(LOWER(VLOOKUP(A208, Data1_Raw_Slack!A:B, 2, FALSE)), ""technology|tech|gadgets|smartpho"&amp;"ne|electro|apps|devices|computing|ai|robots|software|computer|internet|tele|mobile|tablet""), ""Technology"", REGEXMATCH(LOWER(VLOOKUP(A208, Data1_Raw_Slack!A:B, 2, FALSE)), ""entertainment|purchas|movies|tv|netflix|streaming|celebrity|movie lovers|tv fan"&amp;"s|media|hobb|photo|art|shop""), ""Entertainment"", REGEXMATCH(LOWER(VLOOKUP(A208, Data1_Raw_Slack!A:B, 2, FALSE)), ""law|government|""), ""Law and Government"",
  TRUE, ""Other""
)"),"Travel")</f>
        <v>Travel</v>
      </c>
      <c r="G208" s="9" t="s">
        <v>85</v>
      </c>
      <c r="H208" s="9" t="s">
        <v>32</v>
      </c>
      <c r="I208" s="9" t="s">
        <v>493</v>
      </c>
      <c r="J208" s="9" t="s">
        <v>46</v>
      </c>
      <c r="K208" s="9" t="s">
        <v>908</v>
      </c>
      <c r="L208" s="9" t="s">
        <v>36</v>
      </c>
      <c r="M208" s="10" t="s">
        <v>339</v>
      </c>
      <c r="N208" s="9" t="str">
        <f ca="1">IFERROR(__xludf.DUMMYFUNCTION("REGEXEXTRACT(LOWER(M208), ""([a-z0-9\-]+)\.(?:co|net|org|io|gg)"")"),"foxnews")</f>
        <v>foxnews</v>
      </c>
      <c r="O208" s="9" t="s">
        <v>50</v>
      </c>
      <c r="P208" s="9" t="s">
        <v>39</v>
      </c>
      <c r="Q208" s="9">
        <v>91593</v>
      </c>
      <c r="R208" s="9">
        <v>40</v>
      </c>
      <c r="S208" s="9">
        <v>51004</v>
      </c>
      <c r="T208" s="9">
        <v>82985</v>
      </c>
      <c r="U208" s="9">
        <v>18</v>
      </c>
      <c r="V208" s="11">
        <v>1731.5848619999999</v>
      </c>
      <c r="W208" s="12">
        <f t="shared" si="0"/>
        <v>96.199158999999995</v>
      </c>
      <c r="X208" s="12">
        <f t="shared" si="1"/>
        <v>4.3671459609358795E-2</v>
      </c>
      <c r="Y208" s="12">
        <f t="shared" si="2"/>
        <v>55.685478147893399</v>
      </c>
      <c r="Z208" s="12">
        <f t="shared" si="3"/>
        <v>33.949981609285544</v>
      </c>
      <c r="AA208" s="12">
        <f t="shared" si="4"/>
        <v>18.905209590252529</v>
      </c>
      <c r="AB208" s="12">
        <f t="shared" si="5"/>
        <v>43.28962155</v>
      </c>
      <c r="AC208" s="12">
        <f t="shared" si="6"/>
        <v>45</v>
      </c>
      <c r="AE208" s="13"/>
      <c r="AF208" s="13"/>
    </row>
    <row r="209" spans="1:32">
      <c r="A209" s="8" t="s">
        <v>909</v>
      </c>
      <c r="B209" s="9" t="s">
        <v>41</v>
      </c>
      <c r="C209" s="9" t="s">
        <v>120</v>
      </c>
      <c r="D209" s="9" t="s">
        <v>910</v>
      </c>
      <c r="E209" s="9"/>
      <c r="F209" s="9" t="str">
        <f ca="1">IFERROR(__xludf.DUMMYFUNCTION("IFS(
  REGEXMATCH(LOWER(VLOOKUP(A209, Data1_Raw_Slack!A:B, 2, FALSE)), ""news|weather""), ""News and Weather"", REGEXMATCH(LOWER(VLOOKUP(A209, Data1_Raw_Slack!A:B, 2, FALSE)), ""sports|ufc|nba|nfl|mlb|soccer|sports fans""), ""Sports"",
  REGEXMATCH(LOWER("&amp;"VLOOKUP(A209, Data1_Raw_Slack!A:B, 2, FALSE)), ""fashion|style|clothing|apparel|shoes|accessories|beauty|cosmetics|fashionistas""), ""Fashion and Beauty"",
  REGEXMATCH(LOWER(VLOOKUP(A209, Data1_Raw_Slack!A:B, 2, FALSE)), ""food|cooking|recipe|restaurant|"&amp;"snack|grocery|foodies""), ""Food"",
  REGEXMATCH(LOWER(VLOOKUP(A209, Data1_Raw_Slack!A:B, 2, FALSE)), ""travel|vacation|airline|hotel|trip|flights|travelers""), ""Travel"",
  REGEXMATCH(LOWER(VLOOKUP(A209, Data1_Raw_Slack!A:B, 2, FALSE)), ""fitness|workou"&amp;"t|gym|exercise|yoga|wellness|fitness enthusiasts""), ""Fitness"",
  REGEXMATCH(LOWER(VLOOKUP(A209, Data1_Raw_Slack!A:B, 2, FALSE)), ""health|medical|pharmacy|mental health|doctor|health-conscious""), ""Health"",
  REGEXMATCH(LOWER(VLOOKUP(A209, Data1_Raw_"&amp;"Slack!A:B, 2, FALSE)), ""pets|dogs|cats|animals|pet care|pet lovers""), ""Pets"",
  REGEXMATCH(LOWER(VLOOKUP(A209, Data1_Raw_Slack!A:B, 2, FALSE)), ""games|gaming|game|xbox|playstation|nintendo|gamers""), ""Gaming"",
  REGEXMATCH(LOWER(VLOOKUP(A209, Data1"&amp;"_Raw_Slack!A:B, 2, FALSE)), ""entertainment|movies|tv|netflix|streaming|celebrity|movie lovers|tv fans|hobb|photo|art""), ""Entertainment"",
  REGEXMATCH(LOWER(VLOOKUP(A209, Data1_Raw_Slack!A:B, 2, FALSE)), ""lifestyle|home|interior|decor|living|lifestyle"&amp;" enthusiasts""), ""Lifestyle"",
  REGEXMATCH(LOWER(VLOOKUP(A209, Data1_Raw_Slack!A:B, 2, FALSE)), ""financial|finance|investing|stocks|retirement|banking|credit|debt|loans|savings|personal finance|insurance|econ|ecom|business|retail|occupation|sale|job|ma"&amp;"rketing""), ""Finance"",
  REGEXMATCH(LOWER(VLOOKUP(A209, Data1_Raw_Slack!A:B, 2, FALSE)), ""auto|automotive""), ""Auto"",
  REGEXMATCH(LOWER(VLOOKUP(A209, Data1_Raw_Slack!A:B, 2, FALSE)), ""parenting|moms|dads|kids|toddlers|baby|parent|children""), ""Par"&amp;"enting"",
  REGEXMATCH(LOWER(VLOOKUP(A209, Data1_Raw_Slack!A:B, 2, FALSE)), ""education|students|learning|school|teachers|college|university|academics""), ""Education"",
  REGEXMATCH(LOWER(VLOOKUP(A209, Data1_Raw_Slack!A:B, 2, FALSE)), ""age|gender|dem"&amp;"ographic|family|household""), ""Demographics"",
  REGEXMATCH(LOWER(VLOOKUP(A209, Data1_Raw_Slack!A:B, 2, FALSE)), ""mortgage|real estate""), ""Real Estate"",REGEXMATCH(LOWER(VLOOKUP(A209, Data1_Raw_Slack!A:B, 2, FALSE)), ""technology|tech|gadgets|smartpho"&amp;"ne|electro|apps|devices|computing|ai|robots|software|computer|internet|tele|mobile|tablet""), ""Technology"", REGEXMATCH(LOWER(VLOOKUP(A209, Data1_Raw_Slack!A:B, 2, FALSE)), ""entertainment|purchas|movies|tv|netflix|streaming|celebrity|movie lovers|tv fan"&amp;"s|media|hobb|photo|art|shop""), ""Entertainment"", REGEXMATCH(LOWER(VLOOKUP(A209, Data1_Raw_Slack!A:B, 2, FALSE)), ""law|government|""), ""Law and Government"",
  TRUE, ""Other""
)"),"Auto")</f>
        <v>Auto</v>
      </c>
      <c r="G209" s="9" t="s">
        <v>122</v>
      </c>
      <c r="H209" s="9" t="s">
        <v>44</v>
      </c>
      <c r="I209" s="9" t="s">
        <v>911</v>
      </c>
      <c r="J209" s="9" t="s">
        <v>62</v>
      </c>
      <c r="K209" s="9" t="s">
        <v>236</v>
      </c>
      <c r="L209" s="9" t="s">
        <v>82</v>
      </c>
      <c r="M209" s="10" t="s">
        <v>912</v>
      </c>
      <c r="N209" s="9" t="str">
        <f ca="1">IFERROR(__xludf.DUMMYFUNCTION("REGEXEXTRACT(LOWER(M209), ""([a-z0-9\-]+)\.(?:co|net|org|io|gg)"")"),"thekrazycouponlady")</f>
        <v>thekrazycouponlady</v>
      </c>
      <c r="O209" s="9" t="s">
        <v>131</v>
      </c>
      <c r="P209" s="9" t="s">
        <v>39</v>
      </c>
      <c r="Q209" s="9">
        <v>11417</v>
      </c>
      <c r="R209" s="9">
        <v>78</v>
      </c>
      <c r="S209" s="9">
        <v>1387</v>
      </c>
      <c r="T209" s="9">
        <v>9924</v>
      </c>
      <c r="U209" s="9">
        <v>9</v>
      </c>
      <c r="V209" s="11">
        <v>6206.6371079999999</v>
      </c>
      <c r="W209" s="12">
        <f t="shared" si="0"/>
        <v>689.62634533333335</v>
      </c>
      <c r="X209" s="12">
        <f t="shared" si="1"/>
        <v>0.68319173162827362</v>
      </c>
      <c r="Y209" s="12">
        <f t="shared" si="2"/>
        <v>12.148550407287379</v>
      </c>
      <c r="Z209" s="12">
        <f t="shared" si="3"/>
        <v>4474.8645335255942</v>
      </c>
      <c r="AA209" s="12">
        <f t="shared" si="4"/>
        <v>543.63117351318215</v>
      </c>
      <c r="AB209" s="12">
        <f t="shared" si="5"/>
        <v>79.57227061538461</v>
      </c>
      <c r="AC209" s="12">
        <f t="shared" si="6"/>
        <v>11.538461538461538</v>
      </c>
      <c r="AE209" s="13"/>
      <c r="AF209" s="13"/>
    </row>
    <row r="210" spans="1:32">
      <c r="A210" s="8" t="s">
        <v>913</v>
      </c>
      <c r="B210" s="9" t="s">
        <v>41</v>
      </c>
      <c r="C210" s="9" t="s">
        <v>162</v>
      </c>
      <c r="D210" s="9" t="s">
        <v>914</v>
      </c>
      <c r="E210" s="9" t="s">
        <v>915</v>
      </c>
      <c r="F210" s="9" t="str">
        <f ca="1">IFERROR(__xludf.DUMMYFUNCTION("IFS(
  REGEXMATCH(LOWER(VLOOKUP(A210, Data1_Raw_Slack!A:B, 2, FALSE)), ""news|weather""), ""News and Weather"", REGEXMATCH(LOWER(VLOOKUP(A210, Data1_Raw_Slack!A:B, 2, FALSE)), ""sports|ufc|nba|nfl|mlb|soccer|sports fans""), ""Sports"",
  REGEXMATCH(LOWER("&amp;"VLOOKUP(A210, Data1_Raw_Slack!A:B, 2, FALSE)), ""fashion|style|clothing|apparel|shoes|accessories|beauty|cosmetics|fashionistas""), ""Fashion and Beauty"",
  REGEXMATCH(LOWER(VLOOKUP(A210, Data1_Raw_Slack!A:B, 2, FALSE)), ""food|cooking|recipe|restaurant|"&amp;"snack|grocery|foodies""), ""Food"",
  REGEXMATCH(LOWER(VLOOKUP(A210, Data1_Raw_Slack!A:B, 2, FALSE)), ""travel|vacation|airline|hotel|trip|flights|travelers""), ""Travel"",
  REGEXMATCH(LOWER(VLOOKUP(A210, Data1_Raw_Slack!A:B, 2, FALSE)), ""fitness|workou"&amp;"t|gym|exercise|yoga|wellness|fitness enthusiasts""), ""Fitness"",
  REGEXMATCH(LOWER(VLOOKUP(A210, Data1_Raw_Slack!A:B, 2, FALSE)), ""health|medical|pharmacy|mental health|doctor|health-conscious""), ""Health"",
  REGEXMATCH(LOWER(VLOOKUP(A210, Data1_Raw_"&amp;"Slack!A:B, 2, FALSE)), ""pets|dogs|cats|animals|pet care|pet lovers""), ""Pets"",
  REGEXMATCH(LOWER(VLOOKUP(A210, Data1_Raw_Slack!A:B, 2, FALSE)), ""games|gaming|game|xbox|playstation|nintendo|gamers""), ""Gaming"",
  REGEXMATCH(LOWER(VLOOKUP(A210, Data1"&amp;"_Raw_Slack!A:B, 2, FALSE)), ""entertainment|movies|tv|netflix|streaming|celebrity|movie lovers|tv fans|hobb|photo|art""), ""Entertainment"",
  REGEXMATCH(LOWER(VLOOKUP(A210, Data1_Raw_Slack!A:B, 2, FALSE)), ""lifestyle|home|interior|decor|living|lifestyle"&amp;" enthusiasts""), ""Lifestyle"",
  REGEXMATCH(LOWER(VLOOKUP(A210, Data1_Raw_Slack!A:B, 2, FALSE)), ""financial|finance|investing|stocks|retirement|banking|credit|debt|loans|savings|personal finance|insurance|econ|ecom|business|retail|occupation|sale|job|ma"&amp;"rketing""), ""Finance"",
  REGEXMATCH(LOWER(VLOOKUP(A210, Data1_Raw_Slack!A:B, 2, FALSE)), ""auto|automotive""), ""Auto"",
  REGEXMATCH(LOWER(VLOOKUP(A210, Data1_Raw_Slack!A:B, 2, FALSE)), ""parenting|moms|dads|kids|toddlers|baby|parent|children""), ""Par"&amp;"enting"",
  REGEXMATCH(LOWER(VLOOKUP(A210, Data1_Raw_Slack!A:B, 2, FALSE)), ""education|students|learning|school|teachers|college|university|academics""), ""Education"",
  REGEXMATCH(LOWER(VLOOKUP(A210, Data1_Raw_Slack!A:B, 2, FALSE)), ""age|gender|dem"&amp;"ographic|family|household""), ""Demographics"",
  REGEXMATCH(LOWER(VLOOKUP(A210, Data1_Raw_Slack!A:B, 2, FALSE)), ""mortgage|real estate""), ""Real Estate"",REGEXMATCH(LOWER(VLOOKUP(A210, Data1_Raw_Slack!A:B, 2, FALSE)), ""technology|tech|gadgets|smartpho"&amp;"ne|electro|apps|devices|computing|ai|robots|software|computer|internet|tele|mobile|tablet""), ""Technology"", REGEXMATCH(LOWER(VLOOKUP(A210, Data1_Raw_Slack!A:B, 2, FALSE)), ""entertainment|purchas|movies|tv|netflix|streaming|celebrity|movie lovers|tv fan"&amp;"s|media|hobb|photo|art|shop""), ""Entertainment"", REGEXMATCH(LOWER(VLOOKUP(A210, Data1_Raw_Slack!A:B, 2, FALSE)), ""law|government|""), ""Law and Government"",
  TRUE, ""Other""
)"),"Auto")</f>
        <v>Auto</v>
      </c>
      <c r="G210" s="9" t="s">
        <v>122</v>
      </c>
      <c r="H210" s="9" t="s">
        <v>32</v>
      </c>
      <c r="I210" s="9" t="s">
        <v>916</v>
      </c>
      <c r="J210" s="9" t="s">
        <v>46</v>
      </c>
      <c r="K210" s="9" t="s">
        <v>236</v>
      </c>
      <c r="L210" s="9" t="s">
        <v>82</v>
      </c>
      <c r="M210" s="10" t="s">
        <v>917</v>
      </c>
      <c r="N210" s="9" t="str">
        <f ca="1">IFERROR(__xludf.DUMMYFUNCTION("REGEXEXTRACT(LOWER(M210), ""([a-z0-9\-]+)\.(?:co|net|org|io|gg)"")"),"tasteofhome")</f>
        <v>tasteofhome</v>
      </c>
      <c r="O210" s="9" t="s">
        <v>50</v>
      </c>
      <c r="P210" s="9" t="s">
        <v>39</v>
      </c>
      <c r="Q210" s="9">
        <v>9153</v>
      </c>
      <c r="R210" s="9">
        <v>23</v>
      </c>
      <c r="S210" s="9">
        <v>4345</v>
      </c>
      <c r="T210" s="9">
        <v>8376</v>
      </c>
      <c r="U210" s="9">
        <v>14</v>
      </c>
      <c r="V210" s="11">
        <v>5007.5258050000002</v>
      </c>
      <c r="W210" s="12">
        <f t="shared" si="0"/>
        <v>357.68041464285716</v>
      </c>
      <c r="X210" s="12">
        <f t="shared" si="1"/>
        <v>0.25128373210969079</v>
      </c>
      <c r="Y210" s="12">
        <f t="shared" si="2"/>
        <v>47.470774609417674</v>
      </c>
      <c r="Z210" s="12">
        <f t="shared" si="3"/>
        <v>1152.4800471806675</v>
      </c>
      <c r="AA210" s="12">
        <f t="shared" si="4"/>
        <v>547.09120561564521</v>
      </c>
      <c r="AB210" s="12">
        <f t="shared" si="5"/>
        <v>217.71851326086957</v>
      </c>
      <c r="AC210" s="12">
        <f t="shared" si="6"/>
        <v>60.869565217391312</v>
      </c>
      <c r="AE210" s="13"/>
      <c r="AF210" s="13"/>
    </row>
    <row r="211" spans="1:32">
      <c r="A211" s="8" t="s">
        <v>918</v>
      </c>
      <c r="B211" s="9" t="s">
        <v>92</v>
      </c>
      <c r="C211" s="9" t="s">
        <v>178</v>
      </c>
      <c r="D211" s="9" t="s">
        <v>173</v>
      </c>
      <c r="E211" s="9" t="s">
        <v>919</v>
      </c>
      <c r="F211" s="9" t="str">
        <f ca="1">IFERROR(__xludf.DUMMYFUNCTION("IFS(
  REGEXMATCH(LOWER(VLOOKUP(A211, Data1_Raw_Slack!A:B, 2, FALSE)), ""news|weather""), ""News and Weather"", REGEXMATCH(LOWER(VLOOKUP(A211, Data1_Raw_Slack!A:B, 2, FALSE)), ""sports|ufc|nba|nfl|mlb|soccer|sports fans""), ""Sports"",
  REGEXMATCH(LOWER("&amp;"VLOOKUP(A211, Data1_Raw_Slack!A:B, 2, FALSE)), ""fashion|style|clothing|apparel|shoes|accessories|beauty|cosmetics|fashionistas""), ""Fashion and Beauty"",
  REGEXMATCH(LOWER(VLOOKUP(A211, Data1_Raw_Slack!A:B, 2, FALSE)), ""food|cooking|recipe|restaurant|"&amp;"snack|grocery|foodies""), ""Food"",
  REGEXMATCH(LOWER(VLOOKUP(A211, Data1_Raw_Slack!A:B, 2, FALSE)), ""travel|vacation|airline|hotel|trip|flights|travelers""), ""Travel"",
  REGEXMATCH(LOWER(VLOOKUP(A211, Data1_Raw_Slack!A:B, 2, FALSE)), ""fitness|workou"&amp;"t|gym|exercise|yoga|wellness|fitness enthusiasts""), ""Fitness"",
  REGEXMATCH(LOWER(VLOOKUP(A211, Data1_Raw_Slack!A:B, 2, FALSE)), ""health|medical|pharmacy|mental health|doctor|health-conscious""), ""Health"",
  REGEXMATCH(LOWER(VLOOKUP(A211, Data1_Raw_"&amp;"Slack!A:B, 2, FALSE)), ""pets|dogs|cats|animals|pet care|pet lovers""), ""Pets"",
  REGEXMATCH(LOWER(VLOOKUP(A211, Data1_Raw_Slack!A:B, 2, FALSE)), ""games|gaming|game|xbox|playstation|nintendo|gamers""), ""Gaming"",
  REGEXMATCH(LOWER(VLOOKUP(A211, Data1"&amp;"_Raw_Slack!A:B, 2, FALSE)), ""entertainment|movies|tv|netflix|streaming|celebrity|movie lovers|tv fans|hobb|photo|art""), ""Entertainment"",
  REGEXMATCH(LOWER(VLOOKUP(A211, Data1_Raw_Slack!A:B, 2, FALSE)), ""lifestyle|home|interior|decor|living|lifestyle"&amp;" enthusiasts""), ""Lifestyle"",
  REGEXMATCH(LOWER(VLOOKUP(A211, Data1_Raw_Slack!A:B, 2, FALSE)), ""financial|finance|investing|stocks|retirement|banking|credit|debt|loans|savings|personal finance|insurance|econ|ecom|business|retail|occupation|sale|job|ma"&amp;"rketing""), ""Finance"",
  REGEXMATCH(LOWER(VLOOKUP(A211, Data1_Raw_Slack!A:B, 2, FALSE)), ""auto|automotive""), ""Auto"",
  REGEXMATCH(LOWER(VLOOKUP(A211, Data1_Raw_Slack!A:B, 2, FALSE)), ""parenting|moms|dads|kids|toddlers|baby|parent|children""), ""Par"&amp;"enting"",
  REGEXMATCH(LOWER(VLOOKUP(A211, Data1_Raw_Slack!A:B, 2, FALSE)), ""education|students|learning|school|teachers|college|university|academics""), ""Education"",
  REGEXMATCH(LOWER(VLOOKUP(A211, Data1_Raw_Slack!A:B, 2, FALSE)), ""age|gender|dem"&amp;"ographic|family|household""), ""Demographics"",
  REGEXMATCH(LOWER(VLOOKUP(A211, Data1_Raw_Slack!A:B, 2, FALSE)), ""mortgage|real estate""), ""Real Estate"",REGEXMATCH(LOWER(VLOOKUP(A211, Data1_Raw_Slack!A:B, 2, FALSE)), ""technology|tech|gadgets|smartpho"&amp;"ne|electro|apps|devices|computing|ai|robots|software|computer|internet|tele|mobile|tablet""), ""Technology"", REGEXMATCH(LOWER(VLOOKUP(A211, Data1_Raw_Slack!A:B, 2, FALSE)), ""entertainment|purchas|movies|tv|netflix|streaming|celebrity|movie lovers|tv fan"&amp;"s|media|hobb|photo|art|shop""), ""Entertainment"", REGEXMATCH(LOWER(VLOOKUP(A211, Data1_Raw_Slack!A:B, 2, FALSE)), ""law|government|""), ""Law and Government"",
  TRUE, ""Other""
)"),"Entertainment")</f>
        <v>Entertainment</v>
      </c>
      <c r="G211" s="9"/>
      <c r="H211" s="9" t="s">
        <v>32</v>
      </c>
      <c r="I211" s="9" t="s">
        <v>920</v>
      </c>
      <c r="J211" s="9" t="s">
        <v>80</v>
      </c>
      <c r="K211" s="9" t="s">
        <v>908</v>
      </c>
      <c r="L211" s="9" t="s">
        <v>36</v>
      </c>
      <c r="M211" s="10" t="s">
        <v>73</v>
      </c>
      <c r="N211" s="9" t="str">
        <f ca="1">IFERROR(__xludf.DUMMYFUNCTION("REGEXEXTRACT(LOWER(M211), ""([a-z0-9\-]+)\.(?:co|net|org|io|gg)"")"),"aol")</f>
        <v>aol</v>
      </c>
      <c r="O211" s="9" t="s">
        <v>131</v>
      </c>
      <c r="P211" s="9" t="s">
        <v>39</v>
      </c>
      <c r="Q211" s="9">
        <v>15399</v>
      </c>
      <c r="R211" s="9">
        <v>35</v>
      </c>
      <c r="S211" s="9">
        <v>3398</v>
      </c>
      <c r="T211" s="9">
        <v>4324</v>
      </c>
      <c r="U211" s="9">
        <v>3</v>
      </c>
      <c r="V211" s="11">
        <v>3434.7311530000002</v>
      </c>
      <c r="W211" s="12">
        <f t="shared" si="0"/>
        <v>1144.9103843333335</v>
      </c>
      <c r="X211" s="12">
        <f t="shared" si="1"/>
        <v>0.22728748620040262</v>
      </c>
      <c r="Y211" s="12">
        <f t="shared" si="2"/>
        <v>22.066367945970516</v>
      </c>
      <c r="Z211" s="12">
        <f t="shared" si="3"/>
        <v>1010.8096389052383</v>
      </c>
      <c r="AA211" s="12">
        <f t="shared" si="4"/>
        <v>223.04897415416585</v>
      </c>
      <c r="AB211" s="12">
        <f t="shared" si="5"/>
        <v>98.135175799999999</v>
      </c>
      <c r="AC211" s="12">
        <f t="shared" si="6"/>
        <v>8.5714285714285712</v>
      </c>
      <c r="AE211" s="13"/>
      <c r="AF211" s="13"/>
    </row>
    <row r="212" spans="1:32">
      <c r="A212" s="8" t="s">
        <v>921</v>
      </c>
      <c r="B212" s="9" t="s">
        <v>66</v>
      </c>
      <c r="C212" s="9" t="s">
        <v>420</v>
      </c>
      <c r="D212" s="9" t="s">
        <v>421</v>
      </c>
      <c r="E212" s="9" t="s">
        <v>922</v>
      </c>
      <c r="F212" s="9" t="str">
        <f ca="1">IFERROR(__xludf.DUMMYFUNCTION("IFS(
  REGEXMATCH(LOWER(VLOOKUP(A212, Data1_Raw_Slack!A:B, 2, FALSE)), ""news|weather""), ""News and Weather"", REGEXMATCH(LOWER(VLOOKUP(A212, Data1_Raw_Slack!A:B, 2, FALSE)), ""sports|ufc|nba|nfl|mlb|soccer|sports fans""), ""Sports"",
  REGEXMATCH(LOWER("&amp;"VLOOKUP(A212, Data1_Raw_Slack!A:B, 2, FALSE)), ""fashion|style|clothing|apparel|shoes|accessories|beauty|cosmetics|fashionistas""), ""Fashion and Beauty"",
  REGEXMATCH(LOWER(VLOOKUP(A212, Data1_Raw_Slack!A:B, 2, FALSE)), ""food|cooking|recipe|restaurant|"&amp;"snack|grocery|foodies""), ""Food"",
  REGEXMATCH(LOWER(VLOOKUP(A212, Data1_Raw_Slack!A:B, 2, FALSE)), ""travel|vacation|airline|hotel|trip|flights|travelers""), ""Travel"",
  REGEXMATCH(LOWER(VLOOKUP(A212, Data1_Raw_Slack!A:B, 2, FALSE)), ""fitness|workou"&amp;"t|gym|exercise|yoga|wellness|fitness enthusiasts""), ""Fitness"",
  REGEXMATCH(LOWER(VLOOKUP(A212, Data1_Raw_Slack!A:B, 2, FALSE)), ""health|medical|pharmacy|mental health|doctor|health-conscious""), ""Health"",
  REGEXMATCH(LOWER(VLOOKUP(A212, Data1_Raw_"&amp;"Slack!A:B, 2, FALSE)), ""pets|dogs|cats|animals|pet care|pet lovers""), ""Pets"",
  REGEXMATCH(LOWER(VLOOKUP(A212, Data1_Raw_Slack!A:B, 2, FALSE)), ""games|gaming|game|xbox|playstation|nintendo|gamers""), ""Gaming"",
  REGEXMATCH(LOWER(VLOOKUP(A212, Data1"&amp;"_Raw_Slack!A:B, 2, FALSE)), ""entertainment|movies|tv|netflix|streaming|celebrity|movie lovers|tv fans|hobb|photo|art""), ""Entertainment"",
  REGEXMATCH(LOWER(VLOOKUP(A212, Data1_Raw_Slack!A:B, 2, FALSE)), ""lifestyle|home|interior|decor|living|lifestyle"&amp;" enthusiasts""), ""Lifestyle"",
  REGEXMATCH(LOWER(VLOOKUP(A212, Data1_Raw_Slack!A:B, 2, FALSE)), ""financial|finance|investing|stocks|retirement|banking|credit|debt|loans|savings|personal finance|insurance|econ|ecom|business|retail|occupation|sale|job|ma"&amp;"rketing""), ""Finance"",
  REGEXMATCH(LOWER(VLOOKUP(A212, Data1_Raw_Slack!A:B, 2, FALSE)), ""auto|automotive""), ""Auto"",
  REGEXMATCH(LOWER(VLOOKUP(A212, Data1_Raw_Slack!A:B, 2, FALSE)), ""parenting|moms|dads|kids|toddlers|baby|parent|children""), ""Par"&amp;"enting"",
  REGEXMATCH(LOWER(VLOOKUP(A212, Data1_Raw_Slack!A:B, 2, FALSE)), ""education|students|learning|school|teachers|college|university|academics""), ""Education"",
  REGEXMATCH(LOWER(VLOOKUP(A212, Data1_Raw_Slack!A:B, 2, FALSE)), ""age|gender|dem"&amp;"ographic|family|household""), ""Demographics"",
  REGEXMATCH(LOWER(VLOOKUP(A212, Data1_Raw_Slack!A:B, 2, FALSE)), ""mortgage|real estate""), ""Real Estate"",REGEXMATCH(LOWER(VLOOKUP(A212, Data1_Raw_Slack!A:B, 2, FALSE)), ""technology|tech|gadgets|smartpho"&amp;"ne|electro|apps|devices|computing|ai|robots|software|computer|internet|tele|mobile|tablet""), ""Technology"", REGEXMATCH(LOWER(VLOOKUP(A212, Data1_Raw_Slack!A:B, 2, FALSE)), ""entertainment|purchas|movies|tv|netflix|streaming|celebrity|movie lovers|tv fan"&amp;"s|media|hobb|photo|art|shop""), ""Entertainment"", REGEXMATCH(LOWER(VLOOKUP(A212, Data1_Raw_Slack!A:B, 2, FALSE)), ""law|government|""), ""Law and Government"",
  TRUE, ""Other""
)"),"Fashion and Beauty")</f>
        <v>Fashion and Beauty</v>
      </c>
      <c r="G212" s="9"/>
      <c r="H212" s="9" t="s">
        <v>32</v>
      </c>
      <c r="I212" s="9" t="s">
        <v>923</v>
      </c>
      <c r="J212" s="9" t="s">
        <v>80</v>
      </c>
      <c r="K212" s="9" t="s">
        <v>236</v>
      </c>
      <c r="L212" s="9" t="s">
        <v>82</v>
      </c>
      <c r="M212" s="10" t="s">
        <v>166</v>
      </c>
      <c r="N212" s="9" t="str">
        <f ca="1">IFERROR(__xludf.DUMMYFUNCTION("REGEXEXTRACT(LOWER(M212), ""([a-z0-9\-]+)\.(?:co|net|org|io|gg)"")"),"nypost")</f>
        <v>nypost</v>
      </c>
      <c r="O212" s="9" t="s">
        <v>50</v>
      </c>
      <c r="P212" s="9" t="s">
        <v>39</v>
      </c>
      <c r="Q212" s="9">
        <v>152881</v>
      </c>
      <c r="R212" s="9">
        <v>426</v>
      </c>
      <c r="S212" s="9">
        <v>94895</v>
      </c>
      <c r="T212" s="9">
        <v>145113</v>
      </c>
      <c r="U212" s="9">
        <v>11</v>
      </c>
      <c r="V212" s="11">
        <v>1496.6685239999999</v>
      </c>
      <c r="W212" s="12">
        <f t="shared" si="0"/>
        <v>136.0607749090909</v>
      </c>
      <c r="X212" s="12">
        <f t="shared" si="1"/>
        <v>0.27864809884812369</v>
      </c>
      <c r="Y212" s="12">
        <f t="shared" si="2"/>
        <v>62.071153380734032</v>
      </c>
      <c r="Z212" s="12">
        <f t="shared" si="3"/>
        <v>15.771837546762209</v>
      </c>
      <c r="AA212" s="12">
        <f t="shared" si="4"/>
        <v>9.7897614746109713</v>
      </c>
      <c r="AB212" s="12">
        <f t="shared" si="5"/>
        <v>3.5133063943661971</v>
      </c>
      <c r="AC212" s="12">
        <f t="shared" si="6"/>
        <v>2.5821596244131455</v>
      </c>
      <c r="AE212" s="13"/>
      <c r="AF212" s="13"/>
    </row>
    <row r="213" spans="1:32">
      <c r="A213" s="8" t="s">
        <v>924</v>
      </c>
      <c r="B213" s="9" t="s">
        <v>41</v>
      </c>
      <c r="C213" s="9" t="s">
        <v>374</v>
      </c>
      <c r="D213" s="9" t="s">
        <v>925</v>
      </c>
      <c r="E213" s="9"/>
      <c r="F213" s="9" t="str">
        <f ca="1">IFERROR(__xludf.DUMMYFUNCTION("IFS(
  REGEXMATCH(LOWER(VLOOKUP(A213, Data1_Raw_Slack!A:B, 2, FALSE)), ""news|weather""), ""News and Weather"", REGEXMATCH(LOWER(VLOOKUP(A213, Data1_Raw_Slack!A:B, 2, FALSE)), ""sports|ufc|nba|nfl|mlb|soccer|sports fans""), ""Sports"",
  REGEXMATCH(LOWER("&amp;"VLOOKUP(A213, Data1_Raw_Slack!A:B, 2, FALSE)), ""fashion|style|clothing|apparel|shoes|accessories|beauty|cosmetics|fashionistas""), ""Fashion and Beauty"",
  REGEXMATCH(LOWER(VLOOKUP(A213, Data1_Raw_Slack!A:B, 2, FALSE)), ""food|cooking|recipe|restaurant|"&amp;"snack|grocery|foodies""), ""Food"",
  REGEXMATCH(LOWER(VLOOKUP(A213, Data1_Raw_Slack!A:B, 2, FALSE)), ""travel|vacation|airline|hotel|trip|flights|travelers""), ""Travel"",
  REGEXMATCH(LOWER(VLOOKUP(A213, Data1_Raw_Slack!A:B, 2, FALSE)), ""fitness|workou"&amp;"t|gym|exercise|yoga|wellness|fitness enthusiasts""), ""Fitness"",
  REGEXMATCH(LOWER(VLOOKUP(A213, Data1_Raw_Slack!A:B, 2, FALSE)), ""health|medical|pharmacy|mental health|doctor|health-conscious""), ""Health"",
  REGEXMATCH(LOWER(VLOOKUP(A213, Data1_Raw_"&amp;"Slack!A:B, 2, FALSE)), ""pets|dogs|cats|animals|pet care|pet lovers""), ""Pets"",
  REGEXMATCH(LOWER(VLOOKUP(A213, Data1_Raw_Slack!A:B, 2, FALSE)), ""games|gaming|game|xbox|playstation|nintendo|gamers""), ""Gaming"",
  REGEXMATCH(LOWER(VLOOKUP(A213, Data1"&amp;"_Raw_Slack!A:B, 2, FALSE)), ""entertainment|movies|tv|netflix|streaming|celebrity|movie lovers|tv fans|hobb|photo|art""), ""Entertainment"",
  REGEXMATCH(LOWER(VLOOKUP(A213, Data1_Raw_Slack!A:B, 2, FALSE)), ""lifestyle|home|interior|decor|living|lifestyle"&amp;" enthusiasts""), ""Lifestyle"",
  REGEXMATCH(LOWER(VLOOKUP(A213, Data1_Raw_Slack!A:B, 2, FALSE)), ""financial|finance|investing|stocks|retirement|banking|credit|debt|loans|savings|personal finance|insurance|econ|ecom|business|retail|occupation|sale|job|ma"&amp;"rketing""), ""Finance"",
  REGEXMATCH(LOWER(VLOOKUP(A213, Data1_Raw_Slack!A:B, 2, FALSE)), ""auto|automotive""), ""Auto"",
  REGEXMATCH(LOWER(VLOOKUP(A213, Data1_Raw_Slack!A:B, 2, FALSE)), ""parenting|moms|dads|kids|toddlers|baby|parent|children""), ""Par"&amp;"enting"",
  REGEXMATCH(LOWER(VLOOKUP(A213, Data1_Raw_Slack!A:B, 2, FALSE)), ""education|students|learning|school|teachers|college|university|academics""), ""Education"",
  REGEXMATCH(LOWER(VLOOKUP(A213, Data1_Raw_Slack!A:B, 2, FALSE)), ""age|gender|dem"&amp;"ographic|family|household""), ""Demographics"",
  REGEXMATCH(LOWER(VLOOKUP(A213, Data1_Raw_Slack!A:B, 2, FALSE)), ""mortgage|real estate""), ""Real Estate"",REGEXMATCH(LOWER(VLOOKUP(A213, Data1_Raw_Slack!A:B, 2, FALSE)), ""technology|tech|gadgets|smartpho"&amp;"ne|electro|apps|devices|computing|ai|robots|software|computer|internet|tele|mobile|tablet""), ""Technology"", REGEXMATCH(LOWER(VLOOKUP(A213, Data1_Raw_Slack!A:B, 2, FALSE)), ""entertainment|purchas|movies|tv|netflix|streaming|celebrity|movie lovers|tv fan"&amp;"s|media|hobb|photo|art|shop""), ""Entertainment"", REGEXMATCH(LOWER(VLOOKUP(A213, Data1_Raw_Slack!A:B, 2, FALSE)), ""law|government|""), ""Law and Government"",
  TRUE, ""Other""
)"),"Finance")</f>
        <v>Finance</v>
      </c>
      <c r="G213" s="9"/>
      <c r="H213" s="9" t="s">
        <v>32</v>
      </c>
      <c r="I213" s="9" t="s">
        <v>450</v>
      </c>
      <c r="J213" s="9" t="s">
        <v>80</v>
      </c>
      <c r="K213" s="9" t="s">
        <v>142</v>
      </c>
      <c r="L213" s="9" t="s">
        <v>72</v>
      </c>
      <c r="M213" s="10" t="s">
        <v>207</v>
      </c>
      <c r="N213" s="9" t="str">
        <f ca="1">IFERROR(__xludf.DUMMYFUNCTION("REGEXEXTRACT(LOWER(M213), ""([a-z0-9\-]+)\.(?:co|net|org|io|gg)"")"),"realtor")</f>
        <v>realtor</v>
      </c>
      <c r="O213" s="9" t="s">
        <v>131</v>
      </c>
      <c r="P213" s="9" t="s">
        <v>39</v>
      </c>
      <c r="Q213" s="9">
        <v>14581</v>
      </c>
      <c r="R213" s="9">
        <v>45</v>
      </c>
      <c r="S213" s="9">
        <v>3821</v>
      </c>
      <c r="T213" s="9">
        <v>12741</v>
      </c>
      <c r="U213" s="9">
        <v>6</v>
      </c>
      <c r="V213" s="11">
        <v>5296.9700910000001</v>
      </c>
      <c r="W213" s="12">
        <f t="shared" si="0"/>
        <v>882.82834850000006</v>
      </c>
      <c r="X213" s="12">
        <f t="shared" si="1"/>
        <v>0.30862080790069268</v>
      </c>
      <c r="Y213" s="12">
        <f t="shared" si="2"/>
        <v>26.205335710856591</v>
      </c>
      <c r="Z213" s="12">
        <f t="shared" si="3"/>
        <v>1386.2784849515836</v>
      </c>
      <c r="AA213" s="12">
        <f t="shared" si="4"/>
        <v>363.27893086893903</v>
      </c>
      <c r="AB213" s="12">
        <f t="shared" si="5"/>
        <v>117.71044646666667</v>
      </c>
      <c r="AC213" s="12">
        <f t="shared" si="6"/>
        <v>13.333333333333334</v>
      </c>
      <c r="AE213" s="13"/>
      <c r="AF213" s="13"/>
    </row>
    <row r="214" spans="1:32">
      <c r="A214" s="8" t="s">
        <v>926</v>
      </c>
      <c r="B214" s="9" t="s">
        <v>41</v>
      </c>
      <c r="C214" s="9" t="s">
        <v>154</v>
      </c>
      <c r="D214" s="9" t="s">
        <v>152</v>
      </c>
      <c r="E214" s="9" t="s">
        <v>927</v>
      </c>
      <c r="F214" s="9" t="str">
        <f ca="1">IFERROR(__xludf.DUMMYFUNCTION("IFS(
  REGEXMATCH(LOWER(VLOOKUP(A214, Data1_Raw_Slack!A:B, 2, FALSE)), ""news|weather""), ""News and Weather"", REGEXMATCH(LOWER(VLOOKUP(A214, Data1_Raw_Slack!A:B, 2, FALSE)), ""sports|ufc|nba|nfl|mlb|soccer|sports fans""), ""Sports"",
  REGEXMATCH(LOWER("&amp;"VLOOKUP(A214, Data1_Raw_Slack!A:B, 2, FALSE)), ""fashion|style|clothing|apparel|shoes|accessories|beauty|cosmetics|fashionistas""), ""Fashion and Beauty"",
  REGEXMATCH(LOWER(VLOOKUP(A214, Data1_Raw_Slack!A:B, 2, FALSE)), ""food|cooking|recipe|restaurant|"&amp;"snack|grocery|foodies""), ""Food"",
  REGEXMATCH(LOWER(VLOOKUP(A214, Data1_Raw_Slack!A:B, 2, FALSE)), ""travel|vacation|airline|hotel|trip|flights|travelers""), ""Travel"",
  REGEXMATCH(LOWER(VLOOKUP(A214, Data1_Raw_Slack!A:B, 2, FALSE)), ""fitness|workou"&amp;"t|gym|exercise|yoga|wellness|fitness enthusiasts""), ""Fitness"",
  REGEXMATCH(LOWER(VLOOKUP(A214, Data1_Raw_Slack!A:B, 2, FALSE)), ""health|medical|pharmacy|mental health|doctor|health-conscious""), ""Health"",
  REGEXMATCH(LOWER(VLOOKUP(A214, Data1_Raw_"&amp;"Slack!A:B, 2, FALSE)), ""pets|dogs|cats|animals|pet care|pet lovers""), ""Pets"",
  REGEXMATCH(LOWER(VLOOKUP(A214, Data1_Raw_Slack!A:B, 2, FALSE)), ""games|gaming|game|xbox|playstation|nintendo|gamers""), ""Gaming"",
  REGEXMATCH(LOWER(VLOOKUP(A214, Data1"&amp;"_Raw_Slack!A:B, 2, FALSE)), ""entertainment|movies|tv|netflix|streaming|celebrity|movie lovers|tv fans|hobb|photo|art""), ""Entertainment"",
  REGEXMATCH(LOWER(VLOOKUP(A214, Data1_Raw_Slack!A:B, 2, FALSE)), ""lifestyle|home|interior|decor|living|lifestyle"&amp;" enthusiasts""), ""Lifestyle"",
  REGEXMATCH(LOWER(VLOOKUP(A214, Data1_Raw_Slack!A:B, 2, FALSE)), ""financial|finance|investing|stocks|retirement|banking|credit|debt|loans|savings|personal finance|insurance|econ|ecom|business|retail|occupation|sale|job|ma"&amp;"rketing""), ""Finance"",
  REGEXMATCH(LOWER(VLOOKUP(A214, Data1_Raw_Slack!A:B, 2, FALSE)), ""auto|automotive""), ""Auto"",
  REGEXMATCH(LOWER(VLOOKUP(A214, Data1_Raw_Slack!A:B, 2, FALSE)), ""parenting|moms|dads|kids|toddlers|baby|parent|children""), ""Par"&amp;"enting"",
  REGEXMATCH(LOWER(VLOOKUP(A214, Data1_Raw_Slack!A:B, 2, FALSE)), ""education|students|learning|school|teachers|college|university|academics""), ""Education"",
  REGEXMATCH(LOWER(VLOOKUP(A214, Data1_Raw_Slack!A:B, 2, FALSE)), ""age|gender|dem"&amp;"ographic|family|household""), ""Demographics"",
  REGEXMATCH(LOWER(VLOOKUP(A214, Data1_Raw_Slack!A:B, 2, FALSE)), ""mortgage|real estate""), ""Real Estate"",REGEXMATCH(LOWER(VLOOKUP(A214, Data1_Raw_Slack!A:B, 2, FALSE)), ""technology|tech|gadgets|smartpho"&amp;"ne|electro|apps|devices|computing|ai|robots|software|computer|internet|tele|mobile|tablet""), ""Technology"", REGEXMATCH(LOWER(VLOOKUP(A214, Data1_Raw_Slack!A:B, 2, FALSE)), ""entertainment|purchas|movies|tv|netflix|streaming|celebrity|movie lovers|tv fan"&amp;"s|media|hobb|photo|art|shop""), ""Entertainment"", REGEXMATCH(LOWER(VLOOKUP(A214, Data1_Raw_Slack!A:B, 2, FALSE)), ""law|government|""), ""Law and Government"",
  TRUE, ""Other""
)"),"Sports")</f>
        <v>Sports</v>
      </c>
      <c r="G214" s="9" t="s">
        <v>154</v>
      </c>
      <c r="H214" s="9" t="s">
        <v>44</v>
      </c>
      <c r="I214" s="9" t="s">
        <v>928</v>
      </c>
      <c r="J214" s="9" t="s">
        <v>80</v>
      </c>
      <c r="K214" s="9" t="s">
        <v>35</v>
      </c>
      <c r="L214" s="9" t="s">
        <v>36</v>
      </c>
      <c r="M214" s="10" t="s">
        <v>929</v>
      </c>
      <c r="N214" s="9" t="str">
        <f ca="1">IFERROR(__xludf.DUMMYFUNCTION("REGEXEXTRACT(LOWER(M214), ""([a-z0-9\-]+)\.(?:co|net|org|io|gg)"")"),"buzzfeed")</f>
        <v>buzzfeed</v>
      </c>
      <c r="O214" s="9" t="s">
        <v>725</v>
      </c>
      <c r="P214" s="9" t="s">
        <v>64</v>
      </c>
      <c r="Q214" s="9">
        <v>10066</v>
      </c>
      <c r="R214" s="9">
        <v>63</v>
      </c>
      <c r="S214" s="9">
        <v>6978</v>
      </c>
      <c r="T214" s="9">
        <v>9369</v>
      </c>
      <c r="U214" s="9">
        <v>19</v>
      </c>
      <c r="V214" s="11">
        <v>6879.5870969999996</v>
      </c>
      <c r="W214" s="12">
        <f t="shared" si="0"/>
        <v>362.08353142105261</v>
      </c>
      <c r="X214" s="12">
        <f t="shared" si="1"/>
        <v>0.62586926286509037</v>
      </c>
      <c r="Y214" s="12">
        <f t="shared" si="2"/>
        <v>69.322471686866677</v>
      </c>
      <c r="Z214" s="12">
        <f t="shared" si="3"/>
        <v>985.89668916595008</v>
      </c>
      <c r="AA214" s="12">
        <f t="shared" si="4"/>
        <v>683.44795320882179</v>
      </c>
      <c r="AB214" s="12">
        <f t="shared" si="5"/>
        <v>109.19979519047618</v>
      </c>
      <c r="AC214" s="12">
        <f t="shared" si="6"/>
        <v>30.158730158730158</v>
      </c>
      <c r="AE214" s="13"/>
      <c r="AF214" s="13"/>
    </row>
    <row r="215" spans="1:32">
      <c r="A215" s="8" t="s">
        <v>930</v>
      </c>
      <c r="B215" s="9" t="s">
        <v>41</v>
      </c>
      <c r="C215" s="9" t="s">
        <v>319</v>
      </c>
      <c r="D215" s="9" t="s">
        <v>931</v>
      </c>
      <c r="E215" s="9"/>
      <c r="F215" s="9" t="str">
        <f ca="1">IFERROR(__xludf.DUMMYFUNCTION("IFS(
  REGEXMATCH(LOWER(VLOOKUP(A215, Data1_Raw_Slack!A:B, 2, FALSE)), ""news|weather""), ""News and Weather"", REGEXMATCH(LOWER(VLOOKUP(A215, Data1_Raw_Slack!A:B, 2, FALSE)), ""sports|ufc|nba|nfl|mlb|soccer|sports fans""), ""Sports"",
  REGEXMATCH(LOWER("&amp;"VLOOKUP(A215, Data1_Raw_Slack!A:B, 2, FALSE)), ""fashion|style|clothing|apparel|shoes|accessories|beauty|cosmetics|fashionistas""), ""Fashion and Beauty"",
  REGEXMATCH(LOWER(VLOOKUP(A215, Data1_Raw_Slack!A:B, 2, FALSE)), ""food|cooking|recipe|restaurant|"&amp;"snack|grocery|foodies""), ""Food"",
  REGEXMATCH(LOWER(VLOOKUP(A215, Data1_Raw_Slack!A:B, 2, FALSE)), ""travel|vacation|airline|hotel|trip|flights|travelers""), ""Travel"",
  REGEXMATCH(LOWER(VLOOKUP(A215, Data1_Raw_Slack!A:B, 2, FALSE)), ""fitness|workou"&amp;"t|gym|exercise|yoga|wellness|fitness enthusiasts""), ""Fitness"",
  REGEXMATCH(LOWER(VLOOKUP(A215, Data1_Raw_Slack!A:B, 2, FALSE)), ""health|medical|pharmacy|mental health|doctor|health-conscious""), ""Health"",
  REGEXMATCH(LOWER(VLOOKUP(A215, Data1_Raw_"&amp;"Slack!A:B, 2, FALSE)), ""pets|dogs|cats|animals|pet care|pet lovers""), ""Pets"",
  REGEXMATCH(LOWER(VLOOKUP(A215, Data1_Raw_Slack!A:B, 2, FALSE)), ""games|gaming|game|xbox|playstation|nintendo|gamers""), ""Gaming"",
  REGEXMATCH(LOWER(VLOOKUP(A215, Data1"&amp;"_Raw_Slack!A:B, 2, FALSE)), ""entertainment|movies|tv|netflix|streaming|celebrity|movie lovers|tv fans|hobb|photo|art""), ""Entertainment"",
  REGEXMATCH(LOWER(VLOOKUP(A215, Data1_Raw_Slack!A:B, 2, FALSE)), ""lifestyle|home|interior|decor|living|lifestyle"&amp;" enthusiasts""), ""Lifestyle"",
  REGEXMATCH(LOWER(VLOOKUP(A215, Data1_Raw_Slack!A:B, 2, FALSE)), ""financial|finance|investing|stocks|retirement|banking|credit|debt|loans|savings|personal finance|insurance|econ|ecom|business|retail|occupation|sale|job|ma"&amp;"rketing""), ""Finance"",
  REGEXMATCH(LOWER(VLOOKUP(A215, Data1_Raw_Slack!A:B, 2, FALSE)), ""auto|automotive""), ""Auto"",
  REGEXMATCH(LOWER(VLOOKUP(A215, Data1_Raw_Slack!A:B, 2, FALSE)), ""parenting|moms|dads|kids|toddlers|baby|parent|children""), ""Par"&amp;"enting"",
  REGEXMATCH(LOWER(VLOOKUP(A215, Data1_Raw_Slack!A:B, 2, FALSE)), ""education|students|learning|school|teachers|college|university|academics""), ""Education"",
  REGEXMATCH(LOWER(VLOOKUP(A215, Data1_Raw_Slack!A:B, 2, FALSE)), ""age|gender|dem"&amp;"ographic|family|household""), ""Demographics"",
  REGEXMATCH(LOWER(VLOOKUP(A215, Data1_Raw_Slack!A:B, 2, FALSE)), ""mortgage|real estate""), ""Real Estate"",REGEXMATCH(LOWER(VLOOKUP(A215, Data1_Raw_Slack!A:B, 2, FALSE)), ""technology|tech|gadgets|smartpho"&amp;"ne|electro|apps|devices|computing|ai|robots|software|computer|internet|tele|mobile|tablet""), ""Technology"", REGEXMATCH(LOWER(VLOOKUP(A215, Data1_Raw_Slack!A:B, 2, FALSE)), ""entertainment|purchas|movies|tv|netflix|streaming|celebrity|movie lovers|tv fan"&amp;"s|media|hobb|photo|art|shop""), ""Entertainment"", REGEXMATCH(LOWER(VLOOKUP(A215, Data1_Raw_Slack!A:B, 2, FALSE)), ""law|government|""), ""Law and Government"",
  TRUE, ""Other""
)"),"Food")</f>
        <v>Food</v>
      </c>
      <c r="G215" s="9"/>
      <c r="H215" s="9" t="s">
        <v>32</v>
      </c>
      <c r="I215" s="9" t="s">
        <v>598</v>
      </c>
      <c r="J215" s="9" t="s">
        <v>80</v>
      </c>
      <c r="K215" s="9" t="s">
        <v>895</v>
      </c>
      <c r="L215" s="9" t="s">
        <v>265</v>
      </c>
      <c r="M215" s="10" t="s">
        <v>348</v>
      </c>
      <c r="N215" s="9" t="str">
        <f ca="1">IFERROR(__xludf.DUMMYFUNCTION("REGEXEXTRACT(LOWER(M215), ""([a-z0-9\-]+)\.(?:co|net|org|io|gg)"")"),"drugs")</f>
        <v>drugs</v>
      </c>
      <c r="O215" s="9" t="s">
        <v>50</v>
      </c>
      <c r="P215" s="9" t="s">
        <v>39</v>
      </c>
      <c r="Q215" s="9">
        <v>18412</v>
      </c>
      <c r="R215" s="9">
        <v>140</v>
      </c>
      <c r="S215" s="9">
        <v>5668</v>
      </c>
      <c r="T215" s="9">
        <v>16711</v>
      </c>
      <c r="U215" s="9">
        <v>12</v>
      </c>
      <c r="V215" s="11">
        <v>5244.3417399999998</v>
      </c>
      <c r="W215" s="12">
        <f t="shared" si="0"/>
        <v>437.02847833333334</v>
      </c>
      <c r="X215" s="12">
        <f t="shared" si="1"/>
        <v>0.76037366934607864</v>
      </c>
      <c r="Y215" s="12">
        <f t="shared" si="2"/>
        <v>30.784271127525525</v>
      </c>
      <c r="Z215" s="12">
        <f t="shared" si="3"/>
        <v>925.25436485532805</v>
      </c>
      <c r="AA215" s="12">
        <f t="shared" si="4"/>
        <v>284.83281229632843</v>
      </c>
      <c r="AB215" s="12">
        <f t="shared" si="5"/>
        <v>37.459583857142853</v>
      </c>
      <c r="AC215" s="12">
        <f t="shared" si="6"/>
        <v>8.5714285714285712</v>
      </c>
      <c r="AE215" s="13"/>
      <c r="AF215" s="13"/>
    </row>
    <row r="216" spans="1:32">
      <c r="A216" s="8" t="s">
        <v>932</v>
      </c>
      <c r="B216" s="9"/>
      <c r="C216" s="9" t="s">
        <v>933</v>
      </c>
      <c r="D216" s="9" t="s">
        <v>934</v>
      </c>
      <c r="E216" s="9"/>
      <c r="F216" s="9" t="str">
        <f ca="1">IFERROR(__xludf.DUMMYFUNCTION("IFS(
  REGEXMATCH(LOWER(VLOOKUP(A216, Data1_Raw_Slack!A:B, 2, FALSE)), ""news|weather""), ""News and Weather"", REGEXMATCH(LOWER(VLOOKUP(A216, Data1_Raw_Slack!A:B, 2, FALSE)), ""sports|ufc|nba|nfl|mlb|soccer|sports fans""), ""Sports"",
  REGEXMATCH(LOWER("&amp;"VLOOKUP(A216, Data1_Raw_Slack!A:B, 2, FALSE)), ""fashion|style|clothing|apparel|shoes|accessories|beauty|cosmetics|fashionistas""), ""Fashion and Beauty"",
  REGEXMATCH(LOWER(VLOOKUP(A216, Data1_Raw_Slack!A:B, 2, FALSE)), ""food|cooking|recipe|restaurant|"&amp;"snack|grocery|foodies""), ""Food"",
  REGEXMATCH(LOWER(VLOOKUP(A216, Data1_Raw_Slack!A:B, 2, FALSE)), ""travel|vacation|airline|hotel|trip|flights|travelers""), ""Travel"",
  REGEXMATCH(LOWER(VLOOKUP(A216, Data1_Raw_Slack!A:B, 2, FALSE)), ""fitness|workou"&amp;"t|gym|exercise|yoga|wellness|fitness enthusiasts""), ""Fitness"",
  REGEXMATCH(LOWER(VLOOKUP(A216, Data1_Raw_Slack!A:B, 2, FALSE)), ""health|medical|pharmacy|mental health|doctor|health-conscious""), ""Health"",
  REGEXMATCH(LOWER(VLOOKUP(A216, Data1_Raw_"&amp;"Slack!A:B, 2, FALSE)), ""pets|dogs|cats|animals|pet care|pet lovers""), ""Pets"",
  REGEXMATCH(LOWER(VLOOKUP(A216, Data1_Raw_Slack!A:B, 2, FALSE)), ""games|gaming|game|xbox|playstation|nintendo|gamers""), ""Gaming"",
  REGEXMATCH(LOWER(VLOOKUP(A216, Data1"&amp;"_Raw_Slack!A:B, 2, FALSE)), ""entertainment|movies|tv|netflix|streaming|celebrity|movie lovers|tv fans|hobb|photo|art""), ""Entertainment"",
  REGEXMATCH(LOWER(VLOOKUP(A216, Data1_Raw_Slack!A:B, 2, FALSE)), ""lifestyle|home|interior|decor|living|lifestyle"&amp;" enthusiasts""), ""Lifestyle"",
  REGEXMATCH(LOWER(VLOOKUP(A216, Data1_Raw_Slack!A:B, 2, FALSE)), ""financial|finance|investing|stocks|retirement|banking|credit|debt|loans|savings|personal finance|insurance|econ|ecom|business|retail|occupation|sale|job|ma"&amp;"rketing""), ""Finance"",
  REGEXMATCH(LOWER(VLOOKUP(A216, Data1_Raw_Slack!A:B, 2, FALSE)), ""auto|automotive""), ""Auto"",
  REGEXMATCH(LOWER(VLOOKUP(A216, Data1_Raw_Slack!A:B, 2, FALSE)), ""parenting|moms|dads|kids|toddlers|baby|parent|children""), ""Par"&amp;"enting"",
  REGEXMATCH(LOWER(VLOOKUP(A216, Data1_Raw_Slack!A:B, 2, FALSE)), ""education|students|learning|school|teachers|college|university|academics""), ""Education"",
  REGEXMATCH(LOWER(VLOOKUP(A216, Data1_Raw_Slack!A:B, 2, FALSE)), ""age|gender|dem"&amp;"ographic|family|household""), ""Demographics"",
  REGEXMATCH(LOWER(VLOOKUP(A216, Data1_Raw_Slack!A:B, 2, FALSE)), ""mortgage|real estate""), ""Real Estate"",REGEXMATCH(LOWER(VLOOKUP(A216, Data1_Raw_Slack!A:B, 2, FALSE)), ""technology|tech|gadgets|smartpho"&amp;"ne|electro|apps|devices|computing|ai|robots|software|computer|internet|tele|mobile|tablet""), ""Technology"", REGEXMATCH(LOWER(VLOOKUP(A216, Data1_Raw_Slack!A:B, 2, FALSE)), ""entertainment|purchas|movies|tv|netflix|streaming|celebrity|movie lovers|tv fan"&amp;"s|media|hobb|photo|art|shop""), ""Entertainment"", REGEXMATCH(LOWER(VLOOKUP(A216, Data1_Raw_Slack!A:B, 2, FALSE)), ""law|government|""), ""Law and Government"",
  TRUE, ""Other""
)"),"Lifestyle")</f>
        <v>Lifestyle</v>
      </c>
      <c r="G216" s="9"/>
      <c r="H216" s="9" t="s">
        <v>44</v>
      </c>
      <c r="I216" s="9" t="s">
        <v>935</v>
      </c>
      <c r="J216" s="9" t="s">
        <v>80</v>
      </c>
      <c r="K216" s="9" t="s">
        <v>170</v>
      </c>
      <c r="L216" s="9" t="s">
        <v>72</v>
      </c>
      <c r="M216" s="10" t="s">
        <v>73</v>
      </c>
      <c r="N216" s="9" t="str">
        <f ca="1">IFERROR(__xludf.DUMMYFUNCTION("REGEXEXTRACT(LOWER(M216), ""([a-z0-9\-]+)\.(?:co|net|org|io|gg)"")"),"aol")</f>
        <v>aol</v>
      </c>
      <c r="O216" s="9" t="s">
        <v>186</v>
      </c>
      <c r="P216" s="9" t="s">
        <v>39</v>
      </c>
      <c r="Q216" s="9">
        <v>15033</v>
      </c>
      <c r="R216" s="9">
        <v>76</v>
      </c>
      <c r="S216" s="9">
        <v>5495</v>
      </c>
      <c r="T216" s="9">
        <v>7050</v>
      </c>
      <c r="U216" s="9">
        <v>3</v>
      </c>
      <c r="V216" s="11">
        <v>1650.7230099999999</v>
      </c>
      <c r="W216" s="12">
        <f t="shared" si="0"/>
        <v>550.24100333333331</v>
      </c>
      <c r="X216" s="12">
        <f t="shared" si="1"/>
        <v>0.50555444688352291</v>
      </c>
      <c r="Y216" s="12">
        <f t="shared" si="2"/>
        <v>36.552916916117873</v>
      </c>
      <c r="Z216" s="12">
        <f t="shared" si="3"/>
        <v>300.40455141037302</v>
      </c>
      <c r="AA216" s="12">
        <f t="shared" si="4"/>
        <v>109.80662608927027</v>
      </c>
      <c r="AB216" s="12">
        <f t="shared" si="5"/>
        <v>21.720039605263157</v>
      </c>
      <c r="AC216" s="12">
        <f t="shared" si="6"/>
        <v>3.9473684210526314</v>
      </c>
      <c r="AE216" s="13"/>
      <c r="AF216" s="13"/>
    </row>
    <row r="217" spans="1:32">
      <c r="A217" s="8" t="s">
        <v>936</v>
      </c>
      <c r="B217" s="9" t="s">
        <v>459</v>
      </c>
      <c r="C217" s="9" t="s">
        <v>253</v>
      </c>
      <c r="D217" s="9" t="s">
        <v>937</v>
      </c>
      <c r="E217" s="9"/>
      <c r="F217" s="9" t="str">
        <f ca="1">IFERROR(__xludf.DUMMYFUNCTION("IFS(
  REGEXMATCH(LOWER(VLOOKUP(A217, Data1_Raw_Slack!A:B, 2, FALSE)), ""news|weather""), ""News and Weather"", REGEXMATCH(LOWER(VLOOKUP(A217, Data1_Raw_Slack!A:B, 2, FALSE)), ""sports|ufc|nba|nfl|mlb|soccer|sports fans""), ""Sports"",
  REGEXMATCH(LOWER("&amp;"VLOOKUP(A217, Data1_Raw_Slack!A:B, 2, FALSE)), ""fashion|style|clothing|apparel|shoes|accessories|beauty|cosmetics|fashionistas""), ""Fashion and Beauty"",
  REGEXMATCH(LOWER(VLOOKUP(A217, Data1_Raw_Slack!A:B, 2, FALSE)), ""food|cooking|recipe|restaurant|"&amp;"snack|grocery|foodies""), ""Food"",
  REGEXMATCH(LOWER(VLOOKUP(A217, Data1_Raw_Slack!A:B, 2, FALSE)), ""travel|vacation|airline|hotel|trip|flights|travelers""), ""Travel"",
  REGEXMATCH(LOWER(VLOOKUP(A217, Data1_Raw_Slack!A:B, 2, FALSE)), ""fitness|workou"&amp;"t|gym|exercise|yoga|wellness|fitness enthusiasts""), ""Fitness"",
  REGEXMATCH(LOWER(VLOOKUP(A217, Data1_Raw_Slack!A:B, 2, FALSE)), ""health|medical|pharmacy|mental health|doctor|health-conscious""), ""Health"",
  REGEXMATCH(LOWER(VLOOKUP(A217, Data1_Raw_"&amp;"Slack!A:B, 2, FALSE)), ""pets|dogs|cats|animals|pet care|pet lovers""), ""Pets"",
  REGEXMATCH(LOWER(VLOOKUP(A217, Data1_Raw_Slack!A:B, 2, FALSE)), ""games|gaming|game|xbox|playstation|nintendo|gamers""), ""Gaming"",
  REGEXMATCH(LOWER(VLOOKUP(A217, Data1"&amp;"_Raw_Slack!A:B, 2, FALSE)), ""entertainment|movies|tv|netflix|streaming|celebrity|movie lovers|tv fans|hobb|photo|art""), ""Entertainment"",
  REGEXMATCH(LOWER(VLOOKUP(A217, Data1_Raw_Slack!A:B, 2, FALSE)), ""lifestyle|home|interior|decor|living|lifestyle"&amp;" enthusiasts""), ""Lifestyle"",
  REGEXMATCH(LOWER(VLOOKUP(A217, Data1_Raw_Slack!A:B, 2, FALSE)), ""financial|finance|investing|stocks|retirement|banking|credit|debt|loans|savings|personal finance|insurance|econ|ecom|business|retail|occupation|sale|job|ma"&amp;"rketing""), ""Finance"",
  REGEXMATCH(LOWER(VLOOKUP(A217, Data1_Raw_Slack!A:B, 2, FALSE)), ""auto|automotive""), ""Auto"",
  REGEXMATCH(LOWER(VLOOKUP(A217, Data1_Raw_Slack!A:B, 2, FALSE)), ""parenting|moms|dads|kids|toddlers|baby|parent|children""), ""Par"&amp;"enting"",
  REGEXMATCH(LOWER(VLOOKUP(A217, Data1_Raw_Slack!A:B, 2, FALSE)), ""education|students|learning|school|teachers|college|university|academics""), ""Education"",
  REGEXMATCH(LOWER(VLOOKUP(A217, Data1_Raw_Slack!A:B, 2, FALSE)), ""age|gender|dem"&amp;"ographic|family|household""), ""Demographics"",
  REGEXMATCH(LOWER(VLOOKUP(A217, Data1_Raw_Slack!A:B, 2, FALSE)), ""mortgage|real estate""), ""Real Estate"",REGEXMATCH(LOWER(VLOOKUP(A217, Data1_Raw_Slack!A:B, 2, FALSE)), ""technology|tech|gadgets|smartpho"&amp;"ne|electro|apps|devices|computing|ai|robots|software|computer|internet|tele|mobile|tablet""), ""Technology"", REGEXMATCH(LOWER(VLOOKUP(A217, Data1_Raw_Slack!A:B, 2, FALSE)), ""entertainment|purchas|movies|tv|netflix|streaming|celebrity|movie lovers|tv fan"&amp;"s|media|hobb|photo|art|shop""), ""Entertainment"", REGEXMATCH(LOWER(VLOOKUP(A217, Data1_Raw_Slack!A:B, 2, FALSE)), ""law|government|""), ""Law and Government"",
  TRUE, ""Other""
)"),"Technology")</f>
        <v>Technology</v>
      </c>
      <c r="G217" s="9"/>
      <c r="H217" s="9" t="s">
        <v>44</v>
      </c>
      <c r="I217" s="9" t="s">
        <v>347</v>
      </c>
      <c r="J217" s="9" t="s">
        <v>34</v>
      </c>
      <c r="K217" s="9" t="s">
        <v>148</v>
      </c>
      <c r="L217" s="9" t="s">
        <v>89</v>
      </c>
      <c r="M217" s="10" t="s">
        <v>191</v>
      </c>
      <c r="N217" s="9" t="str">
        <f ca="1">IFERROR(__xludf.DUMMYFUNCTION("REGEXEXTRACT(LOWER(M217), ""([a-z0-9\-]+)\.(?:co|net|org|io|gg)"")"),"autotrader")</f>
        <v>autotrader</v>
      </c>
      <c r="O217" s="9" t="s">
        <v>74</v>
      </c>
      <c r="P217" s="9" t="s">
        <v>39</v>
      </c>
      <c r="Q217" s="9">
        <v>67752</v>
      </c>
      <c r="R217" s="9">
        <v>174</v>
      </c>
      <c r="S217" s="9">
        <v>47126</v>
      </c>
      <c r="T217" s="9">
        <v>65080</v>
      </c>
      <c r="U217" s="9">
        <v>3</v>
      </c>
      <c r="V217" s="11">
        <v>1557.0157300000001</v>
      </c>
      <c r="W217" s="12">
        <f t="shared" si="0"/>
        <v>519.0052433333334</v>
      </c>
      <c r="X217" s="12">
        <f t="shared" si="1"/>
        <v>0.25681898689337584</v>
      </c>
      <c r="Y217" s="12">
        <f t="shared" si="2"/>
        <v>69.556618254811667</v>
      </c>
      <c r="Z217" s="12">
        <f t="shared" si="3"/>
        <v>33.039420489750889</v>
      </c>
      <c r="AA217" s="12">
        <f t="shared" si="4"/>
        <v>22.981103583658047</v>
      </c>
      <c r="AB217" s="12">
        <f t="shared" si="5"/>
        <v>8.9483662643678166</v>
      </c>
      <c r="AC217" s="12">
        <f t="shared" si="6"/>
        <v>1.7241379310344827</v>
      </c>
      <c r="AE217" s="13"/>
      <c r="AF217" s="13"/>
    </row>
    <row r="218" spans="1:32">
      <c r="A218" s="8" t="s">
        <v>938</v>
      </c>
      <c r="B218" s="9" t="s">
        <v>41</v>
      </c>
      <c r="C218" s="9" t="s">
        <v>162</v>
      </c>
      <c r="D218" s="9" t="s">
        <v>914</v>
      </c>
      <c r="E218" s="9" t="s">
        <v>939</v>
      </c>
      <c r="F218" s="9" t="str">
        <f ca="1">IFERROR(__xludf.DUMMYFUNCTION("IFS(
  REGEXMATCH(LOWER(VLOOKUP(A218, Data1_Raw_Slack!A:B, 2, FALSE)), ""news|weather""), ""News and Weather"", REGEXMATCH(LOWER(VLOOKUP(A218, Data1_Raw_Slack!A:B, 2, FALSE)), ""sports|ufc|nba|nfl|mlb|soccer|sports fans""), ""Sports"",
  REGEXMATCH(LOWER("&amp;"VLOOKUP(A218, Data1_Raw_Slack!A:B, 2, FALSE)), ""fashion|style|clothing|apparel|shoes|accessories|beauty|cosmetics|fashionistas""), ""Fashion and Beauty"",
  REGEXMATCH(LOWER(VLOOKUP(A218, Data1_Raw_Slack!A:B, 2, FALSE)), ""food|cooking|recipe|restaurant|"&amp;"snack|grocery|foodies""), ""Food"",
  REGEXMATCH(LOWER(VLOOKUP(A218, Data1_Raw_Slack!A:B, 2, FALSE)), ""travel|vacation|airline|hotel|trip|flights|travelers""), ""Travel"",
  REGEXMATCH(LOWER(VLOOKUP(A218, Data1_Raw_Slack!A:B, 2, FALSE)), ""fitness|workou"&amp;"t|gym|exercise|yoga|wellness|fitness enthusiasts""), ""Fitness"",
  REGEXMATCH(LOWER(VLOOKUP(A218, Data1_Raw_Slack!A:B, 2, FALSE)), ""health|medical|pharmacy|mental health|doctor|health-conscious""), ""Health"",
  REGEXMATCH(LOWER(VLOOKUP(A218, Data1_Raw_"&amp;"Slack!A:B, 2, FALSE)), ""pets|dogs|cats|animals|pet care|pet lovers""), ""Pets"",
  REGEXMATCH(LOWER(VLOOKUP(A218, Data1_Raw_Slack!A:B, 2, FALSE)), ""games|gaming|game|xbox|playstation|nintendo|gamers""), ""Gaming"",
  REGEXMATCH(LOWER(VLOOKUP(A218, Data1"&amp;"_Raw_Slack!A:B, 2, FALSE)), ""entertainment|movies|tv|netflix|streaming|celebrity|movie lovers|tv fans|hobb|photo|art""), ""Entertainment"",
  REGEXMATCH(LOWER(VLOOKUP(A218, Data1_Raw_Slack!A:B, 2, FALSE)), ""lifestyle|home|interior|decor|living|lifestyle"&amp;" enthusiasts""), ""Lifestyle"",
  REGEXMATCH(LOWER(VLOOKUP(A218, Data1_Raw_Slack!A:B, 2, FALSE)), ""financial|finance|investing|stocks|retirement|banking|credit|debt|loans|savings|personal finance|insurance|econ|ecom|business|retail|occupation|sale|job|ma"&amp;"rketing""), ""Finance"",
  REGEXMATCH(LOWER(VLOOKUP(A218, Data1_Raw_Slack!A:B, 2, FALSE)), ""auto|automotive""), ""Auto"",
  REGEXMATCH(LOWER(VLOOKUP(A218, Data1_Raw_Slack!A:B, 2, FALSE)), ""parenting|moms|dads|kids|toddlers|baby|parent|children""), ""Par"&amp;"enting"",
  REGEXMATCH(LOWER(VLOOKUP(A218, Data1_Raw_Slack!A:B, 2, FALSE)), ""education|students|learning|school|teachers|college|university|academics""), ""Education"",
  REGEXMATCH(LOWER(VLOOKUP(A218, Data1_Raw_Slack!A:B, 2, FALSE)), ""age|gender|dem"&amp;"ographic|family|household""), ""Demographics"",
  REGEXMATCH(LOWER(VLOOKUP(A218, Data1_Raw_Slack!A:B, 2, FALSE)), ""mortgage|real estate""), ""Real Estate"",REGEXMATCH(LOWER(VLOOKUP(A218, Data1_Raw_Slack!A:B, 2, FALSE)), ""technology|tech|gadgets|smartpho"&amp;"ne|electro|apps|devices|computing|ai|robots|software|computer|internet|tele|mobile|tablet""), ""Technology"", REGEXMATCH(LOWER(VLOOKUP(A218, Data1_Raw_Slack!A:B, 2, FALSE)), ""entertainment|purchas|movies|tv|netflix|streaming|celebrity|movie lovers|tv fan"&amp;"s|media|hobb|photo|art|shop""), ""Entertainment"", REGEXMATCH(LOWER(VLOOKUP(A218, Data1_Raw_Slack!A:B, 2, FALSE)), ""law|government|""), ""Law and Government"",
  TRUE, ""Other""
)"),"Auto")</f>
        <v>Auto</v>
      </c>
      <c r="G218" s="9" t="s">
        <v>122</v>
      </c>
      <c r="H218" s="9" t="s">
        <v>32</v>
      </c>
      <c r="I218" s="9" t="s">
        <v>940</v>
      </c>
      <c r="J218" s="9" t="s">
        <v>62</v>
      </c>
      <c r="K218" s="9" t="s">
        <v>148</v>
      </c>
      <c r="L218" s="9" t="s">
        <v>89</v>
      </c>
      <c r="M218" s="10" t="s">
        <v>941</v>
      </c>
      <c r="N218" s="9" t="str">
        <f ca="1">IFERROR(__xludf.DUMMYFUNCTION("REGEXEXTRACT(LOWER(M218), ""([a-z0-9\-]+)\.(?:co|net|org|io|gg)"")"),"fandom")</f>
        <v>fandom</v>
      </c>
      <c r="O218" s="9" t="s">
        <v>109</v>
      </c>
      <c r="P218" s="9" t="s">
        <v>39</v>
      </c>
      <c r="Q218" s="9">
        <v>15252</v>
      </c>
      <c r="R218" s="9">
        <v>55</v>
      </c>
      <c r="S218" s="9">
        <v>2152</v>
      </c>
      <c r="T218" s="9">
        <v>3482</v>
      </c>
      <c r="U218" s="9">
        <v>7</v>
      </c>
      <c r="V218" s="11">
        <v>6211.2001469999996</v>
      </c>
      <c r="W218" s="12">
        <f t="shared" si="0"/>
        <v>887.31430671428564</v>
      </c>
      <c r="X218" s="12">
        <f t="shared" si="1"/>
        <v>0.3606084447941254</v>
      </c>
      <c r="Y218" s="12">
        <f t="shared" si="2"/>
        <v>14.109624967217412</v>
      </c>
      <c r="Z218" s="12">
        <f t="shared" si="3"/>
        <v>2886.2454214684012</v>
      </c>
      <c r="AA218" s="12">
        <f t="shared" si="4"/>
        <v>407.23840460267502</v>
      </c>
      <c r="AB218" s="12">
        <f t="shared" si="5"/>
        <v>112.93091176363636</v>
      </c>
      <c r="AC218" s="12">
        <f t="shared" si="6"/>
        <v>12.727272727272727</v>
      </c>
      <c r="AE218" s="13"/>
      <c r="AF218" s="13"/>
    </row>
    <row r="219" spans="1:32">
      <c r="A219" s="8" t="s">
        <v>942</v>
      </c>
      <c r="B219" s="9"/>
      <c r="C219" s="9" t="s">
        <v>133</v>
      </c>
      <c r="D219" s="9"/>
      <c r="E219" s="9"/>
      <c r="F219" s="9" t="str">
        <f ca="1">IFERROR(__xludf.DUMMYFUNCTION("IFS(
  REGEXMATCH(LOWER(VLOOKUP(A219, Data1_Raw_Slack!A:B, 2, FALSE)), ""news|weather""), ""News and Weather"", REGEXMATCH(LOWER(VLOOKUP(A219, Data1_Raw_Slack!A:B, 2, FALSE)), ""sports|ufc|nba|nfl|mlb|soccer|sports fans""), ""Sports"",
  REGEXMATCH(LOWER("&amp;"VLOOKUP(A219, Data1_Raw_Slack!A:B, 2, FALSE)), ""fashion|style|clothing|apparel|shoes|accessories|beauty|cosmetics|fashionistas""), ""Fashion and Beauty"",
  REGEXMATCH(LOWER(VLOOKUP(A219, Data1_Raw_Slack!A:B, 2, FALSE)), ""food|cooking|recipe|restaurant|"&amp;"snack|grocery|foodies""), ""Food"",
  REGEXMATCH(LOWER(VLOOKUP(A219, Data1_Raw_Slack!A:B, 2, FALSE)), ""travel|vacation|airline|hotel|trip|flights|travelers""), ""Travel"",
  REGEXMATCH(LOWER(VLOOKUP(A219, Data1_Raw_Slack!A:B, 2, FALSE)), ""fitness|workou"&amp;"t|gym|exercise|yoga|wellness|fitness enthusiasts""), ""Fitness"",
  REGEXMATCH(LOWER(VLOOKUP(A219, Data1_Raw_Slack!A:B, 2, FALSE)), ""health|medical|pharmacy|mental health|doctor|health-conscious""), ""Health"",
  REGEXMATCH(LOWER(VLOOKUP(A219, Data1_Raw_"&amp;"Slack!A:B, 2, FALSE)), ""pets|dogs|cats|animals|pet care|pet lovers""), ""Pets"",
  REGEXMATCH(LOWER(VLOOKUP(A219, Data1_Raw_Slack!A:B, 2, FALSE)), ""games|gaming|game|xbox|playstation|nintendo|gamers""), ""Gaming"",
  REGEXMATCH(LOWER(VLOOKUP(A219, Data1"&amp;"_Raw_Slack!A:B, 2, FALSE)), ""entertainment|movies|tv|netflix|streaming|celebrity|movie lovers|tv fans|hobb|photo|art""), ""Entertainment"",
  REGEXMATCH(LOWER(VLOOKUP(A219, Data1_Raw_Slack!A:B, 2, FALSE)), ""lifestyle|home|interior|decor|living|lifestyle"&amp;" enthusiasts""), ""Lifestyle"",
  REGEXMATCH(LOWER(VLOOKUP(A219, Data1_Raw_Slack!A:B, 2, FALSE)), ""financial|finance|investing|stocks|retirement|banking|credit|debt|loans|savings|personal finance|insurance|econ|ecom|business|retail|occupation|sale|job|ma"&amp;"rketing""), ""Finance"",
  REGEXMATCH(LOWER(VLOOKUP(A219, Data1_Raw_Slack!A:B, 2, FALSE)), ""auto|automotive""), ""Auto"",
  REGEXMATCH(LOWER(VLOOKUP(A219, Data1_Raw_Slack!A:B, 2, FALSE)), ""parenting|moms|dads|kids|toddlers|baby|parent|children""), ""Par"&amp;"enting"",
  REGEXMATCH(LOWER(VLOOKUP(A219, Data1_Raw_Slack!A:B, 2, FALSE)), ""education|students|learning|school|teachers|college|university|academics""), ""Education"",
  REGEXMATCH(LOWER(VLOOKUP(A219, Data1_Raw_Slack!A:B, 2, FALSE)), ""age|gender|dem"&amp;"ographic|family|household""), ""Demographics"",
  REGEXMATCH(LOWER(VLOOKUP(A219, Data1_Raw_Slack!A:B, 2, FALSE)), ""mortgage|real estate""), ""Real Estate"",REGEXMATCH(LOWER(VLOOKUP(A219, Data1_Raw_Slack!A:B, 2, FALSE)), ""technology|tech|gadgets|smartpho"&amp;"ne|electro|apps|devices|computing|ai|robots|software|computer|internet|tele|mobile|tablet""), ""Technology"", REGEXMATCH(LOWER(VLOOKUP(A219, Data1_Raw_Slack!A:B, 2, FALSE)), ""entertainment|purchas|movies|tv|netflix|streaming|celebrity|movie lovers|tv fan"&amp;"s|media|hobb|photo|art|shop""), ""Entertainment"", REGEXMATCH(LOWER(VLOOKUP(A219, Data1_Raw_Slack!A:B, 2, FALSE)), ""law|government|""), ""Law and Government"",
  TRUE, ""Other""
)"),"Finance")</f>
        <v>Finance</v>
      </c>
      <c r="G219" s="9" t="s">
        <v>135</v>
      </c>
      <c r="H219" s="9" t="s">
        <v>32</v>
      </c>
      <c r="I219" s="9" t="s">
        <v>943</v>
      </c>
      <c r="J219" s="9" t="s">
        <v>34</v>
      </c>
      <c r="K219" s="9" t="s">
        <v>944</v>
      </c>
      <c r="L219" s="9" t="s">
        <v>359</v>
      </c>
      <c r="M219" s="10" t="s">
        <v>430</v>
      </c>
      <c r="N219" s="9" t="str">
        <f ca="1">IFERROR(__xludf.DUMMYFUNCTION("REGEXEXTRACT(LOWER(M219), ""([a-z0-9\-]+)\.(?:co|net|org|io|gg)"")"),"biblegateway")</f>
        <v>biblegateway</v>
      </c>
      <c r="O219" s="9" t="s">
        <v>50</v>
      </c>
      <c r="P219" s="9" t="s">
        <v>39</v>
      </c>
      <c r="Q219" s="9">
        <v>65380</v>
      </c>
      <c r="R219" s="9">
        <v>208</v>
      </c>
      <c r="S219" s="9">
        <v>30039</v>
      </c>
      <c r="T219" s="9">
        <v>60482</v>
      </c>
      <c r="U219" s="9">
        <v>5</v>
      </c>
      <c r="V219" s="11">
        <v>2905.8841619999998</v>
      </c>
      <c r="W219" s="12">
        <f t="shared" si="0"/>
        <v>581.17683239999997</v>
      </c>
      <c r="X219" s="12">
        <f t="shared" si="1"/>
        <v>0.31814010400734166</v>
      </c>
      <c r="Y219" s="12">
        <f t="shared" si="2"/>
        <v>45.945243193637197</v>
      </c>
      <c r="Z219" s="12">
        <f t="shared" si="3"/>
        <v>96.737047238589824</v>
      </c>
      <c r="AA219" s="12">
        <f t="shared" si="4"/>
        <v>44.446071612113791</v>
      </c>
      <c r="AB219" s="12">
        <f t="shared" si="5"/>
        <v>13.970596932692306</v>
      </c>
      <c r="AC219" s="12">
        <f t="shared" si="6"/>
        <v>2.4038461538461542</v>
      </c>
      <c r="AE219" s="13"/>
      <c r="AF219" s="13"/>
    </row>
    <row r="220" spans="1:32">
      <c r="A220" s="8" t="s">
        <v>945</v>
      </c>
      <c r="B220" s="9" t="s">
        <v>840</v>
      </c>
      <c r="C220" s="9" t="s">
        <v>841</v>
      </c>
      <c r="D220" s="9" t="s">
        <v>946</v>
      </c>
      <c r="E220" s="9"/>
      <c r="F220" s="9" t="str">
        <f ca="1">IFERROR(__xludf.DUMMYFUNCTION("IFS(
  REGEXMATCH(LOWER(VLOOKUP(A220, Data1_Raw_Slack!A:B, 2, FALSE)), ""news|weather""), ""News and Weather"", REGEXMATCH(LOWER(VLOOKUP(A220, Data1_Raw_Slack!A:B, 2, FALSE)), ""sports|ufc|nba|nfl|mlb|soccer|sports fans""), ""Sports"",
  REGEXMATCH(LOWER("&amp;"VLOOKUP(A220, Data1_Raw_Slack!A:B, 2, FALSE)), ""fashion|style|clothing|apparel|shoes|accessories|beauty|cosmetics|fashionistas""), ""Fashion and Beauty"",
  REGEXMATCH(LOWER(VLOOKUP(A220, Data1_Raw_Slack!A:B, 2, FALSE)), ""food|cooking|recipe|restaurant|"&amp;"snack|grocery|foodies""), ""Food"",
  REGEXMATCH(LOWER(VLOOKUP(A220, Data1_Raw_Slack!A:B, 2, FALSE)), ""travel|vacation|airline|hotel|trip|flights|travelers""), ""Travel"",
  REGEXMATCH(LOWER(VLOOKUP(A220, Data1_Raw_Slack!A:B, 2, FALSE)), ""fitness|workou"&amp;"t|gym|exercise|yoga|wellness|fitness enthusiasts""), ""Fitness"",
  REGEXMATCH(LOWER(VLOOKUP(A220, Data1_Raw_Slack!A:B, 2, FALSE)), ""health|medical|pharmacy|mental health|doctor|health-conscious""), ""Health"",
  REGEXMATCH(LOWER(VLOOKUP(A220, Data1_Raw_"&amp;"Slack!A:B, 2, FALSE)), ""pets|dogs|cats|animals|pet care|pet lovers""), ""Pets"",
  REGEXMATCH(LOWER(VLOOKUP(A220, Data1_Raw_Slack!A:B, 2, FALSE)), ""games|gaming|game|xbox|playstation|nintendo|gamers""), ""Gaming"",
  REGEXMATCH(LOWER(VLOOKUP(A220, Data1"&amp;"_Raw_Slack!A:B, 2, FALSE)), ""entertainment|movies|tv|netflix|streaming|celebrity|movie lovers|tv fans|hobb|photo|art""), ""Entertainment"",
  REGEXMATCH(LOWER(VLOOKUP(A220, Data1_Raw_Slack!A:B, 2, FALSE)), ""lifestyle|home|interior|decor|living|lifestyle"&amp;" enthusiasts""), ""Lifestyle"",
  REGEXMATCH(LOWER(VLOOKUP(A220, Data1_Raw_Slack!A:B, 2, FALSE)), ""financial|finance|investing|stocks|retirement|banking|credit|debt|loans|savings|personal finance|insurance|econ|ecom|business|retail|occupation|sale|job|ma"&amp;"rketing""), ""Finance"",
  REGEXMATCH(LOWER(VLOOKUP(A220, Data1_Raw_Slack!A:B, 2, FALSE)), ""auto|automotive""), ""Auto"",
  REGEXMATCH(LOWER(VLOOKUP(A220, Data1_Raw_Slack!A:B, 2, FALSE)), ""parenting|moms|dads|kids|toddlers|baby|parent|children""), ""Par"&amp;"enting"",
  REGEXMATCH(LOWER(VLOOKUP(A220, Data1_Raw_Slack!A:B, 2, FALSE)), ""education|students|learning|school|teachers|college|university|academics""), ""Education"",
  REGEXMATCH(LOWER(VLOOKUP(A220, Data1_Raw_Slack!A:B, 2, FALSE)), ""age|gender|dem"&amp;"ographic|family|household""), ""Demographics"",
  REGEXMATCH(LOWER(VLOOKUP(A220, Data1_Raw_Slack!A:B, 2, FALSE)), ""mortgage|real estate""), ""Real Estate"",REGEXMATCH(LOWER(VLOOKUP(A220, Data1_Raw_Slack!A:B, 2, FALSE)), ""technology|tech|gadgets|smartpho"&amp;"ne|electro|apps|devices|computing|ai|robots|software|computer|internet|tele|mobile|tablet""), ""Technology"", REGEXMATCH(LOWER(VLOOKUP(A220, Data1_Raw_Slack!A:B, 2, FALSE)), ""entertainment|purchas|movies|tv|netflix|streaming|celebrity|movie lovers|tv fan"&amp;"s|media|hobb|photo|art|shop""), ""Entertainment"", REGEXMATCH(LOWER(VLOOKUP(A220, Data1_Raw_Slack!A:B, 2, FALSE)), ""law|government|""), ""Law and Government"",
  TRUE, ""Other""
)"),"Technology")</f>
        <v>Technology</v>
      </c>
      <c r="G220" s="9" t="s">
        <v>135</v>
      </c>
      <c r="H220" s="9" t="s">
        <v>32</v>
      </c>
      <c r="I220" s="9" t="s">
        <v>947</v>
      </c>
      <c r="J220" s="9" t="s">
        <v>80</v>
      </c>
      <c r="K220" s="9" t="s">
        <v>236</v>
      </c>
      <c r="L220" s="9" t="s">
        <v>82</v>
      </c>
      <c r="M220" s="10" t="s">
        <v>948</v>
      </c>
      <c r="N220" s="9" t="str">
        <f ca="1">IFERROR(__xludf.DUMMYFUNCTION("REGEXEXTRACT(LOWER(M220), ""([a-z0-9\-]+)\.(?:co|net|org|io|gg)"")"),"phys")</f>
        <v>phys</v>
      </c>
      <c r="O220" s="9" t="s">
        <v>703</v>
      </c>
      <c r="P220" s="9" t="s">
        <v>39</v>
      </c>
      <c r="Q220" s="9">
        <v>56927</v>
      </c>
      <c r="R220" s="9">
        <v>165</v>
      </c>
      <c r="S220" s="9">
        <v>20980</v>
      </c>
      <c r="T220" s="9">
        <v>55050</v>
      </c>
      <c r="U220" s="9">
        <v>5</v>
      </c>
      <c r="V220" s="11">
        <v>2463.8219170000002</v>
      </c>
      <c r="W220" s="12">
        <f t="shared" si="0"/>
        <v>492.76438340000004</v>
      </c>
      <c r="X220" s="12">
        <f t="shared" si="1"/>
        <v>0.28984488906845607</v>
      </c>
      <c r="Y220" s="12">
        <f t="shared" si="2"/>
        <v>36.854216803977025</v>
      </c>
      <c r="Z220" s="12">
        <f t="shared" si="3"/>
        <v>117.43669766444233</v>
      </c>
      <c r="AA220" s="12">
        <f t="shared" si="4"/>
        <v>43.2803751646846</v>
      </c>
      <c r="AB220" s="12">
        <f t="shared" si="5"/>
        <v>14.932254042424244</v>
      </c>
      <c r="AC220" s="12">
        <f t="shared" si="6"/>
        <v>3.0303030303030303</v>
      </c>
      <c r="AE220" s="13"/>
      <c r="AF220" s="13"/>
    </row>
    <row r="221" spans="1:32">
      <c r="A221" s="8" t="s">
        <v>949</v>
      </c>
      <c r="B221" s="9" t="s">
        <v>378</v>
      </c>
      <c r="C221" s="9" t="s">
        <v>950</v>
      </c>
      <c r="D221" s="9" t="s">
        <v>951</v>
      </c>
      <c r="E221" s="9"/>
      <c r="F221" s="9" t="str">
        <f ca="1">IFERROR(__xludf.DUMMYFUNCTION("IFS(
  REGEXMATCH(LOWER(VLOOKUP(A221, Data1_Raw_Slack!A:B, 2, FALSE)), ""news|weather""), ""News and Weather"", REGEXMATCH(LOWER(VLOOKUP(A221, Data1_Raw_Slack!A:B, 2, FALSE)), ""sports|ufc|nba|nfl|mlb|soccer|sports fans""), ""Sports"",
  REGEXMATCH(LOWER("&amp;"VLOOKUP(A221, Data1_Raw_Slack!A:B, 2, FALSE)), ""fashion|style|clothing|apparel|shoes|accessories|beauty|cosmetics|fashionistas""), ""Fashion and Beauty"",
  REGEXMATCH(LOWER(VLOOKUP(A221, Data1_Raw_Slack!A:B, 2, FALSE)), ""food|cooking|recipe|restaurant|"&amp;"snack|grocery|foodies""), ""Food"",
  REGEXMATCH(LOWER(VLOOKUP(A221, Data1_Raw_Slack!A:B, 2, FALSE)), ""travel|vacation|airline|hotel|trip|flights|travelers""), ""Travel"",
  REGEXMATCH(LOWER(VLOOKUP(A221, Data1_Raw_Slack!A:B, 2, FALSE)), ""fitness|workou"&amp;"t|gym|exercise|yoga|wellness|fitness enthusiasts""), ""Fitness"",
  REGEXMATCH(LOWER(VLOOKUP(A221, Data1_Raw_Slack!A:B, 2, FALSE)), ""health|medical|pharmacy|mental health|doctor|health-conscious""), ""Health"",
  REGEXMATCH(LOWER(VLOOKUP(A221, Data1_Raw_"&amp;"Slack!A:B, 2, FALSE)), ""pets|dogs|cats|animals|pet care|pet lovers""), ""Pets"",
  REGEXMATCH(LOWER(VLOOKUP(A221, Data1_Raw_Slack!A:B, 2, FALSE)), ""games|gaming|game|xbox|playstation|nintendo|gamers""), ""Gaming"",
  REGEXMATCH(LOWER(VLOOKUP(A221, Data1"&amp;"_Raw_Slack!A:B, 2, FALSE)), ""entertainment|movies|tv|netflix|streaming|celebrity|movie lovers|tv fans|hobb|photo|art""), ""Entertainment"",
  REGEXMATCH(LOWER(VLOOKUP(A221, Data1_Raw_Slack!A:B, 2, FALSE)), ""lifestyle|home|interior|decor|living|lifestyle"&amp;" enthusiasts""), ""Lifestyle"",
  REGEXMATCH(LOWER(VLOOKUP(A221, Data1_Raw_Slack!A:B, 2, FALSE)), ""financial|finance|investing|stocks|retirement|banking|credit|debt|loans|savings|personal finance|insurance|econ|ecom|business|retail|occupation|sale|job|ma"&amp;"rketing""), ""Finance"",
  REGEXMATCH(LOWER(VLOOKUP(A221, Data1_Raw_Slack!A:B, 2, FALSE)), ""auto|automotive""), ""Auto"",
  REGEXMATCH(LOWER(VLOOKUP(A221, Data1_Raw_Slack!A:B, 2, FALSE)), ""parenting|moms|dads|kids|toddlers|baby|parent|children""), ""Par"&amp;"enting"",
  REGEXMATCH(LOWER(VLOOKUP(A221, Data1_Raw_Slack!A:B, 2, FALSE)), ""education|students|learning|school|teachers|college|university|academics""), ""Education"",
  REGEXMATCH(LOWER(VLOOKUP(A221, Data1_Raw_Slack!A:B, 2, FALSE)), ""age|gender|dem"&amp;"ographic|family|household""), ""Demographics"",
  REGEXMATCH(LOWER(VLOOKUP(A221, Data1_Raw_Slack!A:B, 2, FALSE)), ""mortgage|real estate""), ""Real Estate"",REGEXMATCH(LOWER(VLOOKUP(A221, Data1_Raw_Slack!A:B, 2, FALSE)), ""technology|tech|gadgets|smartpho"&amp;"ne|electro|apps|devices|computing|ai|robots|software|computer|internet|tele|mobile|tablet""), ""Technology"", REGEXMATCH(LOWER(VLOOKUP(A221, Data1_Raw_Slack!A:B, 2, FALSE)), ""entertainment|purchas|movies|tv|netflix|streaming|celebrity|movie lovers|tv fan"&amp;"s|media|hobb|photo|art|shop""), ""Entertainment"", REGEXMATCH(LOWER(VLOOKUP(A221, Data1_Raw_Slack!A:B, 2, FALSE)), ""law|government|""), ""Law and Government"",
  TRUE, ""Other""
)"),"Finance")</f>
        <v>Finance</v>
      </c>
      <c r="G221" s="9"/>
      <c r="H221" s="9" t="s">
        <v>32</v>
      </c>
      <c r="I221" s="9" t="s">
        <v>952</v>
      </c>
      <c r="J221" s="9" t="s">
        <v>62</v>
      </c>
      <c r="K221" s="9" t="s">
        <v>35</v>
      </c>
      <c r="L221" s="9" t="s">
        <v>36</v>
      </c>
      <c r="M221" s="10" t="s">
        <v>953</v>
      </c>
      <c r="N221" s="9" t="str">
        <f ca="1">IFERROR(__xludf.DUMMYFUNCTION("REGEXEXTRACT(LOWER(M221), ""([a-z0-9\-]+)\.(?:co|net|org|io|gg)"")"),"biblestudytools")</f>
        <v>biblestudytools</v>
      </c>
      <c r="O221" s="9" t="s">
        <v>50</v>
      </c>
      <c r="P221" s="9" t="s">
        <v>39</v>
      </c>
      <c r="Q221" s="9">
        <v>10779</v>
      </c>
      <c r="R221" s="9">
        <v>86</v>
      </c>
      <c r="S221" s="9">
        <v>6420</v>
      </c>
      <c r="T221" s="9">
        <v>10287</v>
      </c>
      <c r="U221" s="9">
        <v>3</v>
      </c>
      <c r="V221" s="11">
        <v>1759.704833</v>
      </c>
      <c r="W221" s="12">
        <f t="shared" si="0"/>
        <v>586.56827766666663</v>
      </c>
      <c r="X221" s="12">
        <f t="shared" si="1"/>
        <v>0.79784766675943963</v>
      </c>
      <c r="Y221" s="12">
        <f t="shared" si="2"/>
        <v>59.560256053437243</v>
      </c>
      <c r="Z221" s="12">
        <f t="shared" si="3"/>
        <v>274.09732601246105</v>
      </c>
      <c r="AA221" s="12">
        <f t="shared" si="4"/>
        <v>163.25306920864642</v>
      </c>
      <c r="AB221" s="12">
        <f t="shared" si="5"/>
        <v>20.461684104651162</v>
      </c>
      <c r="AC221" s="12">
        <f t="shared" si="6"/>
        <v>3.4883720930232558</v>
      </c>
      <c r="AE221" s="13"/>
      <c r="AF221" s="13"/>
    </row>
    <row r="222" spans="1:32">
      <c r="A222" s="8" t="s">
        <v>954</v>
      </c>
      <c r="B222" s="9" t="s">
        <v>41</v>
      </c>
      <c r="C222" s="9" t="s">
        <v>127</v>
      </c>
      <c r="D222" s="9" t="s">
        <v>746</v>
      </c>
      <c r="E222" s="9" t="s">
        <v>746</v>
      </c>
      <c r="F222" s="9" t="str">
        <f ca="1">IFERROR(__xludf.DUMMYFUNCTION("IFS(
  REGEXMATCH(LOWER(VLOOKUP(A222, Data1_Raw_Slack!A:B, 2, FALSE)), ""news|weather""), ""News and Weather"", REGEXMATCH(LOWER(VLOOKUP(A222, Data1_Raw_Slack!A:B, 2, FALSE)), ""sports|ufc|nba|nfl|mlb|soccer|sports fans""), ""Sports"",
  REGEXMATCH(LOWER("&amp;"VLOOKUP(A222, Data1_Raw_Slack!A:B, 2, FALSE)), ""fashion|style|clothing|apparel|shoes|accessories|beauty|cosmetics|fashionistas""), ""Fashion and Beauty"",
  REGEXMATCH(LOWER(VLOOKUP(A222, Data1_Raw_Slack!A:B, 2, FALSE)), ""food|cooking|recipe|restaurant|"&amp;"snack|grocery|foodies""), ""Food"",
  REGEXMATCH(LOWER(VLOOKUP(A222, Data1_Raw_Slack!A:B, 2, FALSE)), ""travel|vacation|airline|hotel|trip|flights|travelers""), ""Travel"",
  REGEXMATCH(LOWER(VLOOKUP(A222, Data1_Raw_Slack!A:B, 2, FALSE)), ""fitness|workou"&amp;"t|gym|exercise|yoga|wellness|fitness enthusiasts""), ""Fitness"",
  REGEXMATCH(LOWER(VLOOKUP(A222, Data1_Raw_Slack!A:B, 2, FALSE)), ""health|medical|pharmacy|mental health|doctor|health-conscious""), ""Health"",
  REGEXMATCH(LOWER(VLOOKUP(A222, Data1_Raw_"&amp;"Slack!A:B, 2, FALSE)), ""pets|dogs|cats|animals|pet care|pet lovers""), ""Pets"",
  REGEXMATCH(LOWER(VLOOKUP(A222, Data1_Raw_Slack!A:B, 2, FALSE)), ""games|gaming|game|xbox|playstation|nintendo|gamers""), ""Gaming"",
  REGEXMATCH(LOWER(VLOOKUP(A222, Data1"&amp;"_Raw_Slack!A:B, 2, FALSE)), ""entertainment|movies|tv|netflix|streaming|celebrity|movie lovers|tv fans|hobb|photo|art""), ""Entertainment"",
  REGEXMATCH(LOWER(VLOOKUP(A222, Data1_Raw_Slack!A:B, 2, FALSE)), ""lifestyle|home|interior|decor|living|lifestyle"&amp;" enthusiasts""), ""Lifestyle"",
  REGEXMATCH(LOWER(VLOOKUP(A222, Data1_Raw_Slack!A:B, 2, FALSE)), ""financial|finance|investing|stocks|retirement|banking|credit|debt|loans|savings|personal finance|insurance|econ|ecom|business|retail|occupation|sale|job|ma"&amp;"rketing""), ""Finance"",
  REGEXMATCH(LOWER(VLOOKUP(A222, Data1_Raw_Slack!A:B, 2, FALSE)), ""auto|automotive""), ""Auto"",
  REGEXMATCH(LOWER(VLOOKUP(A222, Data1_Raw_Slack!A:B, 2, FALSE)), ""parenting|moms|dads|kids|toddlers|baby|parent|children""), ""Par"&amp;"enting"",
  REGEXMATCH(LOWER(VLOOKUP(A222, Data1_Raw_Slack!A:B, 2, FALSE)), ""education|students|learning|school|teachers|college|university|academics""), ""Education"",
  REGEXMATCH(LOWER(VLOOKUP(A222, Data1_Raw_Slack!A:B, 2, FALSE)), ""age|gender|dem"&amp;"ographic|family|household""), ""Demographics"",
  REGEXMATCH(LOWER(VLOOKUP(A222, Data1_Raw_Slack!A:B, 2, FALSE)), ""mortgage|real estate""), ""Real Estate"",REGEXMATCH(LOWER(VLOOKUP(A222, Data1_Raw_Slack!A:B, 2, FALSE)), ""technology|tech|gadgets|smartpho"&amp;"ne|electro|apps|devices|computing|ai|robots|software|computer|internet|tele|mobile|tablet""), ""Technology"", REGEXMATCH(LOWER(VLOOKUP(A222, Data1_Raw_Slack!A:B, 2, FALSE)), ""entertainment|purchas|movies|tv|netflix|streaming|celebrity|movie lovers|tv fan"&amp;"s|media|hobb|photo|art|shop""), ""Entertainment"", REGEXMATCH(LOWER(VLOOKUP(A222, Data1_Raw_Slack!A:B, 2, FALSE)), ""law|government|""), ""Law and Government"",
  TRUE, ""Other""
)"),"Finance")</f>
        <v>Finance</v>
      </c>
      <c r="G222" s="9" t="s">
        <v>127</v>
      </c>
      <c r="H222" s="9" t="s">
        <v>32</v>
      </c>
      <c r="I222" s="9" t="s">
        <v>269</v>
      </c>
      <c r="J222" s="9" t="s">
        <v>62</v>
      </c>
      <c r="K222" s="9" t="s">
        <v>148</v>
      </c>
      <c r="L222" s="9" t="s">
        <v>89</v>
      </c>
      <c r="M222" s="10" t="s">
        <v>229</v>
      </c>
      <c r="N222" s="9" t="str">
        <f ca="1">IFERROR(__xludf.DUMMYFUNCTION("REGEXEXTRACT(LOWER(M222), ""([a-z0-9\-]+)\.(?:co|net|org|io|gg)"")"),"msn")</f>
        <v>msn</v>
      </c>
      <c r="O222" s="9" t="s">
        <v>50</v>
      </c>
      <c r="P222" s="9" t="s">
        <v>39</v>
      </c>
      <c r="Q222" s="9">
        <v>921791</v>
      </c>
      <c r="R222" s="9">
        <v>2150</v>
      </c>
      <c r="S222" s="9">
        <v>668449</v>
      </c>
      <c r="T222" s="9">
        <v>852442</v>
      </c>
      <c r="U222" s="9">
        <v>69</v>
      </c>
      <c r="V222" s="11">
        <v>8042.8979490000002</v>
      </c>
      <c r="W222" s="12">
        <f t="shared" si="0"/>
        <v>116.56373839130435</v>
      </c>
      <c r="X222" s="12">
        <f t="shared" si="1"/>
        <v>0.23324159164062136</v>
      </c>
      <c r="Y222" s="12">
        <f t="shared" si="2"/>
        <v>72.516329623526374</v>
      </c>
      <c r="Z222" s="12">
        <f t="shared" si="3"/>
        <v>12.032178893228952</v>
      </c>
      <c r="AA222" s="12">
        <f t="shared" si="4"/>
        <v>8.7252945071062751</v>
      </c>
      <c r="AB222" s="12">
        <f t="shared" si="5"/>
        <v>3.7408827669767444</v>
      </c>
      <c r="AC222" s="12">
        <f t="shared" si="6"/>
        <v>3.2093023255813953</v>
      </c>
      <c r="AE222" s="13"/>
      <c r="AF222" s="13"/>
    </row>
    <row r="223" spans="1:32">
      <c r="A223" s="8" t="s">
        <v>955</v>
      </c>
      <c r="B223" s="9" t="s">
        <v>41</v>
      </c>
      <c r="C223" s="9" t="s">
        <v>114</v>
      </c>
      <c r="D223" s="9" t="s">
        <v>956</v>
      </c>
      <c r="E223" s="9"/>
      <c r="F223" s="9" t="str">
        <f ca="1">IFERROR(__xludf.DUMMYFUNCTION("IFS(
  REGEXMATCH(LOWER(VLOOKUP(A223, Data1_Raw_Slack!A:B, 2, FALSE)), ""news|weather""), ""News and Weather"", REGEXMATCH(LOWER(VLOOKUP(A223, Data1_Raw_Slack!A:B, 2, FALSE)), ""sports|ufc|nba|nfl|mlb|soccer|sports fans""), ""Sports"",
  REGEXMATCH(LOWER("&amp;"VLOOKUP(A223, Data1_Raw_Slack!A:B, 2, FALSE)), ""fashion|style|clothing|apparel|shoes|accessories|beauty|cosmetics|fashionistas""), ""Fashion and Beauty"",
  REGEXMATCH(LOWER(VLOOKUP(A223, Data1_Raw_Slack!A:B, 2, FALSE)), ""food|cooking|recipe|restaurant|"&amp;"snack|grocery|foodies""), ""Food"",
  REGEXMATCH(LOWER(VLOOKUP(A223, Data1_Raw_Slack!A:B, 2, FALSE)), ""travel|vacation|airline|hotel|trip|flights|travelers""), ""Travel"",
  REGEXMATCH(LOWER(VLOOKUP(A223, Data1_Raw_Slack!A:B, 2, FALSE)), ""fitness|workou"&amp;"t|gym|exercise|yoga|wellness|fitness enthusiasts""), ""Fitness"",
  REGEXMATCH(LOWER(VLOOKUP(A223, Data1_Raw_Slack!A:B, 2, FALSE)), ""health|medical|pharmacy|mental health|doctor|health-conscious""), ""Health"",
  REGEXMATCH(LOWER(VLOOKUP(A223, Data1_Raw_"&amp;"Slack!A:B, 2, FALSE)), ""pets|dogs|cats|animals|pet care|pet lovers""), ""Pets"",
  REGEXMATCH(LOWER(VLOOKUP(A223, Data1_Raw_Slack!A:B, 2, FALSE)), ""games|gaming|game|xbox|playstation|nintendo|gamers""), ""Gaming"",
  REGEXMATCH(LOWER(VLOOKUP(A223, Data1"&amp;"_Raw_Slack!A:B, 2, FALSE)), ""entertainment|movies|tv|netflix|streaming|celebrity|movie lovers|tv fans|hobb|photo|art""), ""Entertainment"",
  REGEXMATCH(LOWER(VLOOKUP(A223, Data1_Raw_Slack!A:B, 2, FALSE)), ""lifestyle|home|interior|decor|living|lifestyle"&amp;" enthusiasts""), ""Lifestyle"",
  REGEXMATCH(LOWER(VLOOKUP(A223, Data1_Raw_Slack!A:B, 2, FALSE)), ""financial|finance|investing|stocks|retirement|banking|credit|debt|loans|savings|personal finance|insurance|econ|ecom|business|retail|occupation|sale|job|ma"&amp;"rketing""), ""Finance"",
  REGEXMATCH(LOWER(VLOOKUP(A223, Data1_Raw_Slack!A:B, 2, FALSE)), ""auto|automotive""), ""Auto"",
  REGEXMATCH(LOWER(VLOOKUP(A223, Data1_Raw_Slack!A:B, 2, FALSE)), ""parenting|moms|dads|kids|toddlers|baby|parent|children""), ""Par"&amp;"enting"",
  REGEXMATCH(LOWER(VLOOKUP(A223, Data1_Raw_Slack!A:B, 2, FALSE)), ""education|students|learning|school|teachers|college|university|academics""), ""Education"",
  REGEXMATCH(LOWER(VLOOKUP(A223, Data1_Raw_Slack!A:B, 2, FALSE)), ""age|gender|dem"&amp;"ographic|family|household""), ""Demographics"",
  REGEXMATCH(LOWER(VLOOKUP(A223, Data1_Raw_Slack!A:B, 2, FALSE)), ""mortgage|real estate""), ""Real Estate"",REGEXMATCH(LOWER(VLOOKUP(A223, Data1_Raw_Slack!A:B, 2, FALSE)), ""technology|tech|gadgets|smartpho"&amp;"ne|electro|apps|devices|computing|ai|robots|software|computer|internet|tele|mobile|tablet""), ""Technology"", REGEXMATCH(LOWER(VLOOKUP(A223, Data1_Raw_Slack!A:B, 2, FALSE)), ""entertainment|purchas|movies|tv|netflix|streaming|celebrity|movie lovers|tv fan"&amp;"s|media|hobb|photo|art|shop""), ""Entertainment"", REGEXMATCH(LOWER(VLOOKUP(A223, Data1_Raw_Slack!A:B, 2, FALSE)), ""law|government|""), ""Law and Government"",
  TRUE, ""Other""
)"),"Education")</f>
        <v>Education</v>
      </c>
      <c r="G223" s="9"/>
      <c r="H223" s="9" t="s">
        <v>44</v>
      </c>
      <c r="I223" s="9" t="s">
        <v>685</v>
      </c>
      <c r="J223" s="9" t="s">
        <v>46</v>
      </c>
      <c r="K223" s="9" t="s">
        <v>56</v>
      </c>
      <c r="L223" s="9" t="s">
        <v>57</v>
      </c>
      <c r="M223" s="10" t="s">
        <v>354</v>
      </c>
      <c r="N223" s="9" t="str">
        <f ca="1">IFERROR(__xludf.DUMMYFUNCTION("REGEXEXTRACT(LOWER(M223), ""([a-z0-9\-]+)\.(?:co|net|org|io|gg)"")"),"yahoo")</f>
        <v>yahoo</v>
      </c>
      <c r="O223" s="9" t="s">
        <v>50</v>
      </c>
      <c r="P223" s="9" t="s">
        <v>39</v>
      </c>
      <c r="Q223" s="9">
        <v>1221746</v>
      </c>
      <c r="R223" s="9">
        <v>3874</v>
      </c>
      <c r="S223" s="9">
        <v>512107</v>
      </c>
      <c r="T223" s="9">
        <v>1088748</v>
      </c>
      <c r="U223" s="9">
        <v>19</v>
      </c>
      <c r="V223" s="11">
        <v>7483.8871870000003</v>
      </c>
      <c r="W223" s="12">
        <f t="shared" si="0"/>
        <v>393.88879931578947</v>
      </c>
      <c r="X223" s="12">
        <f t="shared" si="1"/>
        <v>0.3170871850613794</v>
      </c>
      <c r="Y223" s="12">
        <f t="shared" si="2"/>
        <v>41.915995632480076</v>
      </c>
      <c r="Z223" s="12">
        <f t="shared" si="3"/>
        <v>14.613913082617501</v>
      </c>
      <c r="AA223" s="12">
        <f t="shared" si="4"/>
        <v>6.1255671694443858</v>
      </c>
      <c r="AB223" s="12">
        <f t="shared" si="5"/>
        <v>1.9318242609705731</v>
      </c>
      <c r="AC223" s="12">
        <f t="shared" si="6"/>
        <v>0.49044914816726898</v>
      </c>
      <c r="AE223" s="13"/>
      <c r="AF223" s="13"/>
    </row>
    <row r="224" spans="1:32">
      <c r="A224" s="8" t="s">
        <v>957</v>
      </c>
      <c r="B224" s="9" t="s">
        <v>144</v>
      </c>
      <c r="C224" s="9" t="s">
        <v>958</v>
      </c>
      <c r="D224" s="9"/>
      <c r="E224" s="9"/>
      <c r="F224" s="9" t="str">
        <f ca="1">IFERROR(__xludf.DUMMYFUNCTION("IFS(
  REGEXMATCH(LOWER(VLOOKUP(A224, Data1_Raw_Slack!A:B, 2, FALSE)), ""news|weather""), ""News and Weather"", REGEXMATCH(LOWER(VLOOKUP(A224, Data1_Raw_Slack!A:B, 2, FALSE)), ""sports|ufc|nba|nfl|mlb|soccer|sports fans""), ""Sports"",
  REGEXMATCH(LOWER("&amp;"VLOOKUP(A224, Data1_Raw_Slack!A:B, 2, FALSE)), ""fashion|style|clothing|apparel|shoes|accessories|beauty|cosmetics|fashionistas""), ""Fashion and Beauty"",
  REGEXMATCH(LOWER(VLOOKUP(A224, Data1_Raw_Slack!A:B, 2, FALSE)), ""food|cooking|recipe|restaurant|"&amp;"snack|grocery|foodies""), ""Food"",
  REGEXMATCH(LOWER(VLOOKUP(A224, Data1_Raw_Slack!A:B, 2, FALSE)), ""travel|vacation|airline|hotel|trip|flights|travelers""), ""Travel"",
  REGEXMATCH(LOWER(VLOOKUP(A224, Data1_Raw_Slack!A:B, 2, FALSE)), ""fitness|workou"&amp;"t|gym|exercise|yoga|wellness|fitness enthusiasts""), ""Fitness"",
  REGEXMATCH(LOWER(VLOOKUP(A224, Data1_Raw_Slack!A:B, 2, FALSE)), ""health|medical|pharmacy|mental health|doctor|health-conscious""), ""Health"",
  REGEXMATCH(LOWER(VLOOKUP(A224, Data1_Raw_"&amp;"Slack!A:B, 2, FALSE)), ""pets|dogs|cats|animals|pet care|pet lovers""), ""Pets"",
  REGEXMATCH(LOWER(VLOOKUP(A224, Data1_Raw_Slack!A:B, 2, FALSE)), ""games|gaming|game|xbox|playstation|nintendo|gamers""), ""Gaming"",
  REGEXMATCH(LOWER(VLOOKUP(A224, Data1"&amp;"_Raw_Slack!A:B, 2, FALSE)), ""entertainment|movies|tv|netflix|streaming|celebrity|movie lovers|tv fans|hobb|photo|art""), ""Entertainment"",
  REGEXMATCH(LOWER(VLOOKUP(A224, Data1_Raw_Slack!A:B, 2, FALSE)), ""lifestyle|home|interior|decor|living|lifestyle"&amp;" enthusiasts""), ""Lifestyle"",
  REGEXMATCH(LOWER(VLOOKUP(A224, Data1_Raw_Slack!A:B, 2, FALSE)), ""financial|finance|investing|stocks|retirement|banking|credit|debt|loans|savings|personal finance|insurance|econ|ecom|business|retail|occupation|sale|job|ma"&amp;"rketing""), ""Finance"",
  REGEXMATCH(LOWER(VLOOKUP(A224, Data1_Raw_Slack!A:B, 2, FALSE)), ""auto|automotive""), ""Auto"",
  REGEXMATCH(LOWER(VLOOKUP(A224, Data1_Raw_Slack!A:B, 2, FALSE)), ""parenting|moms|dads|kids|toddlers|baby|parent|children""), ""Par"&amp;"enting"",
  REGEXMATCH(LOWER(VLOOKUP(A224, Data1_Raw_Slack!A:B, 2, FALSE)), ""education|students|learning|school|teachers|college|university|academics""), ""Education"",
  REGEXMATCH(LOWER(VLOOKUP(A224, Data1_Raw_Slack!A:B, 2, FALSE)), ""age|gender|dem"&amp;"ographic|family|household""), ""Demographics"",
  REGEXMATCH(LOWER(VLOOKUP(A224, Data1_Raw_Slack!A:B, 2, FALSE)), ""mortgage|real estate""), ""Real Estate"",REGEXMATCH(LOWER(VLOOKUP(A224, Data1_Raw_Slack!A:B, 2, FALSE)), ""technology|tech|gadgets|smartpho"&amp;"ne|electro|apps|devices|computing|ai|robots|software|computer|internet|tele|mobile|tablet""), ""Technology"", REGEXMATCH(LOWER(VLOOKUP(A224, Data1_Raw_Slack!A:B, 2, FALSE)), ""entertainment|purchas|movies|tv|netflix|streaming|celebrity|movie lovers|tv fan"&amp;"s|media|hobb|photo|art|shop""), ""Entertainment"", REGEXMATCH(LOWER(VLOOKUP(A224, Data1_Raw_Slack!A:B, 2, FALSE)), ""law|government|""), ""Law and Government"",
  TRUE, ""Other""
)"),"Pets")</f>
        <v>Pets</v>
      </c>
      <c r="G224" s="9"/>
      <c r="H224" s="9" t="s">
        <v>44</v>
      </c>
      <c r="I224" s="9" t="s">
        <v>959</v>
      </c>
      <c r="J224" s="9" t="s">
        <v>80</v>
      </c>
      <c r="K224" s="9" t="s">
        <v>56</v>
      </c>
      <c r="L224" s="9" t="s">
        <v>57</v>
      </c>
      <c r="M224" s="10" t="s">
        <v>960</v>
      </c>
      <c r="N224" s="9" t="str">
        <f ca="1">IFERROR(__xludf.DUMMYFUNCTION("REGEXEXTRACT(LOWER(M224), ""([a-z0-9\-]+)\.(?:co|net|org|io|gg)"")"),"a-z-animals")</f>
        <v>a-z-animals</v>
      </c>
      <c r="O224" s="9" t="s">
        <v>157</v>
      </c>
      <c r="P224" s="9" t="s">
        <v>39</v>
      </c>
      <c r="Q224" s="9">
        <v>75161</v>
      </c>
      <c r="R224" s="9">
        <v>280</v>
      </c>
      <c r="S224" s="9">
        <v>40385</v>
      </c>
      <c r="T224" s="9">
        <v>70325</v>
      </c>
      <c r="U224" s="9">
        <v>3</v>
      </c>
      <c r="V224" s="11">
        <v>1506.461108</v>
      </c>
      <c r="W224" s="12">
        <f t="shared" si="0"/>
        <v>502.15370266666667</v>
      </c>
      <c r="X224" s="12">
        <f t="shared" si="1"/>
        <v>0.37253362781229626</v>
      </c>
      <c r="Y224" s="12">
        <f t="shared" si="2"/>
        <v>53.731323425712809</v>
      </c>
      <c r="Z224" s="12">
        <f t="shared" si="3"/>
        <v>37.302491221988362</v>
      </c>
      <c r="AA224" s="12">
        <f t="shared" si="4"/>
        <v>20.043122204334693</v>
      </c>
      <c r="AB224" s="12">
        <f t="shared" si="5"/>
        <v>5.3802182428571426</v>
      </c>
      <c r="AC224" s="12">
        <f t="shared" si="6"/>
        <v>1.0714285714285714</v>
      </c>
      <c r="AE224" s="13"/>
      <c r="AF224" s="13"/>
    </row>
    <row r="225" spans="1:32">
      <c r="A225" s="8" t="s">
        <v>961</v>
      </c>
      <c r="B225" s="9" t="s">
        <v>41</v>
      </c>
      <c r="C225" s="9" t="s">
        <v>319</v>
      </c>
      <c r="D225" s="9" t="s">
        <v>320</v>
      </c>
      <c r="E225" s="9" t="s">
        <v>962</v>
      </c>
      <c r="F225" s="9" t="str">
        <f ca="1">IFERROR(__xludf.DUMMYFUNCTION("IFS(
  REGEXMATCH(LOWER(VLOOKUP(A225, Data1_Raw_Slack!A:B, 2, FALSE)), ""news|weather""), ""News and Weather"", REGEXMATCH(LOWER(VLOOKUP(A225, Data1_Raw_Slack!A:B, 2, FALSE)), ""sports|ufc|nba|nfl|mlb|soccer|sports fans""), ""Sports"",
  REGEXMATCH(LOWER("&amp;"VLOOKUP(A225, Data1_Raw_Slack!A:B, 2, FALSE)), ""fashion|style|clothing|apparel|shoes|accessories|beauty|cosmetics|fashionistas""), ""Fashion and Beauty"",
  REGEXMATCH(LOWER(VLOOKUP(A225, Data1_Raw_Slack!A:B, 2, FALSE)), ""food|cooking|recipe|restaurant|"&amp;"snack|grocery|foodies""), ""Food"",
  REGEXMATCH(LOWER(VLOOKUP(A225, Data1_Raw_Slack!A:B, 2, FALSE)), ""travel|vacation|airline|hotel|trip|flights|travelers""), ""Travel"",
  REGEXMATCH(LOWER(VLOOKUP(A225, Data1_Raw_Slack!A:B, 2, FALSE)), ""fitness|workou"&amp;"t|gym|exercise|yoga|wellness|fitness enthusiasts""), ""Fitness"",
  REGEXMATCH(LOWER(VLOOKUP(A225, Data1_Raw_Slack!A:B, 2, FALSE)), ""health|medical|pharmacy|mental health|doctor|health-conscious""), ""Health"",
  REGEXMATCH(LOWER(VLOOKUP(A225, Data1_Raw_"&amp;"Slack!A:B, 2, FALSE)), ""pets|dogs|cats|animals|pet care|pet lovers""), ""Pets"",
  REGEXMATCH(LOWER(VLOOKUP(A225, Data1_Raw_Slack!A:B, 2, FALSE)), ""games|gaming|game|xbox|playstation|nintendo|gamers""), ""Gaming"",
  REGEXMATCH(LOWER(VLOOKUP(A225, Data1"&amp;"_Raw_Slack!A:B, 2, FALSE)), ""entertainment|movies|tv|netflix|streaming|celebrity|movie lovers|tv fans|hobb|photo|art""), ""Entertainment"",
  REGEXMATCH(LOWER(VLOOKUP(A225, Data1_Raw_Slack!A:B, 2, FALSE)), ""lifestyle|home|interior|decor|living|lifestyle"&amp;" enthusiasts""), ""Lifestyle"",
  REGEXMATCH(LOWER(VLOOKUP(A225, Data1_Raw_Slack!A:B, 2, FALSE)), ""financial|finance|investing|stocks|retirement|banking|credit|debt|loans|savings|personal finance|insurance|econ|ecom|business|retail|occupation|sale|job|ma"&amp;"rketing""), ""Finance"",
  REGEXMATCH(LOWER(VLOOKUP(A225, Data1_Raw_Slack!A:B, 2, FALSE)), ""auto|automotive""), ""Auto"",
  REGEXMATCH(LOWER(VLOOKUP(A225, Data1_Raw_Slack!A:B, 2, FALSE)), ""parenting|moms|dads|kids|toddlers|baby|parent|children""), ""Par"&amp;"enting"",
  REGEXMATCH(LOWER(VLOOKUP(A225, Data1_Raw_Slack!A:B, 2, FALSE)), ""education|students|learning|school|teachers|college|university|academics""), ""Education"",
  REGEXMATCH(LOWER(VLOOKUP(A225, Data1_Raw_Slack!A:B, 2, FALSE)), ""age|gender|dem"&amp;"ographic|family|household""), ""Demographics"",
  REGEXMATCH(LOWER(VLOOKUP(A225, Data1_Raw_Slack!A:B, 2, FALSE)), ""mortgage|real estate""), ""Real Estate"",REGEXMATCH(LOWER(VLOOKUP(A225, Data1_Raw_Slack!A:B, 2, FALSE)), ""technology|tech|gadgets|smartpho"&amp;"ne|electro|apps|devices|computing|ai|robots|software|computer|internet|tele|mobile|tablet""), ""Technology"", REGEXMATCH(LOWER(VLOOKUP(A225, Data1_Raw_Slack!A:B, 2, FALSE)), ""entertainment|purchas|movies|tv|netflix|streaming|celebrity|movie lovers|tv fan"&amp;"s|media|hobb|photo|art|shop""), ""Entertainment"", REGEXMATCH(LOWER(VLOOKUP(A225, Data1_Raw_Slack!A:B, 2, FALSE)), ""law|government|""), ""Law and Government"",
  TRUE, ""Other""
)"),"Food")</f>
        <v>Food</v>
      </c>
      <c r="G225" s="9"/>
      <c r="H225" s="9" t="s">
        <v>44</v>
      </c>
      <c r="I225" s="9" t="s">
        <v>111</v>
      </c>
      <c r="J225" s="9" t="s">
        <v>62</v>
      </c>
      <c r="K225" s="9" t="s">
        <v>236</v>
      </c>
      <c r="L225" s="9" t="s">
        <v>82</v>
      </c>
      <c r="M225" s="10" t="s">
        <v>202</v>
      </c>
      <c r="N225" s="9" t="str">
        <f ca="1">IFERROR(__xludf.DUMMYFUNCTION("REGEXEXTRACT(LOWER(M225), ""([a-z0-9\-]+)\.(?:co|net|org|io|gg)"")"),"zillow")</f>
        <v>zillow</v>
      </c>
      <c r="O225" s="9" t="s">
        <v>186</v>
      </c>
      <c r="P225" s="9" t="s">
        <v>64</v>
      </c>
      <c r="Q225" s="9">
        <v>26212</v>
      </c>
      <c r="R225" s="9">
        <v>77</v>
      </c>
      <c r="S225" s="9">
        <v>12726</v>
      </c>
      <c r="T225" s="9">
        <v>24442</v>
      </c>
      <c r="U225" s="9">
        <v>15</v>
      </c>
      <c r="V225" s="11">
        <v>6452.9350100000001</v>
      </c>
      <c r="W225" s="12">
        <f t="shared" si="0"/>
        <v>430.19566733333335</v>
      </c>
      <c r="X225" s="12">
        <f t="shared" si="1"/>
        <v>0.29375858385472303</v>
      </c>
      <c r="Y225" s="12">
        <f t="shared" si="2"/>
        <v>48.550282313444228</v>
      </c>
      <c r="Z225" s="12">
        <f t="shared" si="3"/>
        <v>507.06702891717748</v>
      </c>
      <c r="AA225" s="12">
        <f t="shared" si="4"/>
        <v>246.18247405768352</v>
      </c>
      <c r="AB225" s="12">
        <f t="shared" si="5"/>
        <v>83.804350779220783</v>
      </c>
      <c r="AC225" s="12">
        <f t="shared" si="6"/>
        <v>19.480519480519483</v>
      </c>
      <c r="AE225" s="13"/>
      <c r="AF225" s="13"/>
    </row>
    <row r="226" spans="1:32">
      <c r="A226" s="8" t="s">
        <v>963</v>
      </c>
      <c r="B226" s="9"/>
      <c r="C226" s="9" t="s">
        <v>964</v>
      </c>
      <c r="D226" s="9" t="s">
        <v>964</v>
      </c>
      <c r="E226" s="9"/>
      <c r="F226" s="9" t="str">
        <f ca="1">IFERROR(__xludf.DUMMYFUNCTION("IFS(
  REGEXMATCH(LOWER(VLOOKUP(A226, Data1_Raw_Slack!A:B, 2, FALSE)), ""news|weather""), ""News and Weather"", REGEXMATCH(LOWER(VLOOKUP(A226, Data1_Raw_Slack!A:B, 2, FALSE)), ""sports|ufc|nba|nfl|mlb|soccer|sports fans""), ""Sports"",
  REGEXMATCH(LOWER("&amp;"VLOOKUP(A226, Data1_Raw_Slack!A:B, 2, FALSE)), ""fashion|style|clothing|apparel|shoes|accessories|beauty|cosmetics|fashionistas""), ""Fashion and Beauty"",
  REGEXMATCH(LOWER(VLOOKUP(A226, Data1_Raw_Slack!A:B, 2, FALSE)), ""food|cooking|recipe|restaurant|"&amp;"snack|grocery|foodies""), ""Food"",
  REGEXMATCH(LOWER(VLOOKUP(A226, Data1_Raw_Slack!A:B, 2, FALSE)), ""travel|vacation|airline|hotel|trip|flights|travelers""), ""Travel"",
  REGEXMATCH(LOWER(VLOOKUP(A226, Data1_Raw_Slack!A:B, 2, FALSE)), ""fitness|workou"&amp;"t|gym|exercise|yoga|wellness|fitness enthusiasts""), ""Fitness"",
  REGEXMATCH(LOWER(VLOOKUP(A226, Data1_Raw_Slack!A:B, 2, FALSE)), ""health|medical|pharmacy|mental health|doctor|health-conscious""), ""Health"",
  REGEXMATCH(LOWER(VLOOKUP(A226, Data1_Raw_"&amp;"Slack!A:B, 2, FALSE)), ""pets|dogs|cats|animals|pet care|pet lovers""), ""Pets"",
  REGEXMATCH(LOWER(VLOOKUP(A226, Data1_Raw_Slack!A:B, 2, FALSE)), ""games|gaming|game|xbox|playstation|nintendo|gamers""), ""Gaming"",
  REGEXMATCH(LOWER(VLOOKUP(A226, Data1"&amp;"_Raw_Slack!A:B, 2, FALSE)), ""entertainment|movies|tv|netflix|streaming|celebrity|movie lovers|tv fans|hobb|photo|art""), ""Entertainment"",
  REGEXMATCH(LOWER(VLOOKUP(A226, Data1_Raw_Slack!A:B, 2, FALSE)), ""lifestyle|home|interior|decor|living|lifestyle"&amp;" enthusiasts""), ""Lifestyle"",
  REGEXMATCH(LOWER(VLOOKUP(A226, Data1_Raw_Slack!A:B, 2, FALSE)), ""financial|finance|investing|stocks|retirement|banking|credit|debt|loans|savings|personal finance|insurance|econ|ecom|business|retail|occupation|sale|job|ma"&amp;"rketing""), ""Finance"",
  REGEXMATCH(LOWER(VLOOKUP(A226, Data1_Raw_Slack!A:B, 2, FALSE)), ""auto|automotive""), ""Auto"",
  REGEXMATCH(LOWER(VLOOKUP(A226, Data1_Raw_Slack!A:B, 2, FALSE)), ""parenting|moms|dads|kids|toddlers|baby|parent|children""), ""Par"&amp;"enting"",
  REGEXMATCH(LOWER(VLOOKUP(A226, Data1_Raw_Slack!A:B, 2, FALSE)), ""education|students|learning|school|teachers|college|university|academics""), ""Education"",
  REGEXMATCH(LOWER(VLOOKUP(A226, Data1_Raw_Slack!A:B, 2, FALSE)), ""age|gender|dem"&amp;"ographic|family|household""), ""Demographics"",
  REGEXMATCH(LOWER(VLOOKUP(A226, Data1_Raw_Slack!A:B, 2, FALSE)), ""mortgage|real estate""), ""Real Estate"",REGEXMATCH(LOWER(VLOOKUP(A226, Data1_Raw_Slack!A:B, 2, FALSE)), ""technology|tech|gadgets|smartpho"&amp;"ne|electro|apps|devices|computing|ai|robots|software|computer|internet|tele|mobile|tablet""), ""Technology"", REGEXMATCH(LOWER(VLOOKUP(A226, Data1_Raw_Slack!A:B, 2, FALSE)), ""entertainment|purchas|movies|tv|netflix|streaming|celebrity|movie lovers|tv fan"&amp;"s|media|hobb|photo|art|shop""), ""Entertainment"", REGEXMATCH(LOWER(VLOOKUP(A226, Data1_Raw_Slack!A:B, 2, FALSE)), ""law|government|""), ""Law and Government"",
  TRUE, ""Other""
)"),"Health")</f>
        <v>Health</v>
      </c>
      <c r="G226" s="9"/>
      <c r="H226" s="9" t="s">
        <v>32</v>
      </c>
      <c r="I226" s="9" t="s">
        <v>817</v>
      </c>
      <c r="J226" s="9" t="s">
        <v>46</v>
      </c>
      <c r="K226" s="9" t="s">
        <v>236</v>
      </c>
      <c r="L226" s="9" t="s">
        <v>82</v>
      </c>
      <c r="M226" s="10" t="s">
        <v>676</v>
      </c>
      <c r="N226" s="9" t="str">
        <f ca="1">IFERROR(__xludf.DUMMYFUNCTION("REGEXEXTRACT(LOWER(M226), ""([a-z0-9\-]+)\.(?:co|net|org|io|gg)"")"),"medicalnewstoday")</f>
        <v>medicalnewstoday</v>
      </c>
      <c r="O226" s="9" t="s">
        <v>131</v>
      </c>
      <c r="P226" s="9" t="s">
        <v>39</v>
      </c>
      <c r="Q226" s="9">
        <v>9881</v>
      </c>
      <c r="R226" s="9">
        <v>15</v>
      </c>
      <c r="S226" s="9">
        <v>2344</v>
      </c>
      <c r="T226" s="9">
        <v>7324</v>
      </c>
      <c r="U226" s="9">
        <v>1</v>
      </c>
      <c r="V226" s="11">
        <v>1505.0115499999999</v>
      </c>
      <c r="W226" s="12">
        <f t="shared" si="0"/>
        <v>1505.0115499999999</v>
      </c>
      <c r="X226" s="12">
        <f t="shared" si="1"/>
        <v>0.15180649731808521</v>
      </c>
      <c r="Y226" s="12">
        <f t="shared" si="2"/>
        <v>23.722295314239449</v>
      </c>
      <c r="Z226" s="12">
        <f t="shared" si="3"/>
        <v>642.06977389078497</v>
      </c>
      <c r="AA226" s="12">
        <f t="shared" si="4"/>
        <v>152.31368788584152</v>
      </c>
      <c r="AB226" s="12">
        <f t="shared" si="5"/>
        <v>100.33410333333333</v>
      </c>
      <c r="AC226" s="12">
        <f t="shared" si="6"/>
        <v>6.666666666666667</v>
      </c>
      <c r="AE226" s="13"/>
      <c r="AF226" s="13"/>
    </row>
    <row r="227" spans="1:32">
      <c r="A227" s="8" t="s">
        <v>965</v>
      </c>
      <c r="B227" s="9" t="s">
        <v>41</v>
      </c>
      <c r="C227" s="9" t="s">
        <v>114</v>
      </c>
      <c r="D227" s="9" t="s">
        <v>966</v>
      </c>
      <c r="E227" s="9"/>
      <c r="F227" s="9" t="str">
        <f ca="1">IFERROR(__xludf.DUMMYFUNCTION("IFS(
  REGEXMATCH(LOWER(VLOOKUP(A227, Data1_Raw_Slack!A:B, 2, FALSE)), ""news|weather""), ""News and Weather"", REGEXMATCH(LOWER(VLOOKUP(A227, Data1_Raw_Slack!A:B, 2, FALSE)), ""sports|ufc|nba|nfl|mlb|soccer|sports fans""), ""Sports"",
  REGEXMATCH(LOWER("&amp;"VLOOKUP(A227, Data1_Raw_Slack!A:B, 2, FALSE)), ""fashion|style|clothing|apparel|shoes|accessories|beauty|cosmetics|fashionistas""), ""Fashion and Beauty"",
  REGEXMATCH(LOWER(VLOOKUP(A227, Data1_Raw_Slack!A:B, 2, FALSE)), ""food|cooking|recipe|restaurant|"&amp;"snack|grocery|foodies""), ""Food"",
  REGEXMATCH(LOWER(VLOOKUP(A227, Data1_Raw_Slack!A:B, 2, FALSE)), ""travel|vacation|airline|hotel|trip|flights|travelers""), ""Travel"",
  REGEXMATCH(LOWER(VLOOKUP(A227, Data1_Raw_Slack!A:B, 2, FALSE)), ""fitness|workou"&amp;"t|gym|exercise|yoga|wellness|fitness enthusiasts""), ""Fitness"",
  REGEXMATCH(LOWER(VLOOKUP(A227, Data1_Raw_Slack!A:B, 2, FALSE)), ""health|medical|pharmacy|mental health|doctor|health-conscious""), ""Health"",
  REGEXMATCH(LOWER(VLOOKUP(A227, Data1_Raw_"&amp;"Slack!A:B, 2, FALSE)), ""pets|dogs|cats|animals|pet care|pet lovers""), ""Pets"",
  REGEXMATCH(LOWER(VLOOKUP(A227, Data1_Raw_Slack!A:B, 2, FALSE)), ""games|gaming|game|xbox|playstation|nintendo|gamers""), ""Gaming"",
  REGEXMATCH(LOWER(VLOOKUP(A227, Data1"&amp;"_Raw_Slack!A:B, 2, FALSE)), ""entertainment|movies|tv|netflix|streaming|celebrity|movie lovers|tv fans|hobb|photo|art""), ""Entertainment"",
  REGEXMATCH(LOWER(VLOOKUP(A227, Data1_Raw_Slack!A:B, 2, FALSE)), ""lifestyle|home|interior|decor|living|lifestyle"&amp;" enthusiasts""), ""Lifestyle"",
  REGEXMATCH(LOWER(VLOOKUP(A227, Data1_Raw_Slack!A:B, 2, FALSE)), ""financial|finance|investing|stocks|retirement|banking|credit|debt|loans|savings|personal finance|insurance|econ|ecom|business|retail|occupation|sale|job|ma"&amp;"rketing""), ""Finance"",
  REGEXMATCH(LOWER(VLOOKUP(A227, Data1_Raw_Slack!A:B, 2, FALSE)), ""auto|automotive""), ""Auto"",
  REGEXMATCH(LOWER(VLOOKUP(A227, Data1_Raw_Slack!A:B, 2, FALSE)), ""parenting|moms|dads|kids|toddlers|baby|parent|children""), ""Par"&amp;"enting"",
  REGEXMATCH(LOWER(VLOOKUP(A227, Data1_Raw_Slack!A:B, 2, FALSE)), ""education|students|learning|school|teachers|college|university|academics""), ""Education"",
  REGEXMATCH(LOWER(VLOOKUP(A227, Data1_Raw_Slack!A:B, 2, FALSE)), ""age|gender|dem"&amp;"ographic|family|household""), ""Demographics"",
  REGEXMATCH(LOWER(VLOOKUP(A227, Data1_Raw_Slack!A:B, 2, FALSE)), ""mortgage|real estate""), ""Real Estate"",REGEXMATCH(LOWER(VLOOKUP(A227, Data1_Raw_Slack!A:B, 2, FALSE)), ""technology|tech|gadgets|smartpho"&amp;"ne|electro|apps|devices|computing|ai|robots|software|computer|internet|tele|mobile|tablet""), ""Technology"", REGEXMATCH(LOWER(VLOOKUP(A227, Data1_Raw_Slack!A:B, 2, FALSE)), ""entertainment|purchas|movies|tv|netflix|streaming|celebrity|movie lovers|tv fan"&amp;"s|media|hobb|photo|art|shop""), ""Entertainment"", REGEXMATCH(LOWER(VLOOKUP(A227, Data1_Raw_Slack!A:B, 2, FALSE)), ""law|government|""), ""Law and Government"",
  TRUE, ""Other""
)"),"Parenting")</f>
        <v>Parenting</v>
      </c>
      <c r="G227" s="9"/>
      <c r="H227" s="9" t="s">
        <v>44</v>
      </c>
      <c r="I227" s="9" t="s">
        <v>967</v>
      </c>
      <c r="J227" s="9" t="s">
        <v>62</v>
      </c>
      <c r="K227" s="9" t="s">
        <v>35</v>
      </c>
      <c r="L227" s="9" t="s">
        <v>36</v>
      </c>
      <c r="M227" s="10" t="s">
        <v>112</v>
      </c>
      <c r="N227" s="9" t="str">
        <f ca="1">IFERROR(__xludf.DUMMYFUNCTION("REGEXEXTRACT(LOWER(M227), ""([a-z0-9\-]+)\.(?:co|net|org|io|gg)"")"),"ebay")</f>
        <v>ebay</v>
      </c>
      <c r="O227" s="9" t="s">
        <v>109</v>
      </c>
      <c r="P227" s="9" t="s">
        <v>39</v>
      </c>
      <c r="Q227" s="9">
        <v>569171</v>
      </c>
      <c r="R227" s="9">
        <v>1354</v>
      </c>
      <c r="S227" s="9">
        <v>343050</v>
      </c>
      <c r="T227" s="9">
        <v>541133</v>
      </c>
      <c r="U227" s="9">
        <v>78</v>
      </c>
      <c r="V227" s="11">
        <v>7129.6332869999997</v>
      </c>
      <c r="W227" s="12">
        <f t="shared" si="0"/>
        <v>91.405554961538456</v>
      </c>
      <c r="X227" s="12">
        <f t="shared" si="1"/>
        <v>0.2378898432984112</v>
      </c>
      <c r="Y227" s="12">
        <f t="shared" si="2"/>
        <v>60.271869086794652</v>
      </c>
      <c r="Z227" s="12">
        <f t="shared" si="3"/>
        <v>20.783073275032795</v>
      </c>
      <c r="AA227" s="12">
        <f t="shared" si="4"/>
        <v>12.52634671654037</v>
      </c>
      <c r="AB227" s="12">
        <f t="shared" si="5"/>
        <v>5.2656080406203838</v>
      </c>
      <c r="AC227" s="12">
        <f t="shared" si="6"/>
        <v>5.7607090103397338</v>
      </c>
      <c r="AE227" s="13"/>
      <c r="AF227" s="13"/>
    </row>
    <row r="228" spans="1:32">
      <c r="A228" s="8" t="s">
        <v>968</v>
      </c>
      <c r="B228" s="9" t="s">
        <v>67</v>
      </c>
      <c r="C228" s="9" t="s">
        <v>545</v>
      </c>
      <c r="D228" s="9" t="s">
        <v>546</v>
      </c>
      <c r="E228" s="9"/>
      <c r="F228" s="9" t="str">
        <f ca="1">IFERROR(__xludf.DUMMYFUNCTION("IFS(
  REGEXMATCH(LOWER(VLOOKUP(A228, Data1_Raw_Slack!A:B, 2, FALSE)), ""news|weather""), ""News and Weather"", REGEXMATCH(LOWER(VLOOKUP(A228, Data1_Raw_Slack!A:B, 2, FALSE)), ""sports|ufc|nba|nfl|mlb|soccer|sports fans""), ""Sports"",
  REGEXMATCH(LOWER("&amp;"VLOOKUP(A228, Data1_Raw_Slack!A:B, 2, FALSE)), ""fashion|style|clothing|apparel|shoes|accessories|beauty|cosmetics|fashionistas""), ""Fashion and Beauty"",
  REGEXMATCH(LOWER(VLOOKUP(A228, Data1_Raw_Slack!A:B, 2, FALSE)), ""food|cooking|recipe|restaurant|"&amp;"snack|grocery|foodies""), ""Food"",
  REGEXMATCH(LOWER(VLOOKUP(A228, Data1_Raw_Slack!A:B, 2, FALSE)), ""travel|vacation|airline|hotel|trip|flights|travelers""), ""Travel"",
  REGEXMATCH(LOWER(VLOOKUP(A228, Data1_Raw_Slack!A:B, 2, FALSE)), ""fitness|workou"&amp;"t|gym|exercise|yoga|wellness|fitness enthusiasts""), ""Fitness"",
  REGEXMATCH(LOWER(VLOOKUP(A228, Data1_Raw_Slack!A:B, 2, FALSE)), ""health|medical|pharmacy|mental health|doctor|health-conscious""), ""Health"",
  REGEXMATCH(LOWER(VLOOKUP(A228, Data1_Raw_"&amp;"Slack!A:B, 2, FALSE)), ""pets|dogs|cats|animals|pet care|pet lovers""), ""Pets"",
  REGEXMATCH(LOWER(VLOOKUP(A228, Data1_Raw_Slack!A:B, 2, FALSE)), ""games|gaming|game|xbox|playstation|nintendo|gamers""), ""Gaming"",
  REGEXMATCH(LOWER(VLOOKUP(A228, Data1"&amp;"_Raw_Slack!A:B, 2, FALSE)), ""entertainment|movies|tv|netflix|streaming|celebrity|movie lovers|tv fans|hobb|photo|art""), ""Entertainment"",
  REGEXMATCH(LOWER(VLOOKUP(A228, Data1_Raw_Slack!A:B, 2, FALSE)), ""lifestyle|home|interior|decor|living|lifestyle"&amp;" enthusiasts""), ""Lifestyle"",
  REGEXMATCH(LOWER(VLOOKUP(A228, Data1_Raw_Slack!A:B, 2, FALSE)), ""financial|finance|investing|stocks|retirement|banking|credit|debt|loans|savings|personal finance|insurance|econ|ecom|business|retail|occupation|sale|job|ma"&amp;"rketing""), ""Finance"",
  REGEXMATCH(LOWER(VLOOKUP(A228, Data1_Raw_Slack!A:B, 2, FALSE)), ""auto|automotive""), ""Auto"",
  REGEXMATCH(LOWER(VLOOKUP(A228, Data1_Raw_Slack!A:B, 2, FALSE)), ""parenting|moms|dads|kids|toddlers|baby|parent|children""), ""Par"&amp;"enting"",
  REGEXMATCH(LOWER(VLOOKUP(A228, Data1_Raw_Slack!A:B, 2, FALSE)), ""education|students|learning|school|teachers|college|university|academics""), ""Education"",
  REGEXMATCH(LOWER(VLOOKUP(A228, Data1_Raw_Slack!A:B, 2, FALSE)), ""age|gender|dem"&amp;"ographic|family|household""), ""Demographics"",
  REGEXMATCH(LOWER(VLOOKUP(A228, Data1_Raw_Slack!A:B, 2, FALSE)), ""mortgage|real estate""), ""Real Estate"",REGEXMATCH(LOWER(VLOOKUP(A228, Data1_Raw_Slack!A:B, 2, FALSE)), ""technology|tech|gadgets|smartpho"&amp;"ne|electro|apps|devices|computing|ai|robots|software|computer|internet|tele|mobile|tablet""), ""Technology"", REGEXMATCH(LOWER(VLOOKUP(A228, Data1_Raw_Slack!A:B, 2, FALSE)), ""entertainment|purchas|movies|tv|netflix|streaming|celebrity|movie lovers|tv fan"&amp;"s|media|hobb|photo|art|shop""), ""Entertainment"", REGEXMATCH(LOWER(VLOOKUP(A228, Data1_Raw_Slack!A:B, 2, FALSE)), ""law|government|""), ""Law and Government"",
  TRUE, ""Other""
)"),"Entertainment")</f>
        <v>Entertainment</v>
      </c>
      <c r="G228" s="9" t="s">
        <v>69</v>
      </c>
      <c r="H228" s="9" t="s">
        <v>32</v>
      </c>
      <c r="I228" s="9" t="s">
        <v>558</v>
      </c>
      <c r="J228" s="9" t="s">
        <v>80</v>
      </c>
      <c r="K228" s="9" t="s">
        <v>274</v>
      </c>
      <c r="L228" s="9" t="s">
        <v>48</v>
      </c>
      <c r="M228" s="10" t="s">
        <v>969</v>
      </c>
      <c r="N228" s="9" t="str">
        <f ca="1">IFERROR(__xludf.DUMMYFUNCTION("REGEXEXTRACT(LOWER(M228), ""([a-z0-9\-]+)\.(?:co|net|org|io|gg)"")"),"wunderground")</f>
        <v>wunderground</v>
      </c>
      <c r="O228" s="9" t="s">
        <v>157</v>
      </c>
      <c r="P228" s="9" t="s">
        <v>39</v>
      </c>
      <c r="Q228" s="9">
        <v>13713</v>
      </c>
      <c r="R228" s="9">
        <v>151</v>
      </c>
      <c r="S228" s="9">
        <v>8339</v>
      </c>
      <c r="T228" s="9">
        <v>13051</v>
      </c>
      <c r="U228" s="9">
        <v>5</v>
      </c>
      <c r="V228" s="11">
        <v>1490.0061969999999</v>
      </c>
      <c r="W228" s="12">
        <f t="shared" si="0"/>
        <v>298.00123939999997</v>
      </c>
      <c r="X228" s="12">
        <f t="shared" si="1"/>
        <v>1.101144899000948</v>
      </c>
      <c r="Y228" s="12">
        <f t="shared" si="2"/>
        <v>60.81090935608546</v>
      </c>
      <c r="Z228" s="12">
        <f t="shared" si="3"/>
        <v>178.67924175560617</v>
      </c>
      <c r="AA228" s="12">
        <f t="shared" si="4"/>
        <v>108.65647174214249</v>
      </c>
      <c r="AB228" s="12">
        <f t="shared" si="5"/>
        <v>9.8675907086092707</v>
      </c>
      <c r="AC228" s="12">
        <f t="shared" si="6"/>
        <v>3.3112582781456954</v>
      </c>
      <c r="AE228" s="13"/>
      <c r="AF228" s="13"/>
    </row>
    <row r="229" spans="1:32">
      <c r="A229" s="8" t="s">
        <v>970</v>
      </c>
      <c r="B229" s="9" t="s">
        <v>144</v>
      </c>
      <c r="C229" s="9" t="s">
        <v>631</v>
      </c>
      <c r="D229" s="9" t="s">
        <v>69</v>
      </c>
      <c r="E229" s="9"/>
      <c r="F229" s="9" t="str">
        <f ca="1">IFERROR(__xludf.DUMMYFUNCTION("IFS(
  REGEXMATCH(LOWER(VLOOKUP(A229, Data1_Raw_Slack!A:B, 2, FALSE)), ""news|weather""), ""News and Weather"", REGEXMATCH(LOWER(VLOOKUP(A229, Data1_Raw_Slack!A:B, 2, FALSE)), ""sports|ufc|nba|nfl|mlb|soccer|sports fans""), ""Sports"",
  REGEXMATCH(LOWER("&amp;"VLOOKUP(A229, Data1_Raw_Slack!A:B, 2, FALSE)), ""fashion|style|clothing|apparel|shoes|accessories|beauty|cosmetics|fashionistas""), ""Fashion and Beauty"",
  REGEXMATCH(LOWER(VLOOKUP(A229, Data1_Raw_Slack!A:B, 2, FALSE)), ""food|cooking|recipe|restaurant|"&amp;"snack|grocery|foodies""), ""Food"",
  REGEXMATCH(LOWER(VLOOKUP(A229, Data1_Raw_Slack!A:B, 2, FALSE)), ""travel|vacation|airline|hotel|trip|flights|travelers""), ""Travel"",
  REGEXMATCH(LOWER(VLOOKUP(A229, Data1_Raw_Slack!A:B, 2, FALSE)), ""fitness|workou"&amp;"t|gym|exercise|yoga|wellness|fitness enthusiasts""), ""Fitness"",
  REGEXMATCH(LOWER(VLOOKUP(A229, Data1_Raw_Slack!A:B, 2, FALSE)), ""health|medical|pharmacy|mental health|doctor|health-conscious""), ""Health"",
  REGEXMATCH(LOWER(VLOOKUP(A229, Data1_Raw_"&amp;"Slack!A:B, 2, FALSE)), ""pets|dogs|cats|animals|pet care|pet lovers""), ""Pets"",
  REGEXMATCH(LOWER(VLOOKUP(A229, Data1_Raw_Slack!A:B, 2, FALSE)), ""games|gaming|game|xbox|playstation|nintendo|gamers""), ""Gaming"",
  REGEXMATCH(LOWER(VLOOKUP(A229, Data1"&amp;"_Raw_Slack!A:B, 2, FALSE)), ""entertainment|movies|tv|netflix|streaming|celebrity|movie lovers|tv fans|hobb|photo|art""), ""Entertainment"",
  REGEXMATCH(LOWER(VLOOKUP(A229, Data1_Raw_Slack!A:B, 2, FALSE)), ""lifestyle|home|interior|decor|living|lifestyle"&amp;" enthusiasts""), ""Lifestyle"",
  REGEXMATCH(LOWER(VLOOKUP(A229, Data1_Raw_Slack!A:B, 2, FALSE)), ""financial|finance|investing|stocks|retirement|banking|credit|debt|loans|savings|personal finance|insurance|econ|ecom|business|retail|occupation|sale|job|ma"&amp;"rketing""), ""Finance"",
  REGEXMATCH(LOWER(VLOOKUP(A229, Data1_Raw_Slack!A:B, 2, FALSE)), ""auto|automotive""), ""Auto"",
  REGEXMATCH(LOWER(VLOOKUP(A229, Data1_Raw_Slack!A:B, 2, FALSE)), ""parenting|moms|dads|kids|toddlers|baby|parent|children""), ""Par"&amp;"enting"",
  REGEXMATCH(LOWER(VLOOKUP(A229, Data1_Raw_Slack!A:B, 2, FALSE)), ""education|students|learning|school|teachers|college|university|academics""), ""Education"",
  REGEXMATCH(LOWER(VLOOKUP(A229, Data1_Raw_Slack!A:B, 2, FALSE)), ""age|gender|dem"&amp;"ographic|family|household""), ""Demographics"",
  REGEXMATCH(LOWER(VLOOKUP(A229, Data1_Raw_Slack!A:B, 2, FALSE)), ""mortgage|real estate""), ""Real Estate"",REGEXMATCH(LOWER(VLOOKUP(A229, Data1_Raw_Slack!A:B, 2, FALSE)), ""technology|tech|gadgets|smartpho"&amp;"ne|electro|apps|devices|computing|ai|robots|software|computer|internet|tele|mobile|tablet""), ""Technology"", REGEXMATCH(LOWER(VLOOKUP(A229, Data1_Raw_Slack!A:B, 2, FALSE)), ""entertainment|purchas|movies|tv|netflix|streaming|celebrity|movie lovers|tv fan"&amp;"s|media|hobb|photo|art|shop""), ""Entertainment"", REGEXMATCH(LOWER(VLOOKUP(A229, Data1_Raw_Slack!A:B, 2, FALSE)), ""law|government|""), ""Law and Government"",
  TRUE, ""Other""
)"),"Entertainment")</f>
        <v>Entertainment</v>
      </c>
      <c r="G229" s="9" t="s">
        <v>135</v>
      </c>
      <c r="H229" s="9" t="s">
        <v>44</v>
      </c>
      <c r="I229" s="9" t="s">
        <v>466</v>
      </c>
      <c r="J229" s="9" t="s">
        <v>46</v>
      </c>
      <c r="K229" s="9" t="s">
        <v>443</v>
      </c>
      <c r="L229" s="9" t="s">
        <v>72</v>
      </c>
      <c r="M229" s="10" t="s">
        <v>354</v>
      </c>
      <c r="N229" s="9" t="str">
        <f ca="1">IFERROR(__xludf.DUMMYFUNCTION("REGEXEXTRACT(LOWER(M229), ""([a-z0-9\-]+)\.(?:co|net|org|io|gg)"")"),"yahoo")</f>
        <v>yahoo</v>
      </c>
      <c r="O229" s="9" t="s">
        <v>103</v>
      </c>
      <c r="P229" s="9" t="s">
        <v>39</v>
      </c>
      <c r="Q229" s="9">
        <v>85965</v>
      </c>
      <c r="R229" s="9">
        <v>233</v>
      </c>
      <c r="S229" s="9">
        <v>33865</v>
      </c>
      <c r="T229" s="9">
        <v>78662</v>
      </c>
      <c r="U229" s="9">
        <v>3</v>
      </c>
      <c r="V229" s="11">
        <v>1555.5348120000001</v>
      </c>
      <c r="W229" s="12">
        <f t="shared" si="0"/>
        <v>518.51160400000003</v>
      </c>
      <c r="X229" s="12">
        <f t="shared" si="1"/>
        <v>0.27104053975455122</v>
      </c>
      <c r="Y229" s="12">
        <f t="shared" si="2"/>
        <v>39.393939393939391</v>
      </c>
      <c r="Z229" s="12">
        <f t="shared" si="3"/>
        <v>45.933406525911714</v>
      </c>
      <c r="AA229" s="12">
        <f t="shared" si="4"/>
        <v>18.094978328389463</v>
      </c>
      <c r="AB229" s="12">
        <f t="shared" si="5"/>
        <v>6.6761150729613741</v>
      </c>
      <c r="AC229" s="12">
        <f t="shared" si="6"/>
        <v>1.2875536480686696</v>
      </c>
      <c r="AE229" s="13"/>
      <c r="AF229" s="13"/>
    </row>
    <row r="230" spans="1:32">
      <c r="A230" s="8" t="s">
        <v>971</v>
      </c>
      <c r="B230" s="9" t="s">
        <v>41</v>
      </c>
      <c r="C230" s="9" t="s">
        <v>120</v>
      </c>
      <c r="D230" s="9" t="s">
        <v>972</v>
      </c>
      <c r="E230" s="9"/>
      <c r="F230" s="9" t="str">
        <f ca="1">IFERROR(__xludf.DUMMYFUNCTION("IFS(
  REGEXMATCH(LOWER(VLOOKUP(A230, Data1_Raw_Slack!A:B, 2, FALSE)), ""news|weather""), ""News and Weather"", REGEXMATCH(LOWER(VLOOKUP(A230, Data1_Raw_Slack!A:B, 2, FALSE)), ""sports|ufc|nba|nfl|mlb|soccer|sports fans""), ""Sports"",
  REGEXMATCH(LOWER("&amp;"VLOOKUP(A230, Data1_Raw_Slack!A:B, 2, FALSE)), ""fashion|style|clothing|apparel|shoes|accessories|beauty|cosmetics|fashionistas""), ""Fashion and Beauty"",
  REGEXMATCH(LOWER(VLOOKUP(A230, Data1_Raw_Slack!A:B, 2, FALSE)), ""food|cooking|recipe|restaurant|"&amp;"snack|grocery|foodies""), ""Food"",
  REGEXMATCH(LOWER(VLOOKUP(A230, Data1_Raw_Slack!A:B, 2, FALSE)), ""travel|vacation|airline|hotel|trip|flights|travelers""), ""Travel"",
  REGEXMATCH(LOWER(VLOOKUP(A230, Data1_Raw_Slack!A:B, 2, FALSE)), ""fitness|workou"&amp;"t|gym|exercise|yoga|wellness|fitness enthusiasts""), ""Fitness"",
  REGEXMATCH(LOWER(VLOOKUP(A230, Data1_Raw_Slack!A:B, 2, FALSE)), ""health|medical|pharmacy|mental health|doctor|health-conscious""), ""Health"",
  REGEXMATCH(LOWER(VLOOKUP(A230, Data1_Raw_"&amp;"Slack!A:B, 2, FALSE)), ""pets|dogs|cats|animals|pet care|pet lovers""), ""Pets"",
  REGEXMATCH(LOWER(VLOOKUP(A230, Data1_Raw_Slack!A:B, 2, FALSE)), ""games|gaming|game|xbox|playstation|nintendo|gamers""), ""Gaming"",
  REGEXMATCH(LOWER(VLOOKUP(A230, Data1"&amp;"_Raw_Slack!A:B, 2, FALSE)), ""entertainment|movies|tv|netflix|streaming|celebrity|movie lovers|tv fans|hobb|photo|art""), ""Entertainment"",
  REGEXMATCH(LOWER(VLOOKUP(A230, Data1_Raw_Slack!A:B, 2, FALSE)), ""lifestyle|home|interior|decor|living|lifestyle"&amp;" enthusiasts""), ""Lifestyle"",
  REGEXMATCH(LOWER(VLOOKUP(A230, Data1_Raw_Slack!A:B, 2, FALSE)), ""financial|finance|investing|stocks|retirement|banking|credit|debt|loans|savings|personal finance|insurance|econ|ecom|business|retail|occupation|sale|job|ma"&amp;"rketing""), ""Finance"",
  REGEXMATCH(LOWER(VLOOKUP(A230, Data1_Raw_Slack!A:B, 2, FALSE)), ""auto|automotive""), ""Auto"",
  REGEXMATCH(LOWER(VLOOKUP(A230, Data1_Raw_Slack!A:B, 2, FALSE)), ""parenting|moms|dads|kids|toddlers|baby|parent|children""), ""Par"&amp;"enting"",
  REGEXMATCH(LOWER(VLOOKUP(A230, Data1_Raw_Slack!A:B, 2, FALSE)), ""education|students|learning|school|teachers|college|university|academics""), ""Education"",
  REGEXMATCH(LOWER(VLOOKUP(A230, Data1_Raw_Slack!A:B, 2, FALSE)), ""age|gender|dem"&amp;"ographic|family|household""), ""Demographics"",
  REGEXMATCH(LOWER(VLOOKUP(A230, Data1_Raw_Slack!A:B, 2, FALSE)), ""mortgage|real estate""), ""Real Estate"",REGEXMATCH(LOWER(VLOOKUP(A230, Data1_Raw_Slack!A:B, 2, FALSE)), ""technology|tech|gadgets|smartpho"&amp;"ne|electro|apps|devices|computing|ai|robots|software|computer|internet|tele|mobile|tablet""), ""Technology"", REGEXMATCH(LOWER(VLOOKUP(A230, Data1_Raw_Slack!A:B, 2, FALSE)), ""entertainment|purchas|movies|tv|netflix|streaming|celebrity|movie lovers|tv fan"&amp;"s|media|hobb|photo|art|shop""), ""Entertainment"", REGEXMATCH(LOWER(VLOOKUP(A230, Data1_Raw_Slack!A:B, 2, FALSE)), ""law|government|""), ""Law and Government"",
  TRUE, ""Other""
)"),"Auto")</f>
        <v>Auto</v>
      </c>
      <c r="G230" s="9" t="s">
        <v>122</v>
      </c>
      <c r="H230" s="9" t="s">
        <v>123</v>
      </c>
      <c r="I230" s="9" t="s">
        <v>973</v>
      </c>
      <c r="J230" s="9" t="s">
        <v>80</v>
      </c>
      <c r="K230" s="9" t="s">
        <v>88</v>
      </c>
      <c r="L230" s="9" t="s">
        <v>89</v>
      </c>
      <c r="M230" s="10" t="s">
        <v>130</v>
      </c>
      <c r="N230" s="9" t="str">
        <f ca="1">IFERROR(__xludf.DUMMYFUNCTION("REGEXEXTRACT(LOWER(M230), ""([a-z0-9\-]+)\.(?:co|net|org|io|gg)"")"),"weather")</f>
        <v>weather</v>
      </c>
      <c r="O230" s="9" t="s">
        <v>50</v>
      </c>
      <c r="P230" s="9" t="s">
        <v>39</v>
      </c>
      <c r="Q230" s="9">
        <v>257862</v>
      </c>
      <c r="R230" s="9">
        <v>700</v>
      </c>
      <c r="S230" s="9">
        <v>105048</v>
      </c>
      <c r="T230" s="9">
        <v>238629</v>
      </c>
      <c r="U230" s="9">
        <v>21</v>
      </c>
      <c r="V230" s="11">
        <v>5899.4294829999999</v>
      </c>
      <c r="W230" s="12">
        <f t="shared" si="0"/>
        <v>280.92521347619049</v>
      </c>
      <c r="X230" s="12">
        <f t="shared" si="1"/>
        <v>0.27146303061327376</v>
      </c>
      <c r="Y230" s="12">
        <f t="shared" si="2"/>
        <v>40.738069199804542</v>
      </c>
      <c r="Z230" s="12">
        <f t="shared" si="3"/>
        <v>56.159369840453891</v>
      </c>
      <c r="AA230" s="12">
        <f t="shared" si="4"/>
        <v>22.878242947778269</v>
      </c>
      <c r="AB230" s="12">
        <f t="shared" si="5"/>
        <v>8.4277564042857147</v>
      </c>
      <c r="AC230" s="12">
        <f t="shared" si="6"/>
        <v>3</v>
      </c>
      <c r="AE230" s="13"/>
      <c r="AF230" s="13"/>
    </row>
    <row r="231" spans="1:32">
      <c r="A231" s="8" t="s">
        <v>974</v>
      </c>
      <c r="B231" s="9" t="s">
        <v>41</v>
      </c>
      <c r="C231" s="9" t="s">
        <v>154</v>
      </c>
      <c r="D231" s="9" t="s">
        <v>975</v>
      </c>
      <c r="E231" s="9" t="s">
        <v>976</v>
      </c>
      <c r="F231" s="9" t="str">
        <f ca="1">IFERROR(__xludf.DUMMYFUNCTION("IFS(
  REGEXMATCH(LOWER(VLOOKUP(A231, Data1_Raw_Slack!A:B, 2, FALSE)), ""news|weather""), ""News and Weather"", REGEXMATCH(LOWER(VLOOKUP(A231, Data1_Raw_Slack!A:B, 2, FALSE)), ""sports|ufc|nba|nfl|mlb|soccer|sports fans""), ""Sports"",
  REGEXMATCH(LOWER("&amp;"VLOOKUP(A231, Data1_Raw_Slack!A:B, 2, FALSE)), ""fashion|style|clothing|apparel|shoes|accessories|beauty|cosmetics|fashionistas""), ""Fashion and Beauty"",
  REGEXMATCH(LOWER(VLOOKUP(A231, Data1_Raw_Slack!A:B, 2, FALSE)), ""food|cooking|recipe|restaurant|"&amp;"snack|grocery|foodies""), ""Food"",
  REGEXMATCH(LOWER(VLOOKUP(A231, Data1_Raw_Slack!A:B, 2, FALSE)), ""travel|vacation|airline|hotel|trip|flights|travelers""), ""Travel"",
  REGEXMATCH(LOWER(VLOOKUP(A231, Data1_Raw_Slack!A:B, 2, FALSE)), ""fitness|workou"&amp;"t|gym|exercise|yoga|wellness|fitness enthusiasts""), ""Fitness"",
  REGEXMATCH(LOWER(VLOOKUP(A231, Data1_Raw_Slack!A:B, 2, FALSE)), ""health|medical|pharmacy|mental health|doctor|health-conscious""), ""Health"",
  REGEXMATCH(LOWER(VLOOKUP(A231, Data1_Raw_"&amp;"Slack!A:B, 2, FALSE)), ""pets|dogs|cats|animals|pet care|pet lovers""), ""Pets"",
  REGEXMATCH(LOWER(VLOOKUP(A231, Data1_Raw_Slack!A:B, 2, FALSE)), ""games|gaming|game|xbox|playstation|nintendo|gamers""), ""Gaming"",
  REGEXMATCH(LOWER(VLOOKUP(A231, Data1"&amp;"_Raw_Slack!A:B, 2, FALSE)), ""entertainment|movies|tv|netflix|streaming|celebrity|movie lovers|tv fans|hobb|photo|art""), ""Entertainment"",
  REGEXMATCH(LOWER(VLOOKUP(A231, Data1_Raw_Slack!A:B, 2, FALSE)), ""lifestyle|home|interior|decor|living|lifestyle"&amp;" enthusiasts""), ""Lifestyle"",
  REGEXMATCH(LOWER(VLOOKUP(A231, Data1_Raw_Slack!A:B, 2, FALSE)), ""financial|finance|investing|stocks|retirement|banking|credit|debt|loans|savings|personal finance|insurance|econ|ecom|business|retail|occupation|sale|job|ma"&amp;"rketing""), ""Finance"",
  REGEXMATCH(LOWER(VLOOKUP(A231, Data1_Raw_Slack!A:B, 2, FALSE)), ""auto|automotive""), ""Auto"",
  REGEXMATCH(LOWER(VLOOKUP(A231, Data1_Raw_Slack!A:B, 2, FALSE)), ""parenting|moms|dads|kids|toddlers|baby|parent|children""), ""Par"&amp;"enting"",
  REGEXMATCH(LOWER(VLOOKUP(A231, Data1_Raw_Slack!A:B, 2, FALSE)), ""education|students|learning|school|teachers|college|university|academics""), ""Education"",
  REGEXMATCH(LOWER(VLOOKUP(A231, Data1_Raw_Slack!A:B, 2, FALSE)), ""age|gender|dem"&amp;"ographic|family|household""), ""Demographics"",
  REGEXMATCH(LOWER(VLOOKUP(A231, Data1_Raw_Slack!A:B, 2, FALSE)), ""mortgage|real estate""), ""Real Estate"",REGEXMATCH(LOWER(VLOOKUP(A231, Data1_Raw_Slack!A:B, 2, FALSE)), ""technology|tech|gadgets|smartpho"&amp;"ne|electro|apps|devices|computing|ai|robots|software|computer|internet|tele|mobile|tablet""), ""Technology"", REGEXMATCH(LOWER(VLOOKUP(A231, Data1_Raw_Slack!A:B, 2, FALSE)), ""entertainment|purchas|movies|tv|netflix|streaming|celebrity|movie lovers|tv fan"&amp;"s|media|hobb|photo|art|shop""), ""Entertainment"", REGEXMATCH(LOWER(VLOOKUP(A231, Data1_Raw_Slack!A:B, 2, FALSE)), ""law|government|""), ""Law and Government"",
  TRUE, ""Other""
)"),"Sports")</f>
        <v>Sports</v>
      </c>
      <c r="G231" s="9" t="s">
        <v>154</v>
      </c>
      <c r="H231" s="9" t="s">
        <v>44</v>
      </c>
      <c r="I231" s="9" t="s">
        <v>977</v>
      </c>
      <c r="J231" s="9" t="s">
        <v>34</v>
      </c>
      <c r="K231" s="9" t="s">
        <v>236</v>
      </c>
      <c r="L231" s="9" t="s">
        <v>82</v>
      </c>
      <c r="M231" s="10" t="s">
        <v>49</v>
      </c>
      <c r="N231" s="9" t="str">
        <f ca="1">IFERROR(__xludf.DUMMYFUNCTION("REGEXEXTRACT(LOWER(M231), ""([a-z0-9\-]+)\.(?:co|net|org|io|gg)"")"),"yahoo")</f>
        <v>yahoo</v>
      </c>
      <c r="O231" s="9" t="s">
        <v>50</v>
      </c>
      <c r="P231" s="9" t="s">
        <v>39</v>
      </c>
      <c r="Q231" s="9">
        <v>470192</v>
      </c>
      <c r="R231" s="9">
        <v>940</v>
      </c>
      <c r="S231" s="9">
        <v>336480</v>
      </c>
      <c r="T231" s="9">
        <v>443202</v>
      </c>
      <c r="U231" s="9">
        <v>3</v>
      </c>
      <c r="V231" s="11">
        <v>4963.9662509999998</v>
      </c>
      <c r="W231" s="12">
        <f t="shared" si="0"/>
        <v>1654.6554169999999</v>
      </c>
      <c r="X231" s="12">
        <f t="shared" si="1"/>
        <v>0.19991833123489977</v>
      </c>
      <c r="Y231" s="12">
        <f t="shared" si="2"/>
        <v>71.562255419062851</v>
      </c>
      <c r="Z231" s="12">
        <f t="shared" si="3"/>
        <v>14.752633889087019</v>
      </c>
      <c r="AA231" s="12">
        <f t="shared" si="4"/>
        <v>10.557317544747677</v>
      </c>
      <c r="AB231" s="12">
        <f t="shared" si="5"/>
        <v>5.2808151606382978</v>
      </c>
      <c r="AC231" s="12">
        <f t="shared" si="6"/>
        <v>0.31914893617021273</v>
      </c>
      <c r="AE231" s="13"/>
      <c r="AF231" s="13"/>
    </row>
    <row r="232" spans="1:32">
      <c r="A232" s="8" t="s">
        <v>978</v>
      </c>
      <c r="B232" s="9" t="s">
        <v>92</v>
      </c>
      <c r="C232" s="9" t="s">
        <v>178</v>
      </c>
      <c r="D232" s="9" t="s">
        <v>173</v>
      </c>
      <c r="E232" s="9" t="s">
        <v>979</v>
      </c>
      <c r="F232" s="9" t="str">
        <f ca="1">IFERROR(__xludf.DUMMYFUNCTION("IFS(
  REGEXMATCH(LOWER(VLOOKUP(A232, Data1_Raw_Slack!A:B, 2, FALSE)), ""news|weather""), ""News and Weather"", REGEXMATCH(LOWER(VLOOKUP(A232, Data1_Raw_Slack!A:B, 2, FALSE)), ""sports|ufc|nba|nfl|mlb|soccer|sports fans""), ""Sports"",
  REGEXMATCH(LOWER("&amp;"VLOOKUP(A232, Data1_Raw_Slack!A:B, 2, FALSE)), ""fashion|style|clothing|apparel|shoes|accessories|beauty|cosmetics|fashionistas""), ""Fashion and Beauty"",
  REGEXMATCH(LOWER(VLOOKUP(A232, Data1_Raw_Slack!A:B, 2, FALSE)), ""food|cooking|recipe|restaurant|"&amp;"snack|grocery|foodies""), ""Food"",
  REGEXMATCH(LOWER(VLOOKUP(A232, Data1_Raw_Slack!A:B, 2, FALSE)), ""travel|vacation|airline|hotel|trip|flights|travelers""), ""Travel"",
  REGEXMATCH(LOWER(VLOOKUP(A232, Data1_Raw_Slack!A:B, 2, FALSE)), ""fitness|workou"&amp;"t|gym|exercise|yoga|wellness|fitness enthusiasts""), ""Fitness"",
  REGEXMATCH(LOWER(VLOOKUP(A232, Data1_Raw_Slack!A:B, 2, FALSE)), ""health|medical|pharmacy|mental health|doctor|health-conscious""), ""Health"",
  REGEXMATCH(LOWER(VLOOKUP(A232, Data1_Raw_"&amp;"Slack!A:B, 2, FALSE)), ""pets|dogs|cats|animals|pet care|pet lovers""), ""Pets"",
  REGEXMATCH(LOWER(VLOOKUP(A232, Data1_Raw_Slack!A:B, 2, FALSE)), ""games|gaming|game|xbox|playstation|nintendo|gamers""), ""Gaming"",
  REGEXMATCH(LOWER(VLOOKUP(A232, Data1"&amp;"_Raw_Slack!A:B, 2, FALSE)), ""entertainment|movies|tv|netflix|streaming|celebrity|movie lovers|tv fans|hobb|photo|art""), ""Entertainment"",
  REGEXMATCH(LOWER(VLOOKUP(A232, Data1_Raw_Slack!A:B, 2, FALSE)), ""lifestyle|home|interior|decor|living|lifestyle"&amp;" enthusiasts""), ""Lifestyle"",
  REGEXMATCH(LOWER(VLOOKUP(A232, Data1_Raw_Slack!A:B, 2, FALSE)), ""financial|finance|investing|stocks|retirement|banking|credit|debt|loans|savings|personal finance|insurance|econ|ecom|business|retail|occupation|sale|job|ma"&amp;"rketing""), ""Finance"",
  REGEXMATCH(LOWER(VLOOKUP(A232, Data1_Raw_Slack!A:B, 2, FALSE)), ""auto|automotive""), ""Auto"",
  REGEXMATCH(LOWER(VLOOKUP(A232, Data1_Raw_Slack!A:B, 2, FALSE)), ""parenting|moms|dads|kids|toddlers|baby|parent|children""), ""Par"&amp;"enting"",
  REGEXMATCH(LOWER(VLOOKUP(A232, Data1_Raw_Slack!A:B, 2, FALSE)), ""education|students|learning|school|teachers|college|university|academics""), ""Education"",
  REGEXMATCH(LOWER(VLOOKUP(A232, Data1_Raw_Slack!A:B, 2, FALSE)), ""age|gender|dem"&amp;"ographic|family|household""), ""Demographics"",
  REGEXMATCH(LOWER(VLOOKUP(A232, Data1_Raw_Slack!A:B, 2, FALSE)), ""mortgage|real estate""), ""Real Estate"",REGEXMATCH(LOWER(VLOOKUP(A232, Data1_Raw_Slack!A:B, 2, FALSE)), ""technology|tech|gadgets|smartpho"&amp;"ne|electro|apps|devices|computing|ai|robots|software|computer|internet|tele|mobile|tablet""), ""Technology"", REGEXMATCH(LOWER(VLOOKUP(A232, Data1_Raw_Slack!A:B, 2, FALSE)), ""entertainment|purchas|movies|tv|netflix|streaming|celebrity|movie lovers|tv fan"&amp;"s|media|hobb|photo|art|shop""), ""Entertainment"", REGEXMATCH(LOWER(VLOOKUP(A232, Data1_Raw_Slack!A:B, 2, FALSE)), ""law|government|""), ""Law and Government"",
  TRUE, ""Other""
)"),"Entertainment")</f>
        <v>Entertainment</v>
      </c>
      <c r="G232" s="9"/>
      <c r="H232" s="9" t="s">
        <v>44</v>
      </c>
      <c r="I232" s="9" t="s">
        <v>885</v>
      </c>
      <c r="J232" s="9" t="s">
        <v>62</v>
      </c>
      <c r="K232" s="9" t="s">
        <v>88</v>
      </c>
      <c r="L232" s="9" t="s">
        <v>89</v>
      </c>
      <c r="M232" s="10" t="s">
        <v>888</v>
      </c>
      <c r="N232" s="9" t="str">
        <f ca="1">IFERROR(__xludf.DUMMYFUNCTION("REGEXEXTRACT(LOWER(M232), ""([a-z0-9\-]+)\.(?:co|net|org|io|gg)"")"),"microsoftcasualgames")</f>
        <v>microsoftcasualgames</v>
      </c>
      <c r="O232" s="9" t="s">
        <v>693</v>
      </c>
      <c r="P232" s="9" t="s">
        <v>39</v>
      </c>
      <c r="Q232" s="9">
        <v>292578</v>
      </c>
      <c r="R232" s="9">
        <v>812</v>
      </c>
      <c r="S232" s="9">
        <v>6474</v>
      </c>
      <c r="T232" s="9">
        <v>12323</v>
      </c>
      <c r="U232" s="9">
        <v>4</v>
      </c>
      <c r="V232" s="11">
        <v>1826.3187379999999</v>
      </c>
      <c r="W232" s="12">
        <f t="shared" si="0"/>
        <v>456.57968449999998</v>
      </c>
      <c r="X232" s="12">
        <f t="shared" si="1"/>
        <v>0.27753282885247693</v>
      </c>
      <c r="Y232" s="12">
        <f t="shared" si="2"/>
        <v>2.2127432684617436</v>
      </c>
      <c r="Z232" s="12">
        <f t="shared" si="3"/>
        <v>282.10051560086498</v>
      </c>
      <c r="AA232" s="12">
        <f t="shared" si="4"/>
        <v>6.242160169254011</v>
      </c>
      <c r="AB232" s="12">
        <f t="shared" si="5"/>
        <v>2.2491610073891626</v>
      </c>
      <c r="AC232" s="12">
        <f t="shared" si="6"/>
        <v>0.49261083743842365</v>
      </c>
      <c r="AE232" s="13"/>
      <c r="AF232" s="13"/>
    </row>
    <row r="233" spans="1:32">
      <c r="A233" s="8" t="s">
        <v>980</v>
      </c>
      <c r="B233" s="9" t="s">
        <v>92</v>
      </c>
      <c r="C233" s="9" t="s">
        <v>127</v>
      </c>
      <c r="D233" s="9" t="s">
        <v>534</v>
      </c>
      <c r="E233" s="9" t="s">
        <v>981</v>
      </c>
      <c r="F233" s="9" t="str">
        <f ca="1">IFERROR(__xludf.DUMMYFUNCTION("IFS(
  REGEXMATCH(LOWER(VLOOKUP(A233, Data1_Raw_Slack!A:B, 2, FALSE)), ""news|weather""), ""News and Weather"", REGEXMATCH(LOWER(VLOOKUP(A233, Data1_Raw_Slack!A:B, 2, FALSE)), ""sports|ufc|nba|nfl|mlb|soccer|sports fans""), ""Sports"",
  REGEXMATCH(LOWER("&amp;"VLOOKUP(A233, Data1_Raw_Slack!A:B, 2, FALSE)), ""fashion|style|clothing|apparel|shoes|accessories|beauty|cosmetics|fashionistas""), ""Fashion and Beauty"",
  REGEXMATCH(LOWER(VLOOKUP(A233, Data1_Raw_Slack!A:B, 2, FALSE)), ""food|cooking|recipe|restaurant|"&amp;"snack|grocery|foodies""), ""Food"",
  REGEXMATCH(LOWER(VLOOKUP(A233, Data1_Raw_Slack!A:B, 2, FALSE)), ""travel|vacation|airline|hotel|trip|flights|travelers""), ""Travel"",
  REGEXMATCH(LOWER(VLOOKUP(A233, Data1_Raw_Slack!A:B, 2, FALSE)), ""fitness|workou"&amp;"t|gym|exercise|yoga|wellness|fitness enthusiasts""), ""Fitness"",
  REGEXMATCH(LOWER(VLOOKUP(A233, Data1_Raw_Slack!A:B, 2, FALSE)), ""health|medical|pharmacy|mental health|doctor|health-conscious""), ""Health"",
  REGEXMATCH(LOWER(VLOOKUP(A233, Data1_Raw_"&amp;"Slack!A:B, 2, FALSE)), ""pets|dogs|cats|animals|pet care|pet lovers""), ""Pets"",
  REGEXMATCH(LOWER(VLOOKUP(A233, Data1_Raw_Slack!A:B, 2, FALSE)), ""games|gaming|game|xbox|playstation|nintendo|gamers""), ""Gaming"",
  REGEXMATCH(LOWER(VLOOKUP(A233, Data1"&amp;"_Raw_Slack!A:B, 2, FALSE)), ""entertainment|movies|tv|netflix|streaming|celebrity|movie lovers|tv fans|hobb|photo|art""), ""Entertainment"",
  REGEXMATCH(LOWER(VLOOKUP(A233, Data1_Raw_Slack!A:B, 2, FALSE)), ""lifestyle|home|interior|decor|living|lifestyle"&amp;" enthusiasts""), ""Lifestyle"",
  REGEXMATCH(LOWER(VLOOKUP(A233, Data1_Raw_Slack!A:B, 2, FALSE)), ""financial|finance|investing|stocks|retirement|banking|credit|debt|loans|savings|personal finance|insurance|econ|ecom|business|retail|occupation|sale|job|ma"&amp;"rketing""), ""Finance"",
  REGEXMATCH(LOWER(VLOOKUP(A233, Data1_Raw_Slack!A:B, 2, FALSE)), ""auto|automotive""), ""Auto"",
  REGEXMATCH(LOWER(VLOOKUP(A233, Data1_Raw_Slack!A:B, 2, FALSE)), ""parenting|moms|dads|kids|toddlers|baby|parent|children""), ""Par"&amp;"enting"",
  REGEXMATCH(LOWER(VLOOKUP(A233, Data1_Raw_Slack!A:B, 2, FALSE)), ""education|students|learning|school|teachers|college|university|academics""), ""Education"",
  REGEXMATCH(LOWER(VLOOKUP(A233, Data1_Raw_Slack!A:B, 2, FALSE)), ""age|gender|dem"&amp;"ographic|family|household""), ""Demographics"",
  REGEXMATCH(LOWER(VLOOKUP(A233, Data1_Raw_Slack!A:B, 2, FALSE)), ""mortgage|real estate""), ""Real Estate"",REGEXMATCH(LOWER(VLOOKUP(A233, Data1_Raw_Slack!A:B, 2, FALSE)), ""technology|tech|gadgets|smartpho"&amp;"ne|electro|apps|devices|computing|ai|robots|software|computer|internet|tele|mobile|tablet""), ""Technology"", REGEXMATCH(LOWER(VLOOKUP(A233, Data1_Raw_Slack!A:B, 2, FALSE)), ""entertainment|purchas|movies|tv|netflix|streaming|celebrity|movie lovers|tv fan"&amp;"s|media|hobb|photo|art|shop""), ""Entertainment"", REGEXMATCH(LOWER(VLOOKUP(A233, Data1_Raw_Slack!A:B, 2, FALSE)), ""law|government|""), ""Law and Government"",
  TRUE, ""Other""
)"),"Finance")</f>
        <v>Finance</v>
      </c>
      <c r="G233" s="9" t="s">
        <v>127</v>
      </c>
      <c r="H233" s="9" t="s">
        <v>32</v>
      </c>
      <c r="I233" s="9" t="s">
        <v>982</v>
      </c>
      <c r="J233" s="9" t="s">
        <v>80</v>
      </c>
      <c r="K233" s="9" t="s">
        <v>236</v>
      </c>
      <c r="L233" s="9" t="s">
        <v>82</v>
      </c>
      <c r="M233" s="10" t="s">
        <v>207</v>
      </c>
      <c r="N233" s="9" t="str">
        <f ca="1">IFERROR(__xludf.DUMMYFUNCTION("REGEXEXTRACT(LOWER(M233), ""([a-z0-9\-]+)\.(?:co|net|org|io|gg)"")"),"realtor")</f>
        <v>realtor</v>
      </c>
      <c r="O233" s="9" t="s">
        <v>131</v>
      </c>
      <c r="P233" s="9" t="s">
        <v>39</v>
      </c>
      <c r="Q233" s="9">
        <v>51515</v>
      </c>
      <c r="R233" s="9">
        <v>144</v>
      </c>
      <c r="S233" s="9">
        <v>18304</v>
      </c>
      <c r="T233" s="9">
        <v>44891</v>
      </c>
      <c r="U233" s="9">
        <v>14</v>
      </c>
      <c r="V233" s="11">
        <v>2160.3073250000002</v>
      </c>
      <c r="W233" s="12">
        <f t="shared" si="0"/>
        <v>154.3076660714286</v>
      </c>
      <c r="X233" s="12">
        <f t="shared" si="1"/>
        <v>0.27953023391245269</v>
      </c>
      <c r="Y233" s="12">
        <f t="shared" si="2"/>
        <v>35.531398621760651</v>
      </c>
      <c r="Z233" s="12">
        <f t="shared" si="3"/>
        <v>118.02378305288462</v>
      </c>
      <c r="AA233" s="12">
        <f t="shared" si="4"/>
        <v>41.935500825002428</v>
      </c>
      <c r="AB233" s="12">
        <f t="shared" si="5"/>
        <v>15.002134201388891</v>
      </c>
      <c r="AC233" s="12">
        <f t="shared" si="6"/>
        <v>9.7222222222222232</v>
      </c>
      <c r="AE233" s="13"/>
      <c r="AF233" s="13"/>
    </row>
    <row r="234" spans="1:32">
      <c r="A234" s="8" t="s">
        <v>983</v>
      </c>
      <c r="B234" s="9" t="s">
        <v>67</v>
      </c>
      <c r="C234" s="9" t="s">
        <v>151</v>
      </c>
      <c r="D234" s="9" t="s">
        <v>880</v>
      </c>
      <c r="E234" s="9" t="s">
        <v>984</v>
      </c>
      <c r="F234" s="9" t="str">
        <f ca="1">IFERROR(__xludf.DUMMYFUNCTION("IFS(
  REGEXMATCH(LOWER(VLOOKUP(A234, Data1_Raw_Slack!A:B, 2, FALSE)), ""news|weather""), ""News and Weather"", REGEXMATCH(LOWER(VLOOKUP(A234, Data1_Raw_Slack!A:B, 2, FALSE)), ""sports|ufc|nba|nfl|mlb|soccer|sports fans""), ""Sports"",
  REGEXMATCH(LOWER("&amp;"VLOOKUP(A234, Data1_Raw_Slack!A:B, 2, FALSE)), ""fashion|style|clothing|apparel|shoes|accessories|beauty|cosmetics|fashionistas""), ""Fashion and Beauty"",
  REGEXMATCH(LOWER(VLOOKUP(A234, Data1_Raw_Slack!A:B, 2, FALSE)), ""food|cooking|recipe|restaurant|"&amp;"snack|grocery|foodies""), ""Food"",
  REGEXMATCH(LOWER(VLOOKUP(A234, Data1_Raw_Slack!A:B, 2, FALSE)), ""travel|vacation|airline|hotel|trip|flights|travelers""), ""Travel"",
  REGEXMATCH(LOWER(VLOOKUP(A234, Data1_Raw_Slack!A:B, 2, FALSE)), ""fitness|workou"&amp;"t|gym|exercise|yoga|wellness|fitness enthusiasts""), ""Fitness"",
  REGEXMATCH(LOWER(VLOOKUP(A234, Data1_Raw_Slack!A:B, 2, FALSE)), ""health|medical|pharmacy|mental health|doctor|health-conscious""), ""Health"",
  REGEXMATCH(LOWER(VLOOKUP(A234, Data1_Raw_"&amp;"Slack!A:B, 2, FALSE)), ""pets|dogs|cats|animals|pet care|pet lovers""), ""Pets"",
  REGEXMATCH(LOWER(VLOOKUP(A234, Data1_Raw_Slack!A:B, 2, FALSE)), ""games|gaming|game|xbox|playstation|nintendo|gamers""), ""Gaming"",
  REGEXMATCH(LOWER(VLOOKUP(A234, Data1"&amp;"_Raw_Slack!A:B, 2, FALSE)), ""entertainment|movies|tv|netflix|streaming|celebrity|movie lovers|tv fans|hobb|photo|art""), ""Entertainment"",
  REGEXMATCH(LOWER(VLOOKUP(A234, Data1_Raw_Slack!A:B, 2, FALSE)), ""lifestyle|home|interior|decor|living|lifestyle"&amp;" enthusiasts""), ""Lifestyle"",
  REGEXMATCH(LOWER(VLOOKUP(A234, Data1_Raw_Slack!A:B, 2, FALSE)), ""financial|finance|investing|stocks|retirement|banking|credit|debt|loans|savings|personal finance|insurance|econ|ecom|business|retail|occupation|sale|job|ma"&amp;"rketing""), ""Finance"",
  REGEXMATCH(LOWER(VLOOKUP(A234, Data1_Raw_Slack!A:B, 2, FALSE)), ""auto|automotive""), ""Auto"",
  REGEXMATCH(LOWER(VLOOKUP(A234, Data1_Raw_Slack!A:B, 2, FALSE)), ""parenting|moms|dads|kids|toddlers|baby|parent|children""), ""Par"&amp;"enting"",
  REGEXMATCH(LOWER(VLOOKUP(A234, Data1_Raw_Slack!A:B, 2, FALSE)), ""education|students|learning|school|teachers|college|university|academics""), ""Education"",
  REGEXMATCH(LOWER(VLOOKUP(A234, Data1_Raw_Slack!A:B, 2, FALSE)), ""age|gender|dem"&amp;"ographic|family|household""), ""Demographics"",
  REGEXMATCH(LOWER(VLOOKUP(A234, Data1_Raw_Slack!A:B, 2, FALSE)), ""mortgage|real estate""), ""Real Estate"",REGEXMATCH(LOWER(VLOOKUP(A234, Data1_Raw_Slack!A:B, 2, FALSE)), ""technology|tech|gadgets|smartpho"&amp;"ne|electro|apps|devices|computing|ai|robots|software|computer|internet|tele|mobile|tablet""), ""Technology"", REGEXMATCH(LOWER(VLOOKUP(A234, Data1_Raw_Slack!A:B, 2, FALSE)), ""entertainment|purchas|movies|tv|netflix|streaming|celebrity|movie lovers|tv fan"&amp;"s|media|hobb|photo|art|shop""), ""Entertainment"", REGEXMATCH(LOWER(VLOOKUP(A234, Data1_Raw_Slack!A:B, 2, FALSE)), ""law|government|""), ""Law and Government"",
  TRUE, ""Other""
)"),"Sports")</f>
        <v>Sports</v>
      </c>
      <c r="G234" s="9" t="s">
        <v>154</v>
      </c>
      <c r="H234" s="9" t="s">
        <v>32</v>
      </c>
      <c r="I234" s="9" t="s">
        <v>766</v>
      </c>
      <c r="J234" s="9" t="s">
        <v>62</v>
      </c>
      <c r="K234" s="9" t="s">
        <v>424</v>
      </c>
      <c r="L234" s="9" t="s">
        <v>425</v>
      </c>
      <c r="M234" s="10" t="s">
        <v>90</v>
      </c>
      <c r="N234" s="9" t="str">
        <f ca="1">IFERROR(__xludf.DUMMYFUNCTION("REGEXEXTRACT(LOWER(M234), ""([a-z0-9\-]+)\.(?:co|net|org|io|gg)"")"),"live")</f>
        <v>live</v>
      </c>
      <c r="O234" s="9" t="s">
        <v>50</v>
      </c>
      <c r="P234" s="9" t="s">
        <v>39</v>
      </c>
      <c r="Q234" s="9">
        <v>21229</v>
      </c>
      <c r="R234" s="9">
        <v>80</v>
      </c>
      <c r="S234" s="9">
        <v>18073</v>
      </c>
      <c r="T234" s="9">
        <v>19655</v>
      </c>
      <c r="U234" s="9">
        <v>10</v>
      </c>
      <c r="V234" s="11">
        <v>1550.0766550000001</v>
      </c>
      <c r="W234" s="12">
        <f t="shared" si="0"/>
        <v>155.0076655</v>
      </c>
      <c r="X234" s="12">
        <f t="shared" si="1"/>
        <v>0.37684299778604741</v>
      </c>
      <c r="Y234" s="12">
        <f t="shared" si="2"/>
        <v>85.133543737340432</v>
      </c>
      <c r="Z234" s="12">
        <f t="shared" si="3"/>
        <v>85.767534720301001</v>
      </c>
      <c r="AA234" s="12">
        <f t="shared" si="4"/>
        <v>73.016941683546094</v>
      </c>
      <c r="AB234" s="12">
        <f t="shared" si="5"/>
        <v>19.3759581875</v>
      </c>
      <c r="AC234" s="12">
        <f t="shared" si="6"/>
        <v>12.5</v>
      </c>
      <c r="AE234" s="13"/>
      <c r="AF234" s="13"/>
    </row>
    <row r="235" spans="1:32">
      <c r="A235" s="8" t="s">
        <v>985</v>
      </c>
      <c r="B235" s="9" t="s">
        <v>41</v>
      </c>
      <c r="C235" s="9" t="s">
        <v>214</v>
      </c>
      <c r="D235" s="9" t="s">
        <v>215</v>
      </c>
      <c r="E235" s="9" t="s">
        <v>986</v>
      </c>
      <c r="F235" s="9" t="str">
        <f ca="1">IFERROR(__xludf.DUMMYFUNCTION("IFS(
  REGEXMATCH(LOWER(VLOOKUP(A235, Data1_Raw_Slack!A:B, 2, FALSE)), ""news|weather""), ""News and Weather"", REGEXMATCH(LOWER(VLOOKUP(A235, Data1_Raw_Slack!A:B, 2, FALSE)), ""sports|ufc|nba|nfl|mlb|soccer|sports fans""), ""Sports"",
  REGEXMATCH(LOWER("&amp;"VLOOKUP(A235, Data1_Raw_Slack!A:B, 2, FALSE)), ""fashion|style|clothing|apparel|shoes|accessories|beauty|cosmetics|fashionistas""), ""Fashion and Beauty"",
  REGEXMATCH(LOWER(VLOOKUP(A235, Data1_Raw_Slack!A:B, 2, FALSE)), ""food|cooking|recipe|restaurant|"&amp;"snack|grocery|foodies""), ""Food"",
  REGEXMATCH(LOWER(VLOOKUP(A235, Data1_Raw_Slack!A:B, 2, FALSE)), ""travel|vacation|airline|hotel|trip|flights|travelers""), ""Travel"",
  REGEXMATCH(LOWER(VLOOKUP(A235, Data1_Raw_Slack!A:B, 2, FALSE)), ""fitness|workou"&amp;"t|gym|exercise|yoga|wellness|fitness enthusiasts""), ""Fitness"",
  REGEXMATCH(LOWER(VLOOKUP(A235, Data1_Raw_Slack!A:B, 2, FALSE)), ""health|medical|pharmacy|mental health|doctor|health-conscious""), ""Health"",
  REGEXMATCH(LOWER(VLOOKUP(A235, Data1_Raw_"&amp;"Slack!A:B, 2, FALSE)), ""pets|dogs|cats|animals|pet care|pet lovers""), ""Pets"",
  REGEXMATCH(LOWER(VLOOKUP(A235, Data1_Raw_Slack!A:B, 2, FALSE)), ""games|gaming|game|xbox|playstation|nintendo|gamers""), ""Gaming"",
  REGEXMATCH(LOWER(VLOOKUP(A235, Data1"&amp;"_Raw_Slack!A:B, 2, FALSE)), ""entertainment|movies|tv|netflix|streaming|celebrity|movie lovers|tv fans|hobb|photo|art""), ""Entertainment"",
  REGEXMATCH(LOWER(VLOOKUP(A235, Data1_Raw_Slack!A:B, 2, FALSE)), ""lifestyle|home|interior|decor|living|lifestyle"&amp;" enthusiasts""), ""Lifestyle"",
  REGEXMATCH(LOWER(VLOOKUP(A235, Data1_Raw_Slack!A:B, 2, FALSE)), ""financial|finance|investing|stocks|retirement|banking|credit|debt|loans|savings|personal finance|insurance|econ|ecom|business|retail|occupation|sale|job|ma"&amp;"rketing""), ""Finance"",
  REGEXMATCH(LOWER(VLOOKUP(A235, Data1_Raw_Slack!A:B, 2, FALSE)), ""auto|automotive""), ""Auto"",
  REGEXMATCH(LOWER(VLOOKUP(A235, Data1_Raw_Slack!A:B, 2, FALSE)), ""parenting|moms|dads|kids|toddlers|baby|parent|children""), ""Par"&amp;"enting"",
  REGEXMATCH(LOWER(VLOOKUP(A235, Data1_Raw_Slack!A:B, 2, FALSE)), ""education|students|learning|school|teachers|college|university|academics""), ""Education"",
  REGEXMATCH(LOWER(VLOOKUP(A235, Data1_Raw_Slack!A:B, 2, FALSE)), ""age|gender|dem"&amp;"ographic|family|household""), ""Demographics"",
  REGEXMATCH(LOWER(VLOOKUP(A235, Data1_Raw_Slack!A:B, 2, FALSE)), ""mortgage|real estate""), ""Real Estate"",REGEXMATCH(LOWER(VLOOKUP(A235, Data1_Raw_Slack!A:B, 2, FALSE)), ""technology|tech|gadgets|smartpho"&amp;"ne|electro|apps|devices|computing|ai|robots|software|computer|internet|tele|mobile|tablet""), ""Technology"", REGEXMATCH(LOWER(VLOOKUP(A235, Data1_Raw_Slack!A:B, 2, FALSE)), ""entertainment|purchas|movies|tv|netflix|streaming|celebrity|movie lovers|tv fan"&amp;"s|media|hobb|photo|art|shop""), ""Entertainment"", REGEXMATCH(LOWER(VLOOKUP(A235, Data1_Raw_Slack!A:B, 2, FALSE)), ""law|government|""), ""Law and Government"",
  TRUE, ""Other""
)"),"Demographics")</f>
        <v>Demographics</v>
      </c>
      <c r="G235" s="9"/>
      <c r="H235" s="9" t="s">
        <v>44</v>
      </c>
      <c r="I235" s="9" t="s">
        <v>987</v>
      </c>
      <c r="J235" s="9" t="s">
        <v>80</v>
      </c>
      <c r="K235" s="9" t="s">
        <v>236</v>
      </c>
      <c r="L235" s="9" t="s">
        <v>82</v>
      </c>
      <c r="M235" s="10" t="s">
        <v>988</v>
      </c>
      <c r="N235" s="9" t="str">
        <f ca="1">IFERROR(__xludf.DUMMYFUNCTION("REGEXEXTRACT(LOWER(M235), ""([a-z0-9\-]+)\.(?:co|net|org|io|gg)"")"),"marca")</f>
        <v>marca</v>
      </c>
      <c r="O235" s="9" t="s">
        <v>317</v>
      </c>
      <c r="P235" s="9" t="s">
        <v>39</v>
      </c>
      <c r="Q235" s="9">
        <v>9725</v>
      </c>
      <c r="R235" s="9">
        <v>80</v>
      </c>
      <c r="S235" s="9">
        <v>6616</v>
      </c>
      <c r="T235" s="9">
        <v>8778</v>
      </c>
      <c r="U235" s="9">
        <v>1</v>
      </c>
      <c r="V235" s="11">
        <v>4942.2839869999998</v>
      </c>
      <c r="W235" s="12">
        <f t="shared" si="0"/>
        <v>4942.2839869999998</v>
      </c>
      <c r="X235" s="12">
        <f t="shared" si="1"/>
        <v>0.82262210796915158</v>
      </c>
      <c r="Y235" s="12">
        <f t="shared" si="2"/>
        <v>68.030848329048837</v>
      </c>
      <c r="Z235" s="12">
        <f t="shared" si="3"/>
        <v>747.01994966747282</v>
      </c>
      <c r="AA235" s="12">
        <f t="shared" si="4"/>
        <v>508.20400894601534</v>
      </c>
      <c r="AB235" s="12">
        <f t="shared" si="5"/>
        <v>61.778549837499995</v>
      </c>
      <c r="AC235" s="12">
        <f t="shared" si="6"/>
        <v>1.25</v>
      </c>
      <c r="AE235" s="13"/>
      <c r="AF235" s="13"/>
    </row>
    <row r="236" spans="1:32">
      <c r="A236" s="8" t="s">
        <v>989</v>
      </c>
      <c r="B236" s="9" t="s">
        <v>66</v>
      </c>
      <c r="C236" s="9" t="s">
        <v>85</v>
      </c>
      <c r="D236" s="9" t="s">
        <v>990</v>
      </c>
      <c r="E236" s="9"/>
      <c r="F236" s="9" t="str">
        <f ca="1">IFERROR(__xludf.DUMMYFUNCTION("IFS(
  REGEXMATCH(LOWER(VLOOKUP(A236, Data1_Raw_Slack!A:B, 2, FALSE)), ""news|weather""), ""News and Weather"", REGEXMATCH(LOWER(VLOOKUP(A236, Data1_Raw_Slack!A:B, 2, FALSE)), ""sports|ufc|nba|nfl|mlb|soccer|sports fans""), ""Sports"",
  REGEXMATCH(LOWER("&amp;"VLOOKUP(A236, Data1_Raw_Slack!A:B, 2, FALSE)), ""fashion|style|clothing|apparel|shoes|accessories|beauty|cosmetics|fashionistas""), ""Fashion and Beauty"",
  REGEXMATCH(LOWER(VLOOKUP(A236, Data1_Raw_Slack!A:B, 2, FALSE)), ""food|cooking|recipe|restaurant|"&amp;"snack|grocery|foodies""), ""Food"",
  REGEXMATCH(LOWER(VLOOKUP(A236, Data1_Raw_Slack!A:B, 2, FALSE)), ""travel|vacation|airline|hotel|trip|flights|travelers""), ""Travel"",
  REGEXMATCH(LOWER(VLOOKUP(A236, Data1_Raw_Slack!A:B, 2, FALSE)), ""fitness|workou"&amp;"t|gym|exercise|yoga|wellness|fitness enthusiasts""), ""Fitness"",
  REGEXMATCH(LOWER(VLOOKUP(A236, Data1_Raw_Slack!A:B, 2, FALSE)), ""health|medical|pharmacy|mental health|doctor|health-conscious""), ""Health"",
  REGEXMATCH(LOWER(VLOOKUP(A236, Data1_Raw_"&amp;"Slack!A:B, 2, FALSE)), ""pets|dogs|cats|animals|pet care|pet lovers""), ""Pets"",
  REGEXMATCH(LOWER(VLOOKUP(A236, Data1_Raw_Slack!A:B, 2, FALSE)), ""games|gaming|game|xbox|playstation|nintendo|gamers""), ""Gaming"",
  REGEXMATCH(LOWER(VLOOKUP(A236, Data1"&amp;"_Raw_Slack!A:B, 2, FALSE)), ""entertainment|movies|tv|netflix|streaming|celebrity|movie lovers|tv fans|hobb|photo|art""), ""Entertainment"",
  REGEXMATCH(LOWER(VLOOKUP(A236, Data1_Raw_Slack!A:B, 2, FALSE)), ""lifestyle|home|interior|decor|living|lifestyle"&amp;" enthusiasts""), ""Lifestyle"",
  REGEXMATCH(LOWER(VLOOKUP(A236, Data1_Raw_Slack!A:B, 2, FALSE)), ""financial|finance|investing|stocks|retirement|banking|credit|debt|loans|savings|personal finance|insurance|econ|ecom|business|retail|occupation|sale|job|ma"&amp;"rketing""), ""Finance"",
  REGEXMATCH(LOWER(VLOOKUP(A236, Data1_Raw_Slack!A:B, 2, FALSE)), ""auto|automotive""), ""Auto"",
  REGEXMATCH(LOWER(VLOOKUP(A236, Data1_Raw_Slack!A:B, 2, FALSE)), ""parenting|moms|dads|kids|toddlers|baby|parent|children""), ""Par"&amp;"enting"",
  REGEXMATCH(LOWER(VLOOKUP(A236, Data1_Raw_Slack!A:B, 2, FALSE)), ""education|students|learning|school|teachers|college|university|academics""), ""Education"",
  REGEXMATCH(LOWER(VLOOKUP(A236, Data1_Raw_Slack!A:B, 2, FALSE)), ""age|gender|dem"&amp;"ographic|family|household""), ""Demographics"",
  REGEXMATCH(LOWER(VLOOKUP(A236, Data1_Raw_Slack!A:B, 2, FALSE)), ""mortgage|real estate""), ""Real Estate"",REGEXMATCH(LOWER(VLOOKUP(A236, Data1_Raw_Slack!A:B, 2, FALSE)), ""technology|tech|gadgets|smartpho"&amp;"ne|electro|apps|devices|computing|ai|robots|software|computer|internet|tele|mobile|tablet""), ""Technology"", REGEXMATCH(LOWER(VLOOKUP(A236, Data1_Raw_Slack!A:B, 2, FALSE)), ""entertainment|purchas|movies|tv|netflix|streaming|celebrity|movie lovers|tv fan"&amp;"s|media|hobb|photo|art|shop""), ""Entertainment"", REGEXMATCH(LOWER(VLOOKUP(A236, Data1_Raw_Slack!A:B, 2, FALSE)), ""law|government|""), ""Law and Government"",
  TRUE, ""Other""
)"),"Travel")</f>
        <v>Travel</v>
      </c>
      <c r="G236" s="9" t="s">
        <v>85</v>
      </c>
      <c r="H236" s="9" t="s">
        <v>44</v>
      </c>
      <c r="I236" s="9" t="s">
        <v>766</v>
      </c>
      <c r="J236" s="9" t="s">
        <v>80</v>
      </c>
      <c r="K236" s="9" t="s">
        <v>56</v>
      </c>
      <c r="L236" s="9" t="s">
        <v>57</v>
      </c>
      <c r="M236" s="10" t="s">
        <v>759</v>
      </c>
      <c r="N236" s="9" t="str">
        <f ca="1">IFERROR(__xludf.DUMMYFUNCTION("REGEXEXTRACT(LOWER(M236), ""([a-z0-9\-]+)\.(?:co|net|org|io|gg)"")"),"classmates")</f>
        <v>classmates</v>
      </c>
      <c r="O236" s="9" t="s">
        <v>693</v>
      </c>
      <c r="P236" s="9" t="s">
        <v>64</v>
      </c>
      <c r="Q236" s="9">
        <v>12176</v>
      </c>
      <c r="R236" s="9">
        <v>10</v>
      </c>
      <c r="S236" s="9">
        <v>5460</v>
      </c>
      <c r="T236" s="9">
        <v>11154</v>
      </c>
      <c r="U236" s="9">
        <v>10</v>
      </c>
      <c r="V236" s="11">
        <v>1816.030806</v>
      </c>
      <c r="W236" s="12">
        <f t="shared" si="0"/>
        <v>181.6030806</v>
      </c>
      <c r="X236" s="12">
        <f t="shared" si="1"/>
        <v>8.2128777923784493E-2</v>
      </c>
      <c r="Y236" s="12">
        <f t="shared" si="2"/>
        <v>44.842312746386334</v>
      </c>
      <c r="Z236" s="12">
        <f t="shared" si="3"/>
        <v>332.60637472527469</v>
      </c>
      <c r="AA236" s="12">
        <f t="shared" si="4"/>
        <v>149.14839076872536</v>
      </c>
      <c r="AB236" s="12">
        <f t="shared" si="5"/>
        <v>181.6030806</v>
      </c>
      <c r="AC236" s="12">
        <f t="shared" si="6"/>
        <v>100</v>
      </c>
      <c r="AE236" s="13"/>
      <c r="AF236" s="13"/>
    </row>
    <row r="237" spans="1:32">
      <c r="A237" s="8" t="s">
        <v>991</v>
      </c>
      <c r="B237" s="9" t="s">
        <v>41</v>
      </c>
      <c r="C237" s="9" t="s">
        <v>214</v>
      </c>
      <c r="D237" s="9" t="s">
        <v>326</v>
      </c>
      <c r="E237" s="9" t="s">
        <v>992</v>
      </c>
      <c r="F237" s="9" t="str">
        <f ca="1">IFERROR(__xludf.DUMMYFUNCTION("IFS(
  REGEXMATCH(LOWER(VLOOKUP(A237, Data1_Raw_Slack!A:B, 2, FALSE)), ""news|weather""), ""News and Weather"", REGEXMATCH(LOWER(VLOOKUP(A237, Data1_Raw_Slack!A:B, 2, FALSE)), ""sports|ufc|nba|nfl|mlb|soccer|sports fans""), ""Sports"",
  REGEXMATCH(LOWER("&amp;"VLOOKUP(A237, Data1_Raw_Slack!A:B, 2, FALSE)), ""fashion|style|clothing|apparel|shoes|accessories|beauty|cosmetics|fashionistas""), ""Fashion and Beauty"",
  REGEXMATCH(LOWER(VLOOKUP(A237, Data1_Raw_Slack!A:B, 2, FALSE)), ""food|cooking|recipe|restaurant|"&amp;"snack|grocery|foodies""), ""Food"",
  REGEXMATCH(LOWER(VLOOKUP(A237, Data1_Raw_Slack!A:B, 2, FALSE)), ""travel|vacation|airline|hotel|trip|flights|travelers""), ""Travel"",
  REGEXMATCH(LOWER(VLOOKUP(A237, Data1_Raw_Slack!A:B, 2, FALSE)), ""fitness|workou"&amp;"t|gym|exercise|yoga|wellness|fitness enthusiasts""), ""Fitness"",
  REGEXMATCH(LOWER(VLOOKUP(A237, Data1_Raw_Slack!A:B, 2, FALSE)), ""health|medical|pharmacy|mental health|doctor|health-conscious""), ""Health"",
  REGEXMATCH(LOWER(VLOOKUP(A237, Data1_Raw_"&amp;"Slack!A:B, 2, FALSE)), ""pets|dogs|cats|animals|pet care|pet lovers""), ""Pets"",
  REGEXMATCH(LOWER(VLOOKUP(A237, Data1_Raw_Slack!A:B, 2, FALSE)), ""games|gaming|game|xbox|playstation|nintendo|gamers""), ""Gaming"",
  REGEXMATCH(LOWER(VLOOKUP(A237, Data1"&amp;"_Raw_Slack!A:B, 2, FALSE)), ""entertainment|movies|tv|netflix|streaming|celebrity|movie lovers|tv fans|hobb|photo|art""), ""Entertainment"",
  REGEXMATCH(LOWER(VLOOKUP(A237, Data1_Raw_Slack!A:B, 2, FALSE)), ""lifestyle|home|interior|decor|living|lifestyle"&amp;" enthusiasts""), ""Lifestyle"",
  REGEXMATCH(LOWER(VLOOKUP(A237, Data1_Raw_Slack!A:B, 2, FALSE)), ""financial|finance|investing|stocks|retirement|banking|credit|debt|loans|savings|personal finance|insurance|econ|ecom|business|retail|occupation|sale|job|ma"&amp;"rketing""), ""Finance"",
  REGEXMATCH(LOWER(VLOOKUP(A237, Data1_Raw_Slack!A:B, 2, FALSE)), ""auto|automotive""), ""Auto"",
  REGEXMATCH(LOWER(VLOOKUP(A237, Data1_Raw_Slack!A:B, 2, FALSE)), ""parenting|moms|dads|kids|toddlers|baby|parent|children""), ""Par"&amp;"enting"",
  REGEXMATCH(LOWER(VLOOKUP(A237, Data1_Raw_Slack!A:B, 2, FALSE)), ""education|students|learning|school|teachers|college|university|academics""), ""Education"",
  REGEXMATCH(LOWER(VLOOKUP(A237, Data1_Raw_Slack!A:B, 2, FALSE)), ""age|gender|dem"&amp;"ographic|family|household""), ""Demographics"",
  REGEXMATCH(LOWER(VLOOKUP(A237, Data1_Raw_Slack!A:B, 2, FALSE)), ""mortgage|real estate""), ""Real Estate"",REGEXMATCH(LOWER(VLOOKUP(A237, Data1_Raw_Slack!A:B, 2, FALSE)), ""technology|tech|gadgets|smartpho"&amp;"ne|electro|apps|devices|computing|ai|robots|software|computer|internet|tele|mobile|tablet""), ""Technology"", REGEXMATCH(LOWER(VLOOKUP(A237, Data1_Raw_Slack!A:B, 2, FALSE)), ""entertainment|purchas|movies|tv|netflix|streaming|celebrity|movie lovers|tv fan"&amp;"s|media|hobb|photo|art|shop""), ""Entertainment"", REGEXMATCH(LOWER(VLOOKUP(A237, Data1_Raw_Slack!A:B, 2, FALSE)), ""law|government|""), ""Law and Government"",
  TRUE, ""Other""
)"),"Demographics")</f>
        <v>Demographics</v>
      </c>
      <c r="G237" s="9"/>
      <c r="H237" s="9" t="s">
        <v>32</v>
      </c>
      <c r="I237" s="9" t="s">
        <v>993</v>
      </c>
      <c r="J237" s="9" t="s">
        <v>62</v>
      </c>
      <c r="K237" s="9" t="s">
        <v>176</v>
      </c>
      <c r="L237" s="9" t="s">
        <v>36</v>
      </c>
      <c r="M237" s="10" t="s">
        <v>994</v>
      </c>
      <c r="N237" s="9" t="str">
        <f ca="1">IFERROR(__xludf.DUMMYFUNCTION("REGEXEXTRACT(LOWER(M237), ""([a-z0-9\-]+)\.(?:co|net|org|io|gg)"")"),"macrumors")</f>
        <v>macrumors</v>
      </c>
      <c r="O237" s="9" t="s">
        <v>74</v>
      </c>
      <c r="P237" s="9" t="s">
        <v>39</v>
      </c>
      <c r="Q237" s="9">
        <v>12214</v>
      </c>
      <c r="R237" s="9">
        <v>50</v>
      </c>
      <c r="S237" s="9">
        <v>5376</v>
      </c>
      <c r="T237" s="9">
        <v>11490</v>
      </c>
      <c r="U237" s="9">
        <v>7</v>
      </c>
      <c r="V237" s="11">
        <v>5616.3094019999999</v>
      </c>
      <c r="W237" s="12">
        <f t="shared" si="0"/>
        <v>802.3299145714285</v>
      </c>
      <c r="X237" s="12">
        <f t="shared" si="1"/>
        <v>0.40936630096610443</v>
      </c>
      <c r="Y237" s="12">
        <f t="shared" si="2"/>
        <v>44.015064679875557</v>
      </c>
      <c r="Z237" s="12">
        <f t="shared" si="3"/>
        <v>1044.7004095982143</v>
      </c>
      <c r="AA237" s="12">
        <f t="shared" si="4"/>
        <v>459.82556099557883</v>
      </c>
      <c r="AB237" s="12">
        <f t="shared" si="5"/>
        <v>112.32618803999999</v>
      </c>
      <c r="AC237" s="12">
        <f t="shared" si="6"/>
        <v>14.000000000000002</v>
      </c>
      <c r="AE237" s="13"/>
      <c r="AF237" s="13"/>
    </row>
    <row r="238" spans="1:32">
      <c r="A238" s="8" t="s">
        <v>995</v>
      </c>
      <c r="B238" s="9" t="s">
        <v>41</v>
      </c>
      <c r="C238" s="9" t="s">
        <v>996</v>
      </c>
      <c r="D238" s="9" t="s">
        <v>539</v>
      </c>
      <c r="E238" s="9"/>
      <c r="F238" s="9" t="str">
        <f ca="1">IFERROR(__xludf.DUMMYFUNCTION("IFS(
  REGEXMATCH(LOWER(VLOOKUP(A238, Data1_Raw_Slack!A:B, 2, FALSE)), ""news|weather""), ""News and Weather"", REGEXMATCH(LOWER(VLOOKUP(A238, Data1_Raw_Slack!A:B, 2, FALSE)), ""sports|ufc|nba|nfl|mlb|soccer|sports fans""), ""Sports"",
  REGEXMATCH(LOWER("&amp;"VLOOKUP(A238, Data1_Raw_Slack!A:B, 2, FALSE)), ""fashion|style|clothing|apparel|shoes|accessories|beauty|cosmetics|fashionistas""), ""Fashion and Beauty"",
  REGEXMATCH(LOWER(VLOOKUP(A238, Data1_Raw_Slack!A:B, 2, FALSE)), ""food|cooking|recipe|restaurant|"&amp;"snack|grocery|foodies""), ""Food"",
  REGEXMATCH(LOWER(VLOOKUP(A238, Data1_Raw_Slack!A:B, 2, FALSE)), ""travel|vacation|airline|hotel|trip|flights|travelers""), ""Travel"",
  REGEXMATCH(LOWER(VLOOKUP(A238, Data1_Raw_Slack!A:B, 2, FALSE)), ""fitness|workou"&amp;"t|gym|exercise|yoga|wellness|fitness enthusiasts""), ""Fitness"",
  REGEXMATCH(LOWER(VLOOKUP(A238, Data1_Raw_Slack!A:B, 2, FALSE)), ""health|medical|pharmacy|mental health|doctor|health-conscious""), ""Health"",
  REGEXMATCH(LOWER(VLOOKUP(A238, Data1_Raw_"&amp;"Slack!A:B, 2, FALSE)), ""pets|dogs|cats|animals|pet care|pet lovers""), ""Pets"",
  REGEXMATCH(LOWER(VLOOKUP(A238, Data1_Raw_Slack!A:B, 2, FALSE)), ""games|gaming|game|xbox|playstation|nintendo|gamers""), ""Gaming"",
  REGEXMATCH(LOWER(VLOOKUP(A238, Data1"&amp;"_Raw_Slack!A:B, 2, FALSE)), ""entertainment|movies|tv|netflix|streaming|celebrity|movie lovers|tv fans|hobb|photo|art""), ""Entertainment"",
  REGEXMATCH(LOWER(VLOOKUP(A238, Data1_Raw_Slack!A:B, 2, FALSE)), ""lifestyle|home|interior|decor|living|lifestyle"&amp;" enthusiasts""), ""Lifestyle"",
  REGEXMATCH(LOWER(VLOOKUP(A238, Data1_Raw_Slack!A:B, 2, FALSE)), ""financial|finance|investing|stocks|retirement|banking|credit|debt|loans|savings|personal finance|insurance|econ|ecom|business|retail|occupation|sale|job|ma"&amp;"rketing""), ""Finance"",
  REGEXMATCH(LOWER(VLOOKUP(A238, Data1_Raw_Slack!A:B, 2, FALSE)), ""auto|automotive""), ""Auto"",
  REGEXMATCH(LOWER(VLOOKUP(A238, Data1_Raw_Slack!A:B, 2, FALSE)), ""parenting|moms|dads|kids|toddlers|baby|parent|children""), ""Par"&amp;"enting"",
  REGEXMATCH(LOWER(VLOOKUP(A238, Data1_Raw_Slack!A:B, 2, FALSE)), ""education|students|learning|school|teachers|college|university|academics""), ""Education"",
  REGEXMATCH(LOWER(VLOOKUP(A238, Data1_Raw_Slack!A:B, 2, FALSE)), ""age|gender|dem"&amp;"ographic|family|household""), ""Demographics"",
  REGEXMATCH(LOWER(VLOOKUP(A238, Data1_Raw_Slack!A:B, 2, FALSE)), ""mortgage|real estate""), ""Real Estate"",REGEXMATCH(LOWER(VLOOKUP(A238, Data1_Raw_Slack!A:B, 2, FALSE)), ""technology|tech|gadgets|smartpho"&amp;"ne|electro|apps|devices|computing|ai|robots|software|computer|internet|tele|mobile|tablet""), ""Technology"", REGEXMATCH(LOWER(VLOOKUP(A238, Data1_Raw_Slack!A:B, 2, FALSE)), ""entertainment|purchas|movies|tv|netflix|streaming|celebrity|movie lovers|tv fan"&amp;"s|media|hobb|photo|art|shop""), ""Entertainment"", REGEXMATCH(LOWER(VLOOKUP(A238, Data1_Raw_Slack!A:B, 2, FALSE)), ""law|government|""), ""Law and Government"",
  TRUE, ""Other""
)"),"Lifestyle")</f>
        <v>Lifestyle</v>
      </c>
      <c r="G238" s="9"/>
      <c r="H238" s="9" t="s">
        <v>32</v>
      </c>
      <c r="I238" s="9" t="s">
        <v>184</v>
      </c>
      <c r="J238" s="9" t="s">
        <v>62</v>
      </c>
      <c r="K238" s="9" t="s">
        <v>56</v>
      </c>
      <c r="L238" s="9" t="s">
        <v>57</v>
      </c>
      <c r="M238" s="10" t="s">
        <v>295</v>
      </c>
      <c r="N238" s="9" t="str">
        <f ca="1">IFERROR(__xludf.DUMMYFUNCTION("REGEXEXTRACT(LOWER(M238), ""([a-z0-9\-]+)\.(?:co|net|org|io|gg)"")"),"yahoo")</f>
        <v>yahoo</v>
      </c>
      <c r="O238" s="9" t="s">
        <v>131</v>
      </c>
      <c r="P238" s="9" t="s">
        <v>39</v>
      </c>
      <c r="Q238" s="9">
        <v>76049</v>
      </c>
      <c r="R238" s="9">
        <v>199</v>
      </c>
      <c r="S238" s="9">
        <v>34921</v>
      </c>
      <c r="T238" s="9">
        <v>69138</v>
      </c>
      <c r="U238" s="9">
        <v>8</v>
      </c>
      <c r="V238" s="11">
        <v>6942.8004579999997</v>
      </c>
      <c r="W238" s="12">
        <f t="shared" si="0"/>
        <v>867.85005724999996</v>
      </c>
      <c r="X238" s="12">
        <f t="shared" si="1"/>
        <v>0.26167339478494128</v>
      </c>
      <c r="Y238" s="12">
        <f t="shared" si="2"/>
        <v>45.919078488869019</v>
      </c>
      <c r="Z238" s="12">
        <f t="shared" si="3"/>
        <v>198.81448005498123</v>
      </c>
      <c r="AA238" s="12">
        <f t="shared" si="4"/>
        <v>91.29377714368367</v>
      </c>
      <c r="AB238" s="12">
        <f t="shared" si="5"/>
        <v>34.888444512562813</v>
      </c>
      <c r="AC238" s="12">
        <f t="shared" si="6"/>
        <v>4.0201005025125625</v>
      </c>
      <c r="AE238" s="13"/>
      <c r="AF238" s="13"/>
    </row>
    <row r="239" spans="1:32">
      <c r="A239" s="8" t="s">
        <v>997</v>
      </c>
      <c r="B239" s="9" t="s">
        <v>41</v>
      </c>
      <c r="C239" s="9" t="s">
        <v>319</v>
      </c>
      <c r="D239" s="9" t="s">
        <v>320</v>
      </c>
      <c r="E239" s="9" t="s">
        <v>998</v>
      </c>
      <c r="F239" s="9" t="str">
        <f ca="1">IFERROR(__xludf.DUMMYFUNCTION("IFS(
  REGEXMATCH(LOWER(VLOOKUP(A239, Data1_Raw_Slack!A:B, 2, FALSE)), ""news|weather""), ""News and Weather"", REGEXMATCH(LOWER(VLOOKUP(A239, Data1_Raw_Slack!A:B, 2, FALSE)), ""sports|ufc|nba|nfl|mlb|soccer|sports fans""), ""Sports"",
  REGEXMATCH(LOWER("&amp;"VLOOKUP(A239, Data1_Raw_Slack!A:B, 2, FALSE)), ""fashion|style|clothing|apparel|shoes|accessories|beauty|cosmetics|fashionistas""), ""Fashion and Beauty"",
  REGEXMATCH(LOWER(VLOOKUP(A239, Data1_Raw_Slack!A:B, 2, FALSE)), ""food|cooking|recipe|restaurant|"&amp;"snack|grocery|foodies""), ""Food"",
  REGEXMATCH(LOWER(VLOOKUP(A239, Data1_Raw_Slack!A:B, 2, FALSE)), ""travel|vacation|airline|hotel|trip|flights|travelers""), ""Travel"",
  REGEXMATCH(LOWER(VLOOKUP(A239, Data1_Raw_Slack!A:B, 2, FALSE)), ""fitness|workou"&amp;"t|gym|exercise|yoga|wellness|fitness enthusiasts""), ""Fitness"",
  REGEXMATCH(LOWER(VLOOKUP(A239, Data1_Raw_Slack!A:B, 2, FALSE)), ""health|medical|pharmacy|mental health|doctor|health-conscious""), ""Health"",
  REGEXMATCH(LOWER(VLOOKUP(A239, Data1_Raw_"&amp;"Slack!A:B, 2, FALSE)), ""pets|dogs|cats|animals|pet care|pet lovers""), ""Pets"",
  REGEXMATCH(LOWER(VLOOKUP(A239, Data1_Raw_Slack!A:B, 2, FALSE)), ""games|gaming|game|xbox|playstation|nintendo|gamers""), ""Gaming"",
  REGEXMATCH(LOWER(VLOOKUP(A239, Data1"&amp;"_Raw_Slack!A:B, 2, FALSE)), ""entertainment|movies|tv|netflix|streaming|celebrity|movie lovers|tv fans|hobb|photo|art""), ""Entertainment"",
  REGEXMATCH(LOWER(VLOOKUP(A239, Data1_Raw_Slack!A:B, 2, FALSE)), ""lifestyle|home|interior|decor|living|lifestyle"&amp;" enthusiasts""), ""Lifestyle"",
  REGEXMATCH(LOWER(VLOOKUP(A239, Data1_Raw_Slack!A:B, 2, FALSE)), ""financial|finance|investing|stocks|retirement|banking|credit|debt|loans|savings|personal finance|insurance|econ|ecom|business|retail|occupation|sale|job|ma"&amp;"rketing""), ""Finance"",
  REGEXMATCH(LOWER(VLOOKUP(A239, Data1_Raw_Slack!A:B, 2, FALSE)), ""auto|automotive""), ""Auto"",
  REGEXMATCH(LOWER(VLOOKUP(A239, Data1_Raw_Slack!A:B, 2, FALSE)), ""parenting|moms|dads|kids|toddlers|baby|parent|children""), ""Par"&amp;"enting"",
  REGEXMATCH(LOWER(VLOOKUP(A239, Data1_Raw_Slack!A:B, 2, FALSE)), ""education|students|learning|school|teachers|college|university|academics""), ""Education"",
  REGEXMATCH(LOWER(VLOOKUP(A239, Data1_Raw_Slack!A:B, 2, FALSE)), ""age|gender|dem"&amp;"ographic|family|household""), ""Demographics"",
  REGEXMATCH(LOWER(VLOOKUP(A239, Data1_Raw_Slack!A:B, 2, FALSE)), ""mortgage|real estate""), ""Real Estate"",REGEXMATCH(LOWER(VLOOKUP(A239, Data1_Raw_Slack!A:B, 2, FALSE)), ""technology|tech|gadgets|smartpho"&amp;"ne|electro|apps|devices|computing|ai|robots|software|computer|internet|tele|mobile|tablet""), ""Technology"", REGEXMATCH(LOWER(VLOOKUP(A239, Data1_Raw_Slack!A:B, 2, FALSE)), ""entertainment|purchas|movies|tv|netflix|streaming|celebrity|movie lovers|tv fan"&amp;"s|media|hobb|photo|art|shop""), ""Entertainment"", REGEXMATCH(LOWER(VLOOKUP(A239, Data1_Raw_Slack!A:B, 2, FALSE)), ""law|government|""), ""Law and Government"",
  TRUE, ""Other""
)"),"Food")</f>
        <v>Food</v>
      </c>
      <c r="G239" s="9"/>
      <c r="H239" s="9" t="s">
        <v>32</v>
      </c>
      <c r="I239" s="9" t="s">
        <v>999</v>
      </c>
      <c r="J239" s="9" t="s">
        <v>34</v>
      </c>
      <c r="K239" s="9" t="s">
        <v>148</v>
      </c>
      <c r="L239" s="9" t="s">
        <v>89</v>
      </c>
      <c r="M239" s="10" t="s">
        <v>207</v>
      </c>
      <c r="N239" s="9" t="str">
        <f ca="1">IFERROR(__xludf.DUMMYFUNCTION("REGEXEXTRACT(LOWER(M239), ""([a-z0-9\-]+)\.(?:co|net|org|io|gg)"")"),"realtor")</f>
        <v>realtor</v>
      </c>
      <c r="O239" s="9" t="s">
        <v>50</v>
      </c>
      <c r="P239" s="9" t="s">
        <v>39</v>
      </c>
      <c r="Q239" s="9">
        <v>40859</v>
      </c>
      <c r="R239" s="9">
        <v>144</v>
      </c>
      <c r="S239" s="9">
        <v>17695</v>
      </c>
      <c r="T239" s="9">
        <v>37108</v>
      </c>
      <c r="U239" s="9">
        <v>4</v>
      </c>
      <c r="V239" s="11">
        <v>6130.3684249999997</v>
      </c>
      <c r="W239" s="12">
        <f t="shared" si="0"/>
        <v>1532.5921062499999</v>
      </c>
      <c r="X239" s="12">
        <f t="shared" si="1"/>
        <v>0.35243153283242368</v>
      </c>
      <c r="Y239" s="12">
        <f t="shared" si="2"/>
        <v>43.307472037984283</v>
      </c>
      <c r="Z239" s="12">
        <f t="shared" si="3"/>
        <v>346.44636479231423</v>
      </c>
      <c r="AA239" s="12">
        <f t="shared" si="4"/>
        <v>150.0371625590445</v>
      </c>
      <c r="AB239" s="12">
        <f t="shared" si="5"/>
        <v>42.572002951388889</v>
      </c>
      <c r="AC239" s="12">
        <f t="shared" si="6"/>
        <v>2.7777777777777777</v>
      </c>
      <c r="AE239" s="13"/>
      <c r="AF239" s="13"/>
    </row>
    <row r="240" spans="1:32">
      <c r="A240" s="8" t="s">
        <v>1000</v>
      </c>
      <c r="B240" s="9" t="s">
        <v>1001</v>
      </c>
      <c r="C240" s="9" t="s">
        <v>1002</v>
      </c>
      <c r="D240" s="9"/>
      <c r="E240" s="9"/>
      <c r="F240" s="9" t="str">
        <f ca="1">IFERROR(__xludf.DUMMYFUNCTION("IFS(
  REGEXMATCH(LOWER(VLOOKUP(A240, Data1_Raw_Slack!A:B, 2, FALSE)), ""news|weather""), ""News and Weather"", REGEXMATCH(LOWER(VLOOKUP(A240, Data1_Raw_Slack!A:B, 2, FALSE)), ""sports|ufc|nba|nfl|mlb|soccer|sports fans""), ""Sports"",
  REGEXMATCH(LOWER("&amp;"VLOOKUP(A240, Data1_Raw_Slack!A:B, 2, FALSE)), ""fashion|style|clothing|apparel|shoes|accessories|beauty|cosmetics|fashionistas""), ""Fashion and Beauty"",
  REGEXMATCH(LOWER(VLOOKUP(A240, Data1_Raw_Slack!A:B, 2, FALSE)), ""food|cooking|recipe|restaurant|"&amp;"snack|grocery|foodies""), ""Food"",
  REGEXMATCH(LOWER(VLOOKUP(A240, Data1_Raw_Slack!A:B, 2, FALSE)), ""travel|vacation|airline|hotel|trip|flights|travelers""), ""Travel"",
  REGEXMATCH(LOWER(VLOOKUP(A240, Data1_Raw_Slack!A:B, 2, FALSE)), ""fitness|workou"&amp;"t|gym|exercise|yoga|wellness|fitness enthusiasts""), ""Fitness"",
  REGEXMATCH(LOWER(VLOOKUP(A240, Data1_Raw_Slack!A:B, 2, FALSE)), ""health|medical|pharmacy|mental health|doctor|health-conscious""), ""Health"",
  REGEXMATCH(LOWER(VLOOKUP(A240, Data1_Raw_"&amp;"Slack!A:B, 2, FALSE)), ""pets|dogs|cats|animals|pet care|pet lovers""), ""Pets"",
  REGEXMATCH(LOWER(VLOOKUP(A240, Data1_Raw_Slack!A:B, 2, FALSE)), ""games|gaming|game|xbox|playstation|nintendo|gamers""), ""Gaming"",
  REGEXMATCH(LOWER(VLOOKUP(A240, Data1"&amp;"_Raw_Slack!A:B, 2, FALSE)), ""entertainment|movies|tv|netflix|streaming|celebrity|movie lovers|tv fans|hobb|photo|art""), ""Entertainment"",
  REGEXMATCH(LOWER(VLOOKUP(A240, Data1_Raw_Slack!A:B, 2, FALSE)), ""lifestyle|home|interior|decor|living|lifestyle"&amp;" enthusiasts""), ""Lifestyle"",
  REGEXMATCH(LOWER(VLOOKUP(A240, Data1_Raw_Slack!A:B, 2, FALSE)), ""financial|finance|investing|stocks|retirement|banking|credit|debt|loans|savings|personal finance|insurance|econ|ecom|business|retail|occupation|sale|job|ma"&amp;"rketing""), ""Finance"",
  REGEXMATCH(LOWER(VLOOKUP(A240, Data1_Raw_Slack!A:B, 2, FALSE)), ""auto|automotive""), ""Auto"",
  REGEXMATCH(LOWER(VLOOKUP(A240, Data1_Raw_Slack!A:B, 2, FALSE)), ""parenting|moms|dads|kids|toddlers|baby|parent|children""), ""Par"&amp;"enting"",
  REGEXMATCH(LOWER(VLOOKUP(A240, Data1_Raw_Slack!A:B, 2, FALSE)), ""education|students|learning|school|teachers|college|university|academics""), ""Education"",
  REGEXMATCH(LOWER(VLOOKUP(A240, Data1_Raw_Slack!A:B, 2, FALSE)), ""age|gender|dem"&amp;"ographic|family|household""), ""Demographics"",
  REGEXMATCH(LOWER(VLOOKUP(A240, Data1_Raw_Slack!A:B, 2, FALSE)), ""mortgage|real estate""), ""Real Estate"",REGEXMATCH(LOWER(VLOOKUP(A240, Data1_Raw_Slack!A:B, 2, FALSE)), ""technology|tech|gadgets|smartpho"&amp;"ne|electro|apps|devices|computing|ai|robots|software|computer|internet|tele|mobile|tablet""), ""Technology"", REGEXMATCH(LOWER(VLOOKUP(A240, Data1_Raw_Slack!A:B, 2, FALSE)), ""entertainment|purchas|movies|tv|netflix|streaming|celebrity|movie lovers|tv fan"&amp;"s|media|hobb|photo|art|shop""), ""Entertainment"", REGEXMATCH(LOWER(VLOOKUP(A240, Data1_Raw_Slack!A:B, 2, FALSE)), ""law|government|""), ""Law and Government"",
  TRUE, ""Other""
)"),"Demographics")</f>
        <v>Demographics</v>
      </c>
      <c r="G240" s="9"/>
      <c r="H240" s="9" t="s">
        <v>44</v>
      </c>
      <c r="I240" s="9" t="s">
        <v>111</v>
      </c>
      <c r="J240" s="9" t="s">
        <v>80</v>
      </c>
      <c r="K240" s="9" t="s">
        <v>35</v>
      </c>
      <c r="L240" s="9" t="s">
        <v>36</v>
      </c>
      <c r="M240" s="10" t="s">
        <v>1003</v>
      </c>
      <c r="N240" s="9" t="str">
        <f ca="1">IFERROR(__xludf.DUMMYFUNCTION("REGEXEXTRACT(LOWER(M240), ""([a-z0-9\-]+)\.(?:co|net|org|io|gg)"")"),"wikihow")</f>
        <v>wikihow</v>
      </c>
      <c r="O240" s="9" t="s">
        <v>103</v>
      </c>
      <c r="P240" s="9" t="s">
        <v>39</v>
      </c>
      <c r="Q240" s="9">
        <v>37355</v>
      </c>
      <c r="R240" s="9">
        <v>145</v>
      </c>
      <c r="S240" s="9">
        <v>17138</v>
      </c>
      <c r="T240" s="9">
        <v>35689</v>
      </c>
      <c r="U240" s="9">
        <v>3</v>
      </c>
      <c r="V240" s="11">
        <v>1577.366086</v>
      </c>
      <c r="W240" s="12">
        <f t="shared" si="0"/>
        <v>525.78869533333329</v>
      </c>
      <c r="X240" s="12">
        <f t="shared" si="1"/>
        <v>0.38816758131441575</v>
      </c>
      <c r="Y240" s="12">
        <f t="shared" si="2"/>
        <v>45.878731093561768</v>
      </c>
      <c r="Z240" s="12">
        <f t="shared" si="3"/>
        <v>92.039099428171312</v>
      </c>
      <c r="AA240" s="12">
        <f t="shared" si="4"/>
        <v>42.226370927586665</v>
      </c>
      <c r="AB240" s="12">
        <f t="shared" si="5"/>
        <v>10.878386799999999</v>
      </c>
      <c r="AC240" s="12">
        <f t="shared" si="6"/>
        <v>2.0689655172413794</v>
      </c>
      <c r="AE240" s="13"/>
      <c r="AF240" s="13"/>
    </row>
    <row r="241" spans="1:32">
      <c r="A241" s="8" t="s">
        <v>1004</v>
      </c>
      <c r="B241" s="9" t="s">
        <v>41</v>
      </c>
      <c r="C241" s="9" t="s">
        <v>85</v>
      </c>
      <c r="D241" s="9" t="s">
        <v>1005</v>
      </c>
      <c r="E241" s="9"/>
      <c r="F241" s="9" t="str">
        <f ca="1">IFERROR(__xludf.DUMMYFUNCTION("IFS(
  REGEXMATCH(LOWER(VLOOKUP(A241, Data1_Raw_Slack!A:B, 2, FALSE)), ""news|weather""), ""News and Weather"", REGEXMATCH(LOWER(VLOOKUP(A241, Data1_Raw_Slack!A:B, 2, FALSE)), ""sports|ufc|nba|nfl|mlb|soccer|sports fans""), ""Sports"",
  REGEXMATCH(LOWER("&amp;"VLOOKUP(A241, Data1_Raw_Slack!A:B, 2, FALSE)), ""fashion|style|clothing|apparel|shoes|accessories|beauty|cosmetics|fashionistas""), ""Fashion and Beauty"",
  REGEXMATCH(LOWER(VLOOKUP(A241, Data1_Raw_Slack!A:B, 2, FALSE)), ""food|cooking|recipe|restaurant|"&amp;"snack|grocery|foodies""), ""Food"",
  REGEXMATCH(LOWER(VLOOKUP(A241, Data1_Raw_Slack!A:B, 2, FALSE)), ""travel|vacation|airline|hotel|trip|flights|travelers""), ""Travel"",
  REGEXMATCH(LOWER(VLOOKUP(A241, Data1_Raw_Slack!A:B, 2, FALSE)), ""fitness|workou"&amp;"t|gym|exercise|yoga|wellness|fitness enthusiasts""), ""Fitness"",
  REGEXMATCH(LOWER(VLOOKUP(A241, Data1_Raw_Slack!A:B, 2, FALSE)), ""health|medical|pharmacy|mental health|doctor|health-conscious""), ""Health"",
  REGEXMATCH(LOWER(VLOOKUP(A241, Data1_Raw_"&amp;"Slack!A:B, 2, FALSE)), ""pets|dogs|cats|animals|pet care|pet lovers""), ""Pets"",
  REGEXMATCH(LOWER(VLOOKUP(A241, Data1_Raw_Slack!A:B, 2, FALSE)), ""games|gaming|game|xbox|playstation|nintendo|gamers""), ""Gaming"",
  REGEXMATCH(LOWER(VLOOKUP(A241, Data1"&amp;"_Raw_Slack!A:B, 2, FALSE)), ""entertainment|movies|tv|netflix|streaming|celebrity|movie lovers|tv fans|hobb|photo|art""), ""Entertainment"",
  REGEXMATCH(LOWER(VLOOKUP(A241, Data1_Raw_Slack!A:B, 2, FALSE)), ""lifestyle|home|interior|decor|living|lifestyle"&amp;" enthusiasts""), ""Lifestyle"",
  REGEXMATCH(LOWER(VLOOKUP(A241, Data1_Raw_Slack!A:B, 2, FALSE)), ""financial|finance|investing|stocks|retirement|banking|credit|debt|loans|savings|personal finance|insurance|econ|ecom|business|retail|occupation|sale|job|ma"&amp;"rketing""), ""Finance"",
  REGEXMATCH(LOWER(VLOOKUP(A241, Data1_Raw_Slack!A:B, 2, FALSE)), ""auto|automotive""), ""Auto"",
  REGEXMATCH(LOWER(VLOOKUP(A241, Data1_Raw_Slack!A:B, 2, FALSE)), ""parenting|moms|dads|kids|toddlers|baby|parent|children""), ""Par"&amp;"enting"",
  REGEXMATCH(LOWER(VLOOKUP(A241, Data1_Raw_Slack!A:B, 2, FALSE)), ""education|students|learning|school|teachers|college|university|academics""), ""Education"",
  REGEXMATCH(LOWER(VLOOKUP(A241, Data1_Raw_Slack!A:B, 2, FALSE)), ""age|gender|dem"&amp;"ographic|family|household""), ""Demographics"",
  REGEXMATCH(LOWER(VLOOKUP(A241, Data1_Raw_Slack!A:B, 2, FALSE)), ""mortgage|real estate""), ""Real Estate"",REGEXMATCH(LOWER(VLOOKUP(A241, Data1_Raw_Slack!A:B, 2, FALSE)), ""technology|tech|gadgets|smartpho"&amp;"ne|electro|apps|devices|computing|ai|robots|software|computer|internet|tele|mobile|tablet""), ""Technology"", REGEXMATCH(LOWER(VLOOKUP(A241, Data1_Raw_Slack!A:B, 2, FALSE)), ""entertainment|purchas|movies|tv|netflix|streaming|celebrity|movie lovers|tv fan"&amp;"s|media|hobb|photo|art|shop""), ""Entertainment"", REGEXMATCH(LOWER(VLOOKUP(A241, Data1_Raw_Slack!A:B, 2, FALSE)), ""law|government|""), ""Law and Government"",
  TRUE, ""Other""
)"),"Travel")</f>
        <v>Travel</v>
      </c>
      <c r="G241" s="9" t="s">
        <v>85</v>
      </c>
      <c r="H241" s="9" t="s">
        <v>44</v>
      </c>
      <c r="I241" s="9" t="s">
        <v>1006</v>
      </c>
      <c r="J241" s="9" t="s">
        <v>34</v>
      </c>
      <c r="K241" s="9" t="s">
        <v>236</v>
      </c>
      <c r="L241" s="9" t="s">
        <v>82</v>
      </c>
      <c r="M241" s="10" t="s">
        <v>130</v>
      </c>
      <c r="N241" s="9" t="str">
        <f ca="1">IFERROR(__xludf.DUMMYFUNCTION("REGEXEXTRACT(LOWER(M241), ""([a-z0-9\-]+)\.(?:co|net|org|io|gg)"")"),"weather")</f>
        <v>weather</v>
      </c>
      <c r="O241" s="9" t="s">
        <v>50</v>
      </c>
      <c r="P241" s="9" t="s">
        <v>39</v>
      </c>
      <c r="Q241" s="9">
        <v>100991</v>
      </c>
      <c r="R241" s="9">
        <v>286</v>
      </c>
      <c r="S241" s="9">
        <v>56138</v>
      </c>
      <c r="T241" s="9">
        <v>88836</v>
      </c>
      <c r="U241" s="9">
        <v>9</v>
      </c>
      <c r="V241" s="11">
        <v>4652.3676290000003</v>
      </c>
      <c r="W241" s="12">
        <f t="shared" si="0"/>
        <v>516.92973655555556</v>
      </c>
      <c r="X241" s="12">
        <f t="shared" si="1"/>
        <v>0.28319355190066442</v>
      </c>
      <c r="Y241" s="12">
        <f t="shared" si="2"/>
        <v>55.587131526571675</v>
      </c>
      <c r="Z241" s="12">
        <f t="shared" si="3"/>
        <v>82.8737687306281</v>
      </c>
      <c r="AA241" s="12">
        <f t="shared" si="4"/>
        <v>46.067150825321072</v>
      </c>
      <c r="AB241" s="12">
        <f t="shared" si="5"/>
        <v>16.267019681818184</v>
      </c>
      <c r="AC241" s="12">
        <f t="shared" si="6"/>
        <v>3.1468531468531471</v>
      </c>
      <c r="AE241" s="13"/>
      <c r="AF241" s="13"/>
    </row>
    <row r="242" spans="1:32">
      <c r="A242" s="8" t="s">
        <v>1007</v>
      </c>
      <c r="B242" s="9" t="s">
        <v>521</v>
      </c>
      <c r="C242" s="9" t="s">
        <v>522</v>
      </c>
      <c r="D242" s="9" t="s">
        <v>1008</v>
      </c>
      <c r="E242" s="9"/>
      <c r="F242" s="9" t="str">
        <f ca="1">IFERROR(__xludf.DUMMYFUNCTION("IFS(
  REGEXMATCH(LOWER(VLOOKUP(A242, Data1_Raw_Slack!A:B, 2, FALSE)), ""news|weather""), ""News and Weather"", REGEXMATCH(LOWER(VLOOKUP(A242, Data1_Raw_Slack!A:B, 2, FALSE)), ""sports|ufc|nba|nfl|mlb|soccer|sports fans""), ""Sports"",
  REGEXMATCH(LOWER("&amp;"VLOOKUP(A242, Data1_Raw_Slack!A:B, 2, FALSE)), ""fashion|style|clothing|apparel|shoes|accessories|beauty|cosmetics|fashionistas""), ""Fashion and Beauty"",
  REGEXMATCH(LOWER(VLOOKUP(A242, Data1_Raw_Slack!A:B, 2, FALSE)), ""food|cooking|recipe|restaurant|"&amp;"snack|grocery|foodies""), ""Food"",
  REGEXMATCH(LOWER(VLOOKUP(A242, Data1_Raw_Slack!A:B, 2, FALSE)), ""travel|vacation|airline|hotel|trip|flights|travelers""), ""Travel"",
  REGEXMATCH(LOWER(VLOOKUP(A242, Data1_Raw_Slack!A:B, 2, FALSE)), ""fitness|workou"&amp;"t|gym|exercise|yoga|wellness|fitness enthusiasts""), ""Fitness"",
  REGEXMATCH(LOWER(VLOOKUP(A242, Data1_Raw_Slack!A:B, 2, FALSE)), ""health|medical|pharmacy|mental health|doctor|health-conscious""), ""Health"",
  REGEXMATCH(LOWER(VLOOKUP(A242, Data1_Raw_"&amp;"Slack!A:B, 2, FALSE)), ""pets|dogs|cats|animals|pet care|pet lovers""), ""Pets"",
  REGEXMATCH(LOWER(VLOOKUP(A242, Data1_Raw_Slack!A:B, 2, FALSE)), ""games|gaming|game|xbox|playstation|nintendo|gamers""), ""Gaming"",
  REGEXMATCH(LOWER(VLOOKUP(A242, Data1"&amp;"_Raw_Slack!A:B, 2, FALSE)), ""entertainment|movies|tv|netflix|streaming|celebrity|movie lovers|tv fans|hobb|photo|art""), ""Entertainment"",
  REGEXMATCH(LOWER(VLOOKUP(A242, Data1_Raw_Slack!A:B, 2, FALSE)), ""lifestyle|home|interior|decor|living|lifestyle"&amp;" enthusiasts""), ""Lifestyle"",
  REGEXMATCH(LOWER(VLOOKUP(A242, Data1_Raw_Slack!A:B, 2, FALSE)), ""financial|finance|investing|stocks|retirement|banking|credit|debt|loans|savings|personal finance|insurance|econ|ecom|business|retail|occupation|sale|job|ma"&amp;"rketing""), ""Finance"",
  REGEXMATCH(LOWER(VLOOKUP(A242, Data1_Raw_Slack!A:B, 2, FALSE)), ""auto|automotive""), ""Auto"",
  REGEXMATCH(LOWER(VLOOKUP(A242, Data1_Raw_Slack!A:B, 2, FALSE)), ""parenting|moms|dads|kids|toddlers|baby|parent|children""), ""Par"&amp;"enting"",
  REGEXMATCH(LOWER(VLOOKUP(A242, Data1_Raw_Slack!A:B, 2, FALSE)), ""education|students|learning|school|teachers|college|university|academics""), ""Education"",
  REGEXMATCH(LOWER(VLOOKUP(A242, Data1_Raw_Slack!A:B, 2, FALSE)), ""age|gender|dem"&amp;"ographic|family|household""), ""Demographics"",
  REGEXMATCH(LOWER(VLOOKUP(A242, Data1_Raw_Slack!A:B, 2, FALSE)), ""mortgage|real estate""), ""Real Estate"",REGEXMATCH(LOWER(VLOOKUP(A242, Data1_Raw_Slack!A:B, 2, FALSE)), ""technology|tech|gadgets|smartpho"&amp;"ne|electro|apps|devices|computing|ai|robots|software|computer|internet|tele|mobile|tablet""), ""Technology"", REGEXMATCH(LOWER(VLOOKUP(A242, Data1_Raw_Slack!A:B, 2, FALSE)), ""entertainment|purchas|movies|tv|netflix|streaming|celebrity|movie lovers|tv fan"&amp;"s|media|hobb|photo|art|shop""), ""Entertainment"", REGEXMATCH(LOWER(VLOOKUP(A242, Data1_Raw_Slack!A:B, 2, FALSE)), ""law|government|""), ""Law and Government"",
  TRUE, ""Other""
)"),"Travel")</f>
        <v>Travel</v>
      </c>
      <c r="G242" s="9"/>
      <c r="H242" s="9" t="s">
        <v>32</v>
      </c>
      <c r="I242" s="9" t="s">
        <v>1009</v>
      </c>
      <c r="J242" s="9" t="s">
        <v>46</v>
      </c>
      <c r="K242" s="9" t="s">
        <v>443</v>
      </c>
      <c r="L242" s="9" t="s">
        <v>72</v>
      </c>
      <c r="M242" s="10" t="s">
        <v>73</v>
      </c>
      <c r="N242" s="9" t="str">
        <f ca="1">IFERROR(__xludf.DUMMYFUNCTION("REGEXEXTRACT(LOWER(M242), ""([a-z0-9\-]+)\.(?:co|net|org|io|gg)"")"),"aol")</f>
        <v>aol</v>
      </c>
      <c r="O242" s="9" t="s">
        <v>131</v>
      </c>
      <c r="P242" s="9" t="s">
        <v>39</v>
      </c>
      <c r="Q242" s="9">
        <v>88819</v>
      </c>
      <c r="R242" s="9">
        <v>200</v>
      </c>
      <c r="S242" s="9">
        <v>65488</v>
      </c>
      <c r="T242" s="9">
        <v>80451</v>
      </c>
      <c r="U242" s="9">
        <v>6</v>
      </c>
      <c r="V242" s="11">
        <v>1442.2279900000001</v>
      </c>
      <c r="W242" s="12">
        <f t="shared" si="0"/>
        <v>240.37133166666669</v>
      </c>
      <c r="X242" s="12">
        <f t="shared" si="1"/>
        <v>0.22517704545198663</v>
      </c>
      <c r="Y242" s="12">
        <f t="shared" si="2"/>
        <v>73.731971762798494</v>
      </c>
      <c r="Z242" s="12">
        <f t="shared" si="3"/>
        <v>22.022782647202543</v>
      </c>
      <c r="AA242" s="12">
        <f t="shared" si="4"/>
        <v>16.237831882817865</v>
      </c>
      <c r="AB242" s="12">
        <f t="shared" si="5"/>
        <v>7.2111399500000006</v>
      </c>
      <c r="AC242" s="12">
        <f t="shared" si="6"/>
        <v>3</v>
      </c>
      <c r="AE242" s="13"/>
      <c r="AF242" s="13"/>
    </row>
    <row r="243" spans="1:32">
      <c r="A243" s="8" t="s">
        <v>1010</v>
      </c>
      <c r="B243" s="9" t="s">
        <v>92</v>
      </c>
      <c r="C243" s="9" t="s">
        <v>178</v>
      </c>
      <c r="D243" s="9" t="s">
        <v>154</v>
      </c>
      <c r="E243" s="9" t="s">
        <v>1011</v>
      </c>
      <c r="F243" s="9" t="str">
        <f ca="1">IFERROR(__xludf.DUMMYFUNCTION("IFS(
  REGEXMATCH(LOWER(VLOOKUP(A243, Data1_Raw_Slack!A:B, 2, FALSE)), ""news|weather""), ""News and Weather"", REGEXMATCH(LOWER(VLOOKUP(A243, Data1_Raw_Slack!A:B, 2, FALSE)), ""sports|ufc|nba|nfl|mlb|soccer|sports fans""), ""Sports"",
  REGEXMATCH(LOWER("&amp;"VLOOKUP(A243, Data1_Raw_Slack!A:B, 2, FALSE)), ""fashion|style|clothing|apparel|shoes|accessories|beauty|cosmetics|fashionistas""), ""Fashion and Beauty"",
  REGEXMATCH(LOWER(VLOOKUP(A243, Data1_Raw_Slack!A:B, 2, FALSE)), ""food|cooking|recipe|restaurant|"&amp;"snack|grocery|foodies""), ""Food"",
  REGEXMATCH(LOWER(VLOOKUP(A243, Data1_Raw_Slack!A:B, 2, FALSE)), ""travel|vacation|airline|hotel|trip|flights|travelers""), ""Travel"",
  REGEXMATCH(LOWER(VLOOKUP(A243, Data1_Raw_Slack!A:B, 2, FALSE)), ""fitness|workou"&amp;"t|gym|exercise|yoga|wellness|fitness enthusiasts""), ""Fitness"",
  REGEXMATCH(LOWER(VLOOKUP(A243, Data1_Raw_Slack!A:B, 2, FALSE)), ""health|medical|pharmacy|mental health|doctor|health-conscious""), ""Health"",
  REGEXMATCH(LOWER(VLOOKUP(A243, Data1_Raw_"&amp;"Slack!A:B, 2, FALSE)), ""pets|dogs|cats|animals|pet care|pet lovers""), ""Pets"",
  REGEXMATCH(LOWER(VLOOKUP(A243, Data1_Raw_Slack!A:B, 2, FALSE)), ""games|gaming|game|xbox|playstation|nintendo|gamers""), ""Gaming"",
  REGEXMATCH(LOWER(VLOOKUP(A243, Data1"&amp;"_Raw_Slack!A:B, 2, FALSE)), ""entertainment|movies|tv|netflix|streaming|celebrity|movie lovers|tv fans|hobb|photo|art""), ""Entertainment"",
  REGEXMATCH(LOWER(VLOOKUP(A243, Data1_Raw_Slack!A:B, 2, FALSE)), ""lifestyle|home|interior|decor|living|lifestyle"&amp;" enthusiasts""), ""Lifestyle"",
  REGEXMATCH(LOWER(VLOOKUP(A243, Data1_Raw_Slack!A:B, 2, FALSE)), ""financial|finance|investing|stocks|retirement|banking|credit|debt|loans|savings|personal finance|insurance|econ|ecom|business|retail|occupation|sale|job|ma"&amp;"rketing""), ""Finance"",
  REGEXMATCH(LOWER(VLOOKUP(A243, Data1_Raw_Slack!A:B, 2, FALSE)), ""auto|automotive""), ""Auto"",
  REGEXMATCH(LOWER(VLOOKUP(A243, Data1_Raw_Slack!A:B, 2, FALSE)), ""parenting|moms|dads|kids|toddlers|baby|parent|children""), ""Par"&amp;"enting"",
  REGEXMATCH(LOWER(VLOOKUP(A243, Data1_Raw_Slack!A:B, 2, FALSE)), ""education|students|learning|school|teachers|college|university|academics""), ""Education"",
  REGEXMATCH(LOWER(VLOOKUP(A243, Data1_Raw_Slack!A:B, 2, FALSE)), ""age|gender|dem"&amp;"ographic|family|household""), ""Demographics"",
  REGEXMATCH(LOWER(VLOOKUP(A243, Data1_Raw_Slack!A:B, 2, FALSE)), ""mortgage|real estate""), ""Real Estate"",REGEXMATCH(LOWER(VLOOKUP(A243, Data1_Raw_Slack!A:B, 2, FALSE)), ""technology|tech|gadgets|smartpho"&amp;"ne|electro|apps|devices|computing|ai|robots|software|computer|internet|tele|mobile|tablet""), ""Technology"", REGEXMATCH(LOWER(VLOOKUP(A243, Data1_Raw_Slack!A:B, 2, FALSE)), ""entertainment|purchas|movies|tv|netflix|streaming|celebrity|movie lovers|tv fan"&amp;"s|media|hobb|photo|art|shop""), ""Entertainment"", REGEXMATCH(LOWER(VLOOKUP(A243, Data1_Raw_Slack!A:B, 2, FALSE)), ""law|government|""), ""Law and Government"",
  TRUE, ""Other""
)"),"Sports")</f>
        <v>Sports</v>
      </c>
      <c r="G243" s="9" t="s">
        <v>154</v>
      </c>
      <c r="H243" s="9" t="s">
        <v>44</v>
      </c>
      <c r="I243" s="9" t="s">
        <v>1012</v>
      </c>
      <c r="J243" s="9" t="s">
        <v>34</v>
      </c>
      <c r="K243" s="9" t="s">
        <v>56</v>
      </c>
      <c r="L243" s="9" t="s">
        <v>57</v>
      </c>
      <c r="M243" s="10" t="s">
        <v>207</v>
      </c>
      <c r="N243" s="9" t="str">
        <f ca="1">IFERROR(__xludf.DUMMYFUNCTION("REGEXEXTRACT(LOWER(M243), ""([a-z0-9\-]+)\.(?:co|net|org|io|gg)"")"),"realtor")</f>
        <v>realtor</v>
      </c>
      <c r="O243" s="9" t="s">
        <v>38</v>
      </c>
      <c r="P243" s="9" t="s">
        <v>39</v>
      </c>
      <c r="Q243" s="9">
        <v>114267</v>
      </c>
      <c r="R243" s="9">
        <v>110</v>
      </c>
      <c r="S243" s="9">
        <v>60964</v>
      </c>
      <c r="T243" s="9">
        <v>108301</v>
      </c>
      <c r="U243" s="9">
        <v>5</v>
      </c>
      <c r="V243" s="11">
        <v>2679.1540679999998</v>
      </c>
      <c r="W243" s="12">
        <f t="shared" si="0"/>
        <v>535.83081359999994</v>
      </c>
      <c r="X243" s="12">
        <f t="shared" si="1"/>
        <v>9.6265763518776193E-2</v>
      </c>
      <c r="Y243" s="12">
        <f t="shared" si="2"/>
        <v>53.352236428715202</v>
      </c>
      <c r="Z243" s="12">
        <f t="shared" si="3"/>
        <v>43.946494127681909</v>
      </c>
      <c r="AA243" s="12">
        <f t="shared" si="4"/>
        <v>23.446437449132294</v>
      </c>
      <c r="AB243" s="12">
        <f t="shared" si="5"/>
        <v>24.355946072727271</v>
      </c>
      <c r="AC243" s="12">
        <f t="shared" si="6"/>
        <v>4.5454545454545459</v>
      </c>
      <c r="AE243" s="13"/>
      <c r="AF243" s="13"/>
    </row>
    <row r="244" spans="1:32">
      <c r="A244" s="8" t="s">
        <v>1013</v>
      </c>
      <c r="B244" s="9" t="s">
        <v>41</v>
      </c>
      <c r="C244" s="9" t="s">
        <v>127</v>
      </c>
      <c r="D244" s="9" t="s">
        <v>746</v>
      </c>
      <c r="E244" s="9" t="s">
        <v>1014</v>
      </c>
      <c r="F244" s="9" t="str">
        <f ca="1">IFERROR(__xludf.DUMMYFUNCTION("IFS(
  REGEXMATCH(LOWER(VLOOKUP(A244, Data1_Raw_Slack!A:B, 2, FALSE)), ""news|weather""), ""News and Weather"", REGEXMATCH(LOWER(VLOOKUP(A244, Data1_Raw_Slack!A:B, 2, FALSE)), ""sports|ufc|nba|nfl|mlb|soccer|sports fans""), ""Sports"",
  REGEXMATCH(LOWER("&amp;"VLOOKUP(A244, Data1_Raw_Slack!A:B, 2, FALSE)), ""fashion|style|clothing|apparel|shoes|accessories|beauty|cosmetics|fashionistas""), ""Fashion and Beauty"",
  REGEXMATCH(LOWER(VLOOKUP(A244, Data1_Raw_Slack!A:B, 2, FALSE)), ""food|cooking|recipe|restaurant|"&amp;"snack|grocery|foodies""), ""Food"",
  REGEXMATCH(LOWER(VLOOKUP(A244, Data1_Raw_Slack!A:B, 2, FALSE)), ""travel|vacation|airline|hotel|trip|flights|travelers""), ""Travel"",
  REGEXMATCH(LOWER(VLOOKUP(A244, Data1_Raw_Slack!A:B, 2, FALSE)), ""fitness|workou"&amp;"t|gym|exercise|yoga|wellness|fitness enthusiasts""), ""Fitness"",
  REGEXMATCH(LOWER(VLOOKUP(A244, Data1_Raw_Slack!A:B, 2, FALSE)), ""health|medical|pharmacy|mental health|doctor|health-conscious""), ""Health"",
  REGEXMATCH(LOWER(VLOOKUP(A244, Data1_Raw_"&amp;"Slack!A:B, 2, FALSE)), ""pets|dogs|cats|animals|pet care|pet lovers""), ""Pets"",
  REGEXMATCH(LOWER(VLOOKUP(A244, Data1_Raw_Slack!A:B, 2, FALSE)), ""games|gaming|game|xbox|playstation|nintendo|gamers""), ""Gaming"",
  REGEXMATCH(LOWER(VLOOKUP(A244, Data1"&amp;"_Raw_Slack!A:B, 2, FALSE)), ""entertainment|movies|tv|netflix|streaming|celebrity|movie lovers|tv fans|hobb|photo|art""), ""Entertainment"",
  REGEXMATCH(LOWER(VLOOKUP(A244, Data1_Raw_Slack!A:B, 2, FALSE)), ""lifestyle|home|interior|decor|living|lifestyle"&amp;" enthusiasts""), ""Lifestyle"",
  REGEXMATCH(LOWER(VLOOKUP(A244, Data1_Raw_Slack!A:B, 2, FALSE)), ""financial|finance|investing|stocks|retirement|banking|credit|debt|loans|savings|personal finance|insurance|econ|ecom|business|retail|occupation|sale|job|ma"&amp;"rketing""), ""Finance"",
  REGEXMATCH(LOWER(VLOOKUP(A244, Data1_Raw_Slack!A:B, 2, FALSE)), ""auto|automotive""), ""Auto"",
  REGEXMATCH(LOWER(VLOOKUP(A244, Data1_Raw_Slack!A:B, 2, FALSE)), ""parenting|moms|dads|kids|toddlers|baby|parent|children""), ""Par"&amp;"enting"",
  REGEXMATCH(LOWER(VLOOKUP(A244, Data1_Raw_Slack!A:B, 2, FALSE)), ""education|students|learning|school|teachers|college|university|academics""), ""Education"",
  REGEXMATCH(LOWER(VLOOKUP(A244, Data1_Raw_Slack!A:B, 2, FALSE)), ""age|gender|dem"&amp;"ographic|family|household""), ""Demographics"",
  REGEXMATCH(LOWER(VLOOKUP(A244, Data1_Raw_Slack!A:B, 2, FALSE)), ""mortgage|real estate""), ""Real Estate"",REGEXMATCH(LOWER(VLOOKUP(A244, Data1_Raw_Slack!A:B, 2, FALSE)), ""technology|tech|gadgets|smartpho"&amp;"ne|electro|apps|devices|computing|ai|robots|software|computer|internet|tele|mobile|tablet""), ""Technology"", REGEXMATCH(LOWER(VLOOKUP(A244, Data1_Raw_Slack!A:B, 2, FALSE)), ""entertainment|purchas|movies|tv|netflix|streaming|celebrity|movie lovers|tv fan"&amp;"s|media|hobb|photo|art|shop""), ""Entertainment"", REGEXMATCH(LOWER(VLOOKUP(A244, Data1_Raw_Slack!A:B, 2, FALSE)), ""law|government|""), ""Law and Government"",
  TRUE, ""Other""
)"),"Finance")</f>
        <v>Finance</v>
      </c>
      <c r="G244" s="9" t="s">
        <v>127</v>
      </c>
      <c r="H244" s="9" t="s">
        <v>44</v>
      </c>
      <c r="I244" s="9" t="s">
        <v>1015</v>
      </c>
      <c r="J244" s="9" t="s">
        <v>80</v>
      </c>
      <c r="K244" s="9" t="s">
        <v>236</v>
      </c>
      <c r="L244" s="9" t="s">
        <v>82</v>
      </c>
      <c r="M244" s="10" t="s">
        <v>1016</v>
      </c>
      <c r="N244" s="9" t="str">
        <f ca="1">IFERROR(__xludf.DUMMYFUNCTION("REGEXEXTRACT(LOWER(M244), ""([a-z0-9\-]+)\.(?:co|net|org|io|gg)"")"),"thegamer")</f>
        <v>thegamer</v>
      </c>
      <c r="O244" s="9" t="s">
        <v>103</v>
      </c>
      <c r="P244" s="9" t="s">
        <v>39</v>
      </c>
      <c r="Q244" s="9">
        <v>8362</v>
      </c>
      <c r="R244" s="9">
        <v>31</v>
      </c>
      <c r="S244" s="9">
        <v>5959</v>
      </c>
      <c r="T244" s="9">
        <v>7947</v>
      </c>
      <c r="U244" s="9">
        <v>7</v>
      </c>
      <c r="V244" s="11">
        <v>6997.4689630000003</v>
      </c>
      <c r="W244" s="12">
        <f t="shared" si="0"/>
        <v>999.63842328571434</v>
      </c>
      <c r="X244" s="12">
        <f t="shared" si="1"/>
        <v>0.37072470700789284</v>
      </c>
      <c r="Y244" s="12">
        <f t="shared" si="2"/>
        <v>71.26285577613011</v>
      </c>
      <c r="Z244" s="12">
        <f t="shared" si="3"/>
        <v>1174.2689986574931</v>
      </c>
      <c r="AA244" s="12">
        <f t="shared" si="4"/>
        <v>836.81762293709642</v>
      </c>
      <c r="AB244" s="12">
        <f t="shared" si="5"/>
        <v>225.72480525806452</v>
      </c>
      <c r="AC244" s="12">
        <f t="shared" si="6"/>
        <v>22.58064516129032</v>
      </c>
      <c r="AE244" s="13"/>
      <c r="AF244" s="13"/>
    </row>
    <row r="245" spans="1:32">
      <c r="A245" s="8" t="s">
        <v>1017</v>
      </c>
      <c r="B245" s="9" t="s">
        <v>144</v>
      </c>
      <c r="C245" s="9" t="s">
        <v>193</v>
      </c>
      <c r="D245" s="9" t="s">
        <v>1018</v>
      </c>
      <c r="E245" s="9"/>
      <c r="F245" s="9" t="str">
        <f ca="1">IFERROR(__xludf.DUMMYFUNCTION("IFS(
  REGEXMATCH(LOWER(VLOOKUP(A245, Data1_Raw_Slack!A:B, 2, FALSE)), ""news|weather""), ""News and Weather"", REGEXMATCH(LOWER(VLOOKUP(A245, Data1_Raw_Slack!A:B, 2, FALSE)), ""sports|ufc|nba|nfl|mlb|soccer|sports fans""), ""Sports"",
  REGEXMATCH(LOWER("&amp;"VLOOKUP(A245, Data1_Raw_Slack!A:B, 2, FALSE)), ""fashion|style|clothing|apparel|shoes|accessories|beauty|cosmetics|fashionistas""), ""Fashion and Beauty"",
  REGEXMATCH(LOWER(VLOOKUP(A245, Data1_Raw_Slack!A:B, 2, FALSE)), ""food|cooking|recipe|restaurant|"&amp;"snack|grocery|foodies""), ""Food"",
  REGEXMATCH(LOWER(VLOOKUP(A245, Data1_Raw_Slack!A:B, 2, FALSE)), ""travel|vacation|airline|hotel|trip|flights|travelers""), ""Travel"",
  REGEXMATCH(LOWER(VLOOKUP(A245, Data1_Raw_Slack!A:B, 2, FALSE)), ""fitness|workou"&amp;"t|gym|exercise|yoga|wellness|fitness enthusiasts""), ""Fitness"",
  REGEXMATCH(LOWER(VLOOKUP(A245, Data1_Raw_Slack!A:B, 2, FALSE)), ""health|medical|pharmacy|mental health|doctor|health-conscious""), ""Health"",
  REGEXMATCH(LOWER(VLOOKUP(A245, Data1_Raw_"&amp;"Slack!A:B, 2, FALSE)), ""pets|dogs|cats|animals|pet care|pet lovers""), ""Pets"",
  REGEXMATCH(LOWER(VLOOKUP(A245, Data1_Raw_Slack!A:B, 2, FALSE)), ""games|gaming|game|xbox|playstation|nintendo|gamers""), ""Gaming"",
  REGEXMATCH(LOWER(VLOOKUP(A245, Data1"&amp;"_Raw_Slack!A:B, 2, FALSE)), ""entertainment|movies|tv|netflix|streaming|celebrity|movie lovers|tv fans|hobb|photo|art""), ""Entertainment"",
  REGEXMATCH(LOWER(VLOOKUP(A245, Data1_Raw_Slack!A:B, 2, FALSE)), ""lifestyle|home|interior|decor|living|lifestyle"&amp;" enthusiasts""), ""Lifestyle"",
  REGEXMATCH(LOWER(VLOOKUP(A245, Data1_Raw_Slack!A:B, 2, FALSE)), ""financial|finance|investing|stocks|retirement|banking|credit|debt|loans|savings|personal finance|insurance|econ|ecom|business|retail|occupation|sale|job|ma"&amp;"rketing""), ""Finance"",
  REGEXMATCH(LOWER(VLOOKUP(A245, Data1_Raw_Slack!A:B, 2, FALSE)), ""auto|automotive""), ""Auto"",
  REGEXMATCH(LOWER(VLOOKUP(A245, Data1_Raw_Slack!A:B, 2, FALSE)), ""parenting|moms|dads|kids|toddlers|baby|parent|children""), ""Par"&amp;"enting"",
  REGEXMATCH(LOWER(VLOOKUP(A245, Data1_Raw_Slack!A:B, 2, FALSE)), ""education|students|learning|school|teachers|college|university|academics""), ""Education"",
  REGEXMATCH(LOWER(VLOOKUP(A245, Data1_Raw_Slack!A:B, 2, FALSE)), ""age|gender|dem"&amp;"ographic|family|household""), ""Demographics"",
  REGEXMATCH(LOWER(VLOOKUP(A245, Data1_Raw_Slack!A:B, 2, FALSE)), ""mortgage|real estate""), ""Real Estate"",REGEXMATCH(LOWER(VLOOKUP(A245, Data1_Raw_Slack!A:B, 2, FALSE)), ""technology|tech|gadgets|smartpho"&amp;"ne|electro|apps|devices|computing|ai|robots|software|computer|internet|tele|mobile|tablet""), ""Technology"", REGEXMATCH(LOWER(VLOOKUP(A245, Data1_Raw_Slack!A:B, 2, FALSE)), ""entertainment|purchas|movies|tv|netflix|streaming|celebrity|movie lovers|tv fan"&amp;"s|media|hobb|photo|art|shop""), ""Entertainment"", REGEXMATCH(LOWER(VLOOKUP(A245, Data1_Raw_Slack!A:B, 2, FALSE)), ""law|government|""), ""Law and Government"",
  TRUE, ""Other""
)"),"Entertainment")</f>
        <v>Entertainment</v>
      </c>
      <c r="G245" s="9" t="s">
        <v>69</v>
      </c>
      <c r="H245" s="9" t="s">
        <v>44</v>
      </c>
      <c r="I245" s="9" t="s">
        <v>1019</v>
      </c>
      <c r="J245" s="9" t="s">
        <v>46</v>
      </c>
      <c r="K245" s="9" t="s">
        <v>71</v>
      </c>
      <c r="L245" s="9" t="s">
        <v>72</v>
      </c>
      <c r="M245" s="10" t="s">
        <v>339</v>
      </c>
      <c r="N245" s="9" t="str">
        <f ca="1">IFERROR(__xludf.DUMMYFUNCTION("REGEXEXTRACT(LOWER(M245), ""([a-z0-9\-]+)\.(?:co|net|org|io|gg)"")"),"foxnews")</f>
        <v>foxnews</v>
      </c>
      <c r="O245" s="9" t="s">
        <v>157</v>
      </c>
      <c r="P245" s="9" t="s">
        <v>75</v>
      </c>
      <c r="Q245" s="9">
        <v>76724</v>
      </c>
      <c r="R245" s="9">
        <v>187</v>
      </c>
      <c r="S245" s="9">
        <v>43209</v>
      </c>
      <c r="T245" s="9">
        <v>69530</v>
      </c>
      <c r="U245" s="9">
        <v>9</v>
      </c>
      <c r="V245" s="11">
        <v>1493.204528</v>
      </c>
      <c r="W245" s="12">
        <f t="shared" si="0"/>
        <v>165.91161422222223</v>
      </c>
      <c r="X245" s="12">
        <f t="shared" si="1"/>
        <v>0.24373077524633752</v>
      </c>
      <c r="Y245" s="12">
        <f t="shared" si="2"/>
        <v>56.317449559459888</v>
      </c>
      <c r="Z245" s="12">
        <f t="shared" si="3"/>
        <v>34.557720104607839</v>
      </c>
      <c r="AA245" s="12">
        <f t="shared" si="4"/>
        <v>19.462026588811842</v>
      </c>
      <c r="AB245" s="12">
        <f t="shared" si="5"/>
        <v>7.9850509518716573</v>
      </c>
      <c r="AC245" s="12">
        <f t="shared" si="6"/>
        <v>4.8128342245989302</v>
      </c>
      <c r="AE245" s="13"/>
      <c r="AF245" s="13"/>
    </row>
    <row r="246" spans="1:32">
      <c r="A246" s="8" t="s">
        <v>1020</v>
      </c>
      <c r="B246" s="9" t="s">
        <v>66</v>
      </c>
      <c r="C246" s="9" t="s">
        <v>388</v>
      </c>
      <c r="D246" s="9" t="s">
        <v>1021</v>
      </c>
      <c r="E246" s="9"/>
      <c r="F246" s="9" t="str">
        <f ca="1">IFERROR(__xludf.DUMMYFUNCTION("IFS(
  REGEXMATCH(LOWER(VLOOKUP(A246, Data1_Raw_Slack!A:B, 2, FALSE)), ""news|weather""), ""News and Weather"", REGEXMATCH(LOWER(VLOOKUP(A246, Data1_Raw_Slack!A:B, 2, FALSE)), ""sports|ufc|nba|nfl|mlb|soccer|sports fans""), ""Sports"",
  REGEXMATCH(LOWER("&amp;"VLOOKUP(A246, Data1_Raw_Slack!A:B, 2, FALSE)), ""fashion|style|clothing|apparel|shoes|accessories|beauty|cosmetics|fashionistas""), ""Fashion and Beauty"",
  REGEXMATCH(LOWER(VLOOKUP(A246, Data1_Raw_Slack!A:B, 2, FALSE)), ""food|cooking|recipe|restaurant|"&amp;"snack|grocery|foodies""), ""Food"",
  REGEXMATCH(LOWER(VLOOKUP(A246, Data1_Raw_Slack!A:B, 2, FALSE)), ""travel|vacation|airline|hotel|trip|flights|travelers""), ""Travel"",
  REGEXMATCH(LOWER(VLOOKUP(A246, Data1_Raw_Slack!A:B, 2, FALSE)), ""fitness|workou"&amp;"t|gym|exercise|yoga|wellness|fitness enthusiasts""), ""Fitness"",
  REGEXMATCH(LOWER(VLOOKUP(A246, Data1_Raw_Slack!A:B, 2, FALSE)), ""health|medical|pharmacy|mental health|doctor|health-conscious""), ""Health"",
  REGEXMATCH(LOWER(VLOOKUP(A246, Data1_Raw_"&amp;"Slack!A:B, 2, FALSE)), ""pets|dogs|cats|animals|pet care|pet lovers""), ""Pets"",
  REGEXMATCH(LOWER(VLOOKUP(A246, Data1_Raw_Slack!A:B, 2, FALSE)), ""games|gaming|game|xbox|playstation|nintendo|gamers""), ""Gaming"",
  REGEXMATCH(LOWER(VLOOKUP(A246, Data1"&amp;"_Raw_Slack!A:B, 2, FALSE)), ""entertainment|movies|tv|netflix|streaming|celebrity|movie lovers|tv fans|hobb|photo|art""), ""Entertainment"",
  REGEXMATCH(LOWER(VLOOKUP(A246, Data1_Raw_Slack!A:B, 2, FALSE)), ""lifestyle|home|interior|decor|living|lifestyle"&amp;" enthusiasts""), ""Lifestyle"",
  REGEXMATCH(LOWER(VLOOKUP(A246, Data1_Raw_Slack!A:B, 2, FALSE)), ""financial|finance|investing|stocks|retirement|banking|credit|debt|loans|savings|personal finance|insurance|econ|ecom|business|retail|occupation|sale|job|ma"&amp;"rketing""), ""Finance"",
  REGEXMATCH(LOWER(VLOOKUP(A246, Data1_Raw_Slack!A:B, 2, FALSE)), ""auto|automotive""), ""Auto"",
  REGEXMATCH(LOWER(VLOOKUP(A246, Data1_Raw_Slack!A:B, 2, FALSE)), ""parenting|moms|dads|kids|toddlers|baby|parent|children""), ""Par"&amp;"enting"",
  REGEXMATCH(LOWER(VLOOKUP(A246, Data1_Raw_Slack!A:B, 2, FALSE)), ""education|students|learning|school|teachers|college|university|academics""), ""Education"",
  REGEXMATCH(LOWER(VLOOKUP(A246, Data1_Raw_Slack!A:B, 2, FALSE)), ""age|gender|dem"&amp;"ographic|family|household""), ""Demographics"",
  REGEXMATCH(LOWER(VLOOKUP(A246, Data1_Raw_Slack!A:B, 2, FALSE)), ""mortgage|real estate""), ""Real Estate"",REGEXMATCH(LOWER(VLOOKUP(A246, Data1_Raw_Slack!A:B, 2, FALSE)), ""technology|tech|gadgets|smartpho"&amp;"ne|electro|apps|devices|computing|ai|robots|software|computer|internet|tele|mobile|tablet""), ""Technology"", REGEXMATCH(LOWER(VLOOKUP(A246, Data1_Raw_Slack!A:B, 2, FALSE)), ""entertainment|purchas|movies|tv|netflix|streaming|celebrity|movie lovers|tv fan"&amp;"s|media|hobb|photo|art|shop""), ""Entertainment"", REGEXMATCH(LOWER(VLOOKUP(A246, Data1_Raw_Slack!A:B, 2, FALSE)), ""law|government|""), ""Law and Government"",
  TRUE, ""Other""
)"),"Fashion and Beauty")</f>
        <v>Fashion and Beauty</v>
      </c>
      <c r="G246" s="9"/>
      <c r="H246" s="9" t="s">
        <v>44</v>
      </c>
      <c r="I246" s="9" t="s">
        <v>206</v>
      </c>
      <c r="J246" s="9" t="s">
        <v>62</v>
      </c>
      <c r="K246" s="9" t="s">
        <v>148</v>
      </c>
      <c r="L246" s="9" t="s">
        <v>89</v>
      </c>
      <c r="M246" s="10" t="s">
        <v>1022</v>
      </c>
      <c r="N246" s="9" t="str">
        <f ca="1">IFERROR(__xludf.DUMMYFUNCTION("REGEXEXTRACT(LOWER(M246), ""([a-z0-9\-]+)\.(?:co|net|org|io|gg)"")"),"greatschools")</f>
        <v>greatschools</v>
      </c>
      <c r="O246" s="9" t="s">
        <v>103</v>
      </c>
      <c r="P246" s="9" t="s">
        <v>64</v>
      </c>
      <c r="Q246" s="9">
        <v>12001</v>
      </c>
      <c r="R246" s="9">
        <v>40</v>
      </c>
      <c r="S246" s="9">
        <v>7173</v>
      </c>
      <c r="T246" s="9">
        <v>11432</v>
      </c>
      <c r="U246" s="9">
        <v>2</v>
      </c>
      <c r="V246" s="11">
        <v>1659.9327129999999</v>
      </c>
      <c r="W246" s="12">
        <f t="shared" si="0"/>
        <v>829.96635649999996</v>
      </c>
      <c r="X246" s="12">
        <f t="shared" si="1"/>
        <v>0.33330555787017752</v>
      </c>
      <c r="Y246" s="12">
        <f t="shared" si="2"/>
        <v>59.770019165069577</v>
      </c>
      <c r="Z246" s="12">
        <f t="shared" si="3"/>
        <v>231.41401268646311</v>
      </c>
      <c r="AA246" s="12">
        <f t="shared" si="4"/>
        <v>138.31619973335555</v>
      </c>
      <c r="AB246" s="12">
        <f t="shared" si="5"/>
        <v>41.498317825000001</v>
      </c>
      <c r="AC246" s="12">
        <f t="shared" si="6"/>
        <v>5</v>
      </c>
      <c r="AE246" s="13"/>
      <c r="AF246" s="13"/>
    </row>
    <row r="247" spans="1:32">
      <c r="A247" s="8" t="s">
        <v>1023</v>
      </c>
      <c r="B247" s="9" t="s">
        <v>41</v>
      </c>
      <c r="C247" s="9" t="s">
        <v>154</v>
      </c>
      <c r="D247" s="9" t="s">
        <v>469</v>
      </c>
      <c r="E247" s="9" t="s">
        <v>1024</v>
      </c>
      <c r="F247" s="9" t="str">
        <f ca="1">IFERROR(__xludf.DUMMYFUNCTION("IFS(
  REGEXMATCH(LOWER(VLOOKUP(A247, Data1_Raw_Slack!A:B, 2, FALSE)), ""news|weather""), ""News and Weather"", REGEXMATCH(LOWER(VLOOKUP(A247, Data1_Raw_Slack!A:B, 2, FALSE)), ""sports|ufc|nba|nfl|mlb|soccer|sports fans""), ""Sports"",
  REGEXMATCH(LOWER("&amp;"VLOOKUP(A247, Data1_Raw_Slack!A:B, 2, FALSE)), ""fashion|style|clothing|apparel|shoes|accessories|beauty|cosmetics|fashionistas""), ""Fashion and Beauty"",
  REGEXMATCH(LOWER(VLOOKUP(A247, Data1_Raw_Slack!A:B, 2, FALSE)), ""food|cooking|recipe|restaurant|"&amp;"snack|grocery|foodies""), ""Food"",
  REGEXMATCH(LOWER(VLOOKUP(A247, Data1_Raw_Slack!A:B, 2, FALSE)), ""travel|vacation|airline|hotel|trip|flights|travelers""), ""Travel"",
  REGEXMATCH(LOWER(VLOOKUP(A247, Data1_Raw_Slack!A:B, 2, FALSE)), ""fitness|workou"&amp;"t|gym|exercise|yoga|wellness|fitness enthusiasts""), ""Fitness"",
  REGEXMATCH(LOWER(VLOOKUP(A247, Data1_Raw_Slack!A:B, 2, FALSE)), ""health|medical|pharmacy|mental health|doctor|health-conscious""), ""Health"",
  REGEXMATCH(LOWER(VLOOKUP(A247, Data1_Raw_"&amp;"Slack!A:B, 2, FALSE)), ""pets|dogs|cats|animals|pet care|pet lovers""), ""Pets"",
  REGEXMATCH(LOWER(VLOOKUP(A247, Data1_Raw_Slack!A:B, 2, FALSE)), ""games|gaming|game|xbox|playstation|nintendo|gamers""), ""Gaming"",
  REGEXMATCH(LOWER(VLOOKUP(A247, Data1"&amp;"_Raw_Slack!A:B, 2, FALSE)), ""entertainment|movies|tv|netflix|streaming|celebrity|movie lovers|tv fans|hobb|photo|art""), ""Entertainment"",
  REGEXMATCH(LOWER(VLOOKUP(A247, Data1_Raw_Slack!A:B, 2, FALSE)), ""lifestyle|home|interior|decor|living|lifestyle"&amp;" enthusiasts""), ""Lifestyle"",
  REGEXMATCH(LOWER(VLOOKUP(A247, Data1_Raw_Slack!A:B, 2, FALSE)), ""financial|finance|investing|stocks|retirement|banking|credit|debt|loans|savings|personal finance|insurance|econ|ecom|business|retail|occupation|sale|job|ma"&amp;"rketing""), ""Finance"",
  REGEXMATCH(LOWER(VLOOKUP(A247, Data1_Raw_Slack!A:B, 2, FALSE)), ""auto|automotive""), ""Auto"",
  REGEXMATCH(LOWER(VLOOKUP(A247, Data1_Raw_Slack!A:B, 2, FALSE)), ""parenting|moms|dads|kids|toddlers|baby|parent|children""), ""Par"&amp;"enting"",
  REGEXMATCH(LOWER(VLOOKUP(A247, Data1_Raw_Slack!A:B, 2, FALSE)), ""education|students|learning|school|teachers|college|university|academics""), ""Education"",
  REGEXMATCH(LOWER(VLOOKUP(A247, Data1_Raw_Slack!A:B, 2, FALSE)), ""age|gender|dem"&amp;"ographic|family|household""), ""Demographics"",
  REGEXMATCH(LOWER(VLOOKUP(A247, Data1_Raw_Slack!A:B, 2, FALSE)), ""mortgage|real estate""), ""Real Estate"",REGEXMATCH(LOWER(VLOOKUP(A247, Data1_Raw_Slack!A:B, 2, FALSE)), ""technology|tech|gadgets|smartpho"&amp;"ne|electro|apps|devices|computing|ai|robots|software|computer|internet|tele|mobile|tablet""), ""Technology"", REGEXMATCH(LOWER(VLOOKUP(A247, Data1_Raw_Slack!A:B, 2, FALSE)), ""entertainment|purchas|movies|tv|netflix|streaming|celebrity|movie lovers|tv fan"&amp;"s|media|hobb|photo|art|shop""), ""Entertainment"", REGEXMATCH(LOWER(VLOOKUP(A247, Data1_Raw_Slack!A:B, 2, FALSE)), ""law|government|""), ""Law and Government"",
  TRUE, ""Other""
)"),"Sports")</f>
        <v>Sports</v>
      </c>
      <c r="G247" s="9" t="s">
        <v>154</v>
      </c>
      <c r="H247" s="9" t="s">
        <v>44</v>
      </c>
      <c r="I247" s="9" t="s">
        <v>314</v>
      </c>
      <c r="J247" s="9" t="s">
        <v>62</v>
      </c>
      <c r="K247" s="9" t="s">
        <v>315</v>
      </c>
      <c r="L247" s="9" t="s">
        <v>36</v>
      </c>
      <c r="M247" s="10" t="s">
        <v>229</v>
      </c>
      <c r="N247" s="9" t="str">
        <f ca="1">IFERROR(__xludf.DUMMYFUNCTION("REGEXEXTRACT(LOWER(M247), ""([a-z0-9\-]+)\.(?:co|net|org|io|gg)"")"),"msn")</f>
        <v>msn</v>
      </c>
      <c r="O247" s="9" t="s">
        <v>118</v>
      </c>
      <c r="P247" s="9" t="s">
        <v>75</v>
      </c>
      <c r="Q247" s="9">
        <v>117518</v>
      </c>
      <c r="R247" s="9">
        <v>299</v>
      </c>
      <c r="S247" s="9">
        <v>66458</v>
      </c>
      <c r="T247" s="9">
        <v>86571</v>
      </c>
      <c r="U247" s="9">
        <v>1</v>
      </c>
      <c r="V247" s="11">
        <v>5999.9937810000001</v>
      </c>
      <c r="W247" s="12">
        <f t="shared" si="0"/>
        <v>5999.9937810000001</v>
      </c>
      <c r="X247" s="12">
        <f t="shared" si="1"/>
        <v>0.25442910873227931</v>
      </c>
      <c r="Y247" s="12">
        <f t="shared" si="2"/>
        <v>56.551336816487684</v>
      </c>
      <c r="Z247" s="12">
        <f t="shared" si="3"/>
        <v>90.282490911553154</v>
      </c>
      <c r="AA247" s="12">
        <f t="shared" si="4"/>
        <v>51.055955521707318</v>
      </c>
      <c r="AB247" s="12">
        <f t="shared" si="5"/>
        <v>20.066868832775921</v>
      </c>
      <c r="AC247" s="12">
        <f t="shared" si="6"/>
        <v>0.33444816053511706</v>
      </c>
      <c r="AE247" s="13"/>
      <c r="AF247" s="13"/>
    </row>
    <row r="248" spans="1:32">
      <c r="A248" s="8" t="s">
        <v>1025</v>
      </c>
      <c r="B248" s="9" t="s">
        <v>41</v>
      </c>
      <c r="C248" s="9" t="s">
        <v>85</v>
      </c>
      <c r="D248" s="9" t="s">
        <v>85</v>
      </c>
      <c r="E248" s="9"/>
      <c r="F248" s="9" t="str">
        <f ca="1">IFERROR(__xludf.DUMMYFUNCTION("IFS(
  REGEXMATCH(LOWER(VLOOKUP(A248, Data1_Raw_Slack!A:B, 2, FALSE)), ""news|weather""), ""News and Weather"", REGEXMATCH(LOWER(VLOOKUP(A248, Data1_Raw_Slack!A:B, 2, FALSE)), ""sports|ufc|nba|nfl|mlb|soccer|sports fans""), ""Sports"",
  REGEXMATCH(LOWER("&amp;"VLOOKUP(A248, Data1_Raw_Slack!A:B, 2, FALSE)), ""fashion|style|clothing|apparel|shoes|accessories|beauty|cosmetics|fashionistas""), ""Fashion and Beauty"",
  REGEXMATCH(LOWER(VLOOKUP(A248, Data1_Raw_Slack!A:B, 2, FALSE)), ""food|cooking|recipe|restaurant|"&amp;"snack|grocery|foodies""), ""Food"",
  REGEXMATCH(LOWER(VLOOKUP(A248, Data1_Raw_Slack!A:B, 2, FALSE)), ""travel|vacation|airline|hotel|trip|flights|travelers""), ""Travel"",
  REGEXMATCH(LOWER(VLOOKUP(A248, Data1_Raw_Slack!A:B, 2, FALSE)), ""fitness|workou"&amp;"t|gym|exercise|yoga|wellness|fitness enthusiasts""), ""Fitness"",
  REGEXMATCH(LOWER(VLOOKUP(A248, Data1_Raw_Slack!A:B, 2, FALSE)), ""health|medical|pharmacy|mental health|doctor|health-conscious""), ""Health"",
  REGEXMATCH(LOWER(VLOOKUP(A248, Data1_Raw_"&amp;"Slack!A:B, 2, FALSE)), ""pets|dogs|cats|animals|pet care|pet lovers""), ""Pets"",
  REGEXMATCH(LOWER(VLOOKUP(A248, Data1_Raw_Slack!A:B, 2, FALSE)), ""games|gaming|game|xbox|playstation|nintendo|gamers""), ""Gaming"",
  REGEXMATCH(LOWER(VLOOKUP(A248, Data1"&amp;"_Raw_Slack!A:B, 2, FALSE)), ""entertainment|movies|tv|netflix|streaming|celebrity|movie lovers|tv fans|hobb|photo|art""), ""Entertainment"",
  REGEXMATCH(LOWER(VLOOKUP(A248, Data1_Raw_Slack!A:B, 2, FALSE)), ""lifestyle|home|interior|decor|living|lifestyle"&amp;" enthusiasts""), ""Lifestyle"",
  REGEXMATCH(LOWER(VLOOKUP(A248, Data1_Raw_Slack!A:B, 2, FALSE)), ""financial|finance|investing|stocks|retirement|banking|credit|debt|loans|savings|personal finance|insurance|econ|ecom|business|retail|occupation|sale|job|ma"&amp;"rketing""), ""Finance"",
  REGEXMATCH(LOWER(VLOOKUP(A248, Data1_Raw_Slack!A:B, 2, FALSE)), ""auto|automotive""), ""Auto"",
  REGEXMATCH(LOWER(VLOOKUP(A248, Data1_Raw_Slack!A:B, 2, FALSE)), ""parenting|moms|dads|kids|toddlers|baby|parent|children""), ""Par"&amp;"enting"",
  REGEXMATCH(LOWER(VLOOKUP(A248, Data1_Raw_Slack!A:B, 2, FALSE)), ""education|students|learning|school|teachers|college|university|academics""), ""Education"",
  REGEXMATCH(LOWER(VLOOKUP(A248, Data1_Raw_Slack!A:B, 2, FALSE)), ""age|gender|dem"&amp;"ographic|family|household""), ""Demographics"",
  REGEXMATCH(LOWER(VLOOKUP(A248, Data1_Raw_Slack!A:B, 2, FALSE)), ""mortgage|real estate""), ""Real Estate"",REGEXMATCH(LOWER(VLOOKUP(A248, Data1_Raw_Slack!A:B, 2, FALSE)), ""technology|tech|gadgets|smartpho"&amp;"ne|electro|apps|devices|computing|ai|robots|software|computer|internet|tele|mobile|tablet""), ""Technology"", REGEXMATCH(LOWER(VLOOKUP(A248, Data1_Raw_Slack!A:B, 2, FALSE)), ""entertainment|purchas|movies|tv|netflix|streaming|celebrity|movie lovers|tv fan"&amp;"s|media|hobb|photo|art|shop""), ""Entertainment"", REGEXMATCH(LOWER(VLOOKUP(A248, Data1_Raw_Slack!A:B, 2, FALSE)), ""law|government|""), ""Law and Government"",
  TRUE, ""Other""
)"),"Travel")</f>
        <v>Travel</v>
      </c>
      <c r="G248" s="9" t="s">
        <v>85</v>
      </c>
      <c r="H248" s="9" t="s">
        <v>123</v>
      </c>
      <c r="I248" s="9" t="s">
        <v>1026</v>
      </c>
      <c r="J248" s="9" t="s">
        <v>80</v>
      </c>
      <c r="K248" s="9" t="s">
        <v>56</v>
      </c>
      <c r="L248" s="9" t="s">
        <v>57</v>
      </c>
      <c r="M248" s="10" t="s">
        <v>1003</v>
      </c>
      <c r="N248" s="9" t="str">
        <f ca="1">IFERROR(__xludf.DUMMYFUNCTION("REGEXEXTRACT(LOWER(M248), ""([a-z0-9\-]+)\.(?:co|net|org|io|gg)"")"),"wikihow")</f>
        <v>wikihow</v>
      </c>
      <c r="O248" s="9" t="s">
        <v>74</v>
      </c>
      <c r="P248" s="9" t="s">
        <v>39</v>
      </c>
      <c r="Q248" s="9">
        <v>11789</v>
      </c>
      <c r="R248" s="9">
        <v>20</v>
      </c>
      <c r="S248" s="9">
        <v>6187</v>
      </c>
      <c r="T248" s="9">
        <v>10028</v>
      </c>
      <c r="U248" s="9">
        <v>3</v>
      </c>
      <c r="V248" s="11">
        <v>6505.5264559999996</v>
      </c>
      <c r="W248" s="12">
        <f t="shared" si="0"/>
        <v>2168.5088186666667</v>
      </c>
      <c r="X248" s="12">
        <f t="shared" si="1"/>
        <v>0.16964967342437867</v>
      </c>
      <c r="Y248" s="12">
        <f t="shared" si="2"/>
        <v>52.481126473831537</v>
      </c>
      <c r="Z248" s="12">
        <f t="shared" si="3"/>
        <v>1051.4831834491677</v>
      </c>
      <c r="AA248" s="12">
        <f t="shared" si="4"/>
        <v>551.83021935702766</v>
      </c>
      <c r="AB248" s="12">
        <f t="shared" si="5"/>
        <v>325.2763228</v>
      </c>
      <c r="AC248" s="12">
        <f t="shared" si="6"/>
        <v>15</v>
      </c>
      <c r="AE248" s="13"/>
      <c r="AF248" s="13"/>
    </row>
    <row r="249" spans="1:32">
      <c r="A249" s="8" t="s">
        <v>1027</v>
      </c>
      <c r="B249" s="9" t="s">
        <v>144</v>
      </c>
      <c r="C249" s="9" t="s">
        <v>1028</v>
      </c>
      <c r="D249" s="9" t="s">
        <v>1029</v>
      </c>
      <c r="E249" s="9"/>
      <c r="F249" s="9" t="str">
        <f ca="1">IFERROR(__xludf.DUMMYFUNCTION("IFS(
  REGEXMATCH(LOWER(VLOOKUP(A249, Data1_Raw_Slack!A:B, 2, FALSE)), ""news|weather""), ""News and Weather"", REGEXMATCH(LOWER(VLOOKUP(A249, Data1_Raw_Slack!A:B, 2, FALSE)), ""sports|ufc|nba|nfl|mlb|soccer|sports fans""), ""Sports"",
  REGEXMATCH(LOWER("&amp;"VLOOKUP(A249, Data1_Raw_Slack!A:B, 2, FALSE)), ""fashion|style|clothing|apparel|shoes|accessories|beauty|cosmetics|fashionistas""), ""Fashion and Beauty"",
  REGEXMATCH(LOWER(VLOOKUP(A249, Data1_Raw_Slack!A:B, 2, FALSE)), ""food|cooking|recipe|restaurant|"&amp;"snack|grocery|foodies""), ""Food"",
  REGEXMATCH(LOWER(VLOOKUP(A249, Data1_Raw_Slack!A:B, 2, FALSE)), ""travel|vacation|airline|hotel|trip|flights|travelers""), ""Travel"",
  REGEXMATCH(LOWER(VLOOKUP(A249, Data1_Raw_Slack!A:B, 2, FALSE)), ""fitness|workou"&amp;"t|gym|exercise|yoga|wellness|fitness enthusiasts""), ""Fitness"",
  REGEXMATCH(LOWER(VLOOKUP(A249, Data1_Raw_Slack!A:B, 2, FALSE)), ""health|medical|pharmacy|mental health|doctor|health-conscious""), ""Health"",
  REGEXMATCH(LOWER(VLOOKUP(A249, Data1_Raw_"&amp;"Slack!A:B, 2, FALSE)), ""pets|dogs|cats|animals|pet care|pet lovers""), ""Pets"",
  REGEXMATCH(LOWER(VLOOKUP(A249, Data1_Raw_Slack!A:B, 2, FALSE)), ""games|gaming|game|xbox|playstation|nintendo|gamers""), ""Gaming"",
  REGEXMATCH(LOWER(VLOOKUP(A249, Data1"&amp;"_Raw_Slack!A:B, 2, FALSE)), ""entertainment|movies|tv|netflix|streaming|celebrity|movie lovers|tv fans|hobb|photo|art""), ""Entertainment"",
  REGEXMATCH(LOWER(VLOOKUP(A249, Data1_Raw_Slack!A:B, 2, FALSE)), ""lifestyle|home|interior|decor|living|lifestyle"&amp;" enthusiasts""), ""Lifestyle"",
  REGEXMATCH(LOWER(VLOOKUP(A249, Data1_Raw_Slack!A:B, 2, FALSE)), ""financial|finance|investing|stocks|retirement|banking|credit|debt|loans|savings|personal finance|insurance|econ|ecom|business|retail|occupation|sale|job|ma"&amp;"rketing""), ""Finance"",
  REGEXMATCH(LOWER(VLOOKUP(A249, Data1_Raw_Slack!A:B, 2, FALSE)), ""auto|automotive""), ""Auto"",
  REGEXMATCH(LOWER(VLOOKUP(A249, Data1_Raw_Slack!A:B, 2, FALSE)), ""parenting|moms|dads|kids|toddlers|baby|parent|children""), ""Par"&amp;"enting"",
  REGEXMATCH(LOWER(VLOOKUP(A249, Data1_Raw_Slack!A:B, 2, FALSE)), ""education|students|learning|school|teachers|college|university|academics""), ""Education"",
  REGEXMATCH(LOWER(VLOOKUP(A249, Data1_Raw_Slack!A:B, 2, FALSE)), ""age|gender|dem"&amp;"ographic|family|household""), ""Demographics"",
  REGEXMATCH(LOWER(VLOOKUP(A249, Data1_Raw_Slack!A:B, 2, FALSE)), ""mortgage|real estate""), ""Real Estate"",REGEXMATCH(LOWER(VLOOKUP(A249, Data1_Raw_Slack!A:B, 2, FALSE)), ""technology|tech|gadgets|smartpho"&amp;"ne|electro|apps|devices|computing|ai|robots|software|computer|internet|tele|mobile|tablet""), ""Technology"", REGEXMATCH(LOWER(VLOOKUP(A249, Data1_Raw_Slack!A:B, 2, FALSE)), ""entertainment|purchas|movies|tv|netflix|streaming|celebrity|movie lovers|tv fan"&amp;"s|media|hobb|photo|art|shop""), ""Entertainment"", REGEXMATCH(LOWER(VLOOKUP(A249, Data1_Raw_Slack!A:B, 2, FALSE)), ""law|government|""), ""Law and Government"",
  TRUE, ""Other""
)"),"Gaming")</f>
        <v>Gaming</v>
      </c>
      <c r="G249" s="9" t="s">
        <v>135</v>
      </c>
      <c r="H249" s="9" t="s">
        <v>44</v>
      </c>
      <c r="I249" s="9" t="s">
        <v>1030</v>
      </c>
      <c r="J249" s="9" t="s">
        <v>46</v>
      </c>
      <c r="K249" s="9" t="s">
        <v>88</v>
      </c>
      <c r="L249" s="9" t="s">
        <v>89</v>
      </c>
      <c r="M249" s="10" t="s">
        <v>1031</v>
      </c>
      <c r="N249" s="9" t="str">
        <f ca="1">IFERROR(__xludf.DUMMYFUNCTION("REGEXEXTRACT(LOWER(M249), ""([a-z0-9\-]+)\.(?:co|net|org|io|gg)"")"),"activebeat")</f>
        <v>activebeat</v>
      </c>
      <c r="O249" s="9" t="s">
        <v>50</v>
      </c>
      <c r="P249" s="9" t="s">
        <v>75</v>
      </c>
      <c r="Q249" s="9">
        <v>76439</v>
      </c>
      <c r="R249" s="9">
        <v>100</v>
      </c>
      <c r="S249" s="9">
        <v>58269</v>
      </c>
      <c r="T249" s="9">
        <v>66924</v>
      </c>
      <c r="U249" s="9">
        <v>8</v>
      </c>
      <c r="V249" s="11">
        <v>1524.8102240000001</v>
      </c>
      <c r="W249" s="12">
        <f t="shared" si="0"/>
        <v>190.60127800000001</v>
      </c>
      <c r="X249" s="12">
        <f t="shared" si="1"/>
        <v>0.13082327084341763</v>
      </c>
      <c r="Y249" s="12">
        <f t="shared" si="2"/>
        <v>76.229411687751011</v>
      </c>
      <c r="Z249" s="12">
        <f t="shared" si="3"/>
        <v>26.168463917348848</v>
      </c>
      <c r="AA249" s="12">
        <f t="shared" si="4"/>
        <v>19.948066091916431</v>
      </c>
      <c r="AB249" s="12">
        <f t="shared" si="5"/>
        <v>15.248102240000001</v>
      </c>
      <c r="AC249" s="12">
        <f t="shared" si="6"/>
        <v>8</v>
      </c>
      <c r="AE249" s="13"/>
      <c r="AF249" s="13"/>
    </row>
    <row r="250" spans="1:32">
      <c r="A250" s="8" t="s">
        <v>1032</v>
      </c>
      <c r="B250" s="9" t="s">
        <v>41</v>
      </c>
      <c r="C250" s="9" t="s">
        <v>996</v>
      </c>
      <c r="D250" s="9" t="s">
        <v>1033</v>
      </c>
      <c r="E250" s="9"/>
      <c r="F250" s="9" t="str">
        <f ca="1">IFERROR(__xludf.DUMMYFUNCTION("IFS(
  REGEXMATCH(LOWER(VLOOKUP(A250, Data1_Raw_Slack!A:B, 2, FALSE)), ""news|weather""), ""News and Weather"", REGEXMATCH(LOWER(VLOOKUP(A250, Data1_Raw_Slack!A:B, 2, FALSE)), ""sports|ufc|nba|nfl|mlb|soccer|sports fans""), ""Sports"",
  REGEXMATCH(LOWER("&amp;"VLOOKUP(A250, Data1_Raw_Slack!A:B, 2, FALSE)), ""fashion|style|clothing|apparel|shoes|accessories|beauty|cosmetics|fashionistas""), ""Fashion and Beauty"",
  REGEXMATCH(LOWER(VLOOKUP(A250, Data1_Raw_Slack!A:B, 2, FALSE)), ""food|cooking|recipe|restaurant|"&amp;"snack|grocery|foodies""), ""Food"",
  REGEXMATCH(LOWER(VLOOKUP(A250, Data1_Raw_Slack!A:B, 2, FALSE)), ""travel|vacation|airline|hotel|trip|flights|travelers""), ""Travel"",
  REGEXMATCH(LOWER(VLOOKUP(A250, Data1_Raw_Slack!A:B, 2, FALSE)), ""fitness|workou"&amp;"t|gym|exercise|yoga|wellness|fitness enthusiasts""), ""Fitness"",
  REGEXMATCH(LOWER(VLOOKUP(A250, Data1_Raw_Slack!A:B, 2, FALSE)), ""health|medical|pharmacy|mental health|doctor|health-conscious""), ""Health"",
  REGEXMATCH(LOWER(VLOOKUP(A250, Data1_Raw_"&amp;"Slack!A:B, 2, FALSE)), ""pets|dogs|cats|animals|pet care|pet lovers""), ""Pets"",
  REGEXMATCH(LOWER(VLOOKUP(A250, Data1_Raw_Slack!A:B, 2, FALSE)), ""games|gaming|game|xbox|playstation|nintendo|gamers""), ""Gaming"",
  REGEXMATCH(LOWER(VLOOKUP(A250, Data1"&amp;"_Raw_Slack!A:B, 2, FALSE)), ""entertainment|movies|tv|netflix|streaming|celebrity|movie lovers|tv fans|hobb|photo|art""), ""Entertainment"",
  REGEXMATCH(LOWER(VLOOKUP(A250, Data1_Raw_Slack!A:B, 2, FALSE)), ""lifestyle|home|interior|decor|living|lifestyle"&amp;" enthusiasts""), ""Lifestyle"",
  REGEXMATCH(LOWER(VLOOKUP(A250, Data1_Raw_Slack!A:B, 2, FALSE)), ""financial|finance|investing|stocks|retirement|banking|credit|debt|loans|savings|personal finance|insurance|econ|ecom|business|retail|occupation|sale|job|ma"&amp;"rketing""), ""Finance"",
  REGEXMATCH(LOWER(VLOOKUP(A250, Data1_Raw_Slack!A:B, 2, FALSE)), ""auto|automotive""), ""Auto"",
  REGEXMATCH(LOWER(VLOOKUP(A250, Data1_Raw_Slack!A:B, 2, FALSE)), ""parenting|moms|dads|kids|toddlers|baby|parent|children""), ""Par"&amp;"enting"",
  REGEXMATCH(LOWER(VLOOKUP(A250, Data1_Raw_Slack!A:B, 2, FALSE)), ""education|students|learning|school|teachers|college|university|academics""), ""Education"",
  REGEXMATCH(LOWER(VLOOKUP(A250, Data1_Raw_Slack!A:B, 2, FALSE)), ""age|gender|dem"&amp;"ographic|family|household""), ""Demographics"",
  REGEXMATCH(LOWER(VLOOKUP(A250, Data1_Raw_Slack!A:B, 2, FALSE)), ""mortgage|real estate""), ""Real Estate"",REGEXMATCH(LOWER(VLOOKUP(A250, Data1_Raw_Slack!A:B, 2, FALSE)), ""technology|tech|gadgets|smartpho"&amp;"ne|electro|apps|devices|computing|ai|robots|software|computer|internet|tele|mobile|tablet""), ""Technology"", REGEXMATCH(LOWER(VLOOKUP(A250, Data1_Raw_Slack!A:B, 2, FALSE)), ""entertainment|purchas|movies|tv|netflix|streaming|celebrity|movie lovers|tv fan"&amp;"s|media|hobb|photo|art|shop""), ""Entertainment"", REGEXMATCH(LOWER(VLOOKUP(A250, Data1_Raw_Slack!A:B, 2, FALSE)), ""law|government|""), ""Law and Government"",
  TRUE, ""Other""
)"),"Lifestyle")</f>
        <v>Lifestyle</v>
      </c>
      <c r="G250" s="9"/>
      <c r="H250" s="9" t="s">
        <v>44</v>
      </c>
      <c r="I250" s="9" t="s">
        <v>1034</v>
      </c>
      <c r="J250" s="9" t="s">
        <v>62</v>
      </c>
      <c r="K250" s="9" t="s">
        <v>148</v>
      </c>
      <c r="L250" s="9" t="s">
        <v>89</v>
      </c>
      <c r="M250" s="10" t="s">
        <v>1035</v>
      </c>
      <c r="N250" s="9" t="str">
        <f ca="1">IFERROR(__xludf.DUMMYFUNCTION("REGEXEXTRACT(LOWER(M250), ""([a-z0-9\-]+)\.(?:co|net|org|io|gg)"")"),"dailymail")</f>
        <v>dailymail</v>
      </c>
      <c r="O250" s="9" t="s">
        <v>50</v>
      </c>
      <c r="P250" s="9" t="s">
        <v>39</v>
      </c>
      <c r="Q250" s="9">
        <v>7921</v>
      </c>
      <c r="R250" s="9">
        <v>50</v>
      </c>
      <c r="S250" s="9">
        <v>4727</v>
      </c>
      <c r="T250" s="9">
        <v>6513</v>
      </c>
      <c r="U250" s="9">
        <v>11</v>
      </c>
      <c r="V250" s="11">
        <v>5379.00144</v>
      </c>
      <c r="W250" s="12">
        <f t="shared" si="0"/>
        <v>489.0001309090909</v>
      </c>
      <c r="X250" s="12">
        <f t="shared" si="1"/>
        <v>0.63123343012245936</v>
      </c>
      <c r="Y250" s="12">
        <f t="shared" si="2"/>
        <v>59.6768084837773</v>
      </c>
      <c r="Z250" s="12">
        <f t="shared" si="3"/>
        <v>1137.9313391157182</v>
      </c>
      <c r="AA250" s="12">
        <f t="shared" si="4"/>
        <v>679.08110592096955</v>
      </c>
      <c r="AB250" s="12">
        <f t="shared" si="5"/>
        <v>107.58002879999999</v>
      </c>
      <c r="AC250" s="12">
        <f t="shared" si="6"/>
        <v>22</v>
      </c>
      <c r="AE250" s="13"/>
      <c r="AF250" s="13"/>
    </row>
    <row r="251" spans="1:32">
      <c r="A251" s="8" t="s">
        <v>1036</v>
      </c>
      <c r="B251" s="9" t="s">
        <v>41</v>
      </c>
      <c r="C251" s="9" t="s">
        <v>85</v>
      </c>
      <c r="D251" s="9" t="s">
        <v>1037</v>
      </c>
      <c r="E251" s="9"/>
      <c r="F251" s="9" t="str">
        <f ca="1">IFERROR(__xludf.DUMMYFUNCTION("IFS(
  REGEXMATCH(LOWER(VLOOKUP(A251, Data1_Raw_Slack!A:B, 2, FALSE)), ""news|weather""), ""News and Weather"", REGEXMATCH(LOWER(VLOOKUP(A251, Data1_Raw_Slack!A:B, 2, FALSE)), ""sports|ufc|nba|nfl|mlb|soccer|sports fans""), ""Sports"",
  REGEXMATCH(LOWER("&amp;"VLOOKUP(A251, Data1_Raw_Slack!A:B, 2, FALSE)), ""fashion|style|clothing|apparel|shoes|accessories|beauty|cosmetics|fashionistas""), ""Fashion and Beauty"",
  REGEXMATCH(LOWER(VLOOKUP(A251, Data1_Raw_Slack!A:B, 2, FALSE)), ""food|cooking|recipe|restaurant|"&amp;"snack|grocery|foodies""), ""Food"",
  REGEXMATCH(LOWER(VLOOKUP(A251, Data1_Raw_Slack!A:B, 2, FALSE)), ""travel|vacation|airline|hotel|trip|flights|travelers""), ""Travel"",
  REGEXMATCH(LOWER(VLOOKUP(A251, Data1_Raw_Slack!A:B, 2, FALSE)), ""fitness|workou"&amp;"t|gym|exercise|yoga|wellness|fitness enthusiasts""), ""Fitness"",
  REGEXMATCH(LOWER(VLOOKUP(A251, Data1_Raw_Slack!A:B, 2, FALSE)), ""health|medical|pharmacy|mental health|doctor|health-conscious""), ""Health"",
  REGEXMATCH(LOWER(VLOOKUP(A251, Data1_Raw_"&amp;"Slack!A:B, 2, FALSE)), ""pets|dogs|cats|animals|pet care|pet lovers""), ""Pets"",
  REGEXMATCH(LOWER(VLOOKUP(A251, Data1_Raw_Slack!A:B, 2, FALSE)), ""games|gaming|game|xbox|playstation|nintendo|gamers""), ""Gaming"",
  REGEXMATCH(LOWER(VLOOKUP(A251, Data1"&amp;"_Raw_Slack!A:B, 2, FALSE)), ""entertainment|movies|tv|netflix|streaming|celebrity|movie lovers|tv fans|hobb|photo|art""), ""Entertainment"",
  REGEXMATCH(LOWER(VLOOKUP(A251, Data1_Raw_Slack!A:B, 2, FALSE)), ""lifestyle|home|interior|decor|living|lifestyle"&amp;" enthusiasts""), ""Lifestyle"",
  REGEXMATCH(LOWER(VLOOKUP(A251, Data1_Raw_Slack!A:B, 2, FALSE)), ""financial|finance|investing|stocks|retirement|banking|credit|debt|loans|savings|personal finance|insurance|econ|ecom|business|retail|occupation|sale|job|ma"&amp;"rketing""), ""Finance"",
  REGEXMATCH(LOWER(VLOOKUP(A251, Data1_Raw_Slack!A:B, 2, FALSE)), ""auto|automotive""), ""Auto"",
  REGEXMATCH(LOWER(VLOOKUP(A251, Data1_Raw_Slack!A:B, 2, FALSE)), ""parenting|moms|dads|kids|toddlers|baby|parent|children""), ""Par"&amp;"enting"",
  REGEXMATCH(LOWER(VLOOKUP(A251, Data1_Raw_Slack!A:B, 2, FALSE)), ""education|students|learning|school|teachers|college|university|academics""), ""Education"",
  REGEXMATCH(LOWER(VLOOKUP(A251, Data1_Raw_Slack!A:B, 2, FALSE)), ""age|gender|dem"&amp;"ographic|family|household""), ""Demographics"",
  REGEXMATCH(LOWER(VLOOKUP(A251, Data1_Raw_Slack!A:B, 2, FALSE)), ""mortgage|real estate""), ""Real Estate"",REGEXMATCH(LOWER(VLOOKUP(A251, Data1_Raw_Slack!A:B, 2, FALSE)), ""technology|tech|gadgets|smartpho"&amp;"ne|electro|apps|devices|computing|ai|robots|software|computer|internet|tele|mobile|tablet""), ""Technology"", REGEXMATCH(LOWER(VLOOKUP(A251, Data1_Raw_Slack!A:B, 2, FALSE)), ""entertainment|purchas|movies|tv|netflix|streaming|celebrity|movie lovers|tv fan"&amp;"s|media|hobb|photo|art|shop""), ""Entertainment"", REGEXMATCH(LOWER(VLOOKUP(A251, Data1_Raw_Slack!A:B, 2, FALSE)), ""law|government|""), ""Law and Government"",
  TRUE, ""Other""
)"),"Travel")</f>
        <v>Travel</v>
      </c>
      <c r="G251" s="9" t="s">
        <v>85</v>
      </c>
      <c r="H251" s="9" t="s">
        <v>123</v>
      </c>
      <c r="I251" s="9" t="s">
        <v>1038</v>
      </c>
      <c r="J251" s="9" t="s">
        <v>46</v>
      </c>
      <c r="K251" s="9" t="s">
        <v>142</v>
      </c>
      <c r="L251" s="9" t="s">
        <v>72</v>
      </c>
      <c r="M251" s="10" t="s">
        <v>668</v>
      </c>
      <c r="N251" s="9" t="str">
        <f ca="1">IFERROR(__xludf.DUMMYFUNCTION("REGEXEXTRACT(LOWER(M251), ""([a-z0-9\-]+)\.(?:co|net|org|io|gg)"")"),"slickdeals")</f>
        <v>slickdeals</v>
      </c>
      <c r="O251" s="9" t="s">
        <v>74</v>
      </c>
      <c r="P251" s="9" t="s">
        <v>39</v>
      </c>
      <c r="Q251" s="9">
        <v>46190</v>
      </c>
      <c r="R251" s="9">
        <v>130</v>
      </c>
      <c r="S251" s="9">
        <v>8618</v>
      </c>
      <c r="T251" s="9">
        <v>41618</v>
      </c>
      <c r="U251" s="9">
        <v>1</v>
      </c>
      <c r="V251" s="11">
        <v>5464.1098169999996</v>
      </c>
      <c r="W251" s="12">
        <f t="shared" si="0"/>
        <v>5464.1098169999996</v>
      </c>
      <c r="X251" s="12">
        <f t="shared" si="1"/>
        <v>0.28144620047629354</v>
      </c>
      <c r="Y251" s="12">
        <f t="shared" si="2"/>
        <v>18.65771812080537</v>
      </c>
      <c r="Z251" s="12">
        <f t="shared" si="3"/>
        <v>634.0345575539568</v>
      </c>
      <c r="AA251" s="12">
        <f t="shared" si="4"/>
        <v>118.29638053691275</v>
      </c>
      <c r="AB251" s="12">
        <f t="shared" si="5"/>
        <v>42.031613976923076</v>
      </c>
      <c r="AC251" s="12">
        <f t="shared" si="6"/>
        <v>0.76923076923076927</v>
      </c>
      <c r="AE251" s="13"/>
      <c r="AF251" s="13"/>
    </row>
    <row r="252" spans="1:32">
      <c r="A252" s="8" t="s">
        <v>1039</v>
      </c>
      <c r="B252" s="9" t="s">
        <v>768</v>
      </c>
      <c r="C252" s="9" t="s">
        <v>769</v>
      </c>
      <c r="D252" s="9" t="s">
        <v>770</v>
      </c>
      <c r="E252" s="9" t="s">
        <v>1040</v>
      </c>
      <c r="F252" s="9" t="str">
        <f ca="1">IFERROR(__xludf.DUMMYFUNCTION("IFS(
  REGEXMATCH(LOWER(VLOOKUP(A252, Data1_Raw_Slack!A:B, 2, FALSE)), ""news|weather""), ""News and Weather"", REGEXMATCH(LOWER(VLOOKUP(A252, Data1_Raw_Slack!A:B, 2, FALSE)), ""sports|ufc|nba|nfl|mlb|soccer|sports fans""), ""Sports"",
  REGEXMATCH(LOWER("&amp;"VLOOKUP(A252, Data1_Raw_Slack!A:B, 2, FALSE)), ""fashion|style|clothing|apparel|shoes|accessories|beauty|cosmetics|fashionistas""), ""Fashion and Beauty"",
  REGEXMATCH(LOWER(VLOOKUP(A252, Data1_Raw_Slack!A:B, 2, FALSE)), ""food|cooking|recipe|restaurant|"&amp;"snack|grocery|foodies""), ""Food"",
  REGEXMATCH(LOWER(VLOOKUP(A252, Data1_Raw_Slack!A:B, 2, FALSE)), ""travel|vacation|airline|hotel|trip|flights|travelers""), ""Travel"",
  REGEXMATCH(LOWER(VLOOKUP(A252, Data1_Raw_Slack!A:B, 2, FALSE)), ""fitness|workou"&amp;"t|gym|exercise|yoga|wellness|fitness enthusiasts""), ""Fitness"",
  REGEXMATCH(LOWER(VLOOKUP(A252, Data1_Raw_Slack!A:B, 2, FALSE)), ""health|medical|pharmacy|mental health|doctor|health-conscious""), ""Health"",
  REGEXMATCH(LOWER(VLOOKUP(A252, Data1_Raw_"&amp;"Slack!A:B, 2, FALSE)), ""pets|dogs|cats|animals|pet care|pet lovers""), ""Pets"",
  REGEXMATCH(LOWER(VLOOKUP(A252, Data1_Raw_Slack!A:B, 2, FALSE)), ""games|gaming|game|xbox|playstation|nintendo|gamers""), ""Gaming"",
  REGEXMATCH(LOWER(VLOOKUP(A252, Data1"&amp;"_Raw_Slack!A:B, 2, FALSE)), ""entertainment|movies|tv|netflix|streaming|celebrity|movie lovers|tv fans|hobb|photo|art""), ""Entertainment"",
  REGEXMATCH(LOWER(VLOOKUP(A252, Data1_Raw_Slack!A:B, 2, FALSE)), ""lifestyle|home|interior|decor|living|lifestyle"&amp;" enthusiasts""), ""Lifestyle"",
  REGEXMATCH(LOWER(VLOOKUP(A252, Data1_Raw_Slack!A:B, 2, FALSE)), ""financial|finance|investing|stocks|retirement|banking|credit|debt|loans|savings|personal finance|insurance|econ|ecom|business|retail|occupation|sale|job|ma"&amp;"rketing""), ""Finance"",
  REGEXMATCH(LOWER(VLOOKUP(A252, Data1_Raw_Slack!A:B, 2, FALSE)), ""auto|automotive""), ""Auto"",
  REGEXMATCH(LOWER(VLOOKUP(A252, Data1_Raw_Slack!A:B, 2, FALSE)), ""parenting|moms|dads|kids|toddlers|baby|parent|children""), ""Par"&amp;"enting"",
  REGEXMATCH(LOWER(VLOOKUP(A252, Data1_Raw_Slack!A:B, 2, FALSE)), ""education|students|learning|school|teachers|college|university|academics""), ""Education"",
  REGEXMATCH(LOWER(VLOOKUP(A252, Data1_Raw_Slack!A:B, 2, FALSE)), ""age|gender|dem"&amp;"ographic|family|household""), ""Demographics"",
  REGEXMATCH(LOWER(VLOOKUP(A252, Data1_Raw_Slack!A:B, 2, FALSE)), ""mortgage|real estate""), ""Real Estate"",REGEXMATCH(LOWER(VLOOKUP(A252, Data1_Raw_Slack!A:B, 2, FALSE)), ""technology|tech|gadgets|smartpho"&amp;"ne|electro|apps|devices|computing|ai|robots|software|computer|internet|tele|mobile|tablet""), ""Technology"", REGEXMATCH(LOWER(VLOOKUP(A252, Data1_Raw_Slack!A:B, 2, FALSE)), ""entertainment|purchas|movies|tv|netflix|streaming|celebrity|movie lovers|tv fan"&amp;"s|media|hobb|photo|art|shop""), ""Entertainment"", REGEXMATCH(LOWER(VLOOKUP(A252, Data1_Raw_Slack!A:B, 2, FALSE)), ""law|government|""), ""Law and Government"",
  TRUE, ""Other""
)"),"Food")</f>
        <v>Food</v>
      </c>
      <c r="G252" s="9" t="s">
        <v>385</v>
      </c>
      <c r="H252" s="9" t="s">
        <v>32</v>
      </c>
      <c r="I252" s="9" t="s">
        <v>1041</v>
      </c>
      <c r="J252" s="9" t="s">
        <v>46</v>
      </c>
      <c r="K252" s="9" t="s">
        <v>170</v>
      </c>
      <c r="L252" s="9" t="s">
        <v>72</v>
      </c>
      <c r="M252" s="10" t="s">
        <v>1042</v>
      </c>
      <c r="N252" s="9" t="str">
        <f ca="1">IFERROR(__xludf.DUMMYFUNCTION("REGEXEXTRACT(LOWER(M252), ""([a-z0-9\-]+)\.(?:co|net|org|io|gg)"")"),"mapquest")</f>
        <v>mapquest</v>
      </c>
      <c r="O252" s="9" t="s">
        <v>186</v>
      </c>
      <c r="P252" s="9" t="s">
        <v>39</v>
      </c>
      <c r="Q252" s="9">
        <v>21903</v>
      </c>
      <c r="R252" s="9">
        <v>124</v>
      </c>
      <c r="S252" s="9">
        <v>18831</v>
      </c>
      <c r="T252" s="9">
        <v>20922</v>
      </c>
      <c r="U252" s="9">
        <v>4</v>
      </c>
      <c r="V252" s="11">
        <v>1661.167909</v>
      </c>
      <c r="W252" s="12">
        <f t="shared" si="0"/>
        <v>415.29197725</v>
      </c>
      <c r="X252" s="12">
        <f t="shared" si="1"/>
        <v>0.56613249326576276</v>
      </c>
      <c r="Y252" s="12">
        <f t="shared" si="2"/>
        <v>85.97452403780305</v>
      </c>
      <c r="Z252" s="12">
        <f t="shared" si="3"/>
        <v>88.214535022038135</v>
      </c>
      <c r="AA252" s="12">
        <f t="shared" si="4"/>
        <v>75.842026617358357</v>
      </c>
      <c r="AB252" s="12">
        <f t="shared" si="5"/>
        <v>13.396515395161291</v>
      </c>
      <c r="AC252" s="12">
        <f t="shared" si="6"/>
        <v>3.225806451612903</v>
      </c>
      <c r="AE252" s="13"/>
      <c r="AF252" s="13"/>
    </row>
    <row r="253" spans="1:32">
      <c r="A253" s="8" t="s">
        <v>1043</v>
      </c>
      <c r="B253" s="9" t="s">
        <v>41</v>
      </c>
      <c r="C253" s="9" t="s">
        <v>200</v>
      </c>
      <c r="D253" s="9" t="s">
        <v>1044</v>
      </c>
      <c r="E253" s="9"/>
      <c r="F253" s="9" t="str">
        <f ca="1">IFERROR(__xludf.DUMMYFUNCTION("IFS(
  REGEXMATCH(LOWER(VLOOKUP(A253, Data1_Raw_Slack!A:B, 2, FALSE)), ""news|weather""), ""News and Weather"", REGEXMATCH(LOWER(VLOOKUP(A253, Data1_Raw_Slack!A:B, 2, FALSE)), ""sports|ufc|nba|nfl|mlb|soccer|sports fans""), ""Sports"",
  REGEXMATCH(LOWER("&amp;"VLOOKUP(A253, Data1_Raw_Slack!A:B, 2, FALSE)), ""fashion|style|clothing|apparel|shoes|accessories|beauty|cosmetics|fashionistas""), ""Fashion and Beauty"",
  REGEXMATCH(LOWER(VLOOKUP(A253, Data1_Raw_Slack!A:B, 2, FALSE)), ""food|cooking|recipe|restaurant|"&amp;"snack|grocery|foodies""), ""Food"",
  REGEXMATCH(LOWER(VLOOKUP(A253, Data1_Raw_Slack!A:B, 2, FALSE)), ""travel|vacation|airline|hotel|trip|flights|travelers""), ""Travel"",
  REGEXMATCH(LOWER(VLOOKUP(A253, Data1_Raw_Slack!A:B, 2, FALSE)), ""fitness|workou"&amp;"t|gym|exercise|yoga|wellness|fitness enthusiasts""), ""Fitness"",
  REGEXMATCH(LOWER(VLOOKUP(A253, Data1_Raw_Slack!A:B, 2, FALSE)), ""health|medical|pharmacy|mental health|doctor|health-conscious""), ""Health"",
  REGEXMATCH(LOWER(VLOOKUP(A253, Data1_Raw_"&amp;"Slack!A:B, 2, FALSE)), ""pets|dogs|cats|animals|pet care|pet lovers""), ""Pets"",
  REGEXMATCH(LOWER(VLOOKUP(A253, Data1_Raw_Slack!A:B, 2, FALSE)), ""games|gaming|game|xbox|playstation|nintendo|gamers""), ""Gaming"",
  REGEXMATCH(LOWER(VLOOKUP(A253, Data1"&amp;"_Raw_Slack!A:B, 2, FALSE)), ""entertainment|movies|tv|netflix|streaming|celebrity|movie lovers|tv fans|hobb|photo|art""), ""Entertainment"",
  REGEXMATCH(LOWER(VLOOKUP(A253, Data1_Raw_Slack!A:B, 2, FALSE)), ""lifestyle|home|interior|decor|living|lifestyle"&amp;" enthusiasts""), ""Lifestyle"",
  REGEXMATCH(LOWER(VLOOKUP(A253, Data1_Raw_Slack!A:B, 2, FALSE)), ""financial|finance|investing|stocks|retirement|banking|credit|debt|loans|savings|personal finance|insurance|econ|ecom|business|retail|occupation|sale|job|ma"&amp;"rketing""), ""Finance"",
  REGEXMATCH(LOWER(VLOOKUP(A253, Data1_Raw_Slack!A:B, 2, FALSE)), ""auto|automotive""), ""Auto"",
  REGEXMATCH(LOWER(VLOOKUP(A253, Data1_Raw_Slack!A:B, 2, FALSE)), ""parenting|moms|dads|kids|toddlers|baby|parent|children""), ""Par"&amp;"enting"",
  REGEXMATCH(LOWER(VLOOKUP(A253, Data1_Raw_Slack!A:B, 2, FALSE)), ""education|students|learning|school|teachers|college|university|academics""), ""Education"",
  REGEXMATCH(LOWER(VLOOKUP(A253, Data1_Raw_Slack!A:B, 2, FALSE)), ""age|gender|dem"&amp;"ographic|family|household""), ""Demographics"",
  REGEXMATCH(LOWER(VLOOKUP(A253, Data1_Raw_Slack!A:B, 2, FALSE)), ""mortgage|real estate""), ""Real Estate"",REGEXMATCH(LOWER(VLOOKUP(A253, Data1_Raw_Slack!A:B, 2, FALSE)), ""technology|tech|gadgets|smartpho"&amp;"ne|electro|apps|devices|computing|ai|robots|software|computer|internet|tele|mobile|tablet""), ""Technology"", REGEXMATCH(LOWER(VLOOKUP(A253, Data1_Raw_Slack!A:B, 2, FALSE)), ""entertainment|purchas|movies|tv|netflix|streaming|celebrity|movie lovers|tv fan"&amp;"s|media|hobb|photo|art|shop""), ""Entertainment"", REGEXMATCH(LOWER(VLOOKUP(A253, Data1_Raw_Slack!A:B, 2, FALSE)), ""law|government|""), ""Law and Government"",
  TRUE, ""Other""
)"),"Entertainment")</f>
        <v>Entertainment</v>
      </c>
      <c r="G253" s="9" t="s">
        <v>200</v>
      </c>
      <c r="H253" s="9" t="s">
        <v>32</v>
      </c>
      <c r="I253" s="9" t="s">
        <v>1045</v>
      </c>
      <c r="J253" s="9" t="s">
        <v>34</v>
      </c>
      <c r="K253" s="9" t="s">
        <v>56</v>
      </c>
      <c r="L253" s="9" t="s">
        <v>57</v>
      </c>
      <c r="M253" s="10" t="s">
        <v>418</v>
      </c>
      <c r="N253" s="9" t="str">
        <f ca="1">IFERROR(__xludf.DUMMYFUNCTION("REGEXEXTRACT(LOWER(M253), ""([a-z0-9\-]+)\.(?:co|net|org|io|gg)"")"),"cbssports")</f>
        <v>cbssports</v>
      </c>
      <c r="O253" s="9" t="s">
        <v>50</v>
      </c>
      <c r="P253" s="9" t="s">
        <v>39</v>
      </c>
      <c r="Q253" s="9">
        <v>9515</v>
      </c>
      <c r="R253" s="9">
        <v>30</v>
      </c>
      <c r="S253" s="9">
        <v>6169</v>
      </c>
      <c r="T253" s="9">
        <v>9138</v>
      </c>
      <c r="U253" s="9">
        <v>3</v>
      </c>
      <c r="V253" s="11">
        <v>5776.508186</v>
      </c>
      <c r="W253" s="12">
        <f t="shared" si="0"/>
        <v>1925.5027286666666</v>
      </c>
      <c r="X253" s="12">
        <f t="shared" si="1"/>
        <v>0.31529164477141358</v>
      </c>
      <c r="Y253" s="12">
        <f t="shared" si="2"/>
        <v>64.83447188649501</v>
      </c>
      <c r="Z253" s="12">
        <f t="shared" si="3"/>
        <v>936.37675247203765</v>
      </c>
      <c r="AA253" s="12">
        <f t="shared" si="4"/>
        <v>607.09492233315825</v>
      </c>
      <c r="AB253" s="12">
        <f t="shared" si="5"/>
        <v>192.55027286666666</v>
      </c>
      <c r="AC253" s="12">
        <f t="shared" si="6"/>
        <v>10</v>
      </c>
      <c r="AE253" s="13"/>
      <c r="AF253" s="13"/>
    </row>
    <row r="254" spans="1:32">
      <c r="A254" s="8" t="s">
        <v>1046</v>
      </c>
      <c r="B254" s="9" t="s">
        <v>41</v>
      </c>
      <c r="C254" s="9" t="s">
        <v>85</v>
      </c>
      <c r="D254" s="9" t="s">
        <v>1047</v>
      </c>
      <c r="E254" s="9" t="s">
        <v>1048</v>
      </c>
      <c r="F254" s="9" t="str">
        <f ca="1">IFERROR(__xludf.DUMMYFUNCTION("IFS(
  REGEXMATCH(LOWER(VLOOKUP(A254, Data1_Raw_Slack!A:B, 2, FALSE)), ""news|weather""), ""News and Weather"", REGEXMATCH(LOWER(VLOOKUP(A254, Data1_Raw_Slack!A:B, 2, FALSE)), ""sports|ufc|nba|nfl|mlb|soccer|sports fans""), ""Sports"",
  REGEXMATCH(LOWER("&amp;"VLOOKUP(A254, Data1_Raw_Slack!A:B, 2, FALSE)), ""fashion|style|clothing|apparel|shoes|accessories|beauty|cosmetics|fashionistas""), ""Fashion and Beauty"",
  REGEXMATCH(LOWER(VLOOKUP(A254, Data1_Raw_Slack!A:B, 2, FALSE)), ""food|cooking|recipe|restaurant|"&amp;"snack|grocery|foodies""), ""Food"",
  REGEXMATCH(LOWER(VLOOKUP(A254, Data1_Raw_Slack!A:B, 2, FALSE)), ""travel|vacation|airline|hotel|trip|flights|travelers""), ""Travel"",
  REGEXMATCH(LOWER(VLOOKUP(A254, Data1_Raw_Slack!A:B, 2, FALSE)), ""fitness|workou"&amp;"t|gym|exercise|yoga|wellness|fitness enthusiasts""), ""Fitness"",
  REGEXMATCH(LOWER(VLOOKUP(A254, Data1_Raw_Slack!A:B, 2, FALSE)), ""health|medical|pharmacy|mental health|doctor|health-conscious""), ""Health"",
  REGEXMATCH(LOWER(VLOOKUP(A254, Data1_Raw_"&amp;"Slack!A:B, 2, FALSE)), ""pets|dogs|cats|animals|pet care|pet lovers""), ""Pets"",
  REGEXMATCH(LOWER(VLOOKUP(A254, Data1_Raw_Slack!A:B, 2, FALSE)), ""games|gaming|game|xbox|playstation|nintendo|gamers""), ""Gaming"",
  REGEXMATCH(LOWER(VLOOKUP(A254, Data1"&amp;"_Raw_Slack!A:B, 2, FALSE)), ""entertainment|movies|tv|netflix|streaming|celebrity|movie lovers|tv fans|hobb|photo|art""), ""Entertainment"",
  REGEXMATCH(LOWER(VLOOKUP(A254, Data1_Raw_Slack!A:B, 2, FALSE)), ""lifestyle|home|interior|decor|living|lifestyle"&amp;" enthusiasts""), ""Lifestyle"",
  REGEXMATCH(LOWER(VLOOKUP(A254, Data1_Raw_Slack!A:B, 2, FALSE)), ""financial|finance|investing|stocks|retirement|banking|credit|debt|loans|savings|personal finance|insurance|econ|ecom|business|retail|occupation|sale|job|ma"&amp;"rketing""), ""Finance"",
  REGEXMATCH(LOWER(VLOOKUP(A254, Data1_Raw_Slack!A:B, 2, FALSE)), ""auto|automotive""), ""Auto"",
  REGEXMATCH(LOWER(VLOOKUP(A254, Data1_Raw_Slack!A:B, 2, FALSE)), ""parenting|moms|dads|kids|toddlers|baby|parent|children""), ""Par"&amp;"enting"",
  REGEXMATCH(LOWER(VLOOKUP(A254, Data1_Raw_Slack!A:B, 2, FALSE)), ""education|students|learning|school|teachers|college|university|academics""), ""Education"",
  REGEXMATCH(LOWER(VLOOKUP(A254, Data1_Raw_Slack!A:B, 2, FALSE)), ""age|gender|dem"&amp;"ographic|family|household""), ""Demographics"",
  REGEXMATCH(LOWER(VLOOKUP(A254, Data1_Raw_Slack!A:B, 2, FALSE)), ""mortgage|real estate""), ""Real Estate"",REGEXMATCH(LOWER(VLOOKUP(A254, Data1_Raw_Slack!A:B, 2, FALSE)), ""technology|tech|gadgets|smartpho"&amp;"ne|electro|apps|devices|computing|ai|robots|software|computer|internet|tele|mobile|tablet""), ""Technology"", REGEXMATCH(LOWER(VLOOKUP(A254, Data1_Raw_Slack!A:B, 2, FALSE)), ""entertainment|purchas|movies|tv|netflix|streaming|celebrity|movie lovers|tv fan"&amp;"s|media|hobb|photo|art|shop""), ""Entertainment"", REGEXMATCH(LOWER(VLOOKUP(A254, Data1_Raw_Slack!A:B, 2, FALSE)), ""law|government|""), ""Law and Government"",
  TRUE, ""Other""
)"),"Travel")</f>
        <v>Travel</v>
      </c>
      <c r="G254" s="9" t="s">
        <v>85</v>
      </c>
      <c r="H254" s="9" t="s">
        <v>123</v>
      </c>
      <c r="I254" s="9" t="s">
        <v>1049</v>
      </c>
      <c r="J254" s="9" t="s">
        <v>62</v>
      </c>
      <c r="K254" s="9" t="s">
        <v>35</v>
      </c>
      <c r="L254" s="9" t="s">
        <v>36</v>
      </c>
      <c r="M254" s="10" t="s">
        <v>1035</v>
      </c>
      <c r="N254" s="9" t="str">
        <f ca="1">IFERROR(__xludf.DUMMYFUNCTION("REGEXEXTRACT(LOWER(M254), ""([a-z0-9\-]+)\.(?:co|net|org|io|gg)"")"),"dailymail")</f>
        <v>dailymail</v>
      </c>
      <c r="O254" s="9" t="s">
        <v>50</v>
      </c>
      <c r="P254" s="9" t="s">
        <v>39</v>
      </c>
      <c r="Q254" s="9">
        <v>14137</v>
      </c>
      <c r="R254" s="9">
        <v>44</v>
      </c>
      <c r="S254" s="9">
        <v>9300</v>
      </c>
      <c r="T254" s="9">
        <v>13110</v>
      </c>
      <c r="U254" s="9">
        <v>8</v>
      </c>
      <c r="V254" s="11">
        <v>6345.4603379999999</v>
      </c>
      <c r="W254" s="12">
        <f t="shared" si="0"/>
        <v>793.18254224999998</v>
      </c>
      <c r="X254" s="12">
        <f t="shared" si="1"/>
        <v>0.31124000848836386</v>
      </c>
      <c r="Y254" s="12">
        <f t="shared" si="2"/>
        <v>65.784819975949631</v>
      </c>
      <c r="Z254" s="12">
        <f t="shared" si="3"/>
        <v>682.30756322580646</v>
      </c>
      <c r="AA254" s="12">
        <f t="shared" si="4"/>
        <v>448.85480215038547</v>
      </c>
      <c r="AB254" s="12">
        <f t="shared" si="5"/>
        <v>144.21500768181818</v>
      </c>
      <c r="AC254" s="12">
        <f t="shared" si="6"/>
        <v>18.181818181818183</v>
      </c>
      <c r="AE254" s="13"/>
      <c r="AF254" s="13"/>
    </row>
    <row r="255" spans="1:32">
      <c r="A255" s="8" t="s">
        <v>1050</v>
      </c>
      <c r="B255" s="9" t="s">
        <v>41</v>
      </c>
      <c r="C255" s="9" t="s">
        <v>200</v>
      </c>
      <c r="D255" s="9" t="s">
        <v>1051</v>
      </c>
      <c r="E255" s="9"/>
      <c r="F255" s="9" t="str">
        <f ca="1">IFERROR(__xludf.DUMMYFUNCTION("IFS(
  REGEXMATCH(LOWER(VLOOKUP(A255, Data1_Raw_Slack!A:B, 2, FALSE)), ""news|weather""), ""News and Weather"", REGEXMATCH(LOWER(VLOOKUP(A255, Data1_Raw_Slack!A:B, 2, FALSE)), ""sports|ufc|nba|nfl|mlb|soccer|sports fans""), ""Sports"",
  REGEXMATCH(LOWER("&amp;"VLOOKUP(A255, Data1_Raw_Slack!A:B, 2, FALSE)), ""fashion|style|clothing|apparel|shoes|accessories|beauty|cosmetics|fashionistas""), ""Fashion and Beauty"",
  REGEXMATCH(LOWER(VLOOKUP(A255, Data1_Raw_Slack!A:B, 2, FALSE)), ""food|cooking|recipe|restaurant|"&amp;"snack|grocery|foodies""), ""Food"",
  REGEXMATCH(LOWER(VLOOKUP(A255, Data1_Raw_Slack!A:B, 2, FALSE)), ""travel|vacation|airline|hotel|trip|flights|travelers""), ""Travel"",
  REGEXMATCH(LOWER(VLOOKUP(A255, Data1_Raw_Slack!A:B, 2, FALSE)), ""fitness|workou"&amp;"t|gym|exercise|yoga|wellness|fitness enthusiasts""), ""Fitness"",
  REGEXMATCH(LOWER(VLOOKUP(A255, Data1_Raw_Slack!A:B, 2, FALSE)), ""health|medical|pharmacy|mental health|doctor|health-conscious""), ""Health"",
  REGEXMATCH(LOWER(VLOOKUP(A255, Data1_Raw_"&amp;"Slack!A:B, 2, FALSE)), ""pets|dogs|cats|animals|pet care|pet lovers""), ""Pets"",
  REGEXMATCH(LOWER(VLOOKUP(A255, Data1_Raw_Slack!A:B, 2, FALSE)), ""games|gaming|game|xbox|playstation|nintendo|gamers""), ""Gaming"",
  REGEXMATCH(LOWER(VLOOKUP(A255, Data1"&amp;"_Raw_Slack!A:B, 2, FALSE)), ""entertainment|movies|tv|netflix|streaming|celebrity|movie lovers|tv fans|hobb|photo|art""), ""Entertainment"",
  REGEXMATCH(LOWER(VLOOKUP(A255, Data1_Raw_Slack!A:B, 2, FALSE)), ""lifestyle|home|interior|decor|living|lifestyle"&amp;" enthusiasts""), ""Lifestyle"",
  REGEXMATCH(LOWER(VLOOKUP(A255, Data1_Raw_Slack!A:B, 2, FALSE)), ""financial|finance|investing|stocks|retirement|banking|credit|debt|loans|savings|personal finance|insurance|econ|ecom|business|retail|occupation|sale|job|ma"&amp;"rketing""), ""Finance"",
  REGEXMATCH(LOWER(VLOOKUP(A255, Data1_Raw_Slack!A:B, 2, FALSE)), ""auto|automotive""), ""Auto"",
  REGEXMATCH(LOWER(VLOOKUP(A255, Data1_Raw_Slack!A:B, 2, FALSE)), ""parenting|moms|dads|kids|toddlers|baby|parent|children""), ""Par"&amp;"enting"",
  REGEXMATCH(LOWER(VLOOKUP(A255, Data1_Raw_Slack!A:B, 2, FALSE)), ""education|students|learning|school|teachers|college|university|academics""), ""Education"",
  REGEXMATCH(LOWER(VLOOKUP(A255, Data1_Raw_Slack!A:B, 2, FALSE)), ""age|gender|dem"&amp;"ographic|family|household""), ""Demographics"",
  REGEXMATCH(LOWER(VLOOKUP(A255, Data1_Raw_Slack!A:B, 2, FALSE)), ""mortgage|real estate""), ""Real Estate"",REGEXMATCH(LOWER(VLOOKUP(A255, Data1_Raw_Slack!A:B, 2, FALSE)), ""technology|tech|gadgets|smartpho"&amp;"ne|electro|apps|devices|computing|ai|robots|software|computer|internet|tele|mobile|tablet""), ""Technology"", REGEXMATCH(LOWER(VLOOKUP(A255, Data1_Raw_Slack!A:B, 2, FALSE)), ""entertainment|purchas|movies|tv|netflix|streaming|celebrity|movie lovers|tv fan"&amp;"s|media|hobb|photo|art|shop""), ""Entertainment"", REGEXMATCH(LOWER(VLOOKUP(A255, Data1_Raw_Slack!A:B, 2, FALSE)), ""law|government|""), ""Law and Government"",
  TRUE, ""Other""
)"),"Lifestyle")</f>
        <v>Lifestyle</v>
      </c>
      <c r="G255" s="9" t="s">
        <v>200</v>
      </c>
      <c r="H255" s="9" t="s">
        <v>44</v>
      </c>
      <c r="I255" s="9" t="s">
        <v>1052</v>
      </c>
      <c r="J255" s="9" t="s">
        <v>62</v>
      </c>
      <c r="K255" s="9" t="s">
        <v>56</v>
      </c>
      <c r="L255" s="9" t="s">
        <v>57</v>
      </c>
      <c r="M255" s="10" t="s">
        <v>112</v>
      </c>
      <c r="N255" s="9" t="str">
        <f ca="1">IFERROR(__xludf.DUMMYFUNCTION("REGEXEXTRACT(LOWER(M255), ""([a-z0-9\-]+)\.(?:co|net|org|io|gg)"")"),"ebay")</f>
        <v>ebay</v>
      </c>
      <c r="O255" s="9" t="s">
        <v>50</v>
      </c>
      <c r="P255" s="9" t="s">
        <v>39</v>
      </c>
      <c r="Q255" s="9">
        <v>161178</v>
      </c>
      <c r="R255" s="9">
        <v>492</v>
      </c>
      <c r="S255" s="9">
        <v>70181</v>
      </c>
      <c r="T255" s="9">
        <v>150003</v>
      </c>
      <c r="U255" s="9">
        <v>11</v>
      </c>
      <c r="V255" s="11">
        <v>5892.48218</v>
      </c>
      <c r="W255" s="12">
        <f t="shared" si="0"/>
        <v>535.68019818181813</v>
      </c>
      <c r="X255" s="12">
        <f t="shared" si="1"/>
        <v>0.30525257789524624</v>
      </c>
      <c r="Y255" s="12">
        <f t="shared" si="2"/>
        <v>43.542543026963976</v>
      </c>
      <c r="Z255" s="12">
        <f t="shared" si="3"/>
        <v>83.96121713854177</v>
      </c>
      <c r="AA255" s="12">
        <f t="shared" si="4"/>
        <v>36.558849098512205</v>
      </c>
      <c r="AB255" s="12">
        <f t="shared" si="5"/>
        <v>11.976589796747968</v>
      </c>
      <c r="AC255" s="12">
        <f t="shared" si="6"/>
        <v>2.2357723577235773</v>
      </c>
      <c r="AE255" s="13"/>
      <c r="AF255" s="13"/>
    </row>
    <row r="256" spans="1:32">
      <c r="A256" s="8" t="s">
        <v>1053</v>
      </c>
      <c r="B256" s="9" t="s">
        <v>144</v>
      </c>
      <c r="C256" s="9" t="s">
        <v>1054</v>
      </c>
      <c r="D256" s="9"/>
      <c r="E256" s="9"/>
      <c r="F256" s="9" t="str">
        <f ca="1">IFERROR(__xludf.DUMMYFUNCTION("IFS(
  REGEXMATCH(LOWER(VLOOKUP(A256, Data1_Raw_Slack!A:B, 2, FALSE)), ""news|weather""), ""News and Weather"", REGEXMATCH(LOWER(VLOOKUP(A256, Data1_Raw_Slack!A:B, 2, FALSE)), ""sports|ufc|nba|nfl|mlb|soccer|sports fans""), ""Sports"",
  REGEXMATCH(LOWER("&amp;"VLOOKUP(A256, Data1_Raw_Slack!A:B, 2, FALSE)), ""fashion|style|clothing|apparel|shoes|accessories|beauty|cosmetics|fashionistas""), ""Fashion and Beauty"",
  REGEXMATCH(LOWER(VLOOKUP(A256, Data1_Raw_Slack!A:B, 2, FALSE)), ""food|cooking|recipe|restaurant|"&amp;"snack|grocery|foodies""), ""Food"",
  REGEXMATCH(LOWER(VLOOKUP(A256, Data1_Raw_Slack!A:B, 2, FALSE)), ""travel|vacation|airline|hotel|trip|flights|travelers""), ""Travel"",
  REGEXMATCH(LOWER(VLOOKUP(A256, Data1_Raw_Slack!A:B, 2, FALSE)), ""fitness|workou"&amp;"t|gym|exercise|yoga|wellness|fitness enthusiasts""), ""Fitness"",
  REGEXMATCH(LOWER(VLOOKUP(A256, Data1_Raw_Slack!A:B, 2, FALSE)), ""health|medical|pharmacy|mental health|doctor|health-conscious""), ""Health"",
  REGEXMATCH(LOWER(VLOOKUP(A256, Data1_Raw_"&amp;"Slack!A:B, 2, FALSE)), ""pets|dogs|cats|animals|pet care|pet lovers""), ""Pets"",
  REGEXMATCH(LOWER(VLOOKUP(A256, Data1_Raw_Slack!A:B, 2, FALSE)), ""games|gaming|game|xbox|playstation|nintendo|gamers""), ""Gaming"",
  REGEXMATCH(LOWER(VLOOKUP(A256, Data1"&amp;"_Raw_Slack!A:B, 2, FALSE)), ""entertainment|movies|tv|netflix|streaming|celebrity|movie lovers|tv fans|hobb|photo|art""), ""Entertainment"",
  REGEXMATCH(LOWER(VLOOKUP(A256, Data1_Raw_Slack!A:B, 2, FALSE)), ""lifestyle|home|interior|decor|living|lifestyle"&amp;" enthusiasts""), ""Lifestyle"",
  REGEXMATCH(LOWER(VLOOKUP(A256, Data1_Raw_Slack!A:B, 2, FALSE)), ""financial|finance|investing|stocks|retirement|banking|credit|debt|loans|savings|personal finance|insurance|econ|ecom|business|retail|occupation|sale|job|ma"&amp;"rketing""), ""Finance"",
  REGEXMATCH(LOWER(VLOOKUP(A256, Data1_Raw_Slack!A:B, 2, FALSE)), ""auto|automotive""), ""Auto"",
  REGEXMATCH(LOWER(VLOOKUP(A256, Data1_Raw_Slack!A:B, 2, FALSE)), ""parenting|moms|dads|kids|toddlers|baby|parent|children""), ""Par"&amp;"enting"",
  REGEXMATCH(LOWER(VLOOKUP(A256, Data1_Raw_Slack!A:B, 2, FALSE)), ""education|students|learning|school|teachers|college|university|academics""), ""Education"",
  REGEXMATCH(LOWER(VLOOKUP(A256, Data1_Raw_Slack!A:B, 2, FALSE)), ""age|gender|dem"&amp;"ographic|family|household""), ""Demographics"",
  REGEXMATCH(LOWER(VLOOKUP(A256, Data1_Raw_Slack!A:B, 2, FALSE)), ""mortgage|real estate""), ""Real Estate"",REGEXMATCH(LOWER(VLOOKUP(A256, Data1_Raw_Slack!A:B, 2, FALSE)), ""technology|tech|gadgets|smartpho"&amp;"ne|electro|apps|devices|computing|ai|robots|software|computer|internet|tele|mobile|tablet""), ""Technology"", REGEXMATCH(LOWER(VLOOKUP(A256, Data1_Raw_Slack!A:B, 2, FALSE)), ""entertainment|purchas|movies|tv|netflix|streaming|celebrity|movie lovers|tv fan"&amp;"s|media|hobb|photo|art|shop""), ""Entertainment"", REGEXMATCH(LOWER(VLOOKUP(A256, Data1_Raw_Slack!A:B, 2, FALSE)), ""law|government|""), ""Law and Government"",
  TRUE, ""Other""
)"),"Law and Government")</f>
        <v>Law and Government</v>
      </c>
      <c r="G256" s="9"/>
      <c r="H256" s="9" t="s">
        <v>32</v>
      </c>
      <c r="I256" s="9" t="s">
        <v>1055</v>
      </c>
      <c r="J256" s="9" t="s">
        <v>80</v>
      </c>
      <c r="K256" s="9" t="s">
        <v>47</v>
      </c>
      <c r="L256" s="9" t="s">
        <v>48</v>
      </c>
      <c r="M256" s="10" t="s">
        <v>430</v>
      </c>
      <c r="N256" s="9" t="str">
        <f ca="1">IFERROR(__xludf.DUMMYFUNCTION("REGEXEXTRACT(LOWER(M256), ""([a-z0-9\-]+)\.(?:co|net|org|io|gg)"")"),"biblegateway")</f>
        <v>biblegateway</v>
      </c>
      <c r="O256" s="9" t="s">
        <v>50</v>
      </c>
      <c r="P256" s="9" t="s">
        <v>39</v>
      </c>
      <c r="Q256" s="9">
        <v>77313</v>
      </c>
      <c r="R256" s="9">
        <v>191</v>
      </c>
      <c r="S256" s="9">
        <v>40366</v>
      </c>
      <c r="T256" s="9">
        <v>71128</v>
      </c>
      <c r="U256" s="9">
        <v>3</v>
      </c>
      <c r="V256" s="11">
        <v>1790.3901980000001</v>
      </c>
      <c r="W256" s="12">
        <f t="shared" si="0"/>
        <v>596.79673266666668</v>
      </c>
      <c r="X256" s="12">
        <f t="shared" si="1"/>
        <v>0.24704771513199592</v>
      </c>
      <c r="Y256" s="12">
        <f t="shared" si="2"/>
        <v>52.211141722608104</v>
      </c>
      <c r="Z256" s="12">
        <f t="shared" si="3"/>
        <v>44.353916612991128</v>
      </c>
      <c r="AA256" s="12">
        <f t="shared" si="4"/>
        <v>23.15768626233622</v>
      </c>
      <c r="AB256" s="12">
        <f t="shared" si="5"/>
        <v>9.373770670157068</v>
      </c>
      <c r="AC256" s="12">
        <f t="shared" si="6"/>
        <v>1.5706806282722512</v>
      </c>
      <c r="AE256" s="13"/>
      <c r="AF256" s="13"/>
    </row>
    <row r="257" spans="1:32">
      <c r="A257" s="8" t="s">
        <v>1056</v>
      </c>
      <c r="B257" s="9" t="s">
        <v>52</v>
      </c>
      <c r="C257" s="9" t="s">
        <v>173</v>
      </c>
      <c r="D257" s="9" t="s">
        <v>1057</v>
      </c>
      <c r="E257" s="9"/>
      <c r="F257" s="9" t="str">
        <f ca="1">IFERROR(__xludf.DUMMYFUNCTION("IFS(
  REGEXMATCH(LOWER(VLOOKUP(A257, Data1_Raw_Slack!A:B, 2, FALSE)), ""news|weather""), ""News and Weather"", REGEXMATCH(LOWER(VLOOKUP(A257, Data1_Raw_Slack!A:B, 2, FALSE)), ""sports|ufc|nba|nfl|mlb|soccer|sports fans""), ""Sports"",
  REGEXMATCH(LOWER("&amp;"VLOOKUP(A257, Data1_Raw_Slack!A:B, 2, FALSE)), ""fashion|style|clothing|apparel|shoes|accessories|beauty|cosmetics|fashionistas""), ""Fashion and Beauty"",
  REGEXMATCH(LOWER(VLOOKUP(A257, Data1_Raw_Slack!A:B, 2, FALSE)), ""food|cooking|recipe|restaurant|"&amp;"snack|grocery|foodies""), ""Food"",
  REGEXMATCH(LOWER(VLOOKUP(A257, Data1_Raw_Slack!A:B, 2, FALSE)), ""travel|vacation|airline|hotel|trip|flights|travelers""), ""Travel"",
  REGEXMATCH(LOWER(VLOOKUP(A257, Data1_Raw_Slack!A:B, 2, FALSE)), ""fitness|workou"&amp;"t|gym|exercise|yoga|wellness|fitness enthusiasts""), ""Fitness"",
  REGEXMATCH(LOWER(VLOOKUP(A257, Data1_Raw_Slack!A:B, 2, FALSE)), ""health|medical|pharmacy|mental health|doctor|health-conscious""), ""Health"",
  REGEXMATCH(LOWER(VLOOKUP(A257, Data1_Raw_"&amp;"Slack!A:B, 2, FALSE)), ""pets|dogs|cats|animals|pet care|pet lovers""), ""Pets"",
  REGEXMATCH(LOWER(VLOOKUP(A257, Data1_Raw_Slack!A:B, 2, FALSE)), ""games|gaming|game|xbox|playstation|nintendo|gamers""), ""Gaming"",
  REGEXMATCH(LOWER(VLOOKUP(A257, Data1"&amp;"_Raw_Slack!A:B, 2, FALSE)), ""entertainment|movies|tv|netflix|streaming|celebrity|movie lovers|tv fans|hobb|photo|art""), ""Entertainment"",
  REGEXMATCH(LOWER(VLOOKUP(A257, Data1_Raw_Slack!A:B, 2, FALSE)), ""lifestyle|home|interior|decor|living|lifestyle"&amp;" enthusiasts""), ""Lifestyle"",
  REGEXMATCH(LOWER(VLOOKUP(A257, Data1_Raw_Slack!A:B, 2, FALSE)), ""financial|finance|investing|stocks|retirement|banking|credit|debt|loans|savings|personal finance|insurance|econ|ecom|business|retail|occupation|sale|job|ma"&amp;"rketing""), ""Finance"",
  REGEXMATCH(LOWER(VLOOKUP(A257, Data1_Raw_Slack!A:B, 2, FALSE)), ""auto|automotive""), ""Auto"",
  REGEXMATCH(LOWER(VLOOKUP(A257, Data1_Raw_Slack!A:B, 2, FALSE)), ""parenting|moms|dads|kids|toddlers|baby|parent|children""), ""Par"&amp;"enting"",
  REGEXMATCH(LOWER(VLOOKUP(A257, Data1_Raw_Slack!A:B, 2, FALSE)), ""education|students|learning|school|teachers|college|university|academics""), ""Education"",
  REGEXMATCH(LOWER(VLOOKUP(A257, Data1_Raw_Slack!A:B, 2, FALSE)), ""age|gender|dem"&amp;"ographic|family|household""), ""Demographics"",
  REGEXMATCH(LOWER(VLOOKUP(A257, Data1_Raw_Slack!A:B, 2, FALSE)), ""mortgage|real estate""), ""Real Estate"",REGEXMATCH(LOWER(VLOOKUP(A257, Data1_Raw_Slack!A:B, 2, FALSE)), ""technology|tech|gadgets|smartpho"&amp;"ne|electro|apps|devices|computing|ai|robots|software|computer|internet|tele|mobile|tablet""), ""Technology"", REGEXMATCH(LOWER(VLOOKUP(A257, Data1_Raw_Slack!A:B, 2, FALSE)), ""entertainment|purchas|movies|tv|netflix|streaming|celebrity|movie lovers|tv fan"&amp;"s|media|hobb|photo|art|shop""), ""Entertainment"", REGEXMATCH(LOWER(VLOOKUP(A257, Data1_Raw_Slack!A:B, 2, FALSE)), ""law|government|""), ""Law and Government"",
  TRUE, ""Other""
)"),"Law and Government")</f>
        <v>Law and Government</v>
      </c>
      <c r="G257" s="9" t="s">
        <v>69</v>
      </c>
      <c r="H257" s="9" t="s">
        <v>44</v>
      </c>
      <c r="I257" s="9" t="s">
        <v>1058</v>
      </c>
      <c r="J257" s="9" t="s">
        <v>62</v>
      </c>
      <c r="K257" s="9" t="s">
        <v>236</v>
      </c>
      <c r="L257" s="9" t="s">
        <v>82</v>
      </c>
      <c r="M257" s="10" t="s">
        <v>562</v>
      </c>
      <c r="N257" s="9" t="str">
        <f ca="1">IFERROR(__xludf.DUMMYFUNCTION("REGEXEXTRACT(LOWER(M257), ""([a-z0-9\-]+)\.(?:co|net|org|io|gg)"")"),"screenrant")</f>
        <v>screenrant</v>
      </c>
      <c r="O257" s="9" t="s">
        <v>50</v>
      </c>
      <c r="P257" s="9" t="s">
        <v>75</v>
      </c>
      <c r="Q257" s="9">
        <v>62040</v>
      </c>
      <c r="R257" s="9">
        <v>174</v>
      </c>
      <c r="S257" s="9">
        <v>43853</v>
      </c>
      <c r="T257" s="9">
        <v>58642</v>
      </c>
      <c r="U257" s="9">
        <v>15</v>
      </c>
      <c r="V257" s="11">
        <v>2139.0657930000002</v>
      </c>
      <c r="W257" s="12">
        <f t="shared" ref="W257:W511" si="7">IFERROR(V257/U257,"N/A")</f>
        <v>142.60438620000002</v>
      </c>
      <c r="X257" s="12">
        <f t="shared" ref="X257:X511" si="8">IFERROR((R257/Q257)*100,"N/A")</f>
        <v>0.28046421663442939</v>
      </c>
      <c r="Y257" s="12">
        <f t="shared" ref="Y257:Y511" si="9">IFERROR((S257 / Q257) * 100,"N/A")</f>
        <v>70.685041908446166</v>
      </c>
      <c r="Z257" s="12">
        <f t="shared" ref="Z257:Z511" si="10">IFERROR((V257/S257)*1000,"N/A")</f>
        <v>48.778094839577683</v>
      </c>
      <c r="AA257" s="12">
        <f t="shared" ref="AA257:AA511" si="11">IFERROR((V257/Q257)*1000,"N/A")</f>
        <v>34.478816779497102</v>
      </c>
      <c r="AB257" s="12">
        <f t="shared" ref="AB257:AB511" si="12">IFERROR(V257/R257,"N/A")</f>
        <v>12.293481568965518</v>
      </c>
      <c r="AC257" s="12">
        <f t="shared" ref="AC257:AC511" si="13">IFERROR((U257/R257)*100,"N/A")</f>
        <v>8.6206896551724146</v>
      </c>
      <c r="AE257" s="13"/>
      <c r="AF257" s="13"/>
    </row>
    <row r="258" spans="1:32">
      <c r="A258" s="8" t="s">
        <v>1059</v>
      </c>
      <c r="B258" s="9" t="s">
        <v>41</v>
      </c>
      <c r="C258" s="9" t="s">
        <v>114</v>
      </c>
      <c r="D258" s="9" t="s">
        <v>1060</v>
      </c>
      <c r="E258" s="9"/>
      <c r="F258" s="9" t="str">
        <f ca="1">IFERROR(__xludf.DUMMYFUNCTION("IFS(
  REGEXMATCH(LOWER(VLOOKUP(A258, Data1_Raw_Slack!A:B, 2, FALSE)), ""news|weather""), ""News and Weather"", REGEXMATCH(LOWER(VLOOKUP(A258, Data1_Raw_Slack!A:B, 2, FALSE)), ""sports|ufc|nba|nfl|mlb|soccer|sports fans""), ""Sports"",
  REGEXMATCH(LOWER("&amp;"VLOOKUP(A258, Data1_Raw_Slack!A:B, 2, FALSE)), ""fashion|style|clothing|apparel|shoes|accessories|beauty|cosmetics|fashionistas""), ""Fashion and Beauty"",
  REGEXMATCH(LOWER(VLOOKUP(A258, Data1_Raw_Slack!A:B, 2, FALSE)), ""food|cooking|recipe|restaurant|"&amp;"snack|grocery|foodies""), ""Food"",
  REGEXMATCH(LOWER(VLOOKUP(A258, Data1_Raw_Slack!A:B, 2, FALSE)), ""travel|vacation|airline|hotel|trip|flights|travelers""), ""Travel"",
  REGEXMATCH(LOWER(VLOOKUP(A258, Data1_Raw_Slack!A:B, 2, FALSE)), ""fitness|workou"&amp;"t|gym|exercise|yoga|wellness|fitness enthusiasts""), ""Fitness"",
  REGEXMATCH(LOWER(VLOOKUP(A258, Data1_Raw_Slack!A:B, 2, FALSE)), ""health|medical|pharmacy|mental health|doctor|health-conscious""), ""Health"",
  REGEXMATCH(LOWER(VLOOKUP(A258, Data1_Raw_"&amp;"Slack!A:B, 2, FALSE)), ""pets|dogs|cats|animals|pet care|pet lovers""), ""Pets"",
  REGEXMATCH(LOWER(VLOOKUP(A258, Data1_Raw_Slack!A:B, 2, FALSE)), ""games|gaming|game|xbox|playstation|nintendo|gamers""), ""Gaming"",
  REGEXMATCH(LOWER(VLOOKUP(A258, Data1"&amp;"_Raw_Slack!A:B, 2, FALSE)), ""entertainment|movies|tv|netflix|streaming|celebrity|movie lovers|tv fans|hobb|photo|art""), ""Entertainment"",
  REGEXMATCH(LOWER(VLOOKUP(A258, Data1_Raw_Slack!A:B, 2, FALSE)), ""lifestyle|home|interior|decor|living|lifestyle"&amp;" enthusiasts""), ""Lifestyle"",
  REGEXMATCH(LOWER(VLOOKUP(A258, Data1_Raw_Slack!A:B, 2, FALSE)), ""financial|finance|investing|stocks|retirement|banking|credit|debt|loans|savings|personal finance|insurance|econ|ecom|business|retail|occupation|sale|job|ma"&amp;"rketing""), ""Finance"",
  REGEXMATCH(LOWER(VLOOKUP(A258, Data1_Raw_Slack!A:B, 2, FALSE)), ""auto|automotive""), ""Auto"",
  REGEXMATCH(LOWER(VLOOKUP(A258, Data1_Raw_Slack!A:B, 2, FALSE)), ""parenting|moms|dads|kids|toddlers|baby|parent|children""), ""Par"&amp;"enting"",
  REGEXMATCH(LOWER(VLOOKUP(A258, Data1_Raw_Slack!A:B, 2, FALSE)), ""education|students|learning|school|teachers|college|university|academics""), ""Education"",
  REGEXMATCH(LOWER(VLOOKUP(A258, Data1_Raw_Slack!A:B, 2, FALSE)), ""age|gender|dem"&amp;"ographic|family|household""), ""Demographics"",
  REGEXMATCH(LOWER(VLOOKUP(A258, Data1_Raw_Slack!A:B, 2, FALSE)), ""mortgage|real estate""), ""Real Estate"",REGEXMATCH(LOWER(VLOOKUP(A258, Data1_Raw_Slack!A:B, 2, FALSE)), ""technology|tech|gadgets|smartpho"&amp;"ne|electro|apps|devices|computing|ai|robots|software|computer|internet|tele|mobile|tablet""), ""Technology"", REGEXMATCH(LOWER(VLOOKUP(A258, Data1_Raw_Slack!A:B, 2, FALSE)), ""entertainment|purchas|movies|tv|netflix|streaming|celebrity|movie lovers|tv fan"&amp;"s|media|hobb|photo|art|shop""), ""Entertainment"", REGEXMATCH(LOWER(VLOOKUP(A258, Data1_Raw_Slack!A:B, 2, FALSE)), ""law|government|""), ""Law and Government"",
  TRUE, ""Other""
)"),"Law and Government")</f>
        <v>Law and Government</v>
      </c>
      <c r="G258" s="9"/>
      <c r="H258" s="9" t="s">
        <v>44</v>
      </c>
      <c r="I258" s="9" t="s">
        <v>1061</v>
      </c>
      <c r="J258" s="9" t="s">
        <v>80</v>
      </c>
      <c r="K258" s="9" t="s">
        <v>274</v>
      </c>
      <c r="L258" s="9" t="s">
        <v>48</v>
      </c>
      <c r="M258" s="10" t="s">
        <v>354</v>
      </c>
      <c r="N258" s="9" t="str">
        <f ca="1">IFERROR(__xludf.DUMMYFUNCTION("REGEXEXTRACT(LOWER(M258), ""([a-z0-9\-]+)\.(?:co|net|org|io|gg)"")"),"yahoo")</f>
        <v>yahoo</v>
      </c>
      <c r="O258" s="9" t="s">
        <v>50</v>
      </c>
      <c r="P258" s="9" t="s">
        <v>39</v>
      </c>
      <c r="Q258" s="9">
        <v>310255</v>
      </c>
      <c r="R258" s="9">
        <v>970</v>
      </c>
      <c r="S258" s="9">
        <v>105054</v>
      </c>
      <c r="T258" s="9">
        <v>260998</v>
      </c>
      <c r="U258" s="9">
        <v>14</v>
      </c>
      <c r="V258" s="11">
        <v>6057.8567220000004</v>
      </c>
      <c r="W258" s="12">
        <f t="shared" si="7"/>
        <v>432.70405157142858</v>
      </c>
      <c r="X258" s="12">
        <f t="shared" si="8"/>
        <v>0.3126460492175791</v>
      </c>
      <c r="Y258" s="12">
        <f t="shared" si="9"/>
        <v>33.860534076807788</v>
      </c>
      <c r="Z258" s="12">
        <f t="shared" si="10"/>
        <v>57.66421765948941</v>
      </c>
      <c r="AA258" s="12">
        <f t="shared" si="11"/>
        <v>19.525412070716026</v>
      </c>
      <c r="AB258" s="12">
        <f t="shared" si="12"/>
        <v>6.2452131154639181</v>
      </c>
      <c r="AC258" s="12">
        <f t="shared" si="13"/>
        <v>1.4432989690721649</v>
      </c>
      <c r="AE258" s="13"/>
      <c r="AF258" s="13"/>
    </row>
    <row r="259" spans="1:32">
      <c r="A259" s="8" t="s">
        <v>1062</v>
      </c>
      <c r="B259" s="9" t="s">
        <v>198</v>
      </c>
      <c r="C259" s="9" t="s">
        <v>1063</v>
      </c>
      <c r="D259" s="9"/>
      <c r="E259" s="9"/>
      <c r="F259" s="9" t="str">
        <f ca="1">IFERROR(__xludf.DUMMYFUNCTION("IFS(
  REGEXMATCH(LOWER(VLOOKUP(A259, Data1_Raw_Slack!A:B, 2, FALSE)), ""news|weather""), ""News and Weather"", REGEXMATCH(LOWER(VLOOKUP(A259, Data1_Raw_Slack!A:B, 2, FALSE)), ""sports|ufc|nba|nfl|mlb|soccer|sports fans""), ""Sports"",
  REGEXMATCH(LOWER("&amp;"VLOOKUP(A259, Data1_Raw_Slack!A:B, 2, FALSE)), ""fashion|style|clothing|apparel|shoes|accessories|beauty|cosmetics|fashionistas""), ""Fashion and Beauty"",
  REGEXMATCH(LOWER(VLOOKUP(A259, Data1_Raw_Slack!A:B, 2, FALSE)), ""food|cooking|recipe|restaurant|"&amp;"snack|grocery|foodies""), ""Food"",
  REGEXMATCH(LOWER(VLOOKUP(A259, Data1_Raw_Slack!A:B, 2, FALSE)), ""travel|vacation|airline|hotel|trip|flights|travelers""), ""Travel"",
  REGEXMATCH(LOWER(VLOOKUP(A259, Data1_Raw_Slack!A:B, 2, FALSE)), ""fitness|workou"&amp;"t|gym|exercise|yoga|wellness|fitness enthusiasts""), ""Fitness"",
  REGEXMATCH(LOWER(VLOOKUP(A259, Data1_Raw_Slack!A:B, 2, FALSE)), ""health|medical|pharmacy|mental health|doctor|health-conscious""), ""Health"",
  REGEXMATCH(LOWER(VLOOKUP(A259, Data1_Raw_"&amp;"Slack!A:B, 2, FALSE)), ""pets|dogs|cats|animals|pet care|pet lovers""), ""Pets"",
  REGEXMATCH(LOWER(VLOOKUP(A259, Data1_Raw_Slack!A:B, 2, FALSE)), ""games|gaming|game|xbox|playstation|nintendo|gamers""), ""Gaming"",
  REGEXMATCH(LOWER(VLOOKUP(A259, Data1"&amp;"_Raw_Slack!A:B, 2, FALSE)), ""entertainment|movies|tv|netflix|streaming|celebrity|movie lovers|tv fans|hobb|photo|art""), ""Entertainment"",
  REGEXMATCH(LOWER(VLOOKUP(A259, Data1_Raw_Slack!A:B, 2, FALSE)), ""lifestyle|home|interior|decor|living|lifestyle"&amp;" enthusiasts""), ""Lifestyle"",
  REGEXMATCH(LOWER(VLOOKUP(A259, Data1_Raw_Slack!A:B, 2, FALSE)), ""financial|finance|investing|stocks|retirement|banking|credit|debt|loans|savings|personal finance|insurance|econ|ecom|business|retail|occupation|sale|job|ma"&amp;"rketing""), ""Finance"",
  REGEXMATCH(LOWER(VLOOKUP(A259, Data1_Raw_Slack!A:B, 2, FALSE)), ""auto|automotive""), ""Auto"",
  REGEXMATCH(LOWER(VLOOKUP(A259, Data1_Raw_Slack!A:B, 2, FALSE)), ""parenting|moms|dads|kids|toddlers|baby|parent|children""), ""Par"&amp;"enting"",
  REGEXMATCH(LOWER(VLOOKUP(A259, Data1_Raw_Slack!A:B, 2, FALSE)), ""education|students|learning|school|teachers|college|university|academics""), ""Education"",
  REGEXMATCH(LOWER(VLOOKUP(A259, Data1_Raw_Slack!A:B, 2, FALSE)), ""age|gender|dem"&amp;"ographic|family|household""), ""Demographics"",
  REGEXMATCH(LOWER(VLOOKUP(A259, Data1_Raw_Slack!A:B, 2, FALSE)), ""mortgage|real estate""), ""Real Estate"",REGEXMATCH(LOWER(VLOOKUP(A259, Data1_Raw_Slack!A:B, 2, FALSE)), ""technology|tech|gadgets|smartpho"&amp;"ne|electro|apps|devices|computing|ai|robots|software|computer|internet|tele|mobile|tablet""), ""Technology"", REGEXMATCH(LOWER(VLOOKUP(A259, Data1_Raw_Slack!A:B, 2, FALSE)), ""entertainment|purchas|movies|tv|netflix|streaming|celebrity|movie lovers|tv fan"&amp;"s|media|hobb|photo|art|shop""), ""Entertainment"", REGEXMATCH(LOWER(VLOOKUP(A259, Data1_Raw_Slack!A:B, 2, FALSE)), ""law|government|""), ""Law and Government"",
  TRUE, ""Other""
)"),"Entertainment")</f>
        <v>Entertainment</v>
      </c>
      <c r="G259" s="9"/>
      <c r="H259" s="9" t="s">
        <v>44</v>
      </c>
      <c r="I259" s="9" t="s">
        <v>1064</v>
      </c>
      <c r="J259" s="9" t="s">
        <v>80</v>
      </c>
      <c r="K259" s="9" t="s">
        <v>88</v>
      </c>
      <c r="L259" s="9" t="s">
        <v>89</v>
      </c>
      <c r="M259" s="10" t="s">
        <v>393</v>
      </c>
      <c r="N259" s="9" t="str">
        <f ca="1">IFERROR(__xludf.DUMMYFUNCTION("REGEXEXTRACT(LOWER(M259), ""([a-z0-9\-]+)\.(?:co|net|org|io|gg)"")"),"thesaurus")</f>
        <v>thesaurus</v>
      </c>
      <c r="O259" s="9" t="s">
        <v>50</v>
      </c>
      <c r="P259" s="9" t="s">
        <v>39</v>
      </c>
      <c r="Q259" s="9">
        <v>141157</v>
      </c>
      <c r="R259" s="9">
        <v>420</v>
      </c>
      <c r="S259" s="9">
        <v>8280</v>
      </c>
      <c r="T259" s="9">
        <v>107935</v>
      </c>
      <c r="U259" s="9">
        <v>4</v>
      </c>
      <c r="V259" s="11">
        <v>1631.7829489999999</v>
      </c>
      <c r="W259" s="12">
        <f t="shared" si="7"/>
        <v>407.94573724999998</v>
      </c>
      <c r="X259" s="12">
        <f t="shared" si="8"/>
        <v>0.29754103586786346</v>
      </c>
      <c r="Y259" s="12">
        <f t="shared" si="9"/>
        <v>5.8658089928235935</v>
      </c>
      <c r="Z259" s="12">
        <f t="shared" si="10"/>
        <v>197.07523538647342</v>
      </c>
      <c r="AA259" s="12">
        <f t="shared" si="11"/>
        <v>11.560056879928023</v>
      </c>
      <c r="AB259" s="12">
        <f t="shared" si="12"/>
        <v>3.8851974976190475</v>
      </c>
      <c r="AC259" s="12">
        <f t="shared" si="13"/>
        <v>0.95238095238095244</v>
      </c>
      <c r="AE259" s="13"/>
      <c r="AF259" s="13"/>
    </row>
    <row r="260" spans="1:32">
      <c r="A260" s="8" t="s">
        <v>1065</v>
      </c>
      <c r="B260" s="9"/>
      <c r="C260" s="9" t="s">
        <v>325</v>
      </c>
      <c r="D260" s="9" t="s">
        <v>572</v>
      </c>
      <c r="E260" s="9" t="s">
        <v>1066</v>
      </c>
      <c r="F260" s="9" t="str">
        <f ca="1">IFERROR(__xludf.DUMMYFUNCTION("IFS(
  REGEXMATCH(LOWER(VLOOKUP(A260, Data1_Raw_Slack!A:B, 2, FALSE)), ""news|weather""), ""News and Weather"", REGEXMATCH(LOWER(VLOOKUP(A260, Data1_Raw_Slack!A:B, 2, FALSE)), ""sports|ufc|nba|nfl|mlb|soccer|sports fans""), ""Sports"",
  REGEXMATCH(LOWER("&amp;"VLOOKUP(A260, Data1_Raw_Slack!A:B, 2, FALSE)), ""fashion|style|clothing|apparel|shoes|accessories|beauty|cosmetics|fashionistas""), ""Fashion and Beauty"",
  REGEXMATCH(LOWER(VLOOKUP(A260, Data1_Raw_Slack!A:B, 2, FALSE)), ""food|cooking|recipe|restaurant|"&amp;"snack|grocery|foodies""), ""Food"",
  REGEXMATCH(LOWER(VLOOKUP(A260, Data1_Raw_Slack!A:B, 2, FALSE)), ""travel|vacation|airline|hotel|trip|flights|travelers""), ""Travel"",
  REGEXMATCH(LOWER(VLOOKUP(A260, Data1_Raw_Slack!A:B, 2, FALSE)), ""fitness|workou"&amp;"t|gym|exercise|yoga|wellness|fitness enthusiasts""), ""Fitness"",
  REGEXMATCH(LOWER(VLOOKUP(A260, Data1_Raw_Slack!A:B, 2, FALSE)), ""health|medical|pharmacy|mental health|doctor|health-conscious""), ""Health"",
  REGEXMATCH(LOWER(VLOOKUP(A260, Data1_Raw_"&amp;"Slack!A:B, 2, FALSE)), ""pets|dogs|cats|animals|pet care|pet lovers""), ""Pets"",
  REGEXMATCH(LOWER(VLOOKUP(A260, Data1_Raw_Slack!A:B, 2, FALSE)), ""games|gaming|game|xbox|playstation|nintendo|gamers""), ""Gaming"",
  REGEXMATCH(LOWER(VLOOKUP(A260, Data1"&amp;"_Raw_Slack!A:B, 2, FALSE)), ""entertainment|movies|tv|netflix|streaming|celebrity|movie lovers|tv fans|hobb|photo|art""), ""Entertainment"",
  REGEXMATCH(LOWER(VLOOKUP(A260, Data1_Raw_Slack!A:B, 2, FALSE)), ""lifestyle|home|interior|decor|living|lifestyle"&amp;" enthusiasts""), ""Lifestyle"",
  REGEXMATCH(LOWER(VLOOKUP(A260, Data1_Raw_Slack!A:B, 2, FALSE)), ""financial|finance|investing|stocks|retirement|banking|credit|debt|loans|savings|personal finance|insurance|econ|ecom|business|retail|occupation|sale|job|ma"&amp;"rketing""), ""Finance"",
  REGEXMATCH(LOWER(VLOOKUP(A260, Data1_Raw_Slack!A:B, 2, FALSE)), ""auto|automotive""), ""Auto"",
  REGEXMATCH(LOWER(VLOOKUP(A260, Data1_Raw_Slack!A:B, 2, FALSE)), ""parenting|moms|dads|kids|toddlers|baby|parent|children""), ""Par"&amp;"enting"",
  REGEXMATCH(LOWER(VLOOKUP(A260, Data1_Raw_Slack!A:B, 2, FALSE)), ""education|students|learning|school|teachers|college|university|academics""), ""Education"",
  REGEXMATCH(LOWER(VLOOKUP(A260, Data1_Raw_Slack!A:B, 2, FALSE)), ""age|gender|dem"&amp;"ographic|family|household""), ""Demographics"",
  REGEXMATCH(LOWER(VLOOKUP(A260, Data1_Raw_Slack!A:B, 2, FALSE)), ""mortgage|real estate""), ""Real Estate"",REGEXMATCH(LOWER(VLOOKUP(A260, Data1_Raw_Slack!A:B, 2, FALSE)), ""technology|tech|gadgets|smartpho"&amp;"ne|electro|apps|devices|computing|ai|robots|software|computer|internet|tele|mobile|tablet""), ""Technology"", REGEXMATCH(LOWER(VLOOKUP(A260, Data1_Raw_Slack!A:B, 2, FALSE)), ""entertainment|purchas|movies|tv|netflix|streaming|celebrity|movie lovers|tv fan"&amp;"s|media|hobb|photo|art|shop""), ""Entertainment"", REGEXMATCH(LOWER(VLOOKUP(A260, Data1_Raw_Slack!A:B, 2, FALSE)), ""law|government|""), ""Law and Government"",
  TRUE, ""Other""
)"),"Demographics")</f>
        <v>Demographics</v>
      </c>
      <c r="G260" s="9"/>
      <c r="H260" s="9" t="s">
        <v>32</v>
      </c>
      <c r="I260" s="9" t="s">
        <v>1067</v>
      </c>
      <c r="J260" s="9" t="s">
        <v>34</v>
      </c>
      <c r="K260" s="9" t="s">
        <v>236</v>
      </c>
      <c r="L260" s="9" t="s">
        <v>82</v>
      </c>
      <c r="M260" s="10" t="s">
        <v>229</v>
      </c>
      <c r="N260" s="9" t="str">
        <f ca="1">IFERROR(__xludf.DUMMYFUNCTION("REGEXEXTRACT(LOWER(M260), ""([a-z0-9\-]+)\.(?:co|net|org|io|gg)"")"),"msn")</f>
        <v>msn</v>
      </c>
      <c r="O260" s="9" t="s">
        <v>50</v>
      </c>
      <c r="P260" s="9" t="s">
        <v>39</v>
      </c>
      <c r="Q260" s="9">
        <v>297347</v>
      </c>
      <c r="R260" s="9">
        <v>751</v>
      </c>
      <c r="S260" s="9">
        <v>166412</v>
      </c>
      <c r="T260" s="9">
        <v>251319</v>
      </c>
      <c r="U260" s="9">
        <v>4</v>
      </c>
      <c r="V260" s="11">
        <v>2255.5224090000002</v>
      </c>
      <c r="W260" s="12">
        <f t="shared" si="7"/>
        <v>563.88060225000004</v>
      </c>
      <c r="X260" s="12">
        <f t="shared" si="8"/>
        <v>0.25256686632116682</v>
      </c>
      <c r="Y260" s="12">
        <f t="shared" si="9"/>
        <v>55.965589025616538</v>
      </c>
      <c r="Z260" s="12">
        <f t="shared" si="10"/>
        <v>13.553844728745524</v>
      </c>
      <c r="AA260" s="12">
        <f t="shared" si="11"/>
        <v>7.5854890380599098</v>
      </c>
      <c r="AB260" s="12">
        <f t="shared" si="12"/>
        <v>3.0033587336884158</v>
      </c>
      <c r="AC260" s="12">
        <f t="shared" si="13"/>
        <v>0.53262316910785623</v>
      </c>
      <c r="AE260" s="13"/>
      <c r="AF260" s="13"/>
    </row>
    <row r="261" spans="1:32">
      <c r="A261" s="8" t="s">
        <v>1068</v>
      </c>
      <c r="B261" s="9" t="s">
        <v>41</v>
      </c>
      <c r="C261" s="9" t="s">
        <v>1069</v>
      </c>
      <c r="D261" s="9" t="s">
        <v>1070</v>
      </c>
      <c r="E261" s="9"/>
      <c r="F261" s="9" t="str">
        <f ca="1">IFERROR(__xludf.DUMMYFUNCTION("IFS(
  REGEXMATCH(LOWER(VLOOKUP(A261, Data1_Raw_Slack!A:B, 2, FALSE)), ""news|weather""), ""News and Weather"", REGEXMATCH(LOWER(VLOOKUP(A261, Data1_Raw_Slack!A:B, 2, FALSE)), ""sports|ufc|nba|nfl|mlb|soccer|sports fans""), ""Sports"",
  REGEXMATCH(LOWER("&amp;"VLOOKUP(A261, Data1_Raw_Slack!A:B, 2, FALSE)), ""fashion|style|clothing|apparel|shoes|accessories|beauty|cosmetics|fashionistas""), ""Fashion and Beauty"",
  REGEXMATCH(LOWER(VLOOKUP(A261, Data1_Raw_Slack!A:B, 2, FALSE)), ""food|cooking|recipe|restaurant|"&amp;"snack|grocery|foodies""), ""Food"",
  REGEXMATCH(LOWER(VLOOKUP(A261, Data1_Raw_Slack!A:B, 2, FALSE)), ""travel|vacation|airline|hotel|trip|flights|travelers""), ""Travel"",
  REGEXMATCH(LOWER(VLOOKUP(A261, Data1_Raw_Slack!A:B, 2, FALSE)), ""fitness|workou"&amp;"t|gym|exercise|yoga|wellness|fitness enthusiasts""), ""Fitness"",
  REGEXMATCH(LOWER(VLOOKUP(A261, Data1_Raw_Slack!A:B, 2, FALSE)), ""health|medical|pharmacy|mental health|doctor|health-conscious""), ""Health"",
  REGEXMATCH(LOWER(VLOOKUP(A261, Data1_Raw_"&amp;"Slack!A:B, 2, FALSE)), ""pets|dogs|cats|animals|pet care|pet lovers""), ""Pets"",
  REGEXMATCH(LOWER(VLOOKUP(A261, Data1_Raw_Slack!A:B, 2, FALSE)), ""games|gaming|game|xbox|playstation|nintendo|gamers""), ""Gaming"",
  REGEXMATCH(LOWER(VLOOKUP(A261, Data1"&amp;"_Raw_Slack!A:B, 2, FALSE)), ""entertainment|movies|tv|netflix|streaming|celebrity|movie lovers|tv fans|hobb|photo|art""), ""Entertainment"",
  REGEXMATCH(LOWER(VLOOKUP(A261, Data1_Raw_Slack!A:B, 2, FALSE)), ""lifestyle|home|interior|decor|living|lifestyle"&amp;" enthusiasts""), ""Lifestyle"",
  REGEXMATCH(LOWER(VLOOKUP(A261, Data1_Raw_Slack!A:B, 2, FALSE)), ""financial|finance|investing|stocks|retirement|banking|credit|debt|loans|savings|personal finance|insurance|econ|ecom|business|retail|occupation|sale|job|ma"&amp;"rketing""), ""Finance"",
  REGEXMATCH(LOWER(VLOOKUP(A261, Data1_Raw_Slack!A:B, 2, FALSE)), ""auto|automotive""), ""Auto"",
  REGEXMATCH(LOWER(VLOOKUP(A261, Data1_Raw_Slack!A:B, 2, FALSE)), ""parenting|moms|dads|kids|toddlers|baby|parent|children""), ""Par"&amp;"enting"",
  REGEXMATCH(LOWER(VLOOKUP(A261, Data1_Raw_Slack!A:B, 2, FALSE)), ""education|students|learning|school|teachers|college|university|academics""), ""Education"",
  REGEXMATCH(LOWER(VLOOKUP(A261, Data1_Raw_Slack!A:B, 2, FALSE)), ""age|gender|dem"&amp;"ographic|family|household""), ""Demographics"",
  REGEXMATCH(LOWER(VLOOKUP(A261, Data1_Raw_Slack!A:B, 2, FALSE)), ""mortgage|real estate""), ""Real Estate"",REGEXMATCH(LOWER(VLOOKUP(A261, Data1_Raw_Slack!A:B, 2, FALSE)), ""technology|tech|gadgets|smartpho"&amp;"ne|electro|apps|devices|computing|ai|robots|software|computer|internet|tele|mobile|tablet""), ""Technology"", REGEXMATCH(LOWER(VLOOKUP(A261, Data1_Raw_Slack!A:B, 2, FALSE)), ""entertainment|purchas|movies|tv|netflix|streaming|celebrity|movie lovers|tv fan"&amp;"s|media|hobb|photo|art|shop""), ""Entertainment"", REGEXMATCH(LOWER(VLOOKUP(A261, Data1_Raw_Slack!A:B, 2, FALSE)), ""law|government|""), ""Law and Government"",
  TRUE, ""Other""
)"),"Finance")</f>
        <v>Finance</v>
      </c>
      <c r="G261" s="9" t="s">
        <v>127</v>
      </c>
      <c r="H261" s="9" t="s">
        <v>32</v>
      </c>
      <c r="I261" s="9" t="s">
        <v>1071</v>
      </c>
      <c r="J261" s="9" t="s">
        <v>34</v>
      </c>
      <c r="K261" s="9" t="s">
        <v>1072</v>
      </c>
      <c r="L261" s="9" t="s">
        <v>242</v>
      </c>
      <c r="M261" s="10" t="s">
        <v>112</v>
      </c>
      <c r="N261" s="9" t="str">
        <f ca="1">IFERROR(__xludf.DUMMYFUNCTION("REGEXEXTRACT(LOWER(M261), ""([a-z0-9\-]+)\.(?:co|net|org|io|gg)"")"),"ebay")</f>
        <v>ebay</v>
      </c>
      <c r="O261" s="9" t="s">
        <v>725</v>
      </c>
      <c r="P261" s="9" t="s">
        <v>39</v>
      </c>
      <c r="Q261" s="9">
        <v>83957</v>
      </c>
      <c r="R261" s="9">
        <v>185</v>
      </c>
      <c r="S261" s="9">
        <v>1420</v>
      </c>
      <c r="T261" s="9">
        <v>69246</v>
      </c>
      <c r="U261" s="9">
        <v>19</v>
      </c>
      <c r="V261" s="11">
        <v>6651.51451</v>
      </c>
      <c r="W261" s="12">
        <f t="shared" si="7"/>
        <v>350.07971105263158</v>
      </c>
      <c r="X261" s="12">
        <f t="shared" si="8"/>
        <v>0.22035089390997775</v>
      </c>
      <c r="Y261" s="12">
        <f t="shared" si="9"/>
        <v>1.6913419964982075</v>
      </c>
      <c r="Z261" s="12">
        <f t="shared" si="10"/>
        <v>4684.1651478873237</v>
      </c>
      <c r="AA261" s="12">
        <f t="shared" si="11"/>
        <v>79.225252331550678</v>
      </c>
      <c r="AB261" s="12">
        <f t="shared" si="12"/>
        <v>35.954132486486486</v>
      </c>
      <c r="AC261" s="12">
        <f t="shared" si="13"/>
        <v>10.27027027027027</v>
      </c>
      <c r="AE261" s="13"/>
      <c r="AF261" s="13"/>
    </row>
    <row r="262" spans="1:32">
      <c r="A262" s="8" t="s">
        <v>1073</v>
      </c>
      <c r="B262" s="9" t="s">
        <v>41</v>
      </c>
      <c r="C262" s="9" t="s">
        <v>162</v>
      </c>
      <c r="D262" s="9" t="s">
        <v>248</v>
      </c>
      <c r="E262" s="9" t="s">
        <v>1074</v>
      </c>
      <c r="F262" s="9" t="str">
        <f ca="1">IFERROR(__xludf.DUMMYFUNCTION("IFS(
  REGEXMATCH(LOWER(VLOOKUP(A262, Data1_Raw_Slack!A:B, 2, FALSE)), ""news|weather""), ""News and Weather"", REGEXMATCH(LOWER(VLOOKUP(A262, Data1_Raw_Slack!A:B, 2, FALSE)), ""sports|ufc|nba|nfl|mlb|soccer|sports fans""), ""Sports"",
  REGEXMATCH(LOWER("&amp;"VLOOKUP(A262, Data1_Raw_Slack!A:B, 2, FALSE)), ""fashion|style|clothing|apparel|shoes|accessories|beauty|cosmetics|fashionistas""), ""Fashion and Beauty"",
  REGEXMATCH(LOWER(VLOOKUP(A262, Data1_Raw_Slack!A:B, 2, FALSE)), ""food|cooking|recipe|restaurant|"&amp;"snack|grocery|foodies""), ""Food"",
  REGEXMATCH(LOWER(VLOOKUP(A262, Data1_Raw_Slack!A:B, 2, FALSE)), ""travel|vacation|airline|hotel|trip|flights|travelers""), ""Travel"",
  REGEXMATCH(LOWER(VLOOKUP(A262, Data1_Raw_Slack!A:B, 2, FALSE)), ""fitness|workou"&amp;"t|gym|exercise|yoga|wellness|fitness enthusiasts""), ""Fitness"",
  REGEXMATCH(LOWER(VLOOKUP(A262, Data1_Raw_Slack!A:B, 2, FALSE)), ""health|medical|pharmacy|mental health|doctor|health-conscious""), ""Health"",
  REGEXMATCH(LOWER(VLOOKUP(A262, Data1_Raw_"&amp;"Slack!A:B, 2, FALSE)), ""pets|dogs|cats|animals|pet care|pet lovers""), ""Pets"",
  REGEXMATCH(LOWER(VLOOKUP(A262, Data1_Raw_Slack!A:B, 2, FALSE)), ""games|gaming|game|xbox|playstation|nintendo|gamers""), ""Gaming"",
  REGEXMATCH(LOWER(VLOOKUP(A262, Data1"&amp;"_Raw_Slack!A:B, 2, FALSE)), ""entertainment|movies|tv|netflix|streaming|celebrity|movie lovers|tv fans|hobb|photo|art""), ""Entertainment"",
  REGEXMATCH(LOWER(VLOOKUP(A262, Data1_Raw_Slack!A:B, 2, FALSE)), ""lifestyle|home|interior|decor|living|lifestyle"&amp;" enthusiasts""), ""Lifestyle"",
  REGEXMATCH(LOWER(VLOOKUP(A262, Data1_Raw_Slack!A:B, 2, FALSE)), ""financial|finance|investing|stocks|retirement|banking|credit|debt|loans|savings|personal finance|insurance|econ|ecom|business|retail|occupation|sale|job|ma"&amp;"rketing""), ""Finance"",
  REGEXMATCH(LOWER(VLOOKUP(A262, Data1_Raw_Slack!A:B, 2, FALSE)), ""auto|automotive""), ""Auto"",
  REGEXMATCH(LOWER(VLOOKUP(A262, Data1_Raw_Slack!A:B, 2, FALSE)), ""parenting|moms|dads|kids|toddlers|baby|parent|children""), ""Par"&amp;"enting"",
  REGEXMATCH(LOWER(VLOOKUP(A262, Data1_Raw_Slack!A:B, 2, FALSE)), ""education|students|learning|school|teachers|college|university|academics""), ""Education"",
  REGEXMATCH(LOWER(VLOOKUP(A262, Data1_Raw_Slack!A:B, 2, FALSE)), ""age|gender|dem"&amp;"ographic|family|household""), ""Demographics"",
  REGEXMATCH(LOWER(VLOOKUP(A262, Data1_Raw_Slack!A:B, 2, FALSE)), ""mortgage|real estate""), ""Real Estate"",REGEXMATCH(LOWER(VLOOKUP(A262, Data1_Raw_Slack!A:B, 2, FALSE)), ""technology|tech|gadgets|smartpho"&amp;"ne|electro|apps|devices|computing|ai|robots|software|computer|internet|tele|mobile|tablet""), ""Technology"", REGEXMATCH(LOWER(VLOOKUP(A262, Data1_Raw_Slack!A:B, 2, FALSE)), ""entertainment|purchas|movies|tv|netflix|streaming|celebrity|movie lovers|tv fan"&amp;"s|media|hobb|photo|art|shop""), ""Entertainment"", REGEXMATCH(LOWER(VLOOKUP(A262, Data1_Raw_Slack!A:B, 2, FALSE)), ""law|government|""), ""Law and Government"",
  TRUE, ""Other""
)"),"Auto")</f>
        <v>Auto</v>
      </c>
      <c r="G262" s="9" t="s">
        <v>122</v>
      </c>
      <c r="H262" s="9" t="s">
        <v>44</v>
      </c>
      <c r="I262" s="9" t="s">
        <v>1075</v>
      </c>
      <c r="J262" s="9" t="s">
        <v>34</v>
      </c>
      <c r="K262" s="9" t="s">
        <v>405</v>
      </c>
      <c r="L262" s="9" t="s">
        <v>72</v>
      </c>
      <c r="M262" s="10" t="s">
        <v>229</v>
      </c>
      <c r="N262" s="9" t="str">
        <f ca="1">IFERROR(__xludf.DUMMYFUNCTION("REGEXEXTRACT(LOWER(M262), ""([a-z0-9\-]+)\.(?:co|net|org|io|gg)"")"),"msn")</f>
        <v>msn</v>
      </c>
      <c r="O262" s="9" t="s">
        <v>103</v>
      </c>
      <c r="P262" s="9" t="s">
        <v>39</v>
      </c>
      <c r="Q262" s="9">
        <v>12974</v>
      </c>
      <c r="R262" s="9">
        <v>84</v>
      </c>
      <c r="S262" s="9">
        <v>7521</v>
      </c>
      <c r="T262" s="9">
        <v>10959</v>
      </c>
      <c r="U262" s="9">
        <v>7</v>
      </c>
      <c r="V262" s="11">
        <v>6301.8688469999997</v>
      </c>
      <c r="W262" s="12">
        <f t="shared" si="7"/>
        <v>900.26697814285706</v>
      </c>
      <c r="X262" s="12">
        <f t="shared" si="8"/>
        <v>0.64744874364112837</v>
      </c>
      <c r="Y262" s="12">
        <f t="shared" si="9"/>
        <v>57.969785725296752</v>
      </c>
      <c r="Z262" s="12">
        <f t="shared" si="10"/>
        <v>837.90305105704022</v>
      </c>
      <c r="AA262" s="12">
        <f t="shared" si="11"/>
        <v>485.73060328349004</v>
      </c>
      <c r="AB262" s="12">
        <f t="shared" si="12"/>
        <v>75.022248178571431</v>
      </c>
      <c r="AC262" s="12">
        <f t="shared" si="13"/>
        <v>8.3333333333333321</v>
      </c>
      <c r="AE262" s="13"/>
      <c r="AF262" s="13"/>
    </row>
    <row r="263" spans="1:32">
      <c r="A263" s="8" t="s">
        <v>1076</v>
      </c>
      <c r="B263" s="9" t="s">
        <v>1001</v>
      </c>
      <c r="C263" s="9" t="s">
        <v>1077</v>
      </c>
      <c r="D263" s="9" t="s">
        <v>1002</v>
      </c>
      <c r="E263" s="9"/>
      <c r="F263" s="9" t="str">
        <f ca="1">IFERROR(__xludf.DUMMYFUNCTION("IFS(
  REGEXMATCH(LOWER(VLOOKUP(A263, Data1_Raw_Slack!A:B, 2, FALSE)), ""news|weather""), ""News and Weather"", REGEXMATCH(LOWER(VLOOKUP(A263, Data1_Raw_Slack!A:B, 2, FALSE)), ""sports|ufc|nba|nfl|mlb|soccer|sports fans""), ""Sports"",
  REGEXMATCH(LOWER("&amp;"VLOOKUP(A263, Data1_Raw_Slack!A:B, 2, FALSE)), ""fashion|style|clothing|apparel|shoes|accessories|beauty|cosmetics|fashionistas""), ""Fashion and Beauty"",
  REGEXMATCH(LOWER(VLOOKUP(A263, Data1_Raw_Slack!A:B, 2, FALSE)), ""food|cooking|recipe|restaurant|"&amp;"snack|grocery|foodies""), ""Food"",
  REGEXMATCH(LOWER(VLOOKUP(A263, Data1_Raw_Slack!A:B, 2, FALSE)), ""travel|vacation|airline|hotel|trip|flights|travelers""), ""Travel"",
  REGEXMATCH(LOWER(VLOOKUP(A263, Data1_Raw_Slack!A:B, 2, FALSE)), ""fitness|workou"&amp;"t|gym|exercise|yoga|wellness|fitness enthusiasts""), ""Fitness"",
  REGEXMATCH(LOWER(VLOOKUP(A263, Data1_Raw_Slack!A:B, 2, FALSE)), ""health|medical|pharmacy|mental health|doctor|health-conscious""), ""Health"",
  REGEXMATCH(LOWER(VLOOKUP(A263, Data1_Raw_"&amp;"Slack!A:B, 2, FALSE)), ""pets|dogs|cats|animals|pet care|pet lovers""), ""Pets"",
  REGEXMATCH(LOWER(VLOOKUP(A263, Data1_Raw_Slack!A:B, 2, FALSE)), ""games|gaming|game|xbox|playstation|nintendo|gamers""), ""Gaming"",
  REGEXMATCH(LOWER(VLOOKUP(A263, Data1"&amp;"_Raw_Slack!A:B, 2, FALSE)), ""entertainment|movies|tv|netflix|streaming|celebrity|movie lovers|tv fans|hobb|photo|art""), ""Entertainment"",
  REGEXMATCH(LOWER(VLOOKUP(A263, Data1_Raw_Slack!A:B, 2, FALSE)), ""lifestyle|home|interior|decor|living|lifestyle"&amp;" enthusiasts""), ""Lifestyle"",
  REGEXMATCH(LOWER(VLOOKUP(A263, Data1_Raw_Slack!A:B, 2, FALSE)), ""financial|finance|investing|stocks|retirement|banking|credit|debt|loans|savings|personal finance|insurance|econ|ecom|business|retail|occupation|sale|job|ma"&amp;"rketing""), ""Finance"",
  REGEXMATCH(LOWER(VLOOKUP(A263, Data1_Raw_Slack!A:B, 2, FALSE)), ""auto|automotive""), ""Auto"",
  REGEXMATCH(LOWER(VLOOKUP(A263, Data1_Raw_Slack!A:B, 2, FALSE)), ""parenting|moms|dads|kids|toddlers|baby|parent|children""), ""Par"&amp;"enting"",
  REGEXMATCH(LOWER(VLOOKUP(A263, Data1_Raw_Slack!A:B, 2, FALSE)), ""education|students|learning|school|teachers|college|university|academics""), ""Education"",
  REGEXMATCH(LOWER(VLOOKUP(A263, Data1_Raw_Slack!A:B, 2, FALSE)), ""age|gender|dem"&amp;"ographic|family|household""), ""Demographics"",
  REGEXMATCH(LOWER(VLOOKUP(A263, Data1_Raw_Slack!A:B, 2, FALSE)), ""mortgage|real estate""), ""Real Estate"",REGEXMATCH(LOWER(VLOOKUP(A263, Data1_Raw_Slack!A:B, 2, FALSE)), ""technology|tech|gadgets|smartpho"&amp;"ne|electro|apps|devices|computing|ai|robots|software|computer|internet|tele|mobile|tablet""), ""Technology"", REGEXMATCH(LOWER(VLOOKUP(A263, Data1_Raw_Slack!A:B, 2, FALSE)), ""entertainment|purchas|movies|tv|netflix|streaming|celebrity|movie lovers|tv fan"&amp;"s|media|hobb|photo|art|shop""), ""Entertainment"", REGEXMATCH(LOWER(VLOOKUP(A263, Data1_Raw_Slack!A:B, 2, FALSE)), ""law|government|""), ""Law and Government"",
  TRUE, ""Other""
)"),"Fashion and Beauty")</f>
        <v>Fashion and Beauty</v>
      </c>
      <c r="G263" s="9"/>
      <c r="H263" s="9" t="s">
        <v>44</v>
      </c>
      <c r="I263" s="9" t="s">
        <v>1078</v>
      </c>
      <c r="J263" s="9" t="s">
        <v>80</v>
      </c>
      <c r="K263" s="9" t="s">
        <v>56</v>
      </c>
      <c r="L263" s="9" t="s">
        <v>57</v>
      </c>
      <c r="M263" s="10" t="s">
        <v>744</v>
      </c>
      <c r="N263" s="9" t="str">
        <f ca="1">IFERROR(__xludf.DUMMYFUNCTION("REGEXEXTRACT(LOWER(M263), ""([a-z0-9\-]+)\.(?:co|net|org|io|gg)"")"),"miamiherald")</f>
        <v>miamiherald</v>
      </c>
      <c r="O263" s="9" t="s">
        <v>103</v>
      </c>
      <c r="P263" s="9" t="s">
        <v>39</v>
      </c>
      <c r="Q263" s="9">
        <v>7356</v>
      </c>
      <c r="R263" s="9">
        <v>10</v>
      </c>
      <c r="S263" s="9">
        <v>1588</v>
      </c>
      <c r="T263" s="9">
        <v>7088</v>
      </c>
      <c r="U263" s="9">
        <v>1</v>
      </c>
      <c r="V263" s="11">
        <v>1730.37357</v>
      </c>
      <c r="W263" s="12">
        <f t="shared" si="7"/>
        <v>1730.37357</v>
      </c>
      <c r="X263" s="12">
        <f t="shared" si="8"/>
        <v>0.13594344752582926</v>
      </c>
      <c r="Y263" s="12">
        <f t="shared" si="9"/>
        <v>21.587819467101685</v>
      </c>
      <c r="Z263" s="12">
        <f t="shared" si="10"/>
        <v>1089.6559005037782</v>
      </c>
      <c r="AA263" s="12">
        <f t="shared" si="11"/>
        <v>235.23294861337681</v>
      </c>
      <c r="AB263" s="12">
        <f t="shared" si="12"/>
        <v>173.03735699999999</v>
      </c>
      <c r="AC263" s="12">
        <f t="shared" si="13"/>
        <v>10</v>
      </c>
      <c r="AE263" s="13"/>
      <c r="AF263" s="13"/>
    </row>
    <row r="264" spans="1:32">
      <c r="A264" s="8" t="s">
        <v>1079</v>
      </c>
      <c r="B264" s="9" t="s">
        <v>41</v>
      </c>
      <c r="C264" s="9" t="s">
        <v>154</v>
      </c>
      <c r="D264" s="9" t="s">
        <v>188</v>
      </c>
      <c r="E264" s="9" t="s">
        <v>1080</v>
      </c>
      <c r="F264" s="9" t="str">
        <f ca="1">IFERROR(__xludf.DUMMYFUNCTION("IFS(
  REGEXMATCH(LOWER(VLOOKUP(A264, Data1_Raw_Slack!A:B, 2, FALSE)), ""news|weather""), ""News and Weather"", REGEXMATCH(LOWER(VLOOKUP(A264, Data1_Raw_Slack!A:B, 2, FALSE)), ""sports|ufc|nba|nfl|mlb|soccer|sports fans""), ""Sports"",
  REGEXMATCH(LOWER("&amp;"VLOOKUP(A264, Data1_Raw_Slack!A:B, 2, FALSE)), ""fashion|style|clothing|apparel|shoes|accessories|beauty|cosmetics|fashionistas""), ""Fashion and Beauty"",
  REGEXMATCH(LOWER(VLOOKUP(A264, Data1_Raw_Slack!A:B, 2, FALSE)), ""food|cooking|recipe|restaurant|"&amp;"snack|grocery|foodies""), ""Food"",
  REGEXMATCH(LOWER(VLOOKUP(A264, Data1_Raw_Slack!A:B, 2, FALSE)), ""travel|vacation|airline|hotel|trip|flights|travelers""), ""Travel"",
  REGEXMATCH(LOWER(VLOOKUP(A264, Data1_Raw_Slack!A:B, 2, FALSE)), ""fitness|workou"&amp;"t|gym|exercise|yoga|wellness|fitness enthusiasts""), ""Fitness"",
  REGEXMATCH(LOWER(VLOOKUP(A264, Data1_Raw_Slack!A:B, 2, FALSE)), ""health|medical|pharmacy|mental health|doctor|health-conscious""), ""Health"",
  REGEXMATCH(LOWER(VLOOKUP(A264, Data1_Raw_"&amp;"Slack!A:B, 2, FALSE)), ""pets|dogs|cats|animals|pet care|pet lovers""), ""Pets"",
  REGEXMATCH(LOWER(VLOOKUP(A264, Data1_Raw_Slack!A:B, 2, FALSE)), ""games|gaming|game|xbox|playstation|nintendo|gamers""), ""Gaming"",
  REGEXMATCH(LOWER(VLOOKUP(A264, Data1"&amp;"_Raw_Slack!A:B, 2, FALSE)), ""entertainment|movies|tv|netflix|streaming|celebrity|movie lovers|tv fans|hobb|photo|art""), ""Entertainment"",
  REGEXMATCH(LOWER(VLOOKUP(A264, Data1_Raw_Slack!A:B, 2, FALSE)), ""lifestyle|home|interior|decor|living|lifestyle"&amp;" enthusiasts""), ""Lifestyle"",
  REGEXMATCH(LOWER(VLOOKUP(A264, Data1_Raw_Slack!A:B, 2, FALSE)), ""financial|finance|investing|stocks|retirement|banking|credit|debt|loans|savings|personal finance|insurance|econ|ecom|business|retail|occupation|sale|job|ma"&amp;"rketing""), ""Finance"",
  REGEXMATCH(LOWER(VLOOKUP(A264, Data1_Raw_Slack!A:B, 2, FALSE)), ""auto|automotive""), ""Auto"",
  REGEXMATCH(LOWER(VLOOKUP(A264, Data1_Raw_Slack!A:B, 2, FALSE)), ""parenting|moms|dads|kids|toddlers|baby|parent|children""), ""Par"&amp;"enting"",
  REGEXMATCH(LOWER(VLOOKUP(A264, Data1_Raw_Slack!A:B, 2, FALSE)), ""education|students|learning|school|teachers|college|university|academics""), ""Education"",
  REGEXMATCH(LOWER(VLOOKUP(A264, Data1_Raw_Slack!A:B, 2, FALSE)), ""age|gender|dem"&amp;"ographic|family|household""), ""Demographics"",
  REGEXMATCH(LOWER(VLOOKUP(A264, Data1_Raw_Slack!A:B, 2, FALSE)), ""mortgage|real estate""), ""Real Estate"",REGEXMATCH(LOWER(VLOOKUP(A264, Data1_Raw_Slack!A:B, 2, FALSE)), ""technology|tech|gadgets|smartpho"&amp;"ne|electro|apps|devices|computing|ai|robots|software|computer|internet|tele|mobile|tablet""), ""Technology"", REGEXMATCH(LOWER(VLOOKUP(A264, Data1_Raw_Slack!A:B, 2, FALSE)), ""entertainment|purchas|movies|tv|netflix|streaming|celebrity|movie lovers|tv fan"&amp;"s|media|hobb|photo|art|shop""), ""Entertainment"", REGEXMATCH(LOWER(VLOOKUP(A264, Data1_Raw_Slack!A:B, 2, FALSE)), ""law|government|""), ""Law and Government"",
  TRUE, ""Other""
)"),"Sports")</f>
        <v>Sports</v>
      </c>
      <c r="G264" s="9" t="s">
        <v>154</v>
      </c>
      <c r="H264" s="9" t="s">
        <v>32</v>
      </c>
      <c r="I264" s="9" t="s">
        <v>943</v>
      </c>
      <c r="J264" s="9" t="s">
        <v>34</v>
      </c>
      <c r="K264" s="9" t="s">
        <v>148</v>
      </c>
      <c r="L264" s="9" t="s">
        <v>89</v>
      </c>
      <c r="M264" s="10" t="s">
        <v>1081</v>
      </c>
      <c r="N264" s="9" t="str">
        <f ca="1">IFERROR(__xludf.DUMMYFUNCTION("REGEXEXTRACT(LOWER(M264), ""([a-z0-9\-]+)\.(?:co|net|org|io|gg)"")"),"alotfinance")</f>
        <v>alotfinance</v>
      </c>
      <c r="O264" s="9" t="s">
        <v>157</v>
      </c>
      <c r="P264" s="9" t="s">
        <v>39</v>
      </c>
      <c r="Q264" s="9">
        <v>40447</v>
      </c>
      <c r="R264" s="9">
        <v>177</v>
      </c>
      <c r="S264" s="9">
        <v>16663</v>
      </c>
      <c r="T264" s="9">
        <v>29774</v>
      </c>
      <c r="U264" s="9">
        <v>12</v>
      </c>
      <c r="V264" s="11">
        <v>5083.8862730000001</v>
      </c>
      <c r="W264" s="12">
        <f t="shared" si="7"/>
        <v>423.65718941666665</v>
      </c>
      <c r="X264" s="12">
        <f t="shared" si="8"/>
        <v>0.43760971147427496</v>
      </c>
      <c r="Y264" s="12">
        <f t="shared" si="9"/>
        <v>41.197122159863525</v>
      </c>
      <c r="Z264" s="12">
        <f t="shared" si="10"/>
        <v>305.10029844565804</v>
      </c>
      <c r="AA264" s="12">
        <f t="shared" si="11"/>
        <v>125.69254266076594</v>
      </c>
      <c r="AB264" s="12">
        <f t="shared" si="12"/>
        <v>28.722521316384181</v>
      </c>
      <c r="AC264" s="12">
        <f t="shared" si="13"/>
        <v>6.7796610169491522</v>
      </c>
      <c r="AE264" s="13"/>
      <c r="AF264" s="13"/>
    </row>
    <row r="265" spans="1:32">
      <c r="A265" s="8" t="s">
        <v>1082</v>
      </c>
      <c r="B265" s="9" t="s">
        <v>41</v>
      </c>
      <c r="C265" s="9" t="s">
        <v>42</v>
      </c>
      <c r="D265" s="9" t="s">
        <v>1083</v>
      </c>
      <c r="E265" s="9"/>
      <c r="F265" s="9" t="str">
        <f ca="1">IFERROR(__xludf.DUMMYFUNCTION("IFS(
  REGEXMATCH(LOWER(VLOOKUP(A265, Data1_Raw_Slack!A:B, 2, FALSE)), ""news|weather""), ""News and Weather"", REGEXMATCH(LOWER(VLOOKUP(A265, Data1_Raw_Slack!A:B, 2, FALSE)), ""sports|ufc|nba|nfl|mlb|soccer|sports fans""), ""Sports"",
  REGEXMATCH(LOWER("&amp;"VLOOKUP(A265, Data1_Raw_Slack!A:B, 2, FALSE)), ""fashion|style|clothing|apparel|shoes|accessories|beauty|cosmetics|fashionistas""), ""Fashion and Beauty"",
  REGEXMATCH(LOWER(VLOOKUP(A265, Data1_Raw_Slack!A:B, 2, FALSE)), ""food|cooking|recipe|restaurant|"&amp;"snack|grocery|foodies""), ""Food"",
  REGEXMATCH(LOWER(VLOOKUP(A265, Data1_Raw_Slack!A:B, 2, FALSE)), ""travel|vacation|airline|hotel|trip|flights|travelers""), ""Travel"",
  REGEXMATCH(LOWER(VLOOKUP(A265, Data1_Raw_Slack!A:B, 2, FALSE)), ""fitness|workou"&amp;"t|gym|exercise|yoga|wellness|fitness enthusiasts""), ""Fitness"",
  REGEXMATCH(LOWER(VLOOKUP(A265, Data1_Raw_Slack!A:B, 2, FALSE)), ""health|medical|pharmacy|mental health|doctor|health-conscious""), ""Health"",
  REGEXMATCH(LOWER(VLOOKUP(A265, Data1_Raw_"&amp;"Slack!A:B, 2, FALSE)), ""pets|dogs|cats|animals|pet care|pet lovers""), ""Pets"",
  REGEXMATCH(LOWER(VLOOKUP(A265, Data1_Raw_Slack!A:B, 2, FALSE)), ""games|gaming|game|xbox|playstation|nintendo|gamers""), ""Gaming"",
  REGEXMATCH(LOWER(VLOOKUP(A265, Data1"&amp;"_Raw_Slack!A:B, 2, FALSE)), ""entertainment|movies|tv|netflix|streaming|celebrity|movie lovers|tv fans|hobb|photo|art""), ""Entertainment"",
  REGEXMATCH(LOWER(VLOOKUP(A265, Data1_Raw_Slack!A:B, 2, FALSE)), ""lifestyle|home|interior|decor|living|lifestyle"&amp;" enthusiasts""), ""Lifestyle"",
  REGEXMATCH(LOWER(VLOOKUP(A265, Data1_Raw_Slack!A:B, 2, FALSE)), ""financial|finance|investing|stocks|retirement|banking|credit|debt|loans|savings|personal finance|insurance|econ|ecom|business|retail|occupation|sale|job|ma"&amp;"rketing""), ""Finance"",
  REGEXMATCH(LOWER(VLOOKUP(A265, Data1_Raw_Slack!A:B, 2, FALSE)), ""auto|automotive""), ""Auto"",
  REGEXMATCH(LOWER(VLOOKUP(A265, Data1_Raw_Slack!A:B, 2, FALSE)), ""parenting|moms|dads|kids|toddlers|baby|parent|children""), ""Par"&amp;"enting"",
  REGEXMATCH(LOWER(VLOOKUP(A265, Data1_Raw_Slack!A:B, 2, FALSE)), ""education|students|learning|school|teachers|college|university|academics""), ""Education"",
  REGEXMATCH(LOWER(VLOOKUP(A265, Data1_Raw_Slack!A:B, 2, FALSE)), ""age|gender|dem"&amp;"ographic|family|household""), ""Demographics"",
  REGEXMATCH(LOWER(VLOOKUP(A265, Data1_Raw_Slack!A:B, 2, FALSE)), ""mortgage|real estate""), ""Real Estate"",REGEXMATCH(LOWER(VLOOKUP(A265, Data1_Raw_Slack!A:B, 2, FALSE)), ""technology|tech|gadgets|smartpho"&amp;"ne|electro|apps|devices|computing|ai|robots|software|computer|internet|tele|mobile|tablet""), ""Technology"", REGEXMATCH(LOWER(VLOOKUP(A265, Data1_Raw_Slack!A:B, 2, FALSE)), ""entertainment|purchas|movies|tv|netflix|streaming|celebrity|movie lovers|tv fan"&amp;"s|media|hobb|photo|art|shop""), ""Entertainment"", REGEXMATCH(LOWER(VLOOKUP(A265, Data1_Raw_Slack!A:B, 2, FALSE)), ""law|government|""), ""Law and Government"",
  TRUE, ""Other""
)"),"Law and Government")</f>
        <v>Law and Government</v>
      </c>
      <c r="G265" s="9"/>
      <c r="H265" s="9" t="s">
        <v>32</v>
      </c>
      <c r="I265" s="9" t="s">
        <v>1084</v>
      </c>
      <c r="J265" s="9" t="s">
        <v>62</v>
      </c>
      <c r="K265" s="9" t="s">
        <v>142</v>
      </c>
      <c r="L265" s="9" t="s">
        <v>72</v>
      </c>
      <c r="M265" s="10" t="s">
        <v>354</v>
      </c>
      <c r="N265" s="9" t="str">
        <f ca="1">IFERROR(__xludf.DUMMYFUNCTION("REGEXEXTRACT(LOWER(M265), ""([a-z0-9\-]+)\.(?:co|net|org|io|gg)"")"),"yahoo")</f>
        <v>yahoo</v>
      </c>
      <c r="O265" s="9" t="s">
        <v>50</v>
      </c>
      <c r="P265" s="9" t="s">
        <v>39</v>
      </c>
      <c r="Q265" s="9">
        <v>571090</v>
      </c>
      <c r="R265" s="9">
        <v>1541</v>
      </c>
      <c r="S265" s="9">
        <v>246243</v>
      </c>
      <c r="T265" s="9">
        <v>532325</v>
      </c>
      <c r="U265" s="9">
        <v>11</v>
      </c>
      <c r="V265" s="11">
        <v>4733.6187829999999</v>
      </c>
      <c r="W265" s="12">
        <f t="shared" si="7"/>
        <v>430.32898027272728</v>
      </c>
      <c r="X265" s="12">
        <f t="shared" si="8"/>
        <v>0.2698348771647201</v>
      </c>
      <c r="Y265" s="12">
        <f t="shared" si="9"/>
        <v>43.118072457931319</v>
      </c>
      <c r="Z265" s="12">
        <f t="shared" si="10"/>
        <v>19.223363843845306</v>
      </c>
      <c r="AA265" s="12">
        <f t="shared" si="11"/>
        <v>8.2887439510409919</v>
      </c>
      <c r="AB265" s="12">
        <f t="shared" si="12"/>
        <v>3.0717837657365346</v>
      </c>
      <c r="AC265" s="12">
        <f t="shared" si="13"/>
        <v>0.71382219338092145</v>
      </c>
      <c r="AE265" s="13"/>
      <c r="AF265" s="13"/>
    </row>
    <row r="266" spans="1:32">
      <c r="A266" s="8" t="s">
        <v>1085</v>
      </c>
      <c r="B266" s="9" t="s">
        <v>144</v>
      </c>
      <c r="C266" s="9" t="s">
        <v>135</v>
      </c>
      <c r="D266" s="9"/>
      <c r="E266" s="9"/>
      <c r="F266" s="9" t="str">
        <f ca="1">IFERROR(__xludf.DUMMYFUNCTION("IFS(
  REGEXMATCH(LOWER(VLOOKUP(A266, Data1_Raw_Slack!A:B, 2, FALSE)), ""news|weather""), ""News and Weather"", REGEXMATCH(LOWER(VLOOKUP(A266, Data1_Raw_Slack!A:B, 2, FALSE)), ""sports|ufc|nba|nfl|mlb|soccer|sports fans""), ""Sports"",
  REGEXMATCH(LOWER("&amp;"VLOOKUP(A266, Data1_Raw_Slack!A:B, 2, FALSE)), ""fashion|style|clothing|apparel|shoes|accessories|beauty|cosmetics|fashionistas""), ""Fashion and Beauty"",
  REGEXMATCH(LOWER(VLOOKUP(A266, Data1_Raw_Slack!A:B, 2, FALSE)), ""food|cooking|recipe|restaurant|"&amp;"snack|grocery|foodies""), ""Food"",
  REGEXMATCH(LOWER(VLOOKUP(A266, Data1_Raw_Slack!A:B, 2, FALSE)), ""travel|vacation|airline|hotel|trip|flights|travelers""), ""Travel"",
  REGEXMATCH(LOWER(VLOOKUP(A266, Data1_Raw_Slack!A:B, 2, FALSE)), ""fitness|workou"&amp;"t|gym|exercise|yoga|wellness|fitness enthusiasts""), ""Fitness"",
  REGEXMATCH(LOWER(VLOOKUP(A266, Data1_Raw_Slack!A:B, 2, FALSE)), ""health|medical|pharmacy|mental health|doctor|health-conscious""), ""Health"",
  REGEXMATCH(LOWER(VLOOKUP(A266, Data1_Raw_"&amp;"Slack!A:B, 2, FALSE)), ""pets|dogs|cats|animals|pet care|pet lovers""), ""Pets"",
  REGEXMATCH(LOWER(VLOOKUP(A266, Data1_Raw_Slack!A:B, 2, FALSE)), ""games|gaming|game|xbox|playstation|nintendo|gamers""), ""Gaming"",
  REGEXMATCH(LOWER(VLOOKUP(A266, Data1"&amp;"_Raw_Slack!A:B, 2, FALSE)), ""entertainment|movies|tv|netflix|streaming|celebrity|movie lovers|tv fans|hobb|photo|art""), ""Entertainment"",
  REGEXMATCH(LOWER(VLOOKUP(A266, Data1_Raw_Slack!A:B, 2, FALSE)), ""lifestyle|home|interior|decor|living|lifestyle"&amp;" enthusiasts""), ""Lifestyle"",
  REGEXMATCH(LOWER(VLOOKUP(A266, Data1_Raw_Slack!A:B, 2, FALSE)), ""financial|finance|investing|stocks|retirement|banking|credit|debt|loans|savings|personal finance|insurance|econ|ecom|business|retail|occupation|sale|job|ma"&amp;"rketing""), ""Finance"",
  REGEXMATCH(LOWER(VLOOKUP(A266, Data1_Raw_Slack!A:B, 2, FALSE)), ""auto|automotive""), ""Auto"",
  REGEXMATCH(LOWER(VLOOKUP(A266, Data1_Raw_Slack!A:B, 2, FALSE)), ""parenting|moms|dads|kids|toddlers|baby|parent|children""), ""Par"&amp;"enting"",
  REGEXMATCH(LOWER(VLOOKUP(A266, Data1_Raw_Slack!A:B, 2, FALSE)), ""education|students|learning|school|teachers|college|university|academics""), ""Education"",
  REGEXMATCH(LOWER(VLOOKUP(A266, Data1_Raw_Slack!A:B, 2, FALSE)), ""age|gender|dem"&amp;"ographic|family|household""), ""Demographics"",
  REGEXMATCH(LOWER(VLOOKUP(A266, Data1_Raw_Slack!A:B, 2, FALSE)), ""mortgage|real estate""), ""Real Estate"",REGEXMATCH(LOWER(VLOOKUP(A266, Data1_Raw_Slack!A:B, 2, FALSE)), ""technology|tech|gadgets|smartpho"&amp;"ne|electro|apps|devices|computing|ai|robots|software|computer|internet|tele|mobile|tablet""), ""Technology"", REGEXMATCH(LOWER(VLOOKUP(A266, Data1_Raw_Slack!A:B, 2, FALSE)), ""entertainment|purchas|movies|tv|netflix|streaming|celebrity|movie lovers|tv fan"&amp;"s|media|hobb|photo|art|shop""), ""Entertainment"", REGEXMATCH(LOWER(VLOOKUP(A266, Data1_Raw_Slack!A:B, 2, FALSE)), ""law|government|""), ""Law and Government"",
  TRUE, ""Other""
)"),"Technology")</f>
        <v>Technology</v>
      </c>
      <c r="G266" s="9" t="s">
        <v>135</v>
      </c>
      <c r="H266" s="9" t="s">
        <v>123</v>
      </c>
      <c r="I266" s="9" t="s">
        <v>1086</v>
      </c>
      <c r="J266" s="9" t="s">
        <v>34</v>
      </c>
      <c r="K266" s="9" t="s">
        <v>236</v>
      </c>
      <c r="L266" s="9" t="s">
        <v>82</v>
      </c>
      <c r="M266" s="10" t="s">
        <v>1087</v>
      </c>
      <c r="N266" s="9" t="str">
        <f ca="1">IFERROR(__xludf.DUMMYFUNCTION("REGEXEXTRACT(LOWER(M266), ""([a-z0-9\-]+)\.(?:co|net|org|io|gg)"")"),"cnn")</f>
        <v>cnn</v>
      </c>
      <c r="O266" s="9" t="s">
        <v>50</v>
      </c>
      <c r="P266" s="9" t="s">
        <v>39</v>
      </c>
      <c r="Q266" s="9">
        <v>84306</v>
      </c>
      <c r="R266" s="9">
        <v>185</v>
      </c>
      <c r="S266" s="9">
        <v>45376</v>
      </c>
      <c r="T266" s="9">
        <v>79935</v>
      </c>
      <c r="U266" s="9">
        <v>3</v>
      </c>
      <c r="V266" s="11">
        <v>1809.5909610000001</v>
      </c>
      <c r="W266" s="12">
        <f t="shared" si="7"/>
        <v>603.19698700000004</v>
      </c>
      <c r="X266" s="12">
        <f t="shared" si="8"/>
        <v>0.21943871136099447</v>
      </c>
      <c r="Y266" s="12">
        <f t="shared" si="9"/>
        <v>53.822978198467489</v>
      </c>
      <c r="Z266" s="12">
        <f t="shared" si="10"/>
        <v>39.879913632757408</v>
      </c>
      <c r="AA266" s="12">
        <f t="shared" si="11"/>
        <v>21.464557220126682</v>
      </c>
      <c r="AB266" s="12">
        <f t="shared" si="12"/>
        <v>9.7815727621621633</v>
      </c>
      <c r="AC266" s="12">
        <f t="shared" si="13"/>
        <v>1.6216216216216217</v>
      </c>
      <c r="AE266" s="13"/>
      <c r="AF266" s="13"/>
    </row>
    <row r="267" spans="1:32">
      <c r="A267" s="8" t="s">
        <v>1088</v>
      </c>
      <c r="B267" s="9" t="s">
        <v>41</v>
      </c>
      <c r="C267" s="9" t="s">
        <v>214</v>
      </c>
      <c r="D267" s="9" t="s">
        <v>215</v>
      </c>
      <c r="E267" s="9" t="s">
        <v>1089</v>
      </c>
      <c r="F267" s="9" t="str">
        <f ca="1">IFERROR(__xludf.DUMMYFUNCTION("IFS(
  REGEXMATCH(LOWER(VLOOKUP(A267, Data1_Raw_Slack!A:B, 2, FALSE)), ""news|weather""), ""News and Weather"", REGEXMATCH(LOWER(VLOOKUP(A267, Data1_Raw_Slack!A:B, 2, FALSE)), ""sports|ufc|nba|nfl|mlb|soccer|sports fans""), ""Sports"",
  REGEXMATCH(LOWER("&amp;"VLOOKUP(A267, Data1_Raw_Slack!A:B, 2, FALSE)), ""fashion|style|clothing|apparel|shoes|accessories|beauty|cosmetics|fashionistas""), ""Fashion and Beauty"",
  REGEXMATCH(LOWER(VLOOKUP(A267, Data1_Raw_Slack!A:B, 2, FALSE)), ""food|cooking|recipe|restaurant|"&amp;"snack|grocery|foodies""), ""Food"",
  REGEXMATCH(LOWER(VLOOKUP(A267, Data1_Raw_Slack!A:B, 2, FALSE)), ""travel|vacation|airline|hotel|trip|flights|travelers""), ""Travel"",
  REGEXMATCH(LOWER(VLOOKUP(A267, Data1_Raw_Slack!A:B, 2, FALSE)), ""fitness|workou"&amp;"t|gym|exercise|yoga|wellness|fitness enthusiasts""), ""Fitness"",
  REGEXMATCH(LOWER(VLOOKUP(A267, Data1_Raw_Slack!A:B, 2, FALSE)), ""health|medical|pharmacy|mental health|doctor|health-conscious""), ""Health"",
  REGEXMATCH(LOWER(VLOOKUP(A267, Data1_Raw_"&amp;"Slack!A:B, 2, FALSE)), ""pets|dogs|cats|animals|pet care|pet lovers""), ""Pets"",
  REGEXMATCH(LOWER(VLOOKUP(A267, Data1_Raw_Slack!A:B, 2, FALSE)), ""games|gaming|game|xbox|playstation|nintendo|gamers""), ""Gaming"",
  REGEXMATCH(LOWER(VLOOKUP(A267, Data1"&amp;"_Raw_Slack!A:B, 2, FALSE)), ""entertainment|movies|tv|netflix|streaming|celebrity|movie lovers|tv fans|hobb|photo|art""), ""Entertainment"",
  REGEXMATCH(LOWER(VLOOKUP(A267, Data1_Raw_Slack!A:B, 2, FALSE)), ""lifestyle|home|interior|decor|living|lifestyle"&amp;" enthusiasts""), ""Lifestyle"",
  REGEXMATCH(LOWER(VLOOKUP(A267, Data1_Raw_Slack!A:B, 2, FALSE)), ""financial|finance|investing|stocks|retirement|banking|credit|debt|loans|savings|personal finance|insurance|econ|ecom|business|retail|occupation|sale|job|ma"&amp;"rketing""), ""Finance"",
  REGEXMATCH(LOWER(VLOOKUP(A267, Data1_Raw_Slack!A:B, 2, FALSE)), ""auto|automotive""), ""Auto"",
  REGEXMATCH(LOWER(VLOOKUP(A267, Data1_Raw_Slack!A:B, 2, FALSE)), ""parenting|moms|dads|kids|toddlers|baby|parent|children""), ""Par"&amp;"enting"",
  REGEXMATCH(LOWER(VLOOKUP(A267, Data1_Raw_Slack!A:B, 2, FALSE)), ""education|students|learning|school|teachers|college|university|academics""), ""Education"",
  REGEXMATCH(LOWER(VLOOKUP(A267, Data1_Raw_Slack!A:B, 2, FALSE)), ""age|gender|dem"&amp;"ographic|family|household""), ""Demographics"",
  REGEXMATCH(LOWER(VLOOKUP(A267, Data1_Raw_Slack!A:B, 2, FALSE)), ""mortgage|real estate""), ""Real Estate"",REGEXMATCH(LOWER(VLOOKUP(A267, Data1_Raw_Slack!A:B, 2, FALSE)), ""technology|tech|gadgets|smartpho"&amp;"ne|electro|apps|devices|computing|ai|robots|software|computer|internet|tele|mobile|tablet""), ""Technology"", REGEXMATCH(LOWER(VLOOKUP(A267, Data1_Raw_Slack!A:B, 2, FALSE)), ""entertainment|purchas|movies|tv|netflix|streaming|celebrity|movie lovers|tv fan"&amp;"s|media|hobb|photo|art|shop""), ""Entertainment"", REGEXMATCH(LOWER(VLOOKUP(A267, Data1_Raw_Slack!A:B, 2, FALSE)), ""law|government|""), ""Law and Government"",
  TRUE, ""Other""
)"),"Demographics")</f>
        <v>Demographics</v>
      </c>
      <c r="G267" s="9"/>
      <c r="H267" s="9" t="s">
        <v>44</v>
      </c>
      <c r="I267" s="9" t="s">
        <v>1090</v>
      </c>
      <c r="J267" s="9" t="s">
        <v>34</v>
      </c>
      <c r="K267" s="9" t="s">
        <v>35</v>
      </c>
      <c r="L267" s="9" t="s">
        <v>36</v>
      </c>
      <c r="M267" s="10" t="s">
        <v>37</v>
      </c>
      <c r="N267" s="9" t="str">
        <f ca="1">IFERROR(__xludf.DUMMYFUNCTION("REGEXEXTRACT(LOWER(M267), ""([a-z0-9\-]+)\.(?:co|net|org|io|gg)"")"),"cars")</f>
        <v>cars</v>
      </c>
      <c r="O267" s="9" t="s">
        <v>50</v>
      </c>
      <c r="P267" s="9" t="s">
        <v>64</v>
      </c>
      <c r="Q267" s="9">
        <v>47394</v>
      </c>
      <c r="R267" s="9">
        <v>184</v>
      </c>
      <c r="S267" s="9">
        <v>22712</v>
      </c>
      <c r="T267" s="9">
        <v>41918</v>
      </c>
      <c r="U267" s="9">
        <v>24</v>
      </c>
      <c r="V267" s="11">
        <v>4701.4962370000003</v>
      </c>
      <c r="W267" s="12">
        <f t="shared" si="7"/>
        <v>195.89567654166669</v>
      </c>
      <c r="X267" s="12">
        <f t="shared" si="8"/>
        <v>0.38823479765371144</v>
      </c>
      <c r="Y267" s="12">
        <f t="shared" si="9"/>
        <v>47.921677849516811</v>
      </c>
      <c r="Z267" s="12">
        <f t="shared" si="10"/>
        <v>207.00494174885526</v>
      </c>
      <c r="AA267" s="12">
        <f t="shared" si="11"/>
        <v>99.20024131746635</v>
      </c>
      <c r="AB267" s="12">
        <f t="shared" si="12"/>
        <v>25.551609983695652</v>
      </c>
      <c r="AC267" s="12">
        <f t="shared" si="13"/>
        <v>13.043478260869565</v>
      </c>
      <c r="AE267" s="13"/>
      <c r="AF267" s="13"/>
    </row>
    <row r="268" spans="1:32">
      <c r="A268" s="8" t="s">
        <v>1091</v>
      </c>
      <c r="B268" s="9" t="s">
        <v>41</v>
      </c>
      <c r="C268" s="9" t="s">
        <v>42</v>
      </c>
      <c r="D268" s="9" t="s">
        <v>1092</v>
      </c>
      <c r="E268" s="9"/>
      <c r="F268" s="9" t="str">
        <f ca="1">IFERROR(__xludf.DUMMYFUNCTION("IFS(
  REGEXMATCH(LOWER(VLOOKUP(A268, Data1_Raw_Slack!A:B, 2, FALSE)), ""news|weather""), ""News and Weather"", REGEXMATCH(LOWER(VLOOKUP(A268, Data1_Raw_Slack!A:B, 2, FALSE)), ""sports|ufc|nba|nfl|mlb|soccer|sports fans""), ""Sports"",
  REGEXMATCH(LOWER("&amp;"VLOOKUP(A268, Data1_Raw_Slack!A:B, 2, FALSE)), ""fashion|style|clothing|apparel|shoes|accessories|beauty|cosmetics|fashionistas""), ""Fashion and Beauty"",
  REGEXMATCH(LOWER(VLOOKUP(A268, Data1_Raw_Slack!A:B, 2, FALSE)), ""food|cooking|recipe|restaurant|"&amp;"snack|grocery|foodies""), ""Food"",
  REGEXMATCH(LOWER(VLOOKUP(A268, Data1_Raw_Slack!A:B, 2, FALSE)), ""travel|vacation|airline|hotel|trip|flights|travelers""), ""Travel"",
  REGEXMATCH(LOWER(VLOOKUP(A268, Data1_Raw_Slack!A:B, 2, FALSE)), ""fitness|workou"&amp;"t|gym|exercise|yoga|wellness|fitness enthusiasts""), ""Fitness"",
  REGEXMATCH(LOWER(VLOOKUP(A268, Data1_Raw_Slack!A:B, 2, FALSE)), ""health|medical|pharmacy|mental health|doctor|health-conscious""), ""Health"",
  REGEXMATCH(LOWER(VLOOKUP(A268, Data1_Raw_"&amp;"Slack!A:B, 2, FALSE)), ""pets|dogs|cats|animals|pet care|pet lovers""), ""Pets"",
  REGEXMATCH(LOWER(VLOOKUP(A268, Data1_Raw_Slack!A:B, 2, FALSE)), ""games|gaming|game|xbox|playstation|nintendo|gamers""), ""Gaming"",
  REGEXMATCH(LOWER(VLOOKUP(A268, Data1"&amp;"_Raw_Slack!A:B, 2, FALSE)), ""entertainment|movies|tv|netflix|streaming|celebrity|movie lovers|tv fans|hobb|photo|art""), ""Entertainment"",
  REGEXMATCH(LOWER(VLOOKUP(A268, Data1_Raw_Slack!A:B, 2, FALSE)), ""lifestyle|home|interior|decor|living|lifestyle"&amp;" enthusiasts""), ""Lifestyle"",
  REGEXMATCH(LOWER(VLOOKUP(A268, Data1_Raw_Slack!A:B, 2, FALSE)), ""financial|finance|investing|stocks|retirement|banking|credit|debt|loans|savings|personal finance|insurance|econ|ecom|business|retail|occupation|sale|job|ma"&amp;"rketing""), ""Finance"",
  REGEXMATCH(LOWER(VLOOKUP(A268, Data1_Raw_Slack!A:B, 2, FALSE)), ""auto|automotive""), ""Auto"",
  REGEXMATCH(LOWER(VLOOKUP(A268, Data1_Raw_Slack!A:B, 2, FALSE)), ""parenting|moms|dads|kids|toddlers|baby|parent|children""), ""Par"&amp;"enting"",
  REGEXMATCH(LOWER(VLOOKUP(A268, Data1_Raw_Slack!A:B, 2, FALSE)), ""education|students|learning|school|teachers|college|university|academics""), ""Education"",
  REGEXMATCH(LOWER(VLOOKUP(A268, Data1_Raw_Slack!A:B, 2, FALSE)), ""age|gender|dem"&amp;"ographic|family|household""), ""Demographics"",
  REGEXMATCH(LOWER(VLOOKUP(A268, Data1_Raw_Slack!A:B, 2, FALSE)), ""mortgage|real estate""), ""Real Estate"",REGEXMATCH(LOWER(VLOOKUP(A268, Data1_Raw_Slack!A:B, 2, FALSE)), ""technology|tech|gadgets|smartpho"&amp;"ne|electro|apps|devices|computing|ai|robots|software|computer|internet|tele|mobile|tablet""), ""Technology"", REGEXMATCH(LOWER(VLOOKUP(A268, Data1_Raw_Slack!A:B, 2, FALSE)), ""entertainment|purchas|movies|tv|netflix|streaming|celebrity|movie lovers|tv fan"&amp;"s|media|hobb|photo|art|shop""), ""Entertainment"", REGEXMATCH(LOWER(VLOOKUP(A268, Data1_Raw_Slack!A:B, 2, FALSE)), ""law|government|""), ""Law and Government"",
  TRUE, ""Other""
)"),"Gaming")</f>
        <v>Gaming</v>
      </c>
      <c r="G268" s="9"/>
      <c r="H268" s="9" t="s">
        <v>32</v>
      </c>
      <c r="I268" s="9" t="s">
        <v>1093</v>
      </c>
      <c r="J268" s="9" t="s">
        <v>46</v>
      </c>
      <c r="K268" s="9" t="s">
        <v>908</v>
      </c>
      <c r="L268" s="9" t="s">
        <v>36</v>
      </c>
      <c r="M268" s="10" t="s">
        <v>1094</v>
      </c>
      <c r="N268" s="9" t="str">
        <f ca="1">IFERROR(__xludf.DUMMYFUNCTION("REGEXEXTRACT(LOWER(M268), ""([a-z0-9\-]+)\.(?:co|net|org|io|gg)"")"),"cnet")</f>
        <v>cnet</v>
      </c>
      <c r="O268" s="9" t="s">
        <v>118</v>
      </c>
      <c r="P268" s="9" t="s">
        <v>39</v>
      </c>
      <c r="Q268" s="9">
        <v>7530</v>
      </c>
      <c r="R268" s="9">
        <v>20</v>
      </c>
      <c r="S268" s="9">
        <v>5468</v>
      </c>
      <c r="T268" s="9">
        <v>7298</v>
      </c>
      <c r="U268" s="9">
        <v>3</v>
      </c>
      <c r="V268" s="11">
        <v>5038.7140669999999</v>
      </c>
      <c r="W268" s="12">
        <f t="shared" si="7"/>
        <v>1679.5713556666667</v>
      </c>
      <c r="X268" s="12">
        <f t="shared" si="8"/>
        <v>0.26560424966799467</v>
      </c>
      <c r="Y268" s="12">
        <f t="shared" si="9"/>
        <v>72.616201859229747</v>
      </c>
      <c r="Z268" s="12">
        <f t="shared" si="10"/>
        <v>921.49123390636419</v>
      </c>
      <c r="AA268" s="12">
        <f t="shared" si="11"/>
        <v>669.15193452855249</v>
      </c>
      <c r="AB268" s="12">
        <f t="shared" si="12"/>
        <v>251.93570334999998</v>
      </c>
      <c r="AC268" s="12">
        <f t="shared" si="13"/>
        <v>15</v>
      </c>
      <c r="AE268" s="13"/>
      <c r="AF268" s="13"/>
    </row>
    <row r="269" spans="1:32">
      <c r="A269" s="8" t="s">
        <v>1095</v>
      </c>
      <c r="B269" s="9" t="s">
        <v>41</v>
      </c>
      <c r="C269" s="9" t="s">
        <v>162</v>
      </c>
      <c r="D269" s="9" t="s">
        <v>163</v>
      </c>
      <c r="E269" s="9" t="s">
        <v>1096</v>
      </c>
      <c r="F269" s="9" t="str">
        <f ca="1">IFERROR(__xludf.DUMMYFUNCTION("IFS(
  REGEXMATCH(LOWER(VLOOKUP(A269, Data1_Raw_Slack!A:B, 2, FALSE)), ""news|weather""), ""News and Weather"", REGEXMATCH(LOWER(VLOOKUP(A269, Data1_Raw_Slack!A:B, 2, FALSE)), ""sports|ufc|nba|nfl|mlb|soccer|sports fans""), ""Sports"",
  REGEXMATCH(LOWER("&amp;"VLOOKUP(A269, Data1_Raw_Slack!A:B, 2, FALSE)), ""fashion|style|clothing|apparel|shoes|accessories|beauty|cosmetics|fashionistas""), ""Fashion and Beauty"",
  REGEXMATCH(LOWER(VLOOKUP(A269, Data1_Raw_Slack!A:B, 2, FALSE)), ""food|cooking|recipe|restaurant|"&amp;"snack|grocery|foodies""), ""Food"",
  REGEXMATCH(LOWER(VLOOKUP(A269, Data1_Raw_Slack!A:B, 2, FALSE)), ""travel|vacation|airline|hotel|trip|flights|travelers""), ""Travel"",
  REGEXMATCH(LOWER(VLOOKUP(A269, Data1_Raw_Slack!A:B, 2, FALSE)), ""fitness|workou"&amp;"t|gym|exercise|yoga|wellness|fitness enthusiasts""), ""Fitness"",
  REGEXMATCH(LOWER(VLOOKUP(A269, Data1_Raw_Slack!A:B, 2, FALSE)), ""health|medical|pharmacy|mental health|doctor|health-conscious""), ""Health"",
  REGEXMATCH(LOWER(VLOOKUP(A269, Data1_Raw_"&amp;"Slack!A:B, 2, FALSE)), ""pets|dogs|cats|animals|pet care|pet lovers""), ""Pets"",
  REGEXMATCH(LOWER(VLOOKUP(A269, Data1_Raw_Slack!A:B, 2, FALSE)), ""games|gaming|game|xbox|playstation|nintendo|gamers""), ""Gaming"",
  REGEXMATCH(LOWER(VLOOKUP(A269, Data1"&amp;"_Raw_Slack!A:B, 2, FALSE)), ""entertainment|movies|tv|netflix|streaming|celebrity|movie lovers|tv fans|hobb|photo|art""), ""Entertainment"",
  REGEXMATCH(LOWER(VLOOKUP(A269, Data1_Raw_Slack!A:B, 2, FALSE)), ""lifestyle|home|interior|decor|living|lifestyle"&amp;" enthusiasts""), ""Lifestyle"",
  REGEXMATCH(LOWER(VLOOKUP(A269, Data1_Raw_Slack!A:B, 2, FALSE)), ""financial|finance|investing|stocks|retirement|banking|credit|debt|loans|savings|personal finance|insurance|econ|ecom|business|retail|occupation|sale|job|ma"&amp;"rketing""), ""Finance"",
  REGEXMATCH(LOWER(VLOOKUP(A269, Data1_Raw_Slack!A:B, 2, FALSE)), ""auto|automotive""), ""Auto"",
  REGEXMATCH(LOWER(VLOOKUP(A269, Data1_Raw_Slack!A:B, 2, FALSE)), ""parenting|moms|dads|kids|toddlers|baby|parent|children""), ""Par"&amp;"enting"",
  REGEXMATCH(LOWER(VLOOKUP(A269, Data1_Raw_Slack!A:B, 2, FALSE)), ""education|students|learning|school|teachers|college|university|academics""), ""Education"",
  REGEXMATCH(LOWER(VLOOKUP(A269, Data1_Raw_Slack!A:B, 2, FALSE)), ""age|gender|dem"&amp;"ographic|family|household""), ""Demographics"",
  REGEXMATCH(LOWER(VLOOKUP(A269, Data1_Raw_Slack!A:B, 2, FALSE)), ""mortgage|real estate""), ""Real Estate"",REGEXMATCH(LOWER(VLOOKUP(A269, Data1_Raw_Slack!A:B, 2, FALSE)), ""technology|tech|gadgets|smartpho"&amp;"ne|electro|apps|devices|computing|ai|robots|software|computer|internet|tele|mobile|tablet""), ""Technology"", REGEXMATCH(LOWER(VLOOKUP(A269, Data1_Raw_Slack!A:B, 2, FALSE)), ""entertainment|purchas|movies|tv|netflix|streaming|celebrity|movie lovers|tv fan"&amp;"s|media|hobb|photo|art|shop""), ""Entertainment"", REGEXMATCH(LOWER(VLOOKUP(A269, Data1_Raw_Slack!A:B, 2, FALSE)), ""law|government|""), ""Law and Government"",
  TRUE, ""Other""
)"),"Auto")</f>
        <v>Auto</v>
      </c>
      <c r="G269" s="9" t="s">
        <v>122</v>
      </c>
      <c r="H269" s="9" t="s">
        <v>32</v>
      </c>
      <c r="I269" s="9" t="s">
        <v>1097</v>
      </c>
      <c r="J269" s="9" t="s">
        <v>62</v>
      </c>
      <c r="K269" s="9" t="s">
        <v>56</v>
      </c>
      <c r="L269" s="9" t="s">
        <v>57</v>
      </c>
      <c r="M269" s="10" t="s">
        <v>1098</v>
      </c>
      <c r="N269" s="9" t="str">
        <f ca="1">IFERROR(__xludf.DUMMYFUNCTION("REGEXEXTRACT(LOWER(M269), ""([a-z0-9\-]+)\.(?:co|net|org|io|gg)"")"),"daily-choices")</f>
        <v>daily-choices</v>
      </c>
      <c r="O269" s="9" t="s">
        <v>157</v>
      </c>
      <c r="P269" s="9" t="s">
        <v>39</v>
      </c>
      <c r="Q269" s="9">
        <v>25532</v>
      </c>
      <c r="R269" s="9">
        <v>140</v>
      </c>
      <c r="S269" s="9">
        <v>15219</v>
      </c>
      <c r="T269" s="9">
        <v>21497</v>
      </c>
      <c r="U269" s="9">
        <v>9</v>
      </c>
      <c r="V269" s="11">
        <v>6047.1741089999996</v>
      </c>
      <c r="W269" s="12">
        <f t="shared" si="7"/>
        <v>671.90823433333333</v>
      </c>
      <c r="X269" s="12">
        <f t="shared" si="8"/>
        <v>0.54833150556164811</v>
      </c>
      <c r="Y269" s="12">
        <f t="shared" si="9"/>
        <v>59.607551308162307</v>
      </c>
      <c r="Z269" s="12">
        <f t="shared" si="10"/>
        <v>397.34372225507587</v>
      </c>
      <c r="AA269" s="12">
        <f t="shared" si="11"/>
        <v>236.84686311295627</v>
      </c>
      <c r="AB269" s="12">
        <f t="shared" si="12"/>
        <v>43.194100778571425</v>
      </c>
      <c r="AC269" s="12">
        <f t="shared" si="13"/>
        <v>6.4285714285714279</v>
      </c>
      <c r="AE269" s="13"/>
      <c r="AF269" s="13"/>
    </row>
    <row r="270" spans="1:32">
      <c r="A270" s="8" t="s">
        <v>1099</v>
      </c>
      <c r="B270" s="9" t="s">
        <v>144</v>
      </c>
      <c r="C270" s="9" t="s">
        <v>154</v>
      </c>
      <c r="D270" s="9"/>
      <c r="E270" s="9"/>
      <c r="F270" s="9" t="str">
        <f ca="1">IFERROR(__xludf.DUMMYFUNCTION("IFS(
  REGEXMATCH(LOWER(VLOOKUP(A270, Data1_Raw_Slack!A:B, 2, FALSE)), ""news|weather""), ""News and Weather"", REGEXMATCH(LOWER(VLOOKUP(A270, Data1_Raw_Slack!A:B, 2, FALSE)), ""sports|ufc|nba|nfl|mlb|soccer|sports fans""), ""Sports"",
  REGEXMATCH(LOWER("&amp;"VLOOKUP(A270, Data1_Raw_Slack!A:B, 2, FALSE)), ""fashion|style|clothing|apparel|shoes|accessories|beauty|cosmetics|fashionistas""), ""Fashion and Beauty"",
  REGEXMATCH(LOWER(VLOOKUP(A270, Data1_Raw_Slack!A:B, 2, FALSE)), ""food|cooking|recipe|restaurant|"&amp;"snack|grocery|foodies""), ""Food"",
  REGEXMATCH(LOWER(VLOOKUP(A270, Data1_Raw_Slack!A:B, 2, FALSE)), ""travel|vacation|airline|hotel|trip|flights|travelers""), ""Travel"",
  REGEXMATCH(LOWER(VLOOKUP(A270, Data1_Raw_Slack!A:B, 2, FALSE)), ""fitness|workou"&amp;"t|gym|exercise|yoga|wellness|fitness enthusiasts""), ""Fitness"",
  REGEXMATCH(LOWER(VLOOKUP(A270, Data1_Raw_Slack!A:B, 2, FALSE)), ""health|medical|pharmacy|mental health|doctor|health-conscious""), ""Health"",
  REGEXMATCH(LOWER(VLOOKUP(A270, Data1_Raw_"&amp;"Slack!A:B, 2, FALSE)), ""pets|dogs|cats|animals|pet care|pet lovers""), ""Pets"",
  REGEXMATCH(LOWER(VLOOKUP(A270, Data1_Raw_Slack!A:B, 2, FALSE)), ""games|gaming|game|xbox|playstation|nintendo|gamers""), ""Gaming"",
  REGEXMATCH(LOWER(VLOOKUP(A270, Data1"&amp;"_Raw_Slack!A:B, 2, FALSE)), ""entertainment|movies|tv|netflix|streaming|celebrity|movie lovers|tv fans|hobb|photo|art""), ""Entertainment"",
  REGEXMATCH(LOWER(VLOOKUP(A270, Data1_Raw_Slack!A:B, 2, FALSE)), ""lifestyle|home|interior|decor|living|lifestyle"&amp;" enthusiasts""), ""Lifestyle"",
  REGEXMATCH(LOWER(VLOOKUP(A270, Data1_Raw_Slack!A:B, 2, FALSE)), ""financial|finance|investing|stocks|retirement|banking|credit|debt|loans|savings|personal finance|insurance|econ|ecom|business|retail|occupation|sale|job|ma"&amp;"rketing""), ""Finance"",
  REGEXMATCH(LOWER(VLOOKUP(A270, Data1_Raw_Slack!A:B, 2, FALSE)), ""auto|automotive""), ""Auto"",
  REGEXMATCH(LOWER(VLOOKUP(A270, Data1_Raw_Slack!A:B, 2, FALSE)), ""parenting|moms|dads|kids|toddlers|baby|parent|children""), ""Par"&amp;"enting"",
  REGEXMATCH(LOWER(VLOOKUP(A270, Data1_Raw_Slack!A:B, 2, FALSE)), ""education|students|learning|school|teachers|college|university|academics""), ""Education"",
  REGEXMATCH(LOWER(VLOOKUP(A270, Data1_Raw_Slack!A:B, 2, FALSE)), ""age|gender|dem"&amp;"ographic|family|household""), ""Demographics"",
  REGEXMATCH(LOWER(VLOOKUP(A270, Data1_Raw_Slack!A:B, 2, FALSE)), ""mortgage|real estate""), ""Real Estate"",REGEXMATCH(LOWER(VLOOKUP(A270, Data1_Raw_Slack!A:B, 2, FALSE)), ""technology|tech|gadgets|smartpho"&amp;"ne|electro|apps|devices|computing|ai|robots|software|computer|internet|tele|mobile|tablet""), ""Technology"", REGEXMATCH(LOWER(VLOOKUP(A270, Data1_Raw_Slack!A:B, 2, FALSE)), ""entertainment|purchas|movies|tv|netflix|streaming|celebrity|movie lovers|tv fan"&amp;"s|media|hobb|photo|art|shop""), ""Entertainment"", REGEXMATCH(LOWER(VLOOKUP(A270, Data1_Raw_Slack!A:B, 2, FALSE)), ""law|government|""), ""Law and Government"",
  TRUE, ""Other""
)"),"Sports")</f>
        <v>Sports</v>
      </c>
      <c r="G270" s="9" t="s">
        <v>154</v>
      </c>
      <c r="H270" s="9" t="s">
        <v>44</v>
      </c>
      <c r="I270" s="9" t="s">
        <v>1100</v>
      </c>
      <c r="J270" s="9" t="s">
        <v>34</v>
      </c>
      <c r="K270" s="9" t="s">
        <v>236</v>
      </c>
      <c r="L270" s="9" t="s">
        <v>82</v>
      </c>
      <c r="M270" s="10" t="s">
        <v>288</v>
      </c>
      <c r="N270" s="9" t="str">
        <f ca="1">IFERROR(__xludf.DUMMYFUNCTION("REGEXEXTRACT(LOWER(M270), ""([a-z0-9\-]+)\.(?:co|net|org|io|gg)"")"),"femanin")</f>
        <v>femanin</v>
      </c>
      <c r="O270" s="9" t="s">
        <v>50</v>
      </c>
      <c r="P270" s="9" t="s">
        <v>39</v>
      </c>
      <c r="Q270" s="9">
        <v>11375</v>
      </c>
      <c r="R270" s="9">
        <v>87</v>
      </c>
      <c r="S270" s="9">
        <v>7171</v>
      </c>
      <c r="T270" s="9">
        <v>8151</v>
      </c>
      <c r="U270" s="9">
        <v>4</v>
      </c>
      <c r="V270" s="11">
        <v>1763.7840610000001</v>
      </c>
      <c r="W270" s="12">
        <f t="shared" si="7"/>
        <v>440.94601525000002</v>
      </c>
      <c r="X270" s="12">
        <f t="shared" si="8"/>
        <v>0.76483516483516489</v>
      </c>
      <c r="Y270" s="12">
        <f t="shared" si="9"/>
        <v>63.041758241758238</v>
      </c>
      <c r="Z270" s="12">
        <f t="shared" si="10"/>
        <v>245.96068344721797</v>
      </c>
      <c r="AA270" s="12">
        <f t="shared" si="11"/>
        <v>155.05793942857144</v>
      </c>
      <c r="AB270" s="12">
        <f t="shared" si="12"/>
        <v>20.273380011494254</v>
      </c>
      <c r="AC270" s="12">
        <f t="shared" si="13"/>
        <v>4.5977011494252871</v>
      </c>
      <c r="AE270" s="13"/>
      <c r="AF270" s="13"/>
    </row>
    <row r="271" spans="1:32">
      <c r="A271" s="8" t="s">
        <v>1101</v>
      </c>
      <c r="B271" s="9" t="s">
        <v>1102</v>
      </c>
      <c r="C271" s="9" t="s">
        <v>326</v>
      </c>
      <c r="D271" s="9" t="s">
        <v>1103</v>
      </c>
      <c r="E271" s="9" t="s">
        <v>1104</v>
      </c>
      <c r="F271" s="9" t="str">
        <f ca="1">IFERROR(__xludf.DUMMYFUNCTION("IFS(
  REGEXMATCH(LOWER(VLOOKUP(A271, Data1_Raw_Slack!A:B, 2, FALSE)), ""news|weather""), ""News and Weather"", REGEXMATCH(LOWER(VLOOKUP(A271, Data1_Raw_Slack!A:B, 2, FALSE)), ""sports|ufc|nba|nfl|mlb|soccer|sports fans""), ""Sports"",
  REGEXMATCH(LOWER("&amp;"VLOOKUP(A271, Data1_Raw_Slack!A:B, 2, FALSE)), ""fashion|style|clothing|apparel|shoes|accessories|beauty|cosmetics|fashionistas""), ""Fashion and Beauty"",
  REGEXMATCH(LOWER(VLOOKUP(A271, Data1_Raw_Slack!A:B, 2, FALSE)), ""food|cooking|recipe|restaurant|"&amp;"snack|grocery|foodies""), ""Food"",
  REGEXMATCH(LOWER(VLOOKUP(A271, Data1_Raw_Slack!A:B, 2, FALSE)), ""travel|vacation|airline|hotel|trip|flights|travelers""), ""Travel"",
  REGEXMATCH(LOWER(VLOOKUP(A271, Data1_Raw_Slack!A:B, 2, FALSE)), ""fitness|workou"&amp;"t|gym|exercise|yoga|wellness|fitness enthusiasts""), ""Fitness"",
  REGEXMATCH(LOWER(VLOOKUP(A271, Data1_Raw_Slack!A:B, 2, FALSE)), ""health|medical|pharmacy|mental health|doctor|health-conscious""), ""Health"",
  REGEXMATCH(LOWER(VLOOKUP(A271, Data1_Raw_"&amp;"Slack!A:B, 2, FALSE)), ""pets|dogs|cats|animals|pet care|pet lovers""), ""Pets"",
  REGEXMATCH(LOWER(VLOOKUP(A271, Data1_Raw_Slack!A:B, 2, FALSE)), ""games|gaming|game|xbox|playstation|nintendo|gamers""), ""Gaming"",
  REGEXMATCH(LOWER(VLOOKUP(A271, Data1"&amp;"_Raw_Slack!A:B, 2, FALSE)), ""entertainment|movies|tv|netflix|streaming|celebrity|movie lovers|tv fans|hobb|photo|art""), ""Entertainment"",
  REGEXMATCH(LOWER(VLOOKUP(A271, Data1_Raw_Slack!A:B, 2, FALSE)), ""lifestyle|home|interior|decor|living|lifestyle"&amp;" enthusiasts""), ""Lifestyle"",
  REGEXMATCH(LOWER(VLOOKUP(A271, Data1_Raw_Slack!A:B, 2, FALSE)), ""financial|finance|investing|stocks|retirement|banking|credit|debt|loans|savings|personal finance|insurance|econ|ecom|business|retail|occupation|sale|job|ma"&amp;"rketing""), ""Finance"",
  REGEXMATCH(LOWER(VLOOKUP(A271, Data1_Raw_Slack!A:B, 2, FALSE)), ""auto|automotive""), ""Auto"",
  REGEXMATCH(LOWER(VLOOKUP(A271, Data1_Raw_Slack!A:B, 2, FALSE)), ""parenting|moms|dads|kids|toddlers|baby|parent|children""), ""Par"&amp;"enting"",
  REGEXMATCH(LOWER(VLOOKUP(A271, Data1_Raw_Slack!A:B, 2, FALSE)), ""education|students|learning|school|teachers|college|university|academics""), ""Education"",
  REGEXMATCH(LOWER(VLOOKUP(A271, Data1_Raw_Slack!A:B, 2, FALSE)), ""age|gender|dem"&amp;"ographic|family|household""), ""Demographics"",
  REGEXMATCH(LOWER(VLOOKUP(A271, Data1_Raw_Slack!A:B, 2, FALSE)), ""mortgage|real estate""), ""Real Estate"",REGEXMATCH(LOWER(VLOOKUP(A271, Data1_Raw_Slack!A:B, 2, FALSE)), ""technology|tech|gadgets|smartpho"&amp;"ne|electro|apps|devices|computing|ai|robots|software|computer|internet|tele|mobile|tablet""), ""Technology"", REGEXMATCH(LOWER(VLOOKUP(A271, Data1_Raw_Slack!A:B, 2, FALSE)), ""entertainment|purchas|movies|tv|netflix|streaming|celebrity|movie lovers|tv fan"&amp;"s|media|hobb|photo|art|shop""), ""Entertainment"", REGEXMATCH(LOWER(VLOOKUP(A271, Data1_Raw_Slack!A:B, 2, FALSE)), ""law|government|""), ""Law and Government"",
  TRUE, ""Other""
)"),"Demographics")</f>
        <v>Demographics</v>
      </c>
      <c r="G271" s="9"/>
      <c r="H271" s="9" t="s">
        <v>44</v>
      </c>
      <c r="I271" s="9" t="s">
        <v>710</v>
      </c>
      <c r="J271" s="9" t="s">
        <v>80</v>
      </c>
      <c r="K271" s="9" t="s">
        <v>236</v>
      </c>
      <c r="L271" s="9" t="s">
        <v>82</v>
      </c>
      <c r="M271" s="10" t="s">
        <v>130</v>
      </c>
      <c r="N271" s="9" t="str">
        <f ca="1">IFERROR(__xludf.DUMMYFUNCTION("REGEXEXTRACT(LOWER(M271), ""([a-z0-9\-]+)\.(?:co|net|org|io|gg)"")"),"weather")</f>
        <v>weather</v>
      </c>
      <c r="O271" s="9" t="s">
        <v>74</v>
      </c>
      <c r="P271" s="9" t="s">
        <v>39</v>
      </c>
      <c r="Q271" s="9">
        <v>180353</v>
      </c>
      <c r="R271" s="9">
        <v>471</v>
      </c>
      <c r="S271" s="9">
        <v>67637</v>
      </c>
      <c r="T271" s="9">
        <v>145416</v>
      </c>
      <c r="U271" s="9">
        <v>8</v>
      </c>
      <c r="V271" s="11">
        <v>1720.881985</v>
      </c>
      <c r="W271" s="12">
        <f t="shared" si="7"/>
        <v>215.110248125</v>
      </c>
      <c r="X271" s="12">
        <f t="shared" si="8"/>
        <v>0.26115451364823433</v>
      </c>
      <c r="Y271" s="12">
        <f t="shared" si="9"/>
        <v>37.502564415341027</v>
      </c>
      <c r="Z271" s="12">
        <f t="shared" si="10"/>
        <v>25.442908245486937</v>
      </c>
      <c r="AA271" s="12">
        <f t="shared" si="11"/>
        <v>9.541743053899852</v>
      </c>
      <c r="AB271" s="12">
        <f t="shared" si="12"/>
        <v>3.6536772505307855</v>
      </c>
      <c r="AC271" s="12">
        <f t="shared" si="13"/>
        <v>1.6985138004246285</v>
      </c>
      <c r="AE271" s="13"/>
      <c r="AF271" s="13"/>
    </row>
    <row r="272" spans="1:32">
      <c r="A272" s="8" t="s">
        <v>1105</v>
      </c>
      <c r="B272" s="9" t="s">
        <v>41</v>
      </c>
      <c r="C272" s="9" t="s">
        <v>162</v>
      </c>
      <c r="D272" s="9" t="s">
        <v>163</v>
      </c>
      <c r="E272" s="9" t="s">
        <v>1106</v>
      </c>
      <c r="F272" s="9" t="str">
        <f ca="1">IFERROR(__xludf.DUMMYFUNCTION("IFS(
  REGEXMATCH(LOWER(VLOOKUP(A272, Data1_Raw_Slack!A:B, 2, FALSE)), ""news|weather""), ""News and Weather"", REGEXMATCH(LOWER(VLOOKUP(A272, Data1_Raw_Slack!A:B, 2, FALSE)), ""sports|ufc|nba|nfl|mlb|soccer|sports fans""), ""Sports"",
  REGEXMATCH(LOWER("&amp;"VLOOKUP(A272, Data1_Raw_Slack!A:B, 2, FALSE)), ""fashion|style|clothing|apparel|shoes|accessories|beauty|cosmetics|fashionistas""), ""Fashion and Beauty"",
  REGEXMATCH(LOWER(VLOOKUP(A272, Data1_Raw_Slack!A:B, 2, FALSE)), ""food|cooking|recipe|restaurant|"&amp;"snack|grocery|foodies""), ""Food"",
  REGEXMATCH(LOWER(VLOOKUP(A272, Data1_Raw_Slack!A:B, 2, FALSE)), ""travel|vacation|airline|hotel|trip|flights|travelers""), ""Travel"",
  REGEXMATCH(LOWER(VLOOKUP(A272, Data1_Raw_Slack!A:B, 2, FALSE)), ""fitness|workou"&amp;"t|gym|exercise|yoga|wellness|fitness enthusiasts""), ""Fitness"",
  REGEXMATCH(LOWER(VLOOKUP(A272, Data1_Raw_Slack!A:B, 2, FALSE)), ""health|medical|pharmacy|mental health|doctor|health-conscious""), ""Health"",
  REGEXMATCH(LOWER(VLOOKUP(A272, Data1_Raw_"&amp;"Slack!A:B, 2, FALSE)), ""pets|dogs|cats|animals|pet care|pet lovers""), ""Pets"",
  REGEXMATCH(LOWER(VLOOKUP(A272, Data1_Raw_Slack!A:B, 2, FALSE)), ""games|gaming|game|xbox|playstation|nintendo|gamers""), ""Gaming"",
  REGEXMATCH(LOWER(VLOOKUP(A272, Data1"&amp;"_Raw_Slack!A:B, 2, FALSE)), ""entertainment|movies|tv|netflix|streaming|celebrity|movie lovers|tv fans|hobb|photo|art""), ""Entertainment"",
  REGEXMATCH(LOWER(VLOOKUP(A272, Data1_Raw_Slack!A:B, 2, FALSE)), ""lifestyle|home|interior|decor|living|lifestyle"&amp;" enthusiasts""), ""Lifestyle"",
  REGEXMATCH(LOWER(VLOOKUP(A272, Data1_Raw_Slack!A:B, 2, FALSE)), ""financial|finance|investing|stocks|retirement|banking|credit|debt|loans|savings|personal finance|insurance|econ|ecom|business|retail|occupation|sale|job|ma"&amp;"rketing""), ""Finance"",
  REGEXMATCH(LOWER(VLOOKUP(A272, Data1_Raw_Slack!A:B, 2, FALSE)), ""auto|automotive""), ""Auto"",
  REGEXMATCH(LOWER(VLOOKUP(A272, Data1_Raw_Slack!A:B, 2, FALSE)), ""parenting|moms|dads|kids|toddlers|baby|parent|children""), ""Par"&amp;"enting"",
  REGEXMATCH(LOWER(VLOOKUP(A272, Data1_Raw_Slack!A:B, 2, FALSE)), ""education|students|learning|school|teachers|college|university|academics""), ""Education"",
  REGEXMATCH(LOWER(VLOOKUP(A272, Data1_Raw_Slack!A:B, 2, FALSE)), ""age|gender|dem"&amp;"ographic|family|household""), ""Demographics"",
  REGEXMATCH(LOWER(VLOOKUP(A272, Data1_Raw_Slack!A:B, 2, FALSE)), ""mortgage|real estate""), ""Real Estate"",REGEXMATCH(LOWER(VLOOKUP(A272, Data1_Raw_Slack!A:B, 2, FALSE)), ""technology|tech|gadgets|smartpho"&amp;"ne|electro|apps|devices|computing|ai|robots|software|computer|internet|tele|mobile|tablet""), ""Technology"", REGEXMATCH(LOWER(VLOOKUP(A272, Data1_Raw_Slack!A:B, 2, FALSE)), ""entertainment|purchas|movies|tv|netflix|streaming|celebrity|movie lovers|tv fan"&amp;"s|media|hobb|photo|art|shop""), ""Entertainment"", REGEXMATCH(LOWER(VLOOKUP(A272, Data1_Raw_Slack!A:B, 2, FALSE)), ""law|government|""), ""Law and Government"",
  TRUE, ""Other""
)"),"Auto")</f>
        <v>Auto</v>
      </c>
      <c r="G272" s="9"/>
      <c r="H272" s="9" t="s">
        <v>44</v>
      </c>
      <c r="I272" s="9" t="s">
        <v>1107</v>
      </c>
      <c r="J272" s="9" t="s">
        <v>46</v>
      </c>
      <c r="K272" s="9" t="s">
        <v>71</v>
      </c>
      <c r="L272" s="9" t="s">
        <v>72</v>
      </c>
      <c r="M272" s="10" t="s">
        <v>1108</v>
      </c>
      <c r="N272" s="9" t="str">
        <f ca="1">IFERROR(__xludf.DUMMYFUNCTION("REGEXEXTRACT(LOWER(M272), ""([a-z0-9\-]+)\.(?:co|net|org|io|gg)"")"),"firstcoastnews")</f>
        <v>firstcoastnews</v>
      </c>
      <c r="O272" s="9" t="s">
        <v>103</v>
      </c>
      <c r="P272" s="9" t="s">
        <v>39</v>
      </c>
      <c r="Q272" s="9">
        <v>12092</v>
      </c>
      <c r="R272" s="9">
        <v>30</v>
      </c>
      <c r="S272" s="9">
        <v>2042</v>
      </c>
      <c r="T272" s="9">
        <v>10315</v>
      </c>
      <c r="U272" s="9">
        <v>8</v>
      </c>
      <c r="V272" s="11">
        <v>6245.1347930000002</v>
      </c>
      <c r="W272" s="12">
        <f t="shared" si="7"/>
        <v>780.64184912500002</v>
      </c>
      <c r="X272" s="12">
        <f t="shared" si="8"/>
        <v>0.24809791597750577</v>
      </c>
      <c r="Y272" s="12">
        <f t="shared" si="9"/>
        <v>16.88719814753556</v>
      </c>
      <c r="Z272" s="12">
        <f t="shared" si="10"/>
        <v>3058.3422100881489</v>
      </c>
      <c r="AA272" s="12">
        <f t="shared" si="11"/>
        <v>516.46830904730405</v>
      </c>
      <c r="AB272" s="12">
        <f t="shared" si="12"/>
        <v>208.17115976666668</v>
      </c>
      <c r="AC272" s="12">
        <f t="shared" si="13"/>
        <v>26.666666666666668</v>
      </c>
      <c r="AE272" s="13"/>
      <c r="AF272" s="13"/>
    </row>
    <row r="273" spans="1:32">
      <c r="A273" s="8" t="s">
        <v>1109</v>
      </c>
      <c r="B273" s="9" t="s">
        <v>41</v>
      </c>
      <c r="C273" s="9" t="s">
        <v>319</v>
      </c>
      <c r="D273" s="9" t="s">
        <v>384</v>
      </c>
      <c r="E273" s="9" t="s">
        <v>1110</v>
      </c>
      <c r="F273" s="9" t="str">
        <f ca="1">IFERROR(__xludf.DUMMYFUNCTION("IFS(
  REGEXMATCH(LOWER(VLOOKUP(A273, Data1_Raw_Slack!A:B, 2, FALSE)), ""news|weather""), ""News and Weather"", REGEXMATCH(LOWER(VLOOKUP(A273, Data1_Raw_Slack!A:B, 2, FALSE)), ""sports|ufc|nba|nfl|mlb|soccer|sports fans""), ""Sports"",
  REGEXMATCH(LOWER("&amp;"VLOOKUP(A273, Data1_Raw_Slack!A:B, 2, FALSE)), ""fashion|style|clothing|apparel|shoes|accessories|beauty|cosmetics|fashionistas""), ""Fashion and Beauty"",
  REGEXMATCH(LOWER(VLOOKUP(A273, Data1_Raw_Slack!A:B, 2, FALSE)), ""food|cooking|recipe|restaurant|"&amp;"snack|grocery|foodies""), ""Food"",
  REGEXMATCH(LOWER(VLOOKUP(A273, Data1_Raw_Slack!A:B, 2, FALSE)), ""travel|vacation|airline|hotel|trip|flights|travelers""), ""Travel"",
  REGEXMATCH(LOWER(VLOOKUP(A273, Data1_Raw_Slack!A:B, 2, FALSE)), ""fitness|workou"&amp;"t|gym|exercise|yoga|wellness|fitness enthusiasts""), ""Fitness"",
  REGEXMATCH(LOWER(VLOOKUP(A273, Data1_Raw_Slack!A:B, 2, FALSE)), ""health|medical|pharmacy|mental health|doctor|health-conscious""), ""Health"",
  REGEXMATCH(LOWER(VLOOKUP(A273, Data1_Raw_"&amp;"Slack!A:B, 2, FALSE)), ""pets|dogs|cats|animals|pet care|pet lovers""), ""Pets"",
  REGEXMATCH(LOWER(VLOOKUP(A273, Data1_Raw_Slack!A:B, 2, FALSE)), ""games|gaming|game|xbox|playstation|nintendo|gamers""), ""Gaming"",
  REGEXMATCH(LOWER(VLOOKUP(A273, Data1"&amp;"_Raw_Slack!A:B, 2, FALSE)), ""entertainment|movies|tv|netflix|streaming|celebrity|movie lovers|tv fans|hobb|photo|art""), ""Entertainment"",
  REGEXMATCH(LOWER(VLOOKUP(A273, Data1_Raw_Slack!A:B, 2, FALSE)), ""lifestyle|home|interior|decor|living|lifestyle"&amp;" enthusiasts""), ""Lifestyle"",
  REGEXMATCH(LOWER(VLOOKUP(A273, Data1_Raw_Slack!A:B, 2, FALSE)), ""financial|finance|investing|stocks|retirement|banking|credit|debt|loans|savings|personal finance|insurance|econ|ecom|business|retail|occupation|sale|job|ma"&amp;"rketing""), ""Finance"",
  REGEXMATCH(LOWER(VLOOKUP(A273, Data1_Raw_Slack!A:B, 2, FALSE)), ""auto|automotive""), ""Auto"",
  REGEXMATCH(LOWER(VLOOKUP(A273, Data1_Raw_Slack!A:B, 2, FALSE)), ""parenting|moms|dads|kids|toddlers|baby|parent|children""), ""Par"&amp;"enting"",
  REGEXMATCH(LOWER(VLOOKUP(A273, Data1_Raw_Slack!A:B, 2, FALSE)), ""education|students|learning|school|teachers|college|university|academics""), ""Education"",
  REGEXMATCH(LOWER(VLOOKUP(A273, Data1_Raw_Slack!A:B, 2, FALSE)), ""age|gender|dem"&amp;"ographic|family|household""), ""Demographics"",
  REGEXMATCH(LOWER(VLOOKUP(A273, Data1_Raw_Slack!A:B, 2, FALSE)), ""mortgage|real estate""), ""Real Estate"",REGEXMATCH(LOWER(VLOOKUP(A273, Data1_Raw_Slack!A:B, 2, FALSE)), ""technology|tech|gadgets|smartpho"&amp;"ne|electro|apps|devices|computing|ai|robots|software|computer|internet|tele|mobile|tablet""), ""Technology"", REGEXMATCH(LOWER(VLOOKUP(A273, Data1_Raw_Slack!A:B, 2, FALSE)), ""entertainment|purchas|movies|tv|netflix|streaming|celebrity|movie lovers|tv fan"&amp;"s|media|hobb|photo|art|shop""), ""Entertainment"", REGEXMATCH(LOWER(VLOOKUP(A273, Data1_Raw_Slack!A:B, 2, FALSE)), ""law|government|""), ""Law and Government"",
  TRUE, ""Other""
)"),"Food")</f>
        <v>Food</v>
      </c>
      <c r="G273" s="9"/>
      <c r="H273" s="9" t="s">
        <v>123</v>
      </c>
      <c r="I273" s="9" t="s">
        <v>1111</v>
      </c>
      <c r="J273" s="9" t="s">
        <v>34</v>
      </c>
      <c r="K273" s="9" t="s">
        <v>236</v>
      </c>
      <c r="L273" s="9" t="s">
        <v>82</v>
      </c>
      <c r="M273" s="10" t="s">
        <v>994</v>
      </c>
      <c r="N273" s="9" t="str">
        <f ca="1">IFERROR(__xludf.DUMMYFUNCTION("REGEXEXTRACT(LOWER(M273), ""([a-z0-9\-]+)\.(?:co|net|org|io|gg)"")"),"macrumors")</f>
        <v>macrumors</v>
      </c>
      <c r="O273" s="9" t="s">
        <v>50</v>
      </c>
      <c r="P273" s="9" t="s">
        <v>39</v>
      </c>
      <c r="Q273" s="9">
        <v>7822</v>
      </c>
      <c r="R273" s="9">
        <v>25</v>
      </c>
      <c r="S273" s="9">
        <v>3786</v>
      </c>
      <c r="T273" s="9">
        <v>7232</v>
      </c>
      <c r="U273" s="9">
        <v>13</v>
      </c>
      <c r="V273" s="11">
        <v>6781.8216469999998</v>
      </c>
      <c r="W273" s="12">
        <f t="shared" si="7"/>
        <v>521.67858823076926</v>
      </c>
      <c r="X273" s="12">
        <f t="shared" si="8"/>
        <v>0.3196113525952442</v>
      </c>
      <c r="Y273" s="12">
        <f t="shared" si="9"/>
        <v>48.401943237023779</v>
      </c>
      <c r="Z273" s="12">
        <f t="shared" si="10"/>
        <v>1791.2893943475963</v>
      </c>
      <c r="AA273" s="12">
        <f t="shared" si="11"/>
        <v>867.01887586295061</v>
      </c>
      <c r="AB273" s="12">
        <f t="shared" si="12"/>
        <v>271.27286587999998</v>
      </c>
      <c r="AC273" s="12">
        <f t="shared" si="13"/>
        <v>52</v>
      </c>
      <c r="AE273" s="13"/>
      <c r="AF273" s="13"/>
    </row>
    <row r="274" spans="1:32">
      <c r="A274" s="8" t="s">
        <v>1112</v>
      </c>
      <c r="B274" s="9" t="s">
        <v>768</v>
      </c>
      <c r="C274" s="9" t="s">
        <v>769</v>
      </c>
      <c r="D274" s="9" t="s">
        <v>1113</v>
      </c>
      <c r="E274" s="9" t="s">
        <v>1114</v>
      </c>
      <c r="F274" s="9" t="str">
        <f ca="1">IFERROR(__xludf.DUMMYFUNCTION("IFS(
  REGEXMATCH(LOWER(VLOOKUP(A274, Data1_Raw_Slack!A:B, 2, FALSE)), ""news|weather""), ""News and Weather"", REGEXMATCH(LOWER(VLOOKUP(A274, Data1_Raw_Slack!A:B, 2, FALSE)), ""sports|ufc|nba|nfl|mlb|soccer|sports fans""), ""Sports"",
  REGEXMATCH(LOWER("&amp;"VLOOKUP(A274, Data1_Raw_Slack!A:B, 2, FALSE)), ""fashion|style|clothing|apparel|shoes|accessories|beauty|cosmetics|fashionistas""), ""Fashion and Beauty"",
  REGEXMATCH(LOWER(VLOOKUP(A274, Data1_Raw_Slack!A:B, 2, FALSE)), ""food|cooking|recipe|restaurant|"&amp;"snack|grocery|foodies""), ""Food"",
  REGEXMATCH(LOWER(VLOOKUP(A274, Data1_Raw_Slack!A:B, 2, FALSE)), ""travel|vacation|airline|hotel|trip|flights|travelers""), ""Travel"",
  REGEXMATCH(LOWER(VLOOKUP(A274, Data1_Raw_Slack!A:B, 2, FALSE)), ""fitness|workou"&amp;"t|gym|exercise|yoga|wellness|fitness enthusiasts""), ""Fitness"",
  REGEXMATCH(LOWER(VLOOKUP(A274, Data1_Raw_Slack!A:B, 2, FALSE)), ""health|medical|pharmacy|mental health|doctor|health-conscious""), ""Health"",
  REGEXMATCH(LOWER(VLOOKUP(A274, Data1_Raw_"&amp;"Slack!A:B, 2, FALSE)), ""pets|dogs|cats|animals|pet care|pet lovers""), ""Pets"",
  REGEXMATCH(LOWER(VLOOKUP(A274, Data1_Raw_Slack!A:B, 2, FALSE)), ""games|gaming|game|xbox|playstation|nintendo|gamers""), ""Gaming"",
  REGEXMATCH(LOWER(VLOOKUP(A274, Data1"&amp;"_Raw_Slack!A:B, 2, FALSE)), ""entertainment|movies|tv|netflix|streaming|celebrity|movie lovers|tv fans|hobb|photo|art""), ""Entertainment"",
  REGEXMATCH(LOWER(VLOOKUP(A274, Data1_Raw_Slack!A:B, 2, FALSE)), ""lifestyle|home|interior|decor|living|lifestyle"&amp;" enthusiasts""), ""Lifestyle"",
  REGEXMATCH(LOWER(VLOOKUP(A274, Data1_Raw_Slack!A:B, 2, FALSE)), ""financial|finance|investing|stocks|retirement|banking|credit|debt|loans|savings|personal finance|insurance|econ|ecom|business|retail|occupation|sale|job|ma"&amp;"rketing""), ""Finance"",
  REGEXMATCH(LOWER(VLOOKUP(A274, Data1_Raw_Slack!A:B, 2, FALSE)), ""auto|automotive""), ""Auto"",
  REGEXMATCH(LOWER(VLOOKUP(A274, Data1_Raw_Slack!A:B, 2, FALSE)), ""parenting|moms|dads|kids|toddlers|baby|parent|children""), ""Par"&amp;"enting"",
  REGEXMATCH(LOWER(VLOOKUP(A274, Data1_Raw_Slack!A:B, 2, FALSE)), ""education|students|learning|school|teachers|college|university|academics""), ""Education"",
  REGEXMATCH(LOWER(VLOOKUP(A274, Data1_Raw_Slack!A:B, 2, FALSE)), ""age|gender|dem"&amp;"ographic|family|household""), ""Demographics"",
  REGEXMATCH(LOWER(VLOOKUP(A274, Data1_Raw_Slack!A:B, 2, FALSE)), ""mortgage|real estate""), ""Real Estate"",REGEXMATCH(LOWER(VLOOKUP(A274, Data1_Raw_Slack!A:B, 2, FALSE)), ""technology|tech|gadgets|smartpho"&amp;"ne|electro|apps|devices|computing|ai|robots|software|computer|internet|tele|mobile|tablet""), ""Technology"", REGEXMATCH(LOWER(VLOOKUP(A274, Data1_Raw_Slack!A:B, 2, FALSE)), ""entertainment|purchas|movies|tv|netflix|streaming|celebrity|movie lovers|tv fan"&amp;"s|media|hobb|photo|art|shop""), ""Entertainment"", REGEXMATCH(LOWER(VLOOKUP(A274, Data1_Raw_Slack!A:B, 2, FALSE)), ""law|government|""), ""Law and Government"",
  TRUE, ""Other""
)"),"Fashion and Beauty")</f>
        <v>Fashion and Beauty</v>
      </c>
      <c r="G274" s="9" t="s">
        <v>385</v>
      </c>
      <c r="H274" s="9" t="s">
        <v>44</v>
      </c>
      <c r="I274" s="9" t="s">
        <v>1115</v>
      </c>
      <c r="J274" s="9" t="s">
        <v>46</v>
      </c>
      <c r="K274" s="9" t="s">
        <v>56</v>
      </c>
      <c r="L274" s="9" t="s">
        <v>57</v>
      </c>
      <c r="M274" s="10" t="s">
        <v>590</v>
      </c>
      <c r="N274" s="9" t="str">
        <f ca="1">IFERROR(__xludf.DUMMYFUNCTION("REGEXEXTRACT(LOWER(M274), ""([a-z0-9\-]+)\.(?:co|net|org|io|gg)"")"),"dictionary")</f>
        <v>dictionary</v>
      </c>
      <c r="O274" s="9" t="s">
        <v>103</v>
      </c>
      <c r="P274" s="9" t="s">
        <v>64</v>
      </c>
      <c r="Q274" s="9">
        <v>18028</v>
      </c>
      <c r="R274" s="9">
        <v>89</v>
      </c>
      <c r="S274" s="9">
        <v>1851</v>
      </c>
      <c r="T274" s="9">
        <v>14926</v>
      </c>
      <c r="U274" s="9">
        <v>24</v>
      </c>
      <c r="V274" s="11">
        <v>1572.24171</v>
      </c>
      <c r="W274" s="12">
        <f t="shared" si="7"/>
        <v>65.510071249999996</v>
      </c>
      <c r="X274" s="12">
        <f t="shared" si="8"/>
        <v>0.49367650321721762</v>
      </c>
      <c r="Y274" s="12">
        <f t="shared" si="9"/>
        <v>10.267361881517639</v>
      </c>
      <c r="Z274" s="12">
        <f t="shared" si="10"/>
        <v>849.40124797406816</v>
      </c>
      <c r="AA274" s="12">
        <f t="shared" si="11"/>
        <v>87.211099955624576</v>
      </c>
      <c r="AB274" s="12">
        <f t="shared" si="12"/>
        <v>17.665637191011236</v>
      </c>
      <c r="AC274" s="12">
        <f t="shared" si="13"/>
        <v>26.966292134831459</v>
      </c>
      <c r="AE274" s="13"/>
      <c r="AF274" s="13"/>
    </row>
    <row r="275" spans="1:32">
      <c r="A275" s="8" t="s">
        <v>1116</v>
      </c>
      <c r="B275" s="9" t="s">
        <v>41</v>
      </c>
      <c r="C275" s="9" t="s">
        <v>253</v>
      </c>
      <c r="D275" s="9" t="s">
        <v>1117</v>
      </c>
      <c r="E275" s="9" t="s">
        <v>1118</v>
      </c>
      <c r="F275" s="9" t="str">
        <f ca="1">IFERROR(__xludf.DUMMYFUNCTION("IFS(
  REGEXMATCH(LOWER(VLOOKUP(A275, Data1_Raw_Slack!A:B, 2, FALSE)), ""news|weather""), ""News and Weather"", REGEXMATCH(LOWER(VLOOKUP(A275, Data1_Raw_Slack!A:B, 2, FALSE)), ""sports|ufc|nba|nfl|mlb|soccer|sports fans""), ""Sports"",
  REGEXMATCH(LOWER("&amp;"VLOOKUP(A275, Data1_Raw_Slack!A:B, 2, FALSE)), ""fashion|style|clothing|apparel|shoes|accessories|beauty|cosmetics|fashionistas""), ""Fashion and Beauty"",
  REGEXMATCH(LOWER(VLOOKUP(A275, Data1_Raw_Slack!A:B, 2, FALSE)), ""food|cooking|recipe|restaurant|"&amp;"snack|grocery|foodies""), ""Food"",
  REGEXMATCH(LOWER(VLOOKUP(A275, Data1_Raw_Slack!A:B, 2, FALSE)), ""travel|vacation|airline|hotel|trip|flights|travelers""), ""Travel"",
  REGEXMATCH(LOWER(VLOOKUP(A275, Data1_Raw_Slack!A:B, 2, FALSE)), ""fitness|workou"&amp;"t|gym|exercise|yoga|wellness|fitness enthusiasts""), ""Fitness"",
  REGEXMATCH(LOWER(VLOOKUP(A275, Data1_Raw_Slack!A:B, 2, FALSE)), ""health|medical|pharmacy|mental health|doctor|health-conscious""), ""Health"",
  REGEXMATCH(LOWER(VLOOKUP(A275, Data1_Raw_"&amp;"Slack!A:B, 2, FALSE)), ""pets|dogs|cats|animals|pet care|pet lovers""), ""Pets"",
  REGEXMATCH(LOWER(VLOOKUP(A275, Data1_Raw_Slack!A:B, 2, FALSE)), ""games|gaming|game|xbox|playstation|nintendo|gamers""), ""Gaming"",
  REGEXMATCH(LOWER(VLOOKUP(A275, Data1"&amp;"_Raw_Slack!A:B, 2, FALSE)), ""entertainment|movies|tv|netflix|streaming|celebrity|movie lovers|tv fans|hobb|photo|art""), ""Entertainment"",
  REGEXMATCH(LOWER(VLOOKUP(A275, Data1_Raw_Slack!A:B, 2, FALSE)), ""lifestyle|home|interior|decor|living|lifestyle"&amp;" enthusiasts""), ""Lifestyle"",
  REGEXMATCH(LOWER(VLOOKUP(A275, Data1_Raw_Slack!A:B, 2, FALSE)), ""financial|finance|investing|stocks|retirement|banking|credit|debt|loans|savings|personal finance|insurance|econ|ecom|business|retail|occupation|sale|job|ma"&amp;"rketing""), ""Finance"",
  REGEXMATCH(LOWER(VLOOKUP(A275, Data1_Raw_Slack!A:B, 2, FALSE)), ""auto|automotive""), ""Auto"",
  REGEXMATCH(LOWER(VLOOKUP(A275, Data1_Raw_Slack!A:B, 2, FALSE)), ""parenting|moms|dads|kids|toddlers|baby|parent|children""), ""Par"&amp;"enting"",
  REGEXMATCH(LOWER(VLOOKUP(A275, Data1_Raw_Slack!A:B, 2, FALSE)), ""education|students|learning|school|teachers|college|university|academics""), ""Education"",
  REGEXMATCH(LOWER(VLOOKUP(A275, Data1_Raw_Slack!A:B, 2, FALSE)), ""age|gender|dem"&amp;"ographic|family|household""), ""Demographics"",
  REGEXMATCH(LOWER(VLOOKUP(A275, Data1_Raw_Slack!A:B, 2, FALSE)), ""mortgage|real estate""), ""Real Estate"",REGEXMATCH(LOWER(VLOOKUP(A275, Data1_Raw_Slack!A:B, 2, FALSE)), ""technology|tech|gadgets|smartpho"&amp;"ne|electro|apps|devices|computing|ai|robots|software|computer|internet|tele|mobile|tablet""), ""Technology"", REGEXMATCH(LOWER(VLOOKUP(A275, Data1_Raw_Slack!A:B, 2, FALSE)), ""entertainment|purchas|movies|tv|netflix|streaming|celebrity|movie lovers|tv fan"&amp;"s|media|hobb|photo|art|shop""), ""Entertainment"", REGEXMATCH(LOWER(VLOOKUP(A275, Data1_Raw_Slack!A:B, 2, FALSE)), ""law|government|""), ""Law and Government"",
  TRUE, ""Other""
)"),"Food")</f>
        <v>Food</v>
      </c>
      <c r="G275" s="9"/>
      <c r="H275" s="9" t="s">
        <v>32</v>
      </c>
      <c r="I275" s="9" t="s">
        <v>1119</v>
      </c>
      <c r="J275" s="9" t="s">
        <v>80</v>
      </c>
      <c r="K275" s="9" t="s">
        <v>236</v>
      </c>
      <c r="L275" s="9" t="s">
        <v>82</v>
      </c>
      <c r="M275" s="10" t="s">
        <v>1120</v>
      </c>
      <c r="N275" s="9" t="str">
        <f ca="1">IFERROR(__xludf.DUMMYFUNCTION("REGEXEXTRACT(LOWER(M275), ""([a-z0-9\-]+)\.(?:co|net|org|io|gg)"")"),"yourdailysportfix")</f>
        <v>yourdailysportfix</v>
      </c>
      <c r="O275" s="9" t="s">
        <v>50</v>
      </c>
      <c r="P275" s="9" t="s">
        <v>39</v>
      </c>
      <c r="Q275" s="9">
        <v>18516</v>
      </c>
      <c r="R275" s="9">
        <v>68</v>
      </c>
      <c r="S275" s="9">
        <v>8191</v>
      </c>
      <c r="T275" s="9">
        <v>13641</v>
      </c>
      <c r="U275" s="9">
        <v>13</v>
      </c>
      <c r="V275" s="11">
        <v>5087.5617149999998</v>
      </c>
      <c r="W275" s="12">
        <f t="shared" si="7"/>
        <v>391.35090115384617</v>
      </c>
      <c r="X275" s="12">
        <f t="shared" si="8"/>
        <v>0.36724994599265498</v>
      </c>
      <c r="Y275" s="12">
        <f t="shared" si="9"/>
        <v>44.23741628861525</v>
      </c>
      <c r="Z275" s="12">
        <f t="shared" si="10"/>
        <v>621.11606824563546</v>
      </c>
      <c r="AA275" s="12">
        <f t="shared" si="11"/>
        <v>274.76570074530139</v>
      </c>
      <c r="AB275" s="12">
        <f t="shared" si="12"/>
        <v>74.817084044117649</v>
      </c>
      <c r="AC275" s="12">
        <f t="shared" si="13"/>
        <v>19.117647058823529</v>
      </c>
      <c r="AE275" s="13"/>
      <c r="AF275" s="13"/>
    </row>
    <row r="276" spans="1:32">
      <c r="A276" s="8" t="s">
        <v>1121</v>
      </c>
      <c r="B276" s="9" t="s">
        <v>41</v>
      </c>
      <c r="C276" s="9" t="s">
        <v>105</v>
      </c>
      <c r="D276" s="9" t="s">
        <v>1122</v>
      </c>
      <c r="E276" s="9" t="s">
        <v>1123</v>
      </c>
      <c r="F276" s="9" t="str">
        <f ca="1">IFERROR(__xludf.DUMMYFUNCTION("IFS(
  REGEXMATCH(LOWER(VLOOKUP(A276, Data1_Raw_Slack!A:B, 2, FALSE)), ""news|weather""), ""News and Weather"", REGEXMATCH(LOWER(VLOOKUP(A276, Data1_Raw_Slack!A:B, 2, FALSE)), ""sports|ufc|nba|nfl|mlb|soccer|sports fans""), ""Sports"",
  REGEXMATCH(LOWER("&amp;"VLOOKUP(A276, Data1_Raw_Slack!A:B, 2, FALSE)), ""fashion|style|clothing|apparel|shoes|accessories|beauty|cosmetics|fashionistas""), ""Fashion and Beauty"",
  REGEXMATCH(LOWER(VLOOKUP(A276, Data1_Raw_Slack!A:B, 2, FALSE)), ""food|cooking|recipe|restaurant|"&amp;"snack|grocery|foodies""), ""Food"",
  REGEXMATCH(LOWER(VLOOKUP(A276, Data1_Raw_Slack!A:B, 2, FALSE)), ""travel|vacation|airline|hotel|trip|flights|travelers""), ""Travel"",
  REGEXMATCH(LOWER(VLOOKUP(A276, Data1_Raw_Slack!A:B, 2, FALSE)), ""fitness|workou"&amp;"t|gym|exercise|yoga|wellness|fitness enthusiasts""), ""Fitness"",
  REGEXMATCH(LOWER(VLOOKUP(A276, Data1_Raw_Slack!A:B, 2, FALSE)), ""health|medical|pharmacy|mental health|doctor|health-conscious""), ""Health"",
  REGEXMATCH(LOWER(VLOOKUP(A276, Data1_Raw_"&amp;"Slack!A:B, 2, FALSE)), ""pets|dogs|cats|animals|pet care|pet lovers""), ""Pets"",
  REGEXMATCH(LOWER(VLOOKUP(A276, Data1_Raw_Slack!A:B, 2, FALSE)), ""games|gaming|game|xbox|playstation|nintendo|gamers""), ""Gaming"",
  REGEXMATCH(LOWER(VLOOKUP(A276, Data1"&amp;"_Raw_Slack!A:B, 2, FALSE)), ""entertainment|movies|tv|netflix|streaming|celebrity|movie lovers|tv fans|hobb|photo|art""), ""Entertainment"",
  REGEXMATCH(LOWER(VLOOKUP(A276, Data1_Raw_Slack!A:B, 2, FALSE)), ""lifestyle|home|interior|decor|living|lifestyle"&amp;" enthusiasts""), ""Lifestyle"",
  REGEXMATCH(LOWER(VLOOKUP(A276, Data1_Raw_Slack!A:B, 2, FALSE)), ""financial|finance|investing|stocks|retirement|banking|credit|debt|loans|savings|personal finance|insurance|econ|ecom|business|retail|occupation|sale|job|ma"&amp;"rketing""), ""Finance"",
  REGEXMATCH(LOWER(VLOOKUP(A276, Data1_Raw_Slack!A:B, 2, FALSE)), ""auto|automotive""), ""Auto"",
  REGEXMATCH(LOWER(VLOOKUP(A276, Data1_Raw_Slack!A:B, 2, FALSE)), ""parenting|moms|dads|kids|toddlers|baby|parent|children""), ""Par"&amp;"enting"",
  REGEXMATCH(LOWER(VLOOKUP(A276, Data1_Raw_Slack!A:B, 2, FALSE)), ""education|students|learning|school|teachers|college|university|academics""), ""Education"",
  REGEXMATCH(LOWER(VLOOKUP(A276, Data1_Raw_Slack!A:B, 2, FALSE)), ""age|gender|dem"&amp;"ographic|family|household""), ""Demographics"",
  REGEXMATCH(LOWER(VLOOKUP(A276, Data1_Raw_Slack!A:B, 2, FALSE)), ""mortgage|real estate""), ""Real Estate"",REGEXMATCH(LOWER(VLOOKUP(A276, Data1_Raw_Slack!A:B, 2, FALSE)), ""technology|tech|gadgets|smartpho"&amp;"ne|electro|apps|devices|computing|ai|robots|software|computer|internet|tele|mobile|tablet""), ""Technology"", REGEXMATCH(LOWER(VLOOKUP(A276, Data1_Raw_Slack!A:B, 2, FALSE)), ""entertainment|purchas|movies|tv|netflix|streaming|celebrity|movie lovers|tv fan"&amp;"s|media|hobb|photo|art|shop""), ""Entertainment"", REGEXMATCH(LOWER(VLOOKUP(A276, Data1_Raw_Slack!A:B, 2, FALSE)), ""law|government|""), ""Law and Government"",
  TRUE, ""Other""
)"),"Fashion and Beauty")</f>
        <v>Fashion and Beauty</v>
      </c>
      <c r="G276" s="9" t="s">
        <v>105</v>
      </c>
      <c r="H276" s="9" t="s">
        <v>123</v>
      </c>
      <c r="I276" s="9" t="s">
        <v>226</v>
      </c>
      <c r="J276" s="9" t="s">
        <v>62</v>
      </c>
      <c r="K276" s="9" t="s">
        <v>148</v>
      </c>
      <c r="L276" s="9" t="s">
        <v>89</v>
      </c>
      <c r="M276" s="10" t="s">
        <v>332</v>
      </c>
      <c r="N276" s="9" t="str">
        <f ca="1">IFERROR(__xludf.DUMMYFUNCTION("REGEXEXTRACT(LOWER(M276), ""([a-z0-9\-]+)\.(?:co|net|org|io|gg)"")"),"apnews")</f>
        <v>apnews</v>
      </c>
      <c r="O276" s="9" t="s">
        <v>103</v>
      </c>
      <c r="P276" s="9" t="s">
        <v>39</v>
      </c>
      <c r="Q276" s="9">
        <v>100800</v>
      </c>
      <c r="R276" s="9">
        <v>185</v>
      </c>
      <c r="S276" s="9">
        <v>14473</v>
      </c>
      <c r="T276" s="9">
        <v>85424</v>
      </c>
      <c r="U276" s="9">
        <v>10</v>
      </c>
      <c r="V276" s="11">
        <v>7004.7304830000003</v>
      </c>
      <c r="W276" s="12">
        <f t="shared" si="7"/>
        <v>700.47304830000007</v>
      </c>
      <c r="X276" s="12">
        <f t="shared" si="8"/>
        <v>0.18353174603174602</v>
      </c>
      <c r="Y276" s="12">
        <f t="shared" si="9"/>
        <v>14.358134920634921</v>
      </c>
      <c r="Z276" s="12">
        <f t="shared" si="10"/>
        <v>483.98607634906381</v>
      </c>
      <c r="AA276" s="12">
        <f t="shared" si="11"/>
        <v>69.491373839285714</v>
      </c>
      <c r="AB276" s="12">
        <f t="shared" si="12"/>
        <v>37.863408016216219</v>
      </c>
      <c r="AC276" s="12">
        <f t="shared" si="13"/>
        <v>5.4054054054054053</v>
      </c>
      <c r="AE276" s="13"/>
      <c r="AF276" s="13"/>
    </row>
    <row r="277" spans="1:32">
      <c r="A277" s="8" t="s">
        <v>1124</v>
      </c>
      <c r="B277" s="9" t="s">
        <v>325</v>
      </c>
      <c r="C277" s="9" t="s">
        <v>1125</v>
      </c>
      <c r="D277" s="9" t="s">
        <v>1126</v>
      </c>
      <c r="E277" s="9"/>
      <c r="F277" s="9" t="str">
        <f ca="1">IFERROR(__xludf.DUMMYFUNCTION("IFS(
  REGEXMATCH(LOWER(VLOOKUP(A277, Data1_Raw_Slack!A:B, 2, FALSE)), ""news|weather""), ""News and Weather"", REGEXMATCH(LOWER(VLOOKUP(A277, Data1_Raw_Slack!A:B, 2, FALSE)), ""sports|ufc|nba|nfl|mlb|soccer|sports fans""), ""Sports"",
  REGEXMATCH(LOWER("&amp;"VLOOKUP(A277, Data1_Raw_Slack!A:B, 2, FALSE)), ""fashion|style|clothing|apparel|shoes|accessories|beauty|cosmetics|fashionistas""), ""Fashion and Beauty"",
  REGEXMATCH(LOWER(VLOOKUP(A277, Data1_Raw_Slack!A:B, 2, FALSE)), ""food|cooking|recipe|restaurant|"&amp;"snack|grocery|foodies""), ""Food"",
  REGEXMATCH(LOWER(VLOOKUP(A277, Data1_Raw_Slack!A:B, 2, FALSE)), ""travel|vacation|airline|hotel|trip|flights|travelers""), ""Travel"",
  REGEXMATCH(LOWER(VLOOKUP(A277, Data1_Raw_Slack!A:B, 2, FALSE)), ""fitness|workou"&amp;"t|gym|exercise|yoga|wellness|fitness enthusiasts""), ""Fitness"",
  REGEXMATCH(LOWER(VLOOKUP(A277, Data1_Raw_Slack!A:B, 2, FALSE)), ""health|medical|pharmacy|mental health|doctor|health-conscious""), ""Health"",
  REGEXMATCH(LOWER(VLOOKUP(A277, Data1_Raw_"&amp;"Slack!A:B, 2, FALSE)), ""pets|dogs|cats|animals|pet care|pet lovers""), ""Pets"",
  REGEXMATCH(LOWER(VLOOKUP(A277, Data1_Raw_Slack!A:B, 2, FALSE)), ""games|gaming|game|xbox|playstation|nintendo|gamers""), ""Gaming"",
  REGEXMATCH(LOWER(VLOOKUP(A277, Data1"&amp;"_Raw_Slack!A:B, 2, FALSE)), ""entertainment|movies|tv|netflix|streaming|celebrity|movie lovers|tv fans|hobb|photo|art""), ""Entertainment"",
  REGEXMATCH(LOWER(VLOOKUP(A277, Data1_Raw_Slack!A:B, 2, FALSE)), ""lifestyle|home|interior|decor|living|lifestyle"&amp;" enthusiasts""), ""Lifestyle"",
  REGEXMATCH(LOWER(VLOOKUP(A277, Data1_Raw_Slack!A:B, 2, FALSE)), ""financial|finance|investing|stocks|retirement|banking|credit|debt|loans|savings|personal finance|insurance|econ|ecom|business|retail|occupation|sale|job|ma"&amp;"rketing""), ""Finance"",
  REGEXMATCH(LOWER(VLOOKUP(A277, Data1_Raw_Slack!A:B, 2, FALSE)), ""auto|automotive""), ""Auto"",
  REGEXMATCH(LOWER(VLOOKUP(A277, Data1_Raw_Slack!A:B, 2, FALSE)), ""parenting|moms|dads|kids|toddlers|baby|parent|children""), ""Par"&amp;"enting"",
  REGEXMATCH(LOWER(VLOOKUP(A277, Data1_Raw_Slack!A:B, 2, FALSE)), ""education|students|learning|school|teachers|college|university|academics""), ""Education"",
  REGEXMATCH(LOWER(VLOOKUP(A277, Data1_Raw_Slack!A:B, 2, FALSE)), ""age|gender|dem"&amp;"ographic|family|household""), ""Demographics"",
  REGEXMATCH(LOWER(VLOOKUP(A277, Data1_Raw_Slack!A:B, 2, FALSE)), ""mortgage|real estate""), ""Real Estate"",REGEXMATCH(LOWER(VLOOKUP(A277, Data1_Raw_Slack!A:B, 2, FALSE)), ""technology|tech|gadgets|smartpho"&amp;"ne|electro|apps|devices|computing|ai|robots|software|computer|internet|tele|mobile|tablet""), ""Technology"", REGEXMATCH(LOWER(VLOOKUP(A277, Data1_Raw_Slack!A:B, 2, FALSE)), ""entertainment|purchas|movies|tv|netflix|streaming|celebrity|movie lovers|tv fan"&amp;"s|media|hobb|photo|art|shop""), ""Entertainment"", REGEXMATCH(LOWER(VLOOKUP(A277, Data1_Raw_Slack!A:B, 2, FALSE)), ""law|government|""), ""Law and Government"",
  TRUE, ""Other""
)"),"Demographics")</f>
        <v>Demographics</v>
      </c>
      <c r="G277" s="9"/>
      <c r="H277" s="9" t="s">
        <v>123</v>
      </c>
      <c r="I277" s="9" t="s">
        <v>1127</v>
      </c>
      <c r="J277" s="9" t="s">
        <v>62</v>
      </c>
      <c r="K277" s="9" t="s">
        <v>88</v>
      </c>
      <c r="L277" s="9" t="s">
        <v>89</v>
      </c>
      <c r="M277" s="10" t="s">
        <v>284</v>
      </c>
      <c r="N277" s="9" t="str">
        <f ca="1">IFERROR(__xludf.DUMMYFUNCTION("REGEXEXTRACT(LOWER(M277), ""([a-z0-9\-]+)\.(?:co|net|org|io|gg)"")"),"bbc")</f>
        <v>bbc</v>
      </c>
      <c r="O277" s="9" t="s">
        <v>103</v>
      </c>
      <c r="P277" s="9" t="s">
        <v>39</v>
      </c>
      <c r="Q277" s="9">
        <v>13686</v>
      </c>
      <c r="R277" s="9">
        <v>66</v>
      </c>
      <c r="S277" s="9">
        <v>7928</v>
      </c>
      <c r="T277" s="9">
        <v>11931</v>
      </c>
      <c r="U277" s="9">
        <v>11</v>
      </c>
      <c r="V277" s="11">
        <v>4660.5603689999998</v>
      </c>
      <c r="W277" s="12">
        <f t="shared" si="7"/>
        <v>423.68730627272726</v>
      </c>
      <c r="X277" s="12">
        <f t="shared" si="8"/>
        <v>0.48224462954844366</v>
      </c>
      <c r="Y277" s="12">
        <f t="shared" si="9"/>
        <v>57.92780944030396</v>
      </c>
      <c r="Z277" s="12">
        <f t="shared" si="10"/>
        <v>587.86079326437937</v>
      </c>
      <c r="AA277" s="12">
        <f t="shared" si="11"/>
        <v>340.53488009644889</v>
      </c>
      <c r="AB277" s="12">
        <f t="shared" si="12"/>
        <v>70.614551045454547</v>
      </c>
      <c r="AC277" s="12">
        <f t="shared" si="13"/>
        <v>16.666666666666664</v>
      </c>
      <c r="AE277" s="13"/>
      <c r="AF277" s="13"/>
    </row>
    <row r="278" spans="1:32">
      <c r="A278" s="8" t="s">
        <v>1128</v>
      </c>
      <c r="B278" s="9" t="s">
        <v>41</v>
      </c>
      <c r="C278" s="9" t="s">
        <v>120</v>
      </c>
      <c r="D278" s="9" t="s">
        <v>1129</v>
      </c>
      <c r="E278" s="9"/>
      <c r="F278" s="9" t="str">
        <f ca="1">IFERROR(__xludf.DUMMYFUNCTION("IFS(
  REGEXMATCH(LOWER(VLOOKUP(A278, Data1_Raw_Slack!A:B, 2, FALSE)), ""news|weather""), ""News and Weather"", REGEXMATCH(LOWER(VLOOKUP(A278, Data1_Raw_Slack!A:B, 2, FALSE)), ""sports|ufc|nba|nfl|mlb|soccer|sports fans""), ""Sports"",
  REGEXMATCH(LOWER("&amp;"VLOOKUP(A278, Data1_Raw_Slack!A:B, 2, FALSE)), ""fashion|style|clothing|apparel|shoes|accessories|beauty|cosmetics|fashionistas""), ""Fashion and Beauty"",
  REGEXMATCH(LOWER(VLOOKUP(A278, Data1_Raw_Slack!A:B, 2, FALSE)), ""food|cooking|recipe|restaurant|"&amp;"snack|grocery|foodies""), ""Food"",
  REGEXMATCH(LOWER(VLOOKUP(A278, Data1_Raw_Slack!A:B, 2, FALSE)), ""travel|vacation|airline|hotel|trip|flights|travelers""), ""Travel"",
  REGEXMATCH(LOWER(VLOOKUP(A278, Data1_Raw_Slack!A:B, 2, FALSE)), ""fitness|workou"&amp;"t|gym|exercise|yoga|wellness|fitness enthusiasts""), ""Fitness"",
  REGEXMATCH(LOWER(VLOOKUP(A278, Data1_Raw_Slack!A:B, 2, FALSE)), ""health|medical|pharmacy|mental health|doctor|health-conscious""), ""Health"",
  REGEXMATCH(LOWER(VLOOKUP(A278, Data1_Raw_"&amp;"Slack!A:B, 2, FALSE)), ""pets|dogs|cats|animals|pet care|pet lovers""), ""Pets"",
  REGEXMATCH(LOWER(VLOOKUP(A278, Data1_Raw_Slack!A:B, 2, FALSE)), ""games|gaming|game|xbox|playstation|nintendo|gamers""), ""Gaming"",
  REGEXMATCH(LOWER(VLOOKUP(A278, Data1"&amp;"_Raw_Slack!A:B, 2, FALSE)), ""entertainment|movies|tv|netflix|streaming|celebrity|movie lovers|tv fans|hobb|photo|art""), ""Entertainment"",
  REGEXMATCH(LOWER(VLOOKUP(A278, Data1_Raw_Slack!A:B, 2, FALSE)), ""lifestyle|home|interior|decor|living|lifestyle"&amp;" enthusiasts""), ""Lifestyle"",
  REGEXMATCH(LOWER(VLOOKUP(A278, Data1_Raw_Slack!A:B, 2, FALSE)), ""financial|finance|investing|stocks|retirement|banking|credit|debt|loans|savings|personal finance|insurance|econ|ecom|business|retail|occupation|sale|job|ma"&amp;"rketing""), ""Finance"",
  REGEXMATCH(LOWER(VLOOKUP(A278, Data1_Raw_Slack!A:B, 2, FALSE)), ""auto|automotive""), ""Auto"",
  REGEXMATCH(LOWER(VLOOKUP(A278, Data1_Raw_Slack!A:B, 2, FALSE)), ""parenting|moms|dads|kids|toddlers|baby|parent|children""), ""Par"&amp;"enting"",
  REGEXMATCH(LOWER(VLOOKUP(A278, Data1_Raw_Slack!A:B, 2, FALSE)), ""education|students|learning|school|teachers|college|university|academics""), ""Education"",
  REGEXMATCH(LOWER(VLOOKUP(A278, Data1_Raw_Slack!A:B, 2, FALSE)), ""age|gender|dem"&amp;"ographic|family|household""), ""Demographics"",
  REGEXMATCH(LOWER(VLOOKUP(A278, Data1_Raw_Slack!A:B, 2, FALSE)), ""mortgage|real estate""), ""Real Estate"",REGEXMATCH(LOWER(VLOOKUP(A278, Data1_Raw_Slack!A:B, 2, FALSE)), ""technology|tech|gadgets|smartpho"&amp;"ne|electro|apps|devices|computing|ai|robots|software|computer|internet|tele|mobile|tablet""), ""Technology"", REGEXMATCH(LOWER(VLOOKUP(A278, Data1_Raw_Slack!A:B, 2, FALSE)), ""entertainment|purchas|movies|tv|netflix|streaming|celebrity|movie lovers|tv fan"&amp;"s|media|hobb|photo|art|shop""), ""Entertainment"", REGEXMATCH(LOWER(VLOOKUP(A278, Data1_Raw_Slack!A:B, 2, FALSE)), ""law|government|""), ""Law and Government"",
  TRUE, ""Other""
)"),"Auto")</f>
        <v>Auto</v>
      </c>
      <c r="G278" s="9" t="s">
        <v>122</v>
      </c>
      <c r="H278" s="9" t="s">
        <v>44</v>
      </c>
      <c r="I278" s="9" t="s">
        <v>809</v>
      </c>
      <c r="J278" s="9" t="s">
        <v>80</v>
      </c>
      <c r="K278" s="9" t="s">
        <v>299</v>
      </c>
      <c r="L278" s="9" t="s">
        <v>72</v>
      </c>
      <c r="M278" s="10" t="s">
        <v>434</v>
      </c>
      <c r="N278" s="9" t="str">
        <f ca="1">IFERROR(__xludf.DUMMYFUNCTION("REGEXEXTRACT(LOWER(M278), ""([a-z0-9\-]+)\.(?:co|net|org|io|gg)"")"),"mlb")</f>
        <v>mlb</v>
      </c>
      <c r="O278" s="9" t="s">
        <v>50</v>
      </c>
      <c r="P278" s="9" t="s">
        <v>39</v>
      </c>
      <c r="Q278" s="9">
        <v>7789</v>
      </c>
      <c r="R278" s="9">
        <v>30</v>
      </c>
      <c r="S278" s="9">
        <v>4655</v>
      </c>
      <c r="T278" s="9">
        <v>7434</v>
      </c>
      <c r="U278" s="9">
        <v>1</v>
      </c>
      <c r="V278" s="11">
        <v>6396.8687630000004</v>
      </c>
      <c r="W278" s="12">
        <f t="shared" si="7"/>
        <v>6396.8687630000004</v>
      </c>
      <c r="X278" s="12">
        <f t="shared" si="8"/>
        <v>0.38515855693927331</v>
      </c>
      <c r="Y278" s="12">
        <f t="shared" si="9"/>
        <v>59.763769418410583</v>
      </c>
      <c r="Z278" s="12">
        <f t="shared" si="10"/>
        <v>1374.1930747583244</v>
      </c>
      <c r="AA278" s="12">
        <f t="shared" si="11"/>
        <v>821.26958056233161</v>
      </c>
      <c r="AB278" s="12">
        <f t="shared" si="12"/>
        <v>213.22895876666669</v>
      </c>
      <c r="AC278" s="12">
        <f t="shared" si="13"/>
        <v>3.3333333333333335</v>
      </c>
      <c r="AE278" s="13"/>
      <c r="AF278" s="13"/>
    </row>
    <row r="279" spans="1:32">
      <c r="A279" s="8" t="s">
        <v>1130</v>
      </c>
      <c r="B279" s="9" t="s">
        <v>41</v>
      </c>
      <c r="C279" s="9" t="s">
        <v>127</v>
      </c>
      <c r="D279" s="9" t="s">
        <v>1131</v>
      </c>
      <c r="E279" s="9" t="s">
        <v>1131</v>
      </c>
      <c r="F279" s="9" t="str">
        <f ca="1">IFERROR(__xludf.DUMMYFUNCTION("IFS(
  REGEXMATCH(LOWER(VLOOKUP(A279, Data1_Raw_Slack!A:B, 2, FALSE)), ""news|weather""), ""News and Weather"", REGEXMATCH(LOWER(VLOOKUP(A279, Data1_Raw_Slack!A:B, 2, FALSE)), ""sports|ufc|nba|nfl|mlb|soccer|sports fans""), ""Sports"",
  REGEXMATCH(LOWER("&amp;"VLOOKUP(A279, Data1_Raw_Slack!A:B, 2, FALSE)), ""fashion|style|clothing|apparel|shoes|accessories|beauty|cosmetics|fashionistas""), ""Fashion and Beauty"",
  REGEXMATCH(LOWER(VLOOKUP(A279, Data1_Raw_Slack!A:B, 2, FALSE)), ""food|cooking|recipe|restaurant|"&amp;"snack|grocery|foodies""), ""Food"",
  REGEXMATCH(LOWER(VLOOKUP(A279, Data1_Raw_Slack!A:B, 2, FALSE)), ""travel|vacation|airline|hotel|trip|flights|travelers""), ""Travel"",
  REGEXMATCH(LOWER(VLOOKUP(A279, Data1_Raw_Slack!A:B, 2, FALSE)), ""fitness|workou"&amp;"t|gym|exercise|yoga|wellness|fitness enthusiasts""), ""Fitness"",
  REGEXMATCH(LOWER(VLOOKUP(A279, Data1_Raw_Slack!A:B, 2, FALSE)), ""health|medical|pharmacy|mental health|doctor|health-conscious""), ""Health"",
  REGEXMATCH(LOWER(VLOOKUP(A279, Data1_Raw_"&amp;"Slack!A:B, 2, FALSE)), ""pets|dogs|cats|animals|pet care|pet lovers""), ""Pets"",
  REGEXMATCH(LOWER(VLOOKUP(A279, Data1_Raw_Slack!A:B, 2, FALSE)), ""games|gaming|game|xbox|playstation|nintendo|gamers""), ""Gaming"",
  REGEXMATCH(LOWER(VLOOKUP(A279, Data1"&amp;"_Raw_Slack!A:B, 2, FALSE)), ""entertainment|movies|tv|netflix|streaming|celebrity|movie lovers|tv fans|hobb|photo|art""), ""Entertainment"",
  REGEXMATCH(LOWER(VLOOKUP(A279, Data1_Raw_Slack!A:B, 2, FALSE)), ""lifestyle|home|interior|decor|living|lifestyle"&amp;" enthusiasts""), ""Lifestyle"",
  REGEXMATCH(LOWER(VLOOKUP(A279, Data1_Raw_Slack!A:B, 2, FALSE)), ""financial|finance|investing|stocks|retirement|banking|credit|debt|loans|savings|personal finance|insurance|econ|ecom|business|retail|occupation|sale|job|ma"&amp;"rketing""), ""Finance"",
  REGEXMATCH(LOWER(VLOOKUP(A279, Data1_Raw_Slack!A:B, 2, FALSE)), ""auto|automotive""), ""Auto"",
  REGEXMATCH(LOWER(VLOOKUP(A279, Data1_Raw_Slack!A:B, 2, FALSE)), ""parenting|moms|dads|kids|toddlers|baby|parent|children""), ""Par"&amp;"enting"",
  REGEXMATCH(LOWER(VLOOKUP(A279, Data1_Raw_Slack!A:B, 2, FALSE)), ""education|students|learning|school|teachers|college|university|academics""), ""Education"",
  REGEXMATCH(LOWER(VLOOKUP(A279, Data1_Raw_Slack!A:B, 2, FALSE)), ""age|gender|dem"&amp;"ographic|family|household""), ""Demographics"",
  REGEXMATCH(LOWER(VLOOKUP(A279, Data1_Raw_Slack!A:B, 2, FALSE)), ""mortgage|real estate""), ""Real Estate"",REGEXMATCH(LOWER(VLOOKUP(A279, Data1_Raw_Slack!A:B, 2, FALSE)), ""technology|tech|gadgets|smartpho"&amp;"ne|electro|apps|devices|computing|ai|robots|software|computer|internet|tele|mobile|tablet""), ""Technology"", REGEXMATCH(LOWER(VLOOKUP(A279, Data1_Raw_Slack!A:B, 2, FALSE)), ""entertainment|purchas|movies|tv|netflix|streaming|celebrity|movie lovers|tv fan"&amp;"s|media|hobb|photo|art|shop""), ""Entertainment"", REGEXMATCH(LOWER(VLOOKUP(A279, Data1_Raw_Slack!A:B, 2, FALSE)), ""law|government|""), ""Law and Government"",
  TRUE, ""Other""
)"),"Finance")</f>
        <v>Finance</v>
      </c>
      <c r="G279" s="9" t="s">
        <v>127</v>
      </c>
      <c r="H279" s="9" t="s">
        <v>32</v>
      </c>
      <c r="I279" s="9" t="s">
        <v>1132</v>
      </c>
      <c r="J279" s="9" t="s">
        <v>62</v>
      </c>
      <c r="K279" s="9" t="s">
        <v>236</v>
      </c>
      <c r="L279" s="9" t="s">
        <v>82</v>
      </c>
      <c r="M279" s="10" t="s">
        <v>229</v>
      </c>
      <c r="N279" s="9" t="str">
        <f ca="1">IFERROR(__xludf.DUMMYFUNCTION("REGEXEXTRACT(LOWER(M279), ""([a-z0-9\-]+)\.(?:co|net|org|io|gg)"")"),"msn")</f>
        <v>msn</v>
      </c>
      <c r="O279" s="9" t="s">
        <v>74</v>
      </c>
      <c r="P279" s="9" t="s">
        <v>39</v>
      </c>
      <c r="Q279" s="9">
        <v>4154911</v>
      </c>
      <c r="R279" s="9">
        <v>1254</v>
      </c>
      <c r="S279" s="9">
        <v>2338732</v>
      </c>
      <c r="T279" s="9">
        <v>3445626</v>
      </c>
      <c r="U279" s="9">
        <v>154</v>
      </c>
      <c r="V279" s="11">
        <v>8038.5703709999998</v>
      </c>
      <c r="W279" s="12">
        <f t="shared" si="7"/>
        <v>52.198508902597403</v>
      </c>
      <c r="X279" s="12">
        <f t="shared" si="8"/>
        <v>3.0181151894709657E-2</v>
      </c>
      <c r="Y279" s="12">
        <f t="shared" si="9"/>
        <v>56.288377777526399</v>
      </c>
      <c r="Z279" s="12">
        <f t="shared" si="10"/>
        <v>3.4371490068122381</v>
      </c>
      <c r="AA279" s="12">
        <f t="shared" si="11"/>
        <v>1.9347154177309693</v>
      </c>
      <c r="AB279" s="12">
        <f t="shared" si="12"/>
        <v>6.4103431985645933</v>
      </c>
      <c r="AC279" s="12">
        <f t="shared" si="13"/>
        <v>12.280701754385964</v>
      </c>
      <c r="AE279" s="13"/>
      <c r="AF279" s="13"/>
    </row>
    <row r="280" spans="1:32">
      <c r="A280" s="8" t="s">
        <v>1133</v>
      </c>
      <c r="B280" s="9" t="s">
        <v>67</v>
      </c>
      <c r="C280" s="9" t="s">
        <v>151</v>
      </c>
      <c r="D280" s="9" t="s">
        <v>1134</v>
      </c>
      <c r="E280" s="9"/>
      <c r="F280" s="9" t="str">
        <f ca="1">IFERROR(__xludf.DUMMYFUNCTION("IFS(
  REGEXMATCH(LOWER(VLOOKUP(A280, Data1_Raw_Slack!A:B, 2, FALSE)), ""news|weather""), ""News and Weather"", REGEXMATCH(LOWER(VLOOKUP(A280, Data1_Raw_Slack!A:B, 2, FALSE)), ""sports|ufc|nba|nfl|mlb|soccer|sports fans""), ""Sports"",
  REGEXMATCH(LOWER("&amp;"VLOOKUP(A280, Data1_Raw_Slack!A:B, 2, FALSE)), ""fashion|style|clothing|apparel|shoes|accessories|beauty|cosmetics|fashionistas""), ""Fashion and Beauty"",
  REGEXMATCH(LOWER(VLOOKUP(A280, Data1_Raw_Slack!A:B, 2, FALSE)), ""food|cooking|recipe|restaurant|"&amp;"snack|grocery|foodies""), ""Food"",
  REGEXMATCH(LOWER(VLOOKUP(A280, Data1_Raw_Slack!A:B, 2, FALSE)), ""travel|vacation|airline|hotel|trip|flights|travelers""), ""Travel"",
  REGEXMATCH(LOWER(VLOOKUP(A280, Data1_Raw_Slack!A:B, 2, FALSE)), ""fitness|workou"&amp;"t|gym|exercise|yoga|wellness|fitness enthusiasts""), ""Fitness"",
  REGEXMATCH(LOWER(VLOOKUP(A280, Data1_Raw_Slack!A:B, 2, FALSE)), ""health|medical|pharmacy|mental health|doctor|health-conscious""), ""Health"",
  REGEXMATCH(LOWER(VLOOKUP(A280, Data1_Raw_"&amp;"Slack!A:B, 2, FALSE)), ""pets|dogs|cats|animals|pet care|pet lovers""), ""Pets"",
  REGEXMATCH(LOWER(VLOOKUP(A280, Data1_Raw_Slack!A:B, 2, FALSE)), ""games|gaming|game|xbox|playstation|nintendo|gamers""), ""Gaming"",
  REGEXMATCH(LOWER(VLOOKUP(A280, Data1"&amp;"_Raw_Slack!A:B, 2, FALSE)), ""entertainment|movies|tv|netflix|streaming|celebrity|movie lovers|tv fans|hobb|photo|art""), ""Entertainment"",
  REGEXMATCH(LOWER(VLOOKUP(A280, Data1_Raw_Slack!A:B, 2, FALSE)), ""lifestyle|home|interior|decor|living|lifestyle"&amp;" enthusiasts""), ""Lifestyle"",
  REGEXMATCH(LOWER(VLOOKUP(A280, Data1_Raw_Slack!A:B, 2, FALSE)), ""financial|finance|investing|stocks|retirement|banking|credit|debt|loans|savings|personal finance|insurance|econ|ecom|business|retail|occupation|sale|job|ma"&amp;"rketing""), ""Finance"",
  REGEXMATCH(LOWER(VLOOKUP(A280, Data1_Raw_Slack!A:B, 2, FALSE)), ""auto|automotive""), ""Auto"",
  REGEXMATCH(LOWER(VLOOKUP(A280, Data1_Raw_Slack!A:B, 2, FALSE)), ""parenting|moms|dads|kids|toddlers|baby|parent|children""), ""Par"&amp;"enting"",
  REGEXMATCH(LOWER(VLOOKUP(A280, Data1_Raw_Slack!A:B, 2, FALSE)), ""education|students|learning|school|teachers|college|university|academics""), ""Education"",
  REGEXMATCH(LOWER(VLOOKUP(A280, Data1_Raw_Slack!A:B, 2, FALSE)), ""age|gender|dem"&amp;"ographic|family|household""), ""Demographics"",
  REGEXMATCH(LOWER(VLOOKUP(A280, Data1_Raw_Slack!A:B, 2, FALSE)), ""mortgage|real estate""), ""Real Estate"",REGEXMATCH(LOWER(VLOOKUP(A280, Data1_Raw_Slack!A:B, 2, FALSE)), ""technology|tech|gadgets|smartpho"&amp;"ne|electro|apps|devices|computing|ai|robots|software|computer|internet|tele|mobile|tablet""), ""Technology"", REGEXMATCH(LOWER(VLOOKUP(A280, Data1_Raw_Slack!A:B, 2, FALSE)), ""entertainment|purchas|movies|tv|netflix|streaming|celebrity|movie lovers|tv fan"&amp;"s|media|hobb|photo|art|shop""), ""Entertainment"", REGEXMATCH(LOWER(VLOOKUP(A280, Data1_Raw_Slack!A:B, 2, FALSE)), ""law|government|""), ""Law and Government"",
  TRUE, ""Other""
)"),"Sports")</f>
        <v>Sports</v>
      </c>
      <c r="G280" s="9" t="s">
        <v>154</v>
      </c>
      <c r="H280" s="9" t="s">
        <v>44</v>
      </c>
      <c r="I280" s="9" t="s">
        <v>1135</v>
      </c>
      <c r="J280" s="9" t="s">
        <v>80</v>
      </c>
      <c r="K280" s="9" t="s">
        <v>35</v>
      </c>
      <c r="L280" s="9" t="s">
        <v>36</v>
      </c>
      <c r="M280" s="10" t="s">
        <v>430</v>
      </c>
      <c r="N280" s="9" t="str">
        <f ca="1">IFERROR(__xludf.DUMMYFUNCTION("REGEXEXTRACT(LOWER(M280), ""([a-z0-9\-]+)\.(?:co|net|org|io|gg)"")"),"biblegateway")</f>
        <v>biblegateway</v>
      </c>
      <c r="O280" s="9" t="s">
        <v>50</v>
      </c>
      <c r="P280" s="9" t="s">
        <v>75</v>
      </c>
      <c r="Q280" s="9">
        <v>21531</v>
      </c>
      <c r="R280" s="9">
        <v>55</v>
      </c>
      <c r="S280" s="9">
        <v>15593</v>
      </c>
      <c r="T280" s="9">
        <v>18617</v>
      </c>
      <c r="U280" s="9">
        <v>6</v>
      </c>
      <c r="V280" s="11">
        <v>1470.9719250000001</v>
      </c>
      <c r="W280" s="12">
        <f t="shared" si="7"/>
        <v>245.16198750000001</v>
      </c>
      <c r="X280" s="12">
        <f t="shared" si="8"/>
        <v>0.25544563652408153</v>
      </c>
      <c r="Y280" s="12">
        <f t="shared" si="9"/>
        <v>72.421160187636431</v>
      </c>
      <c r="Z280" s="12">
        <f t="shared" si="10"/>
        <v>94.335402103507988</v>
      </c>
      <c r="AA280" s="12">
        <f t="shared" si="11"/>
        <v>68.318792671032469</v>
      </c>
      <c r="AB280" s="12">
        <f t="shared" si="12"/>
        <v>26.74494409090909</v>
      </c>
      <c r="AC280" s="12">
        <f t="shared" si="13"/>
        <v>10.909090909090908</v>
      </c>
      <c r="AE280" s="13"/>
      <c r="AF280" s="13"/>
    </row>
    <row r="281" spans="1:32">
      <c r="A281" s="8" t="s">
        <v>1136</v>
      </c>
      <c r="B281" s="9" t="s">
        <v>1137</v>
      </c>
      <c r="C281" s="9" t="s">
        <v>658</v>
      </c>
      <c r="D281" s="9" t="s">
        <v>1138</v>
      </c>
      <c r="E281" s="9"/>
      <c r="F281" s="9" t="str">
        <f ca="1">IFERROR(__xludf.DUMMYFUNCTION("IFS(
  REGEXMATCH(LOWER(VLOOKUP(A281, Data1_Raw_Slack!A:B, 2, FALSE)), ""news|weather""), ""News and Weather"", REGEXMATCH(LOWER(VLOOKUP(A281, Data1_Raw_Slack!A:B, 2, FALSE)), ""sports|ufc|nba|nfl|mlb|soccer|sports fans""), ""Sports"",
  REGEXMATCH(LOWER("&amp;"VLOOKUP(A281, Data1_Raw_Slack!A:B, 2, FALSE)), ""fashion|style|clothing|apparel|shoes|accessories|beauty|cosmetics|fashionistas""), ""Fashion and Beauty"",
  REGEXMATCH(LOWER(VLOOKUP(A281, Data1_Raw_Slack!A:B, 2, FALSE)), ""food|cooking|recipe|restaurant|"&amp;"snack|grocery|foodies""), ""Food"",
  REGEXMATCH(LOWER(VLOOKUP(A281, Data1_Raw_Slack!A:B, 2, FALSE)), ""travel|vacation|airline|hotel|trip|flights|travelers""), ""Travel"",
  REGEXMATCH(LOWER(VLOOKUP(A281, Data1_Raw_Slack!A:B, 2, FALSE)), ""fitness|workou"&amp;"t|gym|exercise|yoga|wellness|fitness enthusiasts""), ""Fitness"",
  REGEXMATCH(LOWER(VLOOKUP(A281, Data1_Raw_Slack!A:B, 2, FALSE)), ""health|medical|pharmacy|mental health|doctor|health-conscious""), ""Health"",
  REGEXMATCH(LOWER(VLOOKUP(A281, Data1_Raw_"&amp;"Slack!A:B, 2, FALSE)), ""pets|dogs|cats|animals|pet care|pet lovers""), ""Pets"",
  REGEXMATCH(LOWER(VLOOKUP(A281, Data1_Raw_Slack!A:B, 2, FALSE)), ""games|gaming|game|xbox|playstation|nintendo|gamers""), ""Gaming"",
  REGEXMATCH(LOWER(VLOOKUP(A281, Data1"&amp;"_Raw_Slack!A:B, 2, FALSE)), ""entertainment|movies|tv|netflix|streaming|celebrity|movie lovers|tv fans|hobb|photo|art""), ""Entertainment"",
  REGEXMATCH(LOWER(VLOOKUP(A281, Data1_Raw_Slack!A:B, 2, FALSE)), ""lifestyle|home|interior|decor|living|lifestyle"&amp;" enthusiasts""), ""Lifestyle"",
  REGEXMATCH(LOWER(VLOOKUP(A281, Data1_Raw_Slack!A:B, 2, FALSE)), ""financial|finance|investing|stocks|retirement|banking|credit|debt|loans|savings|personal finance|insurance|econ|ecom|business|retail|occupation|sale|job|ma"&amp;"rketing""), ""Finance"",
  REGEXMATCH(LOWER(VLOOKUP(A281, Data1_Raw_Slack!A:B, 2, FALSE)), ""auto|automotive""), ""Auto"",
  REGEXMATCH(LOWER(VLOOKUP(A281, Data1_Raw_Slack!A:B, 2, FALSE)), ""parenting|moms|dads|kids|toddlers|baby|parent|children""), ""Par"&amp;"enting"",
  REGEXMATCH(LOWER(VLOOKUP(A281, Data1_Raw_Slack!A:B, 2, FALSE)), ""education|students|learning|school|teachers|college|university|academics""), ""Education"",
  REGEXMATCH(LOWER(VLOOKUP(A281, Data1_Raw_Slack!A:B, 2, FALSE)), ""age|gender|dem"&amp;"ographic|family|household""), ""Demographics"",
  REGEXMATCH(LOWER(VLOOKUP(A281, Data1_Raw_Slack!A:B, 2, FALSE)), ""mortgage|real estate""), ""Real Estate"",REGEXMATCH(LOWER(VLOOKUP(A281, Data1_Raw_Slack!A:B, 2, FALSE)), ""technology|tech|gadgets|smartpho"&amp;"ne|electro|apps|devices|computing|ai|robots|software|computer|internet|tele|mobile|tablet""), ""Technology"", REGEXMATCH(LOWER(VLOOKUP(A281, Data1_Raw_Slack!A:B, 2, FALSE)), ""entertainment|purchas|movies|tv|netflix|streaming|celebrity|movie lovers|tv fan"&amp;"s|media|hobb|photo|art|shop""), ""Entertainment"", REGEXMATCH(LOWER(VLOOKUP(A281, Data1_Raw_Slack!A:B, 2, FALSE)), ""law|government|""), ""Law and Government"",
  TRUE, ""Other""
)"),"Education")</f>
        <v>Education</v>
      </c>
      <c r="G281" s="9"/>
      <c r="H281" s="9" t="s">
        <v>44</v>
      </c>
      <c r="I281" s="9" t="s">
        <v>1139</v>
      </c>
      <c r="J281" s="9" t="s">
        <v>46</v>
      </c>
      <c r="K281" s="9" t="s">
        <v>148</v>
      </c>
      <c r="L281" s="9" t="s">
        <v>89</v>
      </c>
      <c r="M281" s="10" t="s">
        <v>354</v>
      </c>
      <c r="N281" s="9" t="str">
        <f ca="1">IFERROR(__xludf.DUMMYFUNCTION("REGEXEXTRACT(LOWER(M281), ""([a-z0-9\-]+)\.(?:co|net|org|io|gg)"")"),"yahoo")</f>
        <v>yahoo</v>
      </c>
      <c r="O281" s="9" t="s">
        <v>50</v>
      </c>
      <c r="P281" s="9" t="s">
        <v>75</v>
      </c>
      <c r="Q281" s="9">
        <v>74164</v>
      </c>
      <c r="R281" s="9">
        <v>241</v>
      </c>
      <c r="S281" s="9">
        <v>25104</v>
      </c>
      <c r="T281" s="9">
        <v>61242</v>
      </c>
      <c r="U281" s="9">
        <v>19</v>
      </c>
      <c r="V281" s="11">
        <v>1902.3014430000001</v>
      </c>
      <c r="W281" s="12">
        <f t="shared" si="7"/>
        <v>100.12112857894738</v>
      </c>
      <c r="X281" s="12">
        <f t="shared" si="8"/>
        <v>0.32495550401812195</v>
      </c>
      <c r="Y281" s="12">
        <f t="shared" si="9"/>
        <v>33.849306941373172</v>
      </c>
      <c r="Z281" s="12">
        <f t="shared" si="10"/>
        <v>75.77682612332697</v>
      </c>
      <c r="AA281" s="12">
        <f t="shared" si="11"/>
        <v>25.649930464915592</v>
      </c>
      <c r="AB281" s="12">
        <f t="shared" si="12"/>
        <v>7.8933669834024895</v>
      </c>
      <c r="AC281" s="12">
        <f t="shared" si="13"/>
        <v>7.8838174273858916</v>
      </c>
      <c r="AE281" s="13"/>
      <c r="AF281" s="13"/>
    </row>
    <row r="282" spans="1:32">
      <c r="A282" s="8" t="s">
        <v>1140</v>
      </c>
      <c r="B282" s="9" t="s">
        <v>67</v>
      </c>
      <c r="C282" s="9" t="s">
        <v>1141</v>
      </c>
      <c r="D282" s="9"/>
      <c r="E282" s="9"/>
      <c r="F282" s="9" t="str">
        <f ca="1">IFERROR(__xludf.DUMMYFUNCTION("IFS(
  REGEXMATCH(LOWER(VLOOKUP(A282, Data1_Raw_Slack!A:B, 2, FALSE)), ""news|weather""), ""News and Weather"", REGEXMATCH(LOWER(VLOOKUP(A282, Data1_Raw_Slack!A:B, 2, FALSE)), ""sports|ufc|nba|nfl|mlb|soccer|sports fans""), ""Sports"",
  REGEXMATCH(LOWER("&amp;"VLOOKUP(A282, Data1_Raw_Slack!A:B, 2, FALSE)), ""fashion|style|clothing|apparel|shoes|accessories|beauty|cosmetics|fashionistas""), ""Fashion and Beauty"",
  REGEXMATCH(LOWER(VLOOKUP(A282, Data1_Raw_Slack!A:B, 2, FALSE)), ""food|cooking|recipe|restaurant|"&amp;"snack|grocery|foodies""), ""Food"",
  REGEXMATCH(LOWER(VLOOKUP(A282, Data1_Raw_Slack!A:B, 2, FALSE)), ""travel|vacation|airline|hotel|trip|flights|travelers""), ""Travel"",
  REGEXMATCH(LOWER(VLOOKUP(A282, Data1_Raw_Slack!A:B, 2, FALSE)), ""fitness|workou"&amp;"t|gym|exercise|yoga|wellness|fitness enthusiasts""), ""Fitness"",
  REGEXMATCH(LOWER(VLOOKUP(A282, Data1_Raw_Slack!A:B, 2, FALSE)), ""health|medical|pharmacy|mental health|doctor|health-conscious""), ""Health"",
  REGEXMATCH(LOWER(VLOOKUP(A282, Data1_Raw_"&amp;"Slack!A:B, 2, FALSE)), ""pets|dogs|cats|animals|pet care|pet lovers""), ""Pets"",
  REGEXMATCH(LOWER(VLOOKUP(A282, Data1_Raw_Slack!A:B, 2, FALSE)), ""games|gaming|game|xbox|playstation|nintendo|gamers""), ""Gaming"",
  REGEXMATCH(LOWER(VLOOKUP(A282, Data1"&amp;"_Raw_Slack!A:B, 2, FALSE)), ""entertainment|movies|tv|netflix|streaming|celebrity|movie lovers|tv fans|hobb|photo|art""), ""Entertainment"",
  REGEXMATCH(LOWER(VLOOKUP(A282, Data1_Raw_Slack!A:B, 2, FALSE)), ""lifestyle|home|interior|decor|living|lifestyle"&amp;" enthusiasts""), ""Lifestyle"",
  REGEXMATCH(LOWER(VLOOKUP(A282, Data1_Raw_Slack!A:B, 2, FALSE)), ""financial|finance|investing|stocks|retirement|banking|credit|debt|loans|savings|personal finance|insurance|econ|ecom|business|retail|occupation|sale|job|ma"&amp;"rketing""), ""Finance"",
  REGEXMATCH(LOWER(VLOOKUP(A282, Data1_Raw_Slack!A:B, 2, FALSE)), ""auto|automotive""), ""Auto"",
  REGEXMATCH(LOWER(VLOOKUP(A282, Data1_Raw_Slack!A:B, 2, FALSE)), ""parenting|moms|dads|kids|toddlers|baby|parent|children""), ""Par"&amp;"enting"",
  REGEXMATCH(LOWER(VLOOKUP(A282, Data1_Raw_Slack!A:B, 2, FALSE)), ""education|students|learning|school|teachers|college|university|academics""), ""Education"",
  REGEXMATCH(LOWER(VLOOKUP(A282, Data1_Raw_Slack!A:B, 2, FALSE)), ""age|gender|dem"&amp;"ographic|family|household""), ""Demographics"",
  REGEXMATCH(LOWER(VLOOKUP(A282, Data1_Raw_Slack!A:B, 2, FALSE)), ""mortgage|real estate""), ""Real Estate"",REGEXMATCH(LOWER(VLOOKUP(A282, Data1_Raw_Slack!A:B, 2, FALSE)), ""technology|tech|gadgets|smartpho"&amp;"ne|electro|apps|devices|computing|ai|robots|software|computer|internet|tele|mobile|tablet""), ""Technology"", REGEXMATCH(LOWER(VLOOKUP(A282, Data1_Raw_Slack!A:B, 2, FALSE)), ""entertainment|purchas|movies|tv|netflix|streaming|celebrity|movie lovers|tv fan"&amp;"s|media|hobb|photo|art|shop""), ""Entertainment"", REGEXMATCH(LOWER(VLOOKUP(A282, Data1_Raw_Slack!A:B, 2, FALSE)), ""law|government|""), ""Law and Government"",
  TRUE, ""Other""
)"),"Entertainment")</f>
        <v>Entertainment</v>
      </c>
      <c r="G282" s="9"/>
      <c r="H282" s="9" t="s">
        <v>44</v>
      </c>
      <c r="I282" s="9" t="s">
        <v>1142</v>
      </c>
      <c r="J282" s="9" t="s">
        <v>34</v>
      </c>
      <c r="K282" s="9" t="s">
        <v>56</v>
      </c>
      <c r="L282" s="9" t="s">
        <v>57</v>
      </c>
      <c r="M282" s="10" t="s">
        <v>1143</v>
      </c>
      <c r="N282" s="9" t="str">
        <f ca="1">IFERROR(__xludf.DUMMYFUNCTION("REGEXEXTRACT(LOWER(M282), ""([a-z0-9\-]+)\.(?:co|net|org|io|gg)"")"),"editorsnation")</f>
        <v>editorsnation</v>
      </c>
      <c r="O282" s="9" t="s">
        <v>50</v>
      </c>
      <c r="P282" s="9" t="s">
        <v>39</v>
      </c>
      <c r="Q282" s="9">
        <v>10942</v>
      </c>
      <c r="R282" s="9">
        <v>66</v>
      </c>
      <c r="S282" s="9">
        <v>4578</v>
      </c>
      <c r="T282" s="9">
        <v>9155</v>
      </c>
      <c r="U282" s="9">
        <v>3</v>
      </c>
      <c r="V282" s="11">
        <v>1595.752624</v>
      </c>
      <c r="W282" s="12">
        <f t="shared" si="7"/>
        <v>531.91754133333336</v>
      </c>
      <c r="X282" s="12">
        <f t="shared" si="8"/>
        <v>0.60318040577590937</v>
      </c>
      <c r="Y282" s="12">
        <f t="shared" si="9"/>
        <v>41.838786327910803</v>
      </c>
      <c r="Z282" s="12">
        <f t="shared" si="10"/>
        <v>348.56981738750545</v>
      </c>
      <c r="AA282" s="12">
        <f t="shared" si="11"/>
        <v>145.83738110034727</v>
      </c>
      <c r="AB282" s="12">
        <f t="shared" si="12"/>
        <v>24.178070060606061</v>
      </c>
      <c r="AC282" s="12">
        <f t="shared" si="13"/>
        <v>4.5454545454545459</v>
      </c>
      <c r="AE282" s="13"/>
      <c r="AF282" s="13"/>
    </row>
    <row r="283" spans="1:32">
      <c r="A283" s="8" t="s">
        <v>1144</v>
      </c>
      <c r="B283" s="9" t="s">
        <v>144</v>
      </c>
      <c r="C283" s="9"/>
      <c r="D283" s="9"/>
      <c r="E283" s="9"/>
      <c r="F283" s="9" t="str">
        <f ca="1">IFERROR(__xludf.DUMMYFUNCTION("IFS(
  REGEXMATCH(LOWER(VLOOKUP(A283, Data1_Raw_Slack!A:B, 2, FALSE)), ""news|weather""), ""News and Weather"", REGEXMATCH(LOWER(VLOOKUP(A283, Data1_Raw_Slack!A:B, 2, FALSE)), ""sports|ufc|nba|nfl|mlb|soccer|sports fans""), ""Sports"",
  REGEXMATCH(LOWER("&amp;"VLOOKUP(A283, Data1_Raw_Slack!A:B, 2, FALSE)), ""fashion|style|clothing|apparel|shoes|accessories|beauty|cosmetics|fashionistas""), ""Fashion and Beauty"",
  REGEXMATCH(LOWER(VLOOKUP(A283, Data1_Raw_Slack!A:B, 2, FALSE)), ""food|cooking|recipe|restaurant|"&amp;"snack|grocery|foodies""), ""Food"",
  REGEXMATCH(LOWER(VLOOKUP(A283, Data1_Raw_Slack!A:B, 2, FALSE)), ""travel|vacation|airline|hotel|trip|flights|travelers""), ""Travel"",
  REGEXMATCH(LOWER(VLOOKUP(A283, Data1_Raw_Slack!A:B, 2, FALSE)), ""fitness|workou"&amp;"t|gym|exercise|yoga|wellness|fitness enthusiasts""), ""Fitness"",
  REGEXMATCH(LOWER(VLOOKUP(A283, Data1_Raw_Slack!A:B, 2, FALSE)), ""health|medical|pharmacy|mental health|doctor|health-conscious""), ""Health"",
  REGEXMATCH(LOWER(VLOOKUP(A283, Data1_Raw_"&amp;"Slack!A:B, 2, FALSE)), ""pets|dogs|cats|animals|pet care|pet lovers""), ""Pets"",
  REGEXMATCH(LOWER(VLOOKUP(A283, Data1_Raw_Slack!A:B, 2, FALSE)), ""games|gaming|game|xbox|playstation|nintendo|gamers""), ""Gaming"",
  REGEXMATCH(LOWER(VLOOKUP(A283, Data1"&amp;"_Raw_Slack!A:B, 2, FALSE)), ""entertainment|movies|tv|netflix|streaming|celebrity|movie lovers|tv fans|hobb|photo|art""), ""Entertainment"",
  REGEXMATCH(LOWER(VLOOKUP(A283, Data1_Raw_Slack!A:B, 2, FALSE)), ""lifestyle|home|interior|decor|living|lifestyle"&amp;" enthusiasts""), ""Lifestyle"",
  REGEXMATCH(LOWER(VLOOKUP(A283, Data1_Raw_Slack!A:B, 2, FALSE)), ""financial|finance|investing|stocks|retirement|banking|credit|debt|loans|savings|personal finance|insurance|econ|ecom|business|retail|occupation|sale|job|ma"&amp;"rketing""), ""Finance"",
  REGEXMATCH(LOWER(VLOOKUP(A283, Data1_Raw_Slack!A:B, 2, FALSE)), ""auto|automotive""), ""Auto"",
  REGEXMATCH(LOWER(VLOOKUP(A283, Data1_Raw_Slack!A:B, 2, FALSE)), ""parenting|moms|dads|kids|toddlers|baby|parent|children""), ""Par"&amp;"enting"",
  REGEXMATCH(LOWER(VLOOKUP(A283, Data1_Raw_Slack!A:B, 2, FALSE)), ""education|students|learning|school|teachers|college|university|academics""), ""Education"",
  REGEXMATCH(LOWER(VLOOKUP(A283, Data1_Raw_Slack!A:B, 2, FALSE)), ""age|gender|dem"&amp;"ographic|family|household""), ""Demographics"",
  REGEXMATCH(LOWER(VLOOKUP(A283, Data1_Raw_Slack!A:B, 2, FALSE)), ""mortgage|real estate""), ""Real Estate"",REGEXMATCH(LOWER(VLOOKUP(A283, Data1_Raw_Slack!A:B, 2, FALSE)), ""technology|tech|gadgets|smartpho"&amp;"ne|electro|apps|devices|computing|ai|robots|software|computer|internet|tele|mobile|tablet""), ""Technology"", REGEXMATCH(LOWER(VLOOKUP(A283, Data1_Raw_Slack!A:B, 2, FALSE)), ""entertainment|purchas|movies|tv|netflix|streaming|celebrity|movie lovers|tv fan"&amp;"s|media|hobb|photo|art|shop""), ""Entertainment"", REGEXMATCH(LOWER(VLOOKUP(A283, Data1_Raw_Slack!A:B, 2, FALSE)), ""law|government|""), ""Law and Government"",
  TRUE, ""Other""
)"),"Law and Government")</f>
        <v>Law and Government</v>
      </c>
      <c r="G283" s="9"/>
      <c r="H283" s="9" t="s">
        <v>32</v>
      </c>
      <c r="I283" s="9" t="s">
        <v>1145</v>
      </c>
      <c r="J283" s="9" t="s">
        <v>62</v>
      </c>
      <c r="K283" s="9" t="s">
        <v>236</v>
      </c>
      <c r="L283" s="9" t="s">
        <v>82</v>
      </c>
      <c r="M283" s="10" t="s">
        <v>668</v>
      </c>
      <c r="N283" s="9" t="str">
        <f ca="1">IFERROR(__xludf.DUMMYFUNCTION("REGEXEXTRACT(LOWER(M283), ""([a-z0-9\-]+)\.(?:co|net|org|io|gg)"")"),"slickdeals")</f>
        <v>slickdeals</v>
      </c>
      <c r="O283" s="9" t="s">
        <v>50</v>
      </c>
      <c r="P283" s="9" t="s">
        <v>39</v>
      </c>
      <c r="Q283" s="9">
        <v>19212</v>
      </c>
      <c r="R283" s="9">
        <v>54</v>
      </c>
      <c r="S283" s="9">
        <v>6872</v>
      </c>
      <c r="T283" s="9">
        <v>14248</v>
      </c>
      <c r="U283" s="9">
        <v>10</v>
      </c>
      <c r="V283" s="11">
        <v>2133.0771129999998</v>
      </c>
      <c r="W283" s="12">
        <f t="shared" si="7"/>
        <v>213.30771129999999</v>
      </c>
      <c r="X283" s="12">
        <f t="shared" si="8"/>
        <v>0.28107432854465958</v>
      </c>
      <c r="Y283" s="12">
        <f t="shared" si="9"/>
        <v>35.769310847387047</v>
      </c>
      <c r="Z283" s="12">
        <f t="shared" si="10"/>
        <v>310.40120969150172</v>
      </c>
      <c r="AA283" s="12">
        <f t="shared" si="11"/>
        <v>111.02837356860294</v>
      </c>
      <c r="AB283" s="12">
        <f t="shared" si="12"/>
        <v>39.501428018518517</v>
      </c>
      <c r="AC283" s="12">
        <f t="shared" si="13"/>
        <v>18.518518518518519</v>
      </c>
      <c r="AE283" s="13"/>
      <c r="AF283" s="13"/>
    </row>
    <row r="284" spans="1:32">
      <c r="A284" s="8" t="s">
        <v>1146</v>
      </c>
      <c r="B284" s="9" t="s">
        <v>41</v>
      </c>
      <c r="C284" s="9" t="s">
        <v>374</v>
      </c>
      <c r="D284" s="9" t="s">
        <v>1147</v>
      </c>
      <c r="E284" s="9"/>
      <c r="F284" s="9" t="str">
        <f ca="1">IFERROR(__xludf.DUMMYFUNCTION("IFS(
  REGEXMATCH(LOWER(VLOOKUP(A284, Data1_Raw_Slack!A:B, 2, FALSE)), ""news|weather""), ""News and Weather"", REGEXMATCH(LOWER(VLOOKUP(A284, Data1_Raw_Slack!A:B, 2, FALSE)), ""sports|ufc|nba|nfl|mlb|soccer|sports fans""), ""Sports"",
  REGEXMATCH(LOWER("&amp;"VLOOKUP(A284, Data1_Raw_Slack!A:B, 2, FALSE)), ""fashion|style|clothing|apparel|shoes|accessories|beauty|cosmetics|fashionistas""), ""Fashion and Beauty"",
  REGEXMATCH(LOWER(VLOOKUP(A284, Data1_Raw_Slack!A:B, 2, FALSE)), ""food|cooking|recipe|restaurant|"&amp;"snack|grocery|foodies""), ""Food"",
  REGEXMATCH(LOWER(VLOOKUP(A284, Data1_Raw_Slack!A:B, 2, FALSE)), ""travel|vacation|airline|hotel|trip|flights|travelers""), ""Travel"",
  REGEXMATCH(LOWER(VLOOKUP(A284, Data1_Raw_Slack!A:B, 2, FALSE)), ""fitness|workou"&amp;"t|gym|exercise|yoga|wellness|fitness enthusiasts""), ""Fitness"",
  REGEXMATCH(LOWER(VLOOKUP(A284, Data1_Raw_Slack!A:B, 2, FALSE)), ""health|medical|pharmacy|mental health|doctor|health-conscious""), ""Health"",
  REGEXMATCH(LOWER(VLOOKUP(A284, Data1_Raw_"&amp;"Slack!A:B, 2, FALSE)), ""pets|dogs|cats|animals|pet care|pet lovers""), ""Pets"",
  REGEXMATCH(LOWER(VLOOKUP(A284, Data1_Raw_Slack!A:B, 2, FALSE)), ""games|gaming|game|xbox|playstation|nintendo|gamers""), ""Gaming"",
  REGEXMATCH(LOWER(VLOOKUP(A284, Data1"&amp;"_Raw_Slack!A:B, 2, FALSE)), ""entertainment|movies|tv|netflix|streaming|celebrity|movie lovers|tv fans|hobb|photo|art""), ""Entertainment"",
  REGEXMATCH(LOWER(VLOOKUP(A284, Data1_Raw_Slack!A:B, 2, FALSE)), ""lifestyle|home|interior|decor|living|lifestyle"&amp;" enthusiasts""), ""Lifestyle"",
  REGEXMATCH(LOWER(VLOOKUP(A284, Data1_Raw_Slack!A:B, 2, FALSE)), ""financial|finance|investing|stocks|retirement|banking|credit|debt|loans|savings|personal finance|insurance|econ|ecom|business|retail|occupation|sale|job|ma"&amp;"rketing""), ""Finance"",
  REGEXMATCH(LOWER(VLOOKUP(A284, Data1_Raw_Slack!A:B, 2, FALSE)), ""auto|automotive""), ""Auto"",
  REGEXMATCH(LOWER(VLOOKUP(A284, Data1_Raw_Slack!A:B, 2, FALSE)), ""parenting|moms|dads|kids|toddlers|baby|parent|children""), ""Par"&amp;"enting"",
  REGEXMATCH(LOWER(VLOOKUP(A284, Data1_Raw_Slack!A:B, 2, FALSE)), ""education|students|learning|school|teachers|college|university|academics""), ""Education"",
  REGEXMATCH(LOWER(VLOOKUP(A284, Data1_Raw_Slack!A:B, 2, FALSE)), ""age|gender|dem"&amp;"ographic|family|household""), ""Demographics"",
  REGEXMATCH(LOWER(VLOOKUP(A284, Data1_Raw_Slack!A:B, 2, FALSE)), ""mortgage|real estate""), ""Real Estate"",REGEXMATCH(LOWER(VLOOKUP(A284, Data1_Raw_Slack!A:B, 2, FALSE)), ""technology|tech|gadgets|smartpho"&amp;"ne|electro|apps|devices|computing|ai|robots|software|computer|internet|tele|mobile|tablet""), ""Technology"", REGEXMATCH(LOWER(VLOOKUP(A284, Data1_Raw_Slack!A:B, 2, FALSE)), ""entertainment|purchas|movies|tv|netflix|streaming|celebrity|movie lovers|tv fan"&amp;"s|media|hobb|photo|art|shop""), ""Entertainment"", REGEXMATCH(LOWER(VLOOKUP(A284, Data1_Raw_Slack!A:B, 2, FALSE)), ""law|government|""), ""Law and Government"",
  TRUE, ""Other""
)"),"Finance")</f>
        <v>Finance</v>
      </c>
      <c r="G284" s="9"/>
      <c r="H284" s="9" t="s">
        <v>32</v>
      </c>
      <c r="I284" s="9" t="s">
        <v>235</v>
      </c>
      <c r="J284" s="9" t="s">
        <v>80</v>
      </c>
      <c r="K284" s="9" t="s">
        <v>142</v>
      </c>
      <c r="L284" s="9" t="s">
        <v>72</v>
      </c>
      <c r="M284" s="10" t="s">
        <v>1148</v>
      </c>
      <c r="N284" s="9" t="str">
        <f ca="1">IFERROR(__xludf.DUMMYFUNCTION("REGEXEXTRACT(LOWER(M284), ""([a-z0-9\-]+)\.(?:co|net|org|io|gg)"")"),"dexerto")</f>
        <v>dexerto</v>
      </c>
      <c r="O284" s="9" t="s">
        <v>157</v>
      </c>
      <c r="P284" s="9" t="s">
        <v>39</v>
      </c>
      <c r="Q284" s="9">
        <v>14553</v>
      </c>
      <c r="R284" s="9">
        <v>47</v>
      </c>
      <c r="S284" s="9">
        <v>6119</v>
      </c>
      <c r="T284" s="9">
        <v>12505</v>
      </c>
      <c r="U284" s="9">
        <v>11</v>
      </c>
      <c r="V284" s="11">
        <v>6968.00047</v>
      </c>
      <c r="W284" s="12">
        <f t="shared" si="7"/>
        <v>633.45458818181817</v>
      </c>
      <c r="X284" s="12">
        <f t="shared" si="8"/>
        <v>0.32295746581460871</v>
      </c>
      <c r="Y284" s="12">
        <f t="shared" si="9"/>
        <v>42.046313474884904</v>
      </c>
      <c r="Z284" s="12">
        <f t="shared" si="10"/>
        <v>1138.7482382742278</v>
      </c>
      <c r="AA284" s="12">
        <f t="shared" si="11"/>
        <v>478.8016539545111</v>
      </c>
      <c r="AB284" s="12">
        <f t="shared" si="12"/>
        <v>148.25532914893617</v>
      </c>
      <c r="AC284" s="12">
        <f t="shared" si="13"/>
        <v>23.404255319148938</v>
      </c>
      <c r="AE284" s="13"/>
      <c r="AF284" s="13"/>
    </row>
    <row r="285" spans="1:32">
      <c r="A285" s="8" t="s">
        <v>1149</v>
      </c>
      <c r="B285" s="9" t="s">
        <v>378</v>
      </c>
      <c r="C285" s="9" t="s">
        <v>595</v>
      </c>
      <c r="D285" s="9" t="s">
        <v>596</v>
      </c>
      <c r="E285" s="9" t="s">
        <v>1150</v>
      </c>
      <c r="F285" s="9" t="str">
        <f ca="1">IFERROR(__xludf.DUMMYFUNCTION("IFS(
  REGEXMATCH(LOWER(VLOOKUP(A285, Data1_Raw_Slack!A:B, 2, FALSE)), ""news|weather""), ""News and Weather"", REGEXMATCH(LOWER(VLOOKUP(A285, Data1_Raw_Slack!A:B, 2, FALSE)), ""sports|ufc|nba|nfl|mlb|soccer|sports fans""), ""Sports"",
  REGEXMATCH(LOWER("&amp;"VLOOKUP(A285, Data1_Raw_Slack!A:B, 2, FALSE)), ""fashion|style|clothing|apparel|shoes|accessories|beauty|cosmetics|fashionistas""), ""Fashion and Beauty"",
  REGEXMATCH(LOWER(VLOOKUP(A285, Data1_Raw_Slack!A:B, 2, FALSE)), ""food|cooking|recipe|restaurant|"&amp;"snack|grocery|foodies""), ""Food"",
  REGEXMATCH(LOWER(VLOOKUP(A285, Data1_Raw_Slack!A:B, 2, FALSE)), ""travel|vacation|airline|hotel|trip|flights|travelers""), ""Travel"",
  REGEXMATCH(LOWER(VLOOKUP(A285, Data1_Raw_Slack!A:B, 2, FALSE)), ""fitness|workou"&amp;"t|gym|exercise|yoga|wellness|fitness enthusiasts""), ""Fitness"",
  REGEXMATCH(LOWER(VLOOKUP(A285, Data1_Raw_Slack!A:B, 2, FALSE)), ""health|medical|pharmacy|mental health|doctor|health-conscious""), ""Health"",
  REGEXMATCH(LOWER(VLOOKUP(A285, Data1_Raw_"&amp;"Slack!A:B, 2, FALSE)), ""pets|dogs|cats|animals|pet care|pet lovers""), ""Pets"",
  REGEXMATCH(LOWER(VLOOKUP(A285, Data1_Raw_Slack!A:B, 2, FALSE)), ""games|gaming|game|xbox|playstation|nintendo|gamers""), ""Gaming"",
  REGEXMATCH(LOWER(VLOOKUP(A285, Data1"&amp;"_Raw_Slack!A:B, 2, FALSE)), ""entertainment|movies|tv|netflix|streaming|celebrity|movie lovers|tv fans|hobb|photo|art""), ""Entertainment"",
  REGEXMATCH(LOWER(VLOOKUP(A285, Data1_Raw_Slack!A:B, 2, FALSE)), ""lifestyle|home|interior|decor|living|lifestyle"&amp;" enthusiasts""), ""Lifestyle"",
  REGEXMATCH(LOWER(VLOOKUP(A285, Data1_Raw_Slack!A:B, 2, FALSE)), ""financial|finance|investing|stocks|retirement|banking|credit|debt|loans|savings|personal finance|insurance|econ|ecom|business|retail|occupation|sale|job|ma"&amp;"rketing""), ""Finance"",
  REGEXMATCH(LOWER(VLOOKUP(A285, Data1_Raw_Slack!A:B, 2, FALSE)), ""auto|automotive""), ""Auto"",
  REGEXMATCH(LOWER(VLOOKUP(A285, Data1_Raw_Slack!A:B, 2, FALSE)), ""parenting|moms|dads|kids|toddlers|baby|parent|children""), ""Par"&amp;"enting"",
  REGEXMATCH(LOWER(VLOOKUP(A285, Data1_Raw_Slack!A:B, 2, FALSE)), ""education|students|learning|school|teachers|college|university|academics""), ""Education"",
  REGEXMATCH(LOWER(VLOOKUP(A285, Data1_Raw_Slack!A:B, 2, FALSE)), ""age|gender|dem"&amp;"ographic|family|household""), ""Demographics"",
  REGEXMATCH(LOWER(VLOOKUP(A285, Data1_Raw_Slack!A:B, 2, FALSE)), ""mortgage|real estate""), ""Real Estate"",REGEXMATCH(LOWER(VLOOKUP(A285, Data1_Raw_Slack!A:B, 2, FALSE)), ""technology|tech|gadgets|smartpho"&amp;"ne|electro|apps|devices|computing|ai|robots|software|computer|internet|tele|mobile|tablet""), ""Technology"", REGEXMATCH(LOWER(VLOOKUP(A285, Data1_Raw_Slack!A:B, 2, FALSE)), ""entertainment|purchas|movies|tv|netflix|streaming|celebrity|movie lovers|tv fan"&amp;"s|media|hobb|photo|art|shop""), ""Entertainment"", REGEXMATCH(LOWER(VLOOKUP(A285, Data1_Raw_Slack!A:B, 2, FALSE)), ""law|government|""), ""Law and Government"",
  TRUE, ""Other""
)"),"Lifestyle")</f>
        <v>Lifestyle</v>
      </c>
      <c r="G285" s="9"/>
      <c r="H285" s="9" t="s">
        <v>44</v>
      </c>
      <c r="I285" s="9" t="s">
        <v>1151</v>
      </c>
      <c r="J285" s="9" t="s">
        <v>46</v>
      </c>
      <c r="K285" s="9" t="s">
        <v>236</v>
      </c>
      <c r="L285" s="9" t="s">
        <v>82</v>
      </c>
      <c r="M285" s="10" t="s">
        <v>1152</v>
      </c>
      <c r="N285" s="9" t="str">
        <f ca="1">IFERROR(__xludf.DUMMYFUNCTION("REGEXEXTRACT(LOWER(M285), ""([a-z0-9\-]+)\.(?:co|net|org|io|gg)"")"),"signupgenius")</f>
        <v>signupgenius</v>
      </c>
      <c r="O285" s="9" t="s">
        <v>131</v>
      </c>
      <c r="P285" s="9" t="s">
        <v>75</v>
      </c>
      <c r="Q285" s="9">
        <v>35335</v>
      </c>
      <c r="R285" s="9">
        <v>120</v>
      </c>
      <c r="S285" s="9">
        <v>22566</v>
      </c>
      <c r="T285" s="9">
        <v>30685</v>
      </c>
      <c r="U285" s="9">
        <v>15</v>
      </c>
      <c r="V285" s="11">
        <v>1866.3474699999999</v>
      </c>
      <c r="W285" s="12">
        <f t="shared" si="7"/>
        <v>124.42316466666666</v>
      </c>
      <c r="X285" s="12">
        <f t="shared" si="8"/>
        <v>0.33960662232913541</v>
      </c>
      <c r="Y285" s="12">
        <f t="shared" si="9"/>
        <v>63.863025328993913</v>
      </c>
      <c r="Z285" s="12">
        <f t="shared" si="10"/>
        <v>82.706171674200121</v>
      </c>
      <c r="AA285" s="12">
        <f t="shared" si="11"/>
        <v>52.81866336493561</v>
      </c>
      <c r="AB285" s="12">
        <f t="shared" si="12"/>
        <v>15.552895583333333</v>
      </c>
      <c r="AC285" s="12">
        <f t="shared" si="13"/>
        <v>12.5</v>
      </c>
      <c r="AE285" s="13"/>
      <c r="AF285" s="13"/>
    </row>
    <row r="286" spans="1:32">
      <c r="A286" s="8" t="s">
        <v>1153</v>
      </c>
      <c r="B286" s="9" t="s">
        <v>92</v>
      </c>
      <c r="C286" s="9" t="s">
        <v>93</v>
      </c>
      <c r="D286" s="9" t="s">
        <v>1154</v>
      </c>
      <c r="E286" s="9"/>
      <c r="F286" s="9" t="str">
        <f ca="1">IFERROR(__xludf.DUMMYFUNCTION("IFS(
  REGEXMATCH(LOWER(VLOOKUP(A286, Data1_Raw_Slack!A:B, 2, FALSE)), ""news|weather""), ""News and Weather"", REGEXMATCH(LOWER(VLOOKUP(A286, Data1_Raw_Slack!A:B, 2, FALSE)), ""sports|ufc|nba|nfl|mlb|soccer|sports fans""), ""Sports"",
  REGEXMATCH(LOWER("&amp;"VLOOKUP(A286, Data1_Raw_Slack!A:B, 2, FALSE)), ""fashion|style|clothing|apparel|shoes|accessories|beauty|cosmetics|fashionistas""), ""Fashion and Beauty"",
  REGEXMATCH(LOWER(VLOOKUP(A286, Data1_Raw_Slack!A:B, 2, FALSE)), ""food|cooking|recipe|restaurant|"&amp;"snack|grocery|foodies""), ""Food"",
  REGEXMATCH(LOWER(VLOOKUP(A286, Data1_Raw_Slack!A:B, 2, FALSE)), ""travel|vacation|airline|hotel|trip|flights|travelers""), ""Travel"",
  REGEXMATCH(LOWER(VLOOKUP(A286, Data1_Raw_Slack!A:B, 2, FALSE)), ""fitness|workou"&amp;"t|gym|exercise|yoga|wellness|fitness enthusiasts""), ""Fitness"",
  REGEXMATCH(LOWER(VLOOKUP(A286, Data1_Raw_Slack!A:B, 2, FALSE)), ""health|medical|pharmacy|mental health|doctor|health-conscious""), ""Health"",
  REGEXMATCH(LOWER(VLOOKUP(A286, Data1_Raw_"&amp;"Slack!A:B, 2, FALSE)), ""pets|dogs|cats|animals|pet care|pet lovers""), ""Pets"",
  REGEXMATCH(LOWER(VLOOKUP(A286, Data1_Raw_Slack!A:B, 2, FALSE)), ""games|gaming|game|xbox|playstation|nintendo|gamers""), ""Gaming"",
  REGEXMATCH(LOWER(VLOOKUP(A286, Data1"&amp;"_Raw_Slack!A:B, 2, FALSE)), ""entertainment|movies|tv|netflix|streaming|celebrity|movie lovers|tv fans|hobb|photo|art""), ""Entertainment"",
  REGEXMATCH(LOWER(VLOOKUP(A286, Data1_Raw_Slack!A:B, 2, FALSE)), ""lifestyle|home|interior|decor|living|lifestyle"&amp;" enthusiasts""), ""Lifestyle"",
  REGEXMATCH(LOWER(VLOOKUP(A286, Data1_Raw_Slack!A:B, 2, FALSE)), ""financial|finance|investing|stocks|retirement|banking|credit|debt|loans|savings|personal finance|insurance|econ|ecom|business|retail|occupation|sale|job|ma"&amp;"rketing""), ""Finance"",
  REGEXMATCH(LOWER(VLOOKUP(A286, Data1_Raw_Slack!A:B, 2, FALSE)), ""auto|automotive""), ""Auto"",
  REGEXMATCH(LOWER(VLOOKUP(A286, Data1_Raw_Slack!A:B, 2, FALSE)), ""parenting|moms|dads|kids|toddlers|baby|parent|children""), ""Par"&amp;"enting"",
  REGEXMATCH(LOWER(VLOOKUP(A286, Data1_Raw_Slack!A:B, 2, FALSE)), ""education|students|learning|school|teachers|college|university|academics""), ""Education"",
  REGEXMATCH(LOWER(VLOOKUP(A286, Data1_Raw_Slack!A:B, 2, FALSE)), ""age|gender|dem"&amp;"ographic|family|household""), ""Demographics"",
  REGEXMATCH(LOWER(VLOOKUP(A286, Data1_Raw_Slack!A:B, 2, FALSE)), ""mortgage|real estate""), ""Real Estate"",REGEXMATCH(LOWER(VLOOKUP(A286, Data1_Raw_Slack!A:B, 2, FALSE)), ""technology|tech|gadgets|smartpho"&amp;"ne|electro|apps|devices|computing|ai|robots|software|computer|internet|tele|mobile|tablet""), ""Technology"", REGEXMATCH(LOWER(VLOOKUP(A286, Data1_Raw_Slack!A:B, 2, FALSE)), ""entertainment|purchas|movies|tv|netflix|streaming|celebrity|movie lovers|tv fan"&amp;"s|media|hobb|photo|art|shop""), ""Entertainment"", REGEXMATCH(LOWER(VLOOKUP(A286, Data1_Raw_Slack!A:B, 2, FALSE)), ""law|government|""), ""Law and Government"",
  TRUE, ""Other""
)"),"Fashion and Beauty")</f>
        <v>Fashion and Beauty</v>
      </c>
      <c r="G286" s="9"/>
      <c r="H286" s="9" t="s">
        <v>44</v>
      </c>
      <c r="I286" s="9" t="s">
        <v>1155</v>
      </c>
      <c r="J286" s="9" t="s">
        <v>80</v>
      </c>
      <c r="K286" s="9" t="s">
        <v>438</v>
      </c>
      <c r="L286" s="9" t="s">
        <v>82</v>
      </c>
      <c r="M286" s="10" t="s">
        <v>207</v>
      </c>
      <c r="N286" s="9" t="str">
        <f ca="1">IFERROR(__xludf.DUMMYFUNCTION("REGEXEXTRACT(LOWER(M286), ""([a-z0-9\-]+)\.(?:co|net|org|io|gg)"")"),"realtor")</f>
        <v>realtor</v>
      </c>
      <c r="O286" s="9" t="s">
        <v>50</v>
      </c>
      <c r="P286" s="9" t="s">
        <v>39</v>
      </c>
      <c r="Q286" s="9">
        <v>15449</v>
      </c>
      <c r="R286" s="9">
        <v>50</v>
      </c>
      <c r="S286" s="9">
        <v>4595</v>
      </c>
      <c r="T286" s="9">
        <v>13765</v>
      </c>
      <c r="U286" s="9">
        <v>1</v>
      </c>
      <c r="V286" s="11">
        <v>3122.9425740000001</v>
      </c>
      <c r="W286" s="12">
        <f t="shared" si="7"/>
        <v>3122.9425740000001</v>
      </c>
      <c r="X286" s="12">
        <f t="shared" si="8"/>
        <v>0.32364554340086737</v>
      </c>
      <c r="Y286" s="12">
        <f t="shared" si="9"/>
        <v>29.743025438539711</v>
      </c>
      <c r="Z286" s="12">
        <f t="shared" si="10"/>
        <v>679.63929793253544</v>
      </c>
      <c r="AA286" s="12">
        <f t="shared" si="11"/>
        <v>202.14528927438673</v>
      </c>
      <c r="AB286" s="12">
        <f t="shared" si="12"/>
        <v>62.45885148</v>
      </c>
      <c r="AC286" s="12">
        <f t="shared" si="13"/>
        <v>2</v>
      </c>
      <c r="AE286" s="13"/>
      <c r="AF286" s="13"/>
    </row>
    <row r="287" spans="1:32">
      <c r="A287" s="8" t="s">
        <v>1156</v>
      </c>
      <c r="B287" s="9" t="s">
        <v>498</v>
      </c>
      <c r="C287" s="9" t="s">
        <v>85</v>
      </c>
      <c r="D287" s="9" t="s">
        <v>1157</v>
      </c>
      <c r="E287" s="9"/>
      <c r="F287" s="9" t="str">
        <f ca="1">IFERROR(__xludf.DUMMYFUNCTION("IFS(
  REGEXMATCH(LOWER(VLOOKUP(A287, Data1_Raw_Slack!A:B, 2, FALSE)), ""news|weather""), ""News and Weather"", REGEXMATCH(LOWER(VLOOKUP(A287, Data1_Raw_Slack!A:B, 2, FALSE)), ""sports|ufc|nba|nfl|mlb|soccer|sports fans""), ""Sports"",
  REGEXMATCH(LOWER("&amp;"VLOOKUP(A287, Data1_Raw_Slack!A:B, 2, FALSE)), ""fashion|style|clothing|apparel|shoes|accessories|beauty|cosmetics|fashionistas""), ""Fashion and Beauty"",
  REGEXMATCH(LOWER(VLOOKUP(A287, Data1_Raw_Slack!A:B, 2, FALSE)), ""food|cooking|recipe|restaurant|"&amp;"snack|grocery|foodies""), ""Food"",
  REGEXMATCH(LOWER(VLOOKUP(A287, Data1_Raw_Slack!A:B, 2, FALSE)), ""travel|vacation|airline|hotel|trip|flights|travelers""), ""Travel"",
  REGEXMATCH(LOWER(VLOOKUP(A287, Data1_Raw_Slack!A:B, 2, FALSE)), ""fitness|workou"&amp;"t|gym|exercise|yoga|wellness|fitness enthusiasts""), ""Fitness"",
  REGEXMATCH(LOWER(VLOOKUP(A287, Data1_Raw_Slack!A:B, 2, FALSE)), ""health|medical|pharmacy|mental health|doctor|health-conscious""), ""Health"",
  REGEXMATCH(LOWER(VLOOKUP(A287, Data1_Raw_"&amp;"Slack!A:B, 2, FALSE)), ""pets|dogs|cats|animals|pet care|pet lovers""), ""Pets"",
  REGEXMATCH(LOWER(VLOOKUP(A287, Data1_Raw_Slack!A:B, 2, FALSE)), ""games|gaming|game|xbox|playstation|nintendo|gamers""), ""Gaming"",
  REGEXMATCH(LOWER(VLOOKUP(A287, Data1"&amp;"_Raw_Slack!A:B, 2, FALSE)), ""entertainment|movies|tv|netflix|streaming|celebrity|movie lovers|tv fans|hobb|photo|art""), ""Entertainment"",
  REGEXMATCH(LOWER(VLOOKUP(A287, Data1_Raw_Slack!A:B, 2, FALSE)), ""lifestyle|home|interior|decor|living|lifestyle"&amp;" enthusiasts""), ""Lifestyle"",
  REGEXMATCH(LOWER(VLOOKUP(A287, Data1_Raw_Slack!A:B, 2, FALSE)), ""financial|finance|investing|stocks|retirement|banking|credit|debt|loans|savings|personal finance|insurance|econ|ecom|business|retail|occupation|sale|job|ma"&amp;"rketing""), ""Finance"",
  REGEXMATCH(LOWER(VLOOKUP(A287, Data1_Raw_Slack!A:B, 2, FALSE)), ""auto|automotive""), ""Auto"",
  REGEXMATCH(LOWER(VLOOKUP(A287, Data1_Raw_Slack!A:B, 2, FALSE)), ""parenting|moms|dads|kids|toddlers|baby|parent|children""), ""Par"&amp;"enting"",
  REGEXMATCH(LOWER(VLOOKUP(A287, Data1_Raw_Slack!A:B, 2, FALSE)), ""education|students|learning|school|teachers|college|university|academics""), ""Education"",
  REGEXMATCH(LOWER(VLOOKUP(A287, Data1_Raw_Slack!A:B, 2, FALSE)), ""age|gender|dem"&amp;"ographic|family|household""), ""Demographics"",
  REGEXMATCH(LOWER(VLOOKUP(A287, Data1_Raw_Slack!A:B, 2, FALSE)), ""mortgage|real estate""), ""Real Estate"",REGEXMATCH(LOWER(VLOOKUP(A287, Data1_Raw_Slack!A:B, 2, FALSE)), ""technology|tech|gadgets|smartpho"&amp;"ne|electro|apps|devices|computing|ai|robots|software|computer|internet|tele|mobile|tablet""), ""Technology"", REGEXMATCH(LOWER(VLOOKUP(A287, Data1_Raw_Slack!A:B, 2, FALSE)), ""entertainment|purchas|movies|tv|netflix|streaming|celebrity|movie lovers|tv fan"&amp;"s|media|hobb|photo|art|shop""), ""Entertainment"", REGEXMATCH(LOWER(VLOOKUP(A287, Data1_Raw_Slack!A:B, 2, FALSE)), ""law|government|""), ""Law and Government"",
  TRUE, ""Other""
)"),"Travel")</f>
        <v>Travel</v>
      </c>
      <c r="G287" s="9" t="s">
        <v>85</v>
      </c>
      <c r="H287" s="9" t="s">
        <v>32</v>
      </c>
      <c r="I287" s="9" t="s">
        <v>1158</v>
      </c>
      <c r="J287" s="9" t="s">
        <v>34</v>
      </c>
      <c r="K287" s="9" t="s">
        <v>1159</v>
      </c>
      <c r="L287" s="9" t="s">
        <v>425</v>
      </c>
      <c r="M287" s="10" t="s">
        <v>130</v>
      </c>
      <c r="N287" s="9" t="str">
        <f ca="1">IFERROR(__xludf.DUMMYFUNCTION("REGEXEXTRACT(LOWER(M287), ""([a-z0-9\-]+)\.(?:co|net|org|io|gg)"")"),"weather")</f>
        <v>weather</v>
      </c>
      <c r="O287" s="9" t="s">
        <v>50</v>
      </c>
      <c r="P287" s="9" t="s">
        <v>39</v>
      </c>
      <c r="Q287" s="9">
        <v>36543</v>
      </c>
      <c r="R287" s="9">
        <v>147</v>
      </c>
      <c r="S287" s="9">
        <v>18046</v>
      </c>
      <c r="T287" s="9">
        <v>27358</v>
      </c>
      <c r="U287" s="9">
        <v>6</v>
      </c>
      <c r="V287" s="11">
        <v>1513.0887279999999</v>
      </c>
      <c r="W287" s="12">
        <f t="shared" si="7"/>
        <v>252.18145466666667</v>
      </c>
      <c r="X287" s="12">
        <f t="shared" si="8"/>
        <v>0.40226582382398818</v>
      </c>
      <c r="Y287" s="12">
        <f t="shared" si="9"/>
        <v>49.382918753249591</v>
      </c>
      <c r="Z287" s="12">
        <f t="shared" si="10"/>
        <v>83.846211237947472</v>
      </c>
      <c r="AA287" s="12">
        <f t="shared" si="11"/>
        <v>41.405706373313627</v>
      </c>
      <c r="AB287" s="12">
        <f t="shared" si="12"/>
        <v>10.293120598639456</v>
      </c>
      <c r="AC287" s="12">
        <f t="shared" si="13"/>
        <v>4.0816326530612246</v>
      </c>
      <c r="AE287" s="13"/>
      <c r="AF287" s="13"/>
    </row>
    <row r="288" spans="1:32">
      <c r="A288" s="8" t="s">
        <v>1160</v>
      </c>
      <c r="B288" s="9" t="s">
        <v>144</v>
      </c>
      <c r="C288" s="9" t="s">
        <v>85</v>
      </c>
      <c r="D288" s="9"/>
      <c r="E288" s="9"/>
      <c r="F288" s="9" t="str">
        <f ca="1">IFERROR(__xludf.DUMMYFUNCTION("IFS(
  REGEXMATCH(LOWER(VLOOKUP(A288, Data1_Raw_Slack!A:B, 2, FALSE)), ""news|weather""), ""News and Weather"", REGEXMATCH(LOWER(VLOOKUP(A288, Data1_Raw_Slack!A:B, 2, FALSE)), ""sports|ufc|nba|nfl|mlb|soccer|sports fans""), ""Sports"",
  REGEXMATCH(LOWER("&amp;"VLOOKUP(A288, Data1_Raw_Slack!A:B, 2, FALSE)), ""fashion|style|clothing|apparel|shoes|accessories|beauty|cosmetics|fashionistas""), ""Fashion and Beauty"",
  REGEXMATCH(LOWER(VLOOKUP(A288, Data1_Raw_Slack!A:B, 2, FALSE)), ""food|cooking|recipe|restaurant|"&amp;"snack|grocery|foodies""), ""Food"",
  REGEXMATCH(LOWER(VLOOKUP(A288, Data1_Raw_Slack!A:B, 2, FALSE)), ""travel|vacation|airline|hotel|trip|flights|travelers""), ""Travel"",
  REGEXMATCH(LOWER(VLOOKUP(A288, Data1_Raw_Slack!A:B, 2, FALSE)), ""fitness|workou"&amp;"t|gym|exercise|yoga|wellness|fitness enthusiasts""), ""Fitness"",
  REGEXMATCH(LOWER(VLOOKUP(A288, Data1_Raw_Slack!A:B, 2, FALSE)), ""health|medical|pharmacy|mental health|doctor|health-conscious""), ""Health"",
  REGEXMATCH(LOWER(VLOOKUP(A288, Data1_Raw_"&amp;"Slack!A:B, 2, FALSE)), ""pets|dogs|cats|animals|pet care|pet lovers""), ""Pets"",
  REGEXMATCH(LOWER(VLOOKUP(A288, Data1_Raw_Slack!A:B, 2, FALSE)), ""games|gaming|game|xbox|playstation|nintendo|gamers""), ""Gaming"",
  REGEXMATCH(LOWER(VLOOKUP(A288, Data1"&amp;"_Raw_Slack!A:B, 2, FALSE)), ""entertainment|movies|tv|netflix|streaming|celebrity|movie lovers|tv fans|hobb|photo|art""), ""Entertainment"",
  REGEXMATCH(LOWER(VLOOKUP(A288, Data1_Raw_Slack!A:B, 2, FALSE)), ""lifestyle|home|interior|decor|living|lifestyle"&amp;" enthusiasts""), ""Lifestyle"",
  REGEXMATCH(LOWER(VLOOKUP(A288, Data1_Raw_Slack!A:B, 2, FALSE)), ""financial|finance|investing|stocks|retirement|banking|credit|debt|loans|savings|personal finance|insurance|econ|ecom|business|retail|occupation|sale|job|ma"&amp;"rketing""), ""Finance"",
  REGEXMATCH(LOWER(VLOOKUP(A288, Data1_Raw_Slack!A:B, 2, FALSE)), ""auto|automotive""), ""Auto"",
  REGEXMATCH(LOWER(VLOOKUP(A288, Data1_Raw_Slack!A:B, 2, FALSE)), ""parenting|moms|dads|kids|toddlers|baby|parent|children""), ""Par"&amp;"enting"",
  REGEXMATCH(LOWER(VLOOKUP(A288, Data1_Raw_Slack!A:B, 2, FALSE)), ""education|students|learning|school|teachers|college|university|academics""), ""Education"",
  REGEXMATCH(LOWER(VLOOKUP(A288, Data1_Raw_Slack!A:B, 2, FALSE)), ""age|gender|dem"&amp;"ographic|family|household""), ""Demographics"",
  REGEXMATCH(LOWER(VLOOKUP(A288, Data1_Raw_Slack!A:B, 2, FALSE)), ""mortgage|real estate""), ""Real Estate"",REGEXMATCH(LOWER(VLOOKUP(A288, Data1_Raw_Slack!A:B, 2, FALSE)), ""technology|tech|gadgets|smartpho"&amp;"ne|electro|apps|devices|computing|ai|robots|software|computer|internet|tele|mobile|tablet""), ""Technology"", REGEXMATCH(LOWER(VLOOKUP(A288, Data1_Raw_Slack!A:B, 2, FALSE)), ""entertainment|purchas|movies|tv|netflix|streaming|celebrity|movie lovers|tv fan"&amp;"s|media|hobb|photo|art|shop""), ""Entertainment"", REGEXMATCH(LOWER(VLOOKUP(A288, Data1_Raw_Slack!A:B, 2, FALSE)), ""law|government|""), ""Law and Government"",
  TRUE, ""Other""
)"),"Travel")</f>
        <v>Travel</v>
      </c>
      <c r="G288" s="9" t="s">
        <v>85</v>
      </c>
      <c r="H288" s="9" t="s">
        <v>44</v>
      </c>
      <c r="I288" s="9" t="s">
        <v>1161</v>
      </c>
      <c r="J288" s="9" t="s">
        <v>80</v>
      </c>
      <c r="K288" s="9" t="s">
        <v>56</v>
      </c>
      <c r="L288" s="9" t="s">
        <v>57</v>
      </c>
      <c r="M288" s="10" t="s">
        <v>49</v>
      </c>
      <c r="N288" s="9" t="str">
        <f ca="1">IFERROR(__xludf.DUMMYFUNCTION("REGEXEXTRACT(LOWER(M288), ""([a-z0-9\-]+)\.(?:co|net|org|io|gg)"")"),"yahoo")</f>
        <v>yahoo</v>
      </c>
      <c r="O288" s="9" t="s">
        <v>103</v>
      </c>
      <c r="P288" s="9" t="s">
        <v>39</v>
      </c>
      <c r="Q288" s="9">
        <v>7540</v>
      </c>
      <c r="R288" s="9">
        <v>10</v>
      </c>
      <c r="S288" s="9">
        <v>1475</v>
      </c>
      <c r="T288" s="9">
        <v>2054</v>
      </c>
      <c r="U288" s="9">
        <v>1</v>
      </c>
      <c r="V288" s="11">
        <v>1713.978863</v>
      </c>
      <c r="W288" s="12">
        <f t="shared" si="7"/>
        <v>1713.978863</v>
      </c>
      <c r="X288" s="12">
        <f t="shared" si="8"/>
        <v>0.1326259946949602</v>
      </c>
      <c r="Y288" s="12">
        <f t="shared" si="9"/>
        <v>19.562334217506631</v>
      </c>
      <c r="Z288" s="12">
        <f t="shared" si="10"/>
        <v>1162.0195681355931</v>
      </c>
      <c r="AA288" s="12">
        <f t="shared" si="11"/>
        <v>227.31815159151193</v>
      </c>
      <c r="AB288" s="12">
        <f t="shared" si="12"/>
        <v>171.39788630000001</v>
      </c>
      <c r="AC288" s="12">
        <f t="shared" si="13"/>
        <v>10</v>
      </c>
      <c r="AE288" s="13"/>
      <c r="AF288" s="13"/>
    </row>
    <row r="289" spans="1:32">
      <c r="A289" s="8" t="s">
        <v>1162</v>
      </c>
      <c r="B289" s="9" t="s">
        <v>41</v>
      </c>
      <c r="C289" s="9" t="s">
        <v>127</v>
      </c>
      <c r="D289" s="9" t="s">
        <v>1131</v>
      </c>
      <c r="E289" s="9" t="s">
        <v>1163</v>
      </c>
      <c r="F289" s="9" t="str">
        <f ca="1">IFERROR(__xludf.DUMMYFUNCTION("IFS(
  REGEXMATCH(LOWER(VLOOKUP(A289, Data1_Raw_Slack!A:B, 2, FALSE)), ""news|weather""), ""News and Weather"", REGEXMATCH(LOWER(VLOOKUP(A289, Data1_Raw_Slack!A:B, 2, FALSE)), ""sports|ufc|nba|nfl|mlb|soccer|sports fans""), ""Sports"",
  REGEXMATCH(LOWER("&amp;"VLOOKUP(A289, Data1_Raw_Slack!A:B, 2, FALSE)), ""fashion|style|clothing|apparel|shoes|accessories|beauty|cosmetics|fashionistas""), ""Fashion and Beauty"",
  REGEXMATCH(LOWER(VLOOKUP(A289, Data1_Raw_Slack!A:B, 2, FALSE)), ""food|cooking|recipe|restaurant|"&amp;"snack|grocery|foodies""), ""Food"",
  REGEXMATCH(LOWER(VLOOKUP(A289, Data1_Raw_Slack!A:B, 2, FALSE)), ""travel|vacation|airline|hotel|trip|flights|travelers""), ""Travel"",
  REGEXMATCH(LOWER(VLOOKUP(A289, Data1_Raw_Slack!A:B, 2, FALSE)), ""fitness|workou"&amp;"t|gym|exercise|yoga|wellness|fitness enthusiasts""), ""Fitness"",
  REGEXMATCH(LOWER(VLOOKUP(A289, Data1_Raw_Slack!A:B, 2, FALSE)), ""health|medical|pharmacy|mental health|doctor|health-conscious""), ""Health"",
  REGEXMATCH(LOWER(VLOOKUP(A289, Data1_Raw_"&amp;"Slack!A:B, 2, FALSE)), ""pets|dogs|cats|animals|pet care|pet lovers""), ""Pets"",
  REGEXMATCH(LOWER(VLOOKUP(A289, Data1_Raw_Slack!A:B, 2, FALSE)), ""games|gaming|game|xbox|playstation|nintendo|gamers""), ""Gaming"",
  REGEXMATCH(LOWER(VLOOKUP(A289, Data1"&amp;"_Raw_Slack!A:B, 2, FALSE)), ""entertainment|movies|tv|netflix|streaming|celebrity|movie lovers|tv fans|hobb|photo|art""), ""Entertainment"",
  REGEXMATCH(LOWER(VLOOKUP(A289, Data1_Raw_Slack!A:B, 2, FALSE)), ""lifestyle|home|interior|decor|living|lifestyle"&amp;" enthusiasts""), ""Lifestyle"",
  REGEXMATCH(LOWER(VLOOKUP(A289, Data1_Raw_Slack!A:B, 2, FALSE)), ""financial|finance|investing|stocks|retirement|banking|credit|debt|loans|savings|personal finance|insurance|econ|ecom|business|retail|occupation|sale|job|ma"&amp;"rketing""), ""Finance"",
  REGEXMATCH(LOWER(VLOOKUP(A289, Data1_Raw_Slack!A:B, 2, FALSE)), ""auto|automotive""), ""Auto"",
  REGEXMATCH(LOWER(VLOOKUP(A289, Data1_Raw_Slack!A:B, 2, FALSE)), ""parenting|moms|dads|kids|toddlers|baby|parent|children""), ""Par"&amp;"enting"",
  REGEXMATCH(LOWER(VLOOKUP(A289, Data1_Raw_Slack!A:B, 2, FALSE)), ""education|students|learning|school|teachers|college|university|academics""), ""Education"",
  REGEXMATCH(LOWER(VLOOKUP(A289, Data1_Raw_Slack!A:B, 2, FALSE)), ""age|gender|dem"&amp;"ographic|family|household""), ""Demographics"",
  REGEXMATCH(LOWER(VLOOKUP(A289, Data1_Raw_Slack!A:B, 2, FALSE)), ""mortgage|real estate""), ""Real Estate"",REGEXMATCH(LOWER(VLOOKUP(A289, Data1_Raw_Slack!A:B, 2, FALSE)), ""technology|tech|gadgets|smartpho"&amp;"ne|electro|apps|devices|computing|ai|robots|software|computer|internet|tele|mobile|tablet""), ""Technology"", REGEXMATCH(LOWER(VLOOKUP(A289, Data1_Raw_Slack!A:B, 2, FALSE)), ""entertainment|purchas|movies|tv|netflix|streaming|celebrity|movie lovers|tv fan"&amp;"s|media|hobb|photo|art|shop""), ""Entertainment"", REGEXMATCH(LOWER(VLOOKUP(A289, Data1_Raw_Slack!A:B, 2, FALSE)), ""law|government|""), ""Law and Government"",
  TRUE, ""Other""
)"),"Finance")</f>
        <v>Finance</v>
      </c>
      <c r="G289" s="9" t="s">
        <v>127</v>
      </c>
      <c r="H289" s="9" t="s">
        <v>44</v>
      </c>
      <c r="I289" s="9" t="s">
        <v>1164</v>
      </c>
      <c r="J289" s="9" t="s">
        <v>80</v>
      </c>
      <c r="K289" s="9" t="s">
        <v>236</v>
      </c>
      <c r="L289" s="9" t="s">
        <v>82</v>
      </c>
      <c r="M289" s="10" t="s">
        <v>112</v>
      </c>
      <c r="N289" s="9" t="str">
        <f ca="1">IFERROR(__xludf.DUMMYFUNCTION("REGEXEXTRACT(LOWER(M289), ""([a-z0-9\-]+)\.(?:co|net|org|io|gg)"")"),"ebay")</f>
        <v>ebay</v>
      </c>
      <c r="O289" s="9" t="s">
        <v>50</v>
      </c>
      <c r="P289" s="9" t="s">
        <v>39</v>
      </c>
      <c r="Q289" s="9">
        <v>1100942</v>
      </c>
      <c r="R289" s="9">
        <v>2984</v>
      </c>
      <c r="S289" s="9">
        <v>629973</v>
      </c>
      <c r="T289" s="9">
        <v>1041225</v>
      </c>
      <c r="U289" s="9">
        <v>147</v>
      </c>
      <c r="V289" s="11">
        <v>7979.3485890000002</v>
      </c>
      <c r="W289" s="12">
        <f t="shared" si="7"/>
        <v>54.281282918367346</v>
      </c>
      <c r="X289" s="12">
        <f t="shared" si="8"/>
        <v>0.27104061794354289</v>
      </c>
      <c r="Y289" s="12">
        <f t="shared" si="9"/>
        <v>57.221270511979739</v>
      </c>
      <c r="Z289" s="12">
        <f t="shared" si="10"/>
        <v>12.666175517045968</v>
      </c>
      <c r="AA289" s="12">
        <f t="shared" si="11"/>
        <v>7.2477465561310224</v>
      </c>
      <c r="AB289" s="12">
        <f t="shared" si="12"/>
        <v>2.6740444333109918</v>
      </c>
      <c r="AC289" s="12">
        <f t="shared" si="13"/>
        <v>4.9262734584450403</v>
      </c>
      <c r="AE289" s="13"/>
      <c r="AF289" s="13"/>
    </row>
    <row r="290" spans="1:32">
      <c r="A290" s="8" t="s">
        <v>1165</v>
      </c>
      <c r="B290" s="9"/>
      <c r="C290" s="9" t="s">
        <v>325</v>
      </c>
      <c r="D290" s="9" t="s">
        <v>576</v>
      </c>
      <c r="E290" s="9" t="s">
        <v>1166</v>
      </c>
      <c r="F290" s="9" t="str">
        <f ca="1">IFERROR(__xludf.DUMMYFUNCTION("IFS(
  REGEXMATCH(LOWER(VLOOKUP(A290, Data1_Raw_Slack!A:B, 2, FALSE)), ""news|weather""), ""News and Weather"", REGEXMATCH(LOWER(VLOOKUP(A290, Data1_Raw_Slack!A:B, 2, FALSE)), ""sports|ufc|nba|nfl|mlb|soccer|sports fans""), ""Sports"",
  REGEXMATCH(LOWER("&amp;"VLOOKUP(A290, Data1_Raw_Slack!A:B, 2, FALSE)), ""fashion|style|clothing|apparel|shoes|accessories|beauty|cosmetics|fashionistas""), ""Fashion and Beauty"",
  REGEXMATCH(LOWER(VLOOKUP(A290, Data1_Raw_Slack!A:B, 2, FALSE)), ""food|cooking|recipe|restaurant|"&amp;"snack|grocery|foodies""), ""Food"",
  REGEXMATCH(LOWER(VLOOKUP(A290, Data1_Raw_Slack!A:B, 2, FALSE)), ""travel|vacation|airline|hotel|trip|flights|travelers""), ""Travel"",
  REGEXMATCH(LOWER(VLOOKUP(A290, Data1_Raw_Slack!A:B, 2, FALSE)), ""fitness|workou"&amp;"t|gym|exercise|yoga|wellness|fitness enthusiasts""), ""Fitness"",
  REGEXMATCH(LOWER(VLOOKUP(A290, Data1_Raw_Slack!A:B, 2, FALSE)), ""health|medical|pharmacy|mental health|doctor|health-conscious""), ""Health"",
  REGEXMATCH(LOWER(VLOOKUP(A290, Data1_Raw_"&amp;"Slack!A:B, 2, FALSE)), ""pets|dogs|cats|animals|pet care|pet lovers""), ""Pets"",
  REGEXMATCH(LOWER(VLOOKUP(A290, Data1_Raw_Slack!A:B, 2, FALSE)), ""games|gaming|game|xbox|playstation|nintendo|gamers""), ""Gaming"",
  REGEXMATCH(LOWER(VLOOKUP(A290, Data1"&amp;"_Raw_Slack!A:B, 2, FALSE)), ""entertainment|movies|tv|netflix|streaming|celebrity|movie lovers|tv fans|hobb|photo|art""), ""Entertainment"",
  REGEXMATCH(LOWER(VLOOKUP(A290, Data1_Raw_Slack!A:B, 2, FALSE)), ""lifestyle|home|interior|decor|living|lifestyle"&amp;" enthusiasts""), ""Lifestyle"",
  REGEXMATCH(LOWER(VLOOKUP(A290, Data1_Raw_Slack!A:B, 2, FALSE)), ""financial|finance|investing|stocks|retirement|banking|credit|debt|loans|savings|personal finance|insurance|econ|ecom|business|retail|occupation|sale|job|ma"&amp;"rketing""), ""Finance"",
  REGEXMATCH(LOWER(VLOOKUP(A290, Data1_Raw_Slack!A:B, 2, FALSE)), ""auto|automotive""), ""Auto"",
  REGEXMATCH(LOWER(VLOOKUP(A290, Data1_Raw_Slack!A:B, 2, FALSE)), ""parenting|moms|dads|kids|toddlers|baby|parent|children""), ""Par"&amp;"enting"",
  REGEXMATCH(LOWER(VLOOKUP(A290, Data1_Raw_Slack!A:B, 2, FALSE)), ""education|students|learning|school|teachers|college|university|academics""), ""Education"",
  REGEXMATCH(LOWER(VLOOKUP(A290, Data1_Raw_Slack!A:B, 2, FALSE)), ""age|gender|dem"&amp;"ographic|family|household""), ""Demographics"",
  REGEXMATCH(LOWER(VLOOKUP(A290, Data1_Raw_Slack!A:B, 2, FALSE)), ""mortgage|real estate""), ""Real Estate"",REGEXMATCH(LOWER(VLOOKUP(A290, Data1_Raw_Slack!A:B, 2, FALSE)), ""technology|tech|gadgets|smartpho"&amp;"ne|electro|apps|devices|computing|ai|robots|software|computer|internet|tele|mobile|tablet""), ""Technology"", REGEXMATCH(LOWER(VLOOKUP(A290, Data1_Raw_Slack!A:B, 2, FALSE)), ""entertainment|purchas|movies|tv|netflix|streaming|celebrity|movie lovers|tv fan"&amp;"s|media|hobb|photo|art|shop""), ""Entertainment"", REGEXMATCH(LOWER(VLOOKUP(A290, Data1_Raw_Slack!A:B, 2, FALSE)), ""law|government|""), ""Law and Government"",
  TRUE, ""Other""
)"),"Demographics")</f>
        <v>Demographics</v>
      </c>
      <c r="G290" s="9"/>
      <c r="H290" s="9" t="s">
        <v>32</v>
      </c>
      <c r="I290" s="9" t="s">
        <v>1167</v>
      </c>
      <c r="J290" s="9" t="s">
        <v>80</v>
      </c>
      <c r="K290" s="9" t="s">
        <v>170</v>
      </c>
      <c r="L290" s="9" t="s">
        <v>72</v>
      </c>
      <c r="M290" s="10" t="s">
        <v>1168</v>
      </c>
      <c r="N290" s="9" t="str">
        <f ca="1">IFERROR(__xludf.DUMMYFUNCTION("REGEXEXTRACT(LOWER(M290), ""([a-z0-9\-]+)\.(?:co|net|org|io|gg)"")"),"geeksforgeeks")</f>
        <v>geeksforgeeks</v>
      </c>
      <c r="O290" s="9" t="s">
        <v>186</v>
      </c>
      <c r="P290" s="9" t="s">
        <v>39</v>
      </c>
      <c r="Q290" s="9">
        <v>13293</v>
      </c>
      <c r="R290" s="9">
        <v>74</v>
      </c>
      <c r="S290" s="9">
        <v>9054</v>
      </c>
      <c r="T290" s="9">
        <v>12676</v>
      </c>
      <c r="U290" s="9">
        <v>5</v>
      </c>
      <c r="V290" s="11">
        <v>2901.2095089999998</v>
      </c>
      <c r="W290" s="12">
        <f t="shared" si="7"/>
        <v>580.24190179999994</v>
      </c>
      <c r="X290" s="12">
        <f t="shared" si="8"/>
        <v>0.55668396900624395</v>
      </c>
      <c r="Y290" s="12">
        <f t="shared" si="9"/>
        <v>68.111035883547729</v>
      </c>
      <c r="Z290" s="12">
        <f t="shared" si="10"/>
        <v>320.43400806273468</v>
      </c>
      <c r="AA290" s="12">
        <f t="shared" si="11"/>
        <v>218.25092221469944</v>
      </c>
      <c r="AB290" s="12">
        <f t="shared" si="12"/>
        <v>39.205533905405403</v>
      </c>
      <c r="AC290" s="12">
        <f t="shared" si="13"/>
        <v>6.756756756756757</v>
      </c>
      <c r="AE290" s="13"/>
      <c r="AF290" s="13"/>
    </row>
    <row r="291" spans="1:32">
      <c r="A291" s="8" t="s">
        <v>1169</v>
      </c>
      <c r="B291" s="9" t="s">
        <v>41</v>
      </c>
      <c r="C291" s="9" t="s">
        <v>145</v>
      </c>
      <c r="D291" s="9" t="s">
        <v>1170</v>
      </c>
      <c r="E291" s="9"/>
      <c r="F291" s="9" t="str">
        <f ca="1">IFERROR(__xludf.DUMMYFUNCTION("IFS(
  REGEXMATCH(LOWER(VLOOKUP(A291, Data1_Raw_Slack!A:B, 2, FALSE)), ""news|weather""), ""News and Weather"", REGEXMATCH(LOWER(VLOOKUP(A291, Data1_Raw_Slack!A:B, 2, FALSE)), ""sports|ufc|nba|nfl|mlb|soccer|sports fans""), ""Sports"",
  REGEXMATCH(LOWER("&amp;"VLOOKUP(A291, Data1_Raw_Slack!A:B, 2, FALSE)), ""fashion|style|clothing|apparel|shoes|accessories|beauty|cosmetics|fashionistas""), ""Fashion and Beauty"",
  REGEXMATCH(LOWER(VLOOKUP(A291, Data1_Raw_Slack!A:B, 2, FALSE)), ""food|cooking|recipe|restaurant|"&amp;"snack|grocery|foodies""), ""Food"",
  REGEXMATCH(LOWER(VLOOKUP(A291, Data1_Raw_Slack!A:B, 2, FALSE)), ""travel|vacation|airline|hotel|trip|flights|travelers""), ""Travel"",
  REGEXMATCH(LOWER(VLOOKUP(A291, Data1_Raw_Slack!A:B, 2, FALSE)), ""fitness|workou"&amp;"t|gym|exercise|yoga|wellness|fitness enthusiasts""), ""Fitness"",
  REGEXMATCH(LOWER(VLOOKUP(A291, Data1_Raw_Slack!A:B, 2, FALSE)), ""health|medical|pharmacy|mental health|doctor|health-conscious""), ""Health"",
  REGEXMATCH(LOWER(VLOOKUP(A291, Data1_Raw_"&amp;"Slack!A:B, 2, FALSE)), ""pets|dogs|cats|animals|pet care|pet lovers""), ""Pets"",
  REGEXMATCH(LOWER(VLOOKUP(A291, Data1_Raw_Slack!A:B, 2, FALSE)), ""games|gaming|game|xbox|playstation|nintendo|gamers""), ""Gaming"",
  REGEXMATCH(LOWER(VLOOKUP(A291, Data1"&amp;"_Raw_Slack!A:B, 2, FALSE)), ""entertainment|movies|tv|netflix|streaming|celebrity|movie lovers|tv fans|hobb|photo|art""), ""Entertainment"",
  REGEXMATCH(LOWER(VLOOKUP(A291, Data1_Raw_Slack!A:B, 2, FALSE)), ""lifestyle|home|interior|decor|living|lifestyle"&amp;" enthusiasts""), ""Lifestyle"",
  REGEXMATCH(LOWER(VLOOKUP(A291, Data1_Raw_Slack!A:B, 2, FALSE)), ""financial|finance|investing|stocks|retirement|banking|credit|debt|loans|savings|personal finance|insurance|econ|ecom|business|retail|occupation|sale|job|ma"&amp;"rketing""), ""Finance"",
  REGEXMATCH(LOWER(VLOOKUP(A291, Data1_Raw_Slack!A:B, 2, FALSE)), ""auto|automotive""), ""Auto"",
  REGEXMATCH(LOWER(VLOOKUP(A291, Data1_Raw_Slack!A:B, 2, FALSE)), ""parenting|moms|dads|kids|toddlers|baby|parent|children""), ""Par"&amp;"enting"",
  REGEXMATCH(LOWER(VLOOKUP(A291, Data1_Raw_Slack!A:B, 2, FALSE)), ""education|students|learning|school|teachers|college|university|academics""), ""Education"",
  REGEXMATCH(LOWER(VLOOKUP(A291, Data1_Raw_Slack!A:B, 2, FALSE)), ""age|gender|dem"&amp;"ographic|family|household""), ""Demographics"",
  REGEXMATCH(LOWER(VLOOKUP(A291, Data1_Raw_Slack!A:B, 2, FALSE)), ""mortgage|real estate""), ""Real Estate"",REGEXMATCH(LOWER(VLOOKUP(A291, Data1_Raw_Slack!A:B, 2, FALSE)), ""technology|tech|gadgets|smartpho"&amp;"ne|electro|apps|devices|computing|ai|robots|software|computer|internet|tele|mobile|tablet""), ""Technology"", REGEXMATCH(LOWER(VLOOKUP(A291, Data1_Raw_Slack!A:B, 2, FALSE)), ""entertainment|purchas|movies|tv|netflix|streaming|celebrity|movie lovers|tv fan"&amp;"s|media|hobb|photo|art|shop""), ""Entertainment"", REGEXMATCH(LOWER(VLOOKUP(A291, Data1_Raw_Slack!A:B, 2, FALSE)), ""law|government|""), ""Law and Government"",
  TRUE, ""Other""
)"),"News and Weather")</f>
        <v>News and Weather</v>
      </c>
      <c r="G291" s="9" t="s">
        <v>145</v>
      </c>
      <c r="H291" s="9" t="s">
        <v>32</v>
      </c>
      <c r="I291" s="9" t="s">
        <v>211</v>
      </c>
      <c r="J291" s="9" t="s">
        <v>80</v>
      </c>
      <c r="K291" s="9" t="s">
        <v>236</v>
      </c>
      <c r="L291" s="9" t="s">
        <v>82</v>
      </c>
      <c r="M291" s="10" t="s">
        <v>430</v>
      </c>
      <c r="N291" s="9" t="str">
        <f ca="1">IFERROR(__xludf.DUMMYFUNCTION("REGEXEXTRACT(LOWER(M291), ""([a-z0-9\-]+)\.(?:co|net|org|io|gg)"")"),"biblegateway")</f>
        <v>biblegateway</v>
      </c>
      <c r="O291" s="9" t="s">
        <v>50</v>
      </c>
      <c r="P291" s="9" t="s">
        <v>39</v>
      </c>
      <c r="Q291" s="9">
        <v>26715</v>
      </c>
      <c r="R291" s="9">
        <v>100</v>
      </c>
      <c r="S291" s="9">
        <v>12287</v>
      </c>
      <c r="T291" s="9">
        <v>25003</v>
      </c>
      <c r="U291" s="9">
        <v>6</v>
      </c>
      <c r="V291" s="11">
        <v>4623.0896720000001</v>
      </c>
      <c r="W291" s="12">
        <f t="shared" si="7"/>
        <v>770.51494533333334</v>
      </c>
      <c r="X291" s="12">
        <f t="shared" si="8"/>
        <v>0.37432154220475389</v>
      </c>
      <c r="Y291" s="12">
        <f t="shared" si="9"/>
        <v>45.992887890698107</v>
      </c>
      <c r="Z291" s="12">
        <f t="shared" si="10"/>
        <v>376.25862065597789</v>
      </c>
      <c r="AA291" s="12">
        <f t="shared" si="11"/>
        <v>173.05220557739099</v>
      </c>
      <c r="AB291" s="12">
        <f t="shared" si="12"/>
        <v>46.230896720000004</v>
      </c>
      <c r="AC291" s="12">
        <f t="shared" si="13"/>
        <v>6</v>
      </c>
      <c r="AE291" s="13"/>
      <c r="AF291" s="13"/>
    </row>
    <row r="292" spans="1:32">
      <c r="A292" s="8" t="s">
        <v>1171</v>
      </c>
      <c r="B292" s="9" t="s">
        <v>41</v>
      </c>
      <c r="C292" s="9" t="s">
        <v>486</v>
      </c>
      <c r="D292" s="9" t="s">
        <v>465</v>
      </c>
      <c r="E292" s="9"/>
      <c r="F292" s="9" t="str">
        <f ca="1">IFERROR(__xludf.DUMMYFUNCTION("IFS(
  REGEXMATCH(LOWER(VLOOKUP(A292, Data1_Raw_Slack!A:B, 2, FALSE)), ""news|weather""), ""News and Weather"", REGEXMATCH(LOWER(VLOOKUP(A292, Data1_Raw_Slack!A:B, 2, FALSE)), ""sports|ufc|nba|nfl|mlb|soccer|sports fans""), ""Sports"",
  REGEXMATCH(LOWER("&amp;"VLOOKUP(A292, Data1_Raw_Slack!A:B, 2, FALSE)), ""fashion|style|clothing|apparel|shoes|accessories|beauty|cosmetics|fashionistas""), ""Fashion and Beauty"",
  REGEXMATCH(LOWER(VLOOKUP(A292, Data1_Raw_Slack!A:B, 2, FALSE)), ""food|cooking|recipe|restaurant|"&amp;"snack|grocery|foodies""), ""Food"",
  REGEXMATCH(LOWER(VLOOKUP(A292, Data1_Raw_Slack!A:B, 2, FALSE)), ""travel|vacation|airline|hotel|trip|flights|travelers""), ""Travel"",
  REGEXMATCH(LOWER(VLOOKUP(A292, Data1_Raw_Slack!A:B, 2, FALSE)), ""fitness|workou"&amp;"t|gym|exercise|yoga|wellness|fitness enthusiasts""), ""Fitness"",
  REGEXMATCH(LOWER(VLOOKUP(A292, Data1_Raw_Slack!A:B, 2, FALSE)), ""health|medical|pharmacy|mental health|doctor|health-conscious""), ""Health"",
  REGEXMATCH(LOWER(VLOOKUP(A292, Data1_Raw_"&amp;"Slack!A:B, 2, FALSE)), ""pets|dogs|cats|animals|pet care|pet lovers""), ""Pets"",
  REGEXMATCH(LOWER(VLOOKUP(A292, Data1_Raw_Slack!A:B, 2, FALSE)), ""games|gaming|game|xbox|playstation|nintendo|gamers""), ""Gaming"",
  REGEXMATCH(LOWER(VLOOKUP(A292, Data1"&amp;"_Raw_Slack!A:B, 2, FALSE)), ""entertainment|movies|tv|netflix|streaming|celebrity|movie lovers|tv fans|hobb|photo|art""), ""Entertainment"",
  REGEXMATCH(LOWER(VLOOKUP(A292, Data1_Raw_Slack!A:B, 2, FALSE)), ""lifestyle|home|interior|decor|living|lifestyle"&amp;" enthusiasts""), ""Lifestyle"",
  REGEXMATCH(LOWER(VLOOKUP(A292, Data1_Raw_Slack!A:B, 2, FALSE)), ""financial|finance|investing|stocks|retirement|banking|credit|debt|loans|savings|personal finance|insurance|econ|ecom|business|retail|occupation|sale|job|ma"&amp;"rketing""), ""Finance"",
  REGEXMATCH(LOWER(VLOOKUP(A292, Data1_Raw_Slack!A:B, 2, FALSE)), ""auto|automotive""), ""Auto"",
  REGEXMATCH(LOWER(VLOOKUP(A292, Data1_Raw_Slack!A:B, 2, FALSE)), ""parenting|moms|dads|kids|toddlers|baby|parent|children""), ""Par"&amp;"enting"",
  REGEXMATCH(LOWER(VLOOKUP(A292, Data1_Raw_Slack!A:B, 2, FALSE)), ""education|students|learning|school|teachers|college|university|academics""), ""Education"",
  REGEXMATCH(LOWER(VLOOKUP(A292, Data1_Raw_Slack!A:B, 2, FALSE)), ""age|gender|dem"&amp;"ographic|family|household""), ""Demographics"",
  REGEXMATCH(LOWER(VLOOKUP(A292, Data1_Raw_Slack!A:B, 2, FALSE)), ""mortgage|real estate""), ""Real Estate"",REGEXMATCH(LOWER(VLOOKUP(A292, Data1_Raw_Slack!A:B, 2, FALSE)), ""technology|tech|gadgets|smartpho"&amp;"ne|electro|apps|devices|computing|ai|robots|software|computer|internet|tele|mobile|tablet""), ""Technology"", REGEXMATCH(LOWER(VLOOKUP(A292, Data1_Raw_Slack!A:B, 2, FALSE)), ""entertainment|purchas|movies|tv|netflix|streaming|celebrity|movie lovers|tv fan"&amp;"s|media|hobb|photo|art|shop""), ""Entertainment"", REGEXMATCH(LOWER(VLOOKUP(A292, Data1_Raw_Slack!A:B, 2, FALSE)), ""law|government|""), ""Law and Government"",
  TRUE, ""Other""
)"),"Pets")</f>
        <v>Pets</v>
      </c>
      <c r="G292" s="9"/>
      <c r="H292" s="9" t="s">
        <v>44</v>
      </c>
      <c r="I292" s="9" t="s">
        <v>735</v>
      </c>
      <c r="J292" s="9" t="s">
        <v>34</v>
      </c>
      <c r="K292" s="9" t="s">
        <v>315</v>
      </c>
      <c r="L292" s="9" t="s">
        <v>36</v>
      </c>
      <c r="M292" s="10" t="s">
        <v>354</v>
      </c>
      <c r="N292" s="9" t="str">
        <f ca="1">IFERROR(__xludf.DUMMYFUNCTION("REGEXEXTRACT(LOWER(M292), ""([a-z0-9\-]+)\.(?:co|net|org|io|gg)"")"),"yahoo")</f>
        <v>yahoo</v>
      </c>
      <c r="O292" s="9" t="s">
        <v>131</v>
      </c>
      <c r="P292" s="9" t="s">
        <v>39</v>
      </c>
      <c r="Q292" s="9">
        <v>818919</v>
      </c>
      <c r="R292" s="9">
        <v>1987</v>
      </c>
      <c r="S292" s="9">
        <v>395852</v>
      </c>
      <c r="T292" s="9">
        <v>699064</v>
      </c>
      <c r="U292" s="9">
        <v>22</v>
      </c>
      <c r="V292" s="11">
        <v>6012.1024649999999</v>
      </c>
      <c r="W292" s="12">
        <f t="shared" si="7"/>
        <v>273.27738477272726</v>
      </c>
      <c r="X292" s="12">
        <f t="shared" si="8"/>
        <v>0.24263693967291025</v>
      </c>
      <c r="Y292" s="12">
        <f t="shared" si="9"/>
        <v>48.338358250327566</v>
      </c>
      <c r="Z292" s="12">
        <f t="shared" si="10"/>
        <v>15.187753162798218</v>
      </c>
      <c r="AA292" s="12">
        <f t="shared" si="11"/>
        <v>7.341510534008858</v>
      </c>
      <c r="AB292" s="12">
        <f t="shared" si="12"/>
        <v>3.0257184021137391</v>
      </c>
      <c r="AC292" s="12">
        <f t="shared" si="13"/>
        <v>1.1071967790639154</v>
      </c>
      <c r="AE292" s="13"/>
      <c r="AF292" s="13"/>
    </row>
    <row r="293" spans="1:32">
      <c r="A293" s="8" t="s">
        <v>1172</v>
      </c>
      <c r="B293" s="9" t="s">
        <v>41</v>
      </c>
      <c r="C293" s="9" t="s">
        <v>162</v>
      </c>
      <c r="D293" s="9" t="s">
        <v>248</v>
      </c>
      <c r="E293" s="9" t="s">
        <v>1173</v>
      </c>
      <c r="F293" s="9" t="str">
        <f ca="1">IFERROR(__xludf.DUMMYFUNCTION("IFS(
  REGEXMATCH(LOWER(VLOOKUP(A293, Data1_Raw_Slack!A:B, 2, FALSE)), ""news|weather""), ""News and Weather"", REGEXMATCH(LOWER(VLOOKUP(A293, Data1_Raw_Slack!A:B, 2, FALSE)), ""sports|ufc|nba|nfl|mlb|soccer|sports fans""), ""Sports"",
  REGEXMATCH(LOWER("&amp;"VLOOKUP(A293, Data1_Raw_Slack!A:B, 2, FALSE)), ""fashion|style|clothing|apparel|shoes|accessories|beauty|cosmetics|fashionistas""), ""Fashion and Beauty"",
  REGEXMATCH(LOWER(VLOOKUP(A293, Data1_Raw_Slack!A:B, 2, FALSE)), ""food|cooking|recipe|restaurant|"&amp;"snack|grocery|foodies""), ""Food"",
  REGEXMATCH(LOWER(VLOOKUP(A293, Data1_Raw_Slack!A:B, 2, FALSE)), ""travel|vacation|airline|hotel|trip|flights|travelers""), ""Travel"",
  REGEXMATCH(LOWER(VLOOKUP(A293, Data1_Raw_Slack!A:B, 2, FALSE)), ""fitness|workou"&amp;"t|gym|exercise|yoga|wellness|fitness enthusiasts""), ""Fitness"",
  REGEXMATCH(LOWER(VLOOKUP(A293, Data1_Raw_Slack!A:B, 2, FALSE)), ""health|medical|pharmacy|mental health|doctor|health-conscious""), ""Health"",
  REGEXMATCH(LOWER(VLOOKUP(A293, Data1_Raw_"&amp;"Slack!A:B, 2, FALSE)), ""pets|dogs|cats|animals|pet care|pet lovers""), ""Pets"",
  REGEXMATCH(LOWER(VLOOKUP(A293, Data1_Raw_Slack!A:B, 2, FALSE)), ""games|gaming|game|xbox|playstation|nintendo|gamers""), ""Gaming"",
  REGEXMATCH(LOWER(VLOOKUP(A293, Data1"&amp;"_Raw_Slack!A:B, 2, FALSE)), ""entertainment|movies|tv|netflix|streaming|celebrity|movie lovers|tv fans|hobb|photo|art""), ""Entertainment"",
  REGEXMATCH(LOWER(VLOOKUP(A293, Data1_Raw_Slack!A:B, 2, FALSE)), ""lifestyle|home|interior|decor|living|lifestyle"&amp;" enthusiasts""), ""Lifestyle"",
  REGEXMATCH(LOWER(VLOOKUP(A293, Data1_Raw_Slack!A:B, 2, FALSE)), ""financial|finance|investing|stocks|retirement|banking|credit|debt|loans|savings|personal finance|insurance|econ|ecom|business|retail|occupation|sale|job|ma"&amp;"rketing""), ""Finance"",
  REGEXMATCH(LOWER(VLOOKUP(A293, Data1_Raw_Slack!A:B, 2, FALSE)), ""auto|automotive""), ""Auto"",
  REGEXMATCH(LOWER(VLOOKUP(A293, Data1_Raw_Slack!A:B, 2, FALSE)), ""parenting|moms|dads|kids|toddlers|baby|parent|children""), ""Par"&amp;"enting"",
  REGEXMATCH(LOWER(VLOOKUP(A293, Data1_Raw_Slack!A:B, 2, FALSE)), ""education|students|learning|school|teachers|college|university|academics""), ""Education"",
  REGEXMATCH(LOWER(VLOOKUP(A293, Data1_Raw_Slack!A:B, 2, FALSE)), ""age|gender|dem"&amp;"ographic|family|household""), ""Demographics"",
  REGEXMATCH(LOWER(VLOOKUP(A293, Data1_Raw_Slack!A:B, 2, FALSE)), ""mortgage|real estate""), ""Real Estate"",REGEXMATCH(LOWER(VLOOKUP(A293, Data1_Raw_Slack!A:B, 2, FALSE)), ""technology|tech|gadgets|smartpho"&amp;"ne|electro|apps|devices|computing|ai|robots|software|computer|internet|tele|mobile|tablet""), ""Technology"", REGEXMATCH(LOWER(VLOOKUP(A293, Data1_Raw_Slack!A:B, 2, FALSE)), ""entertainment|purchas|movies|tv|netflix|streaming|celebrity|movie lovers|tv fan"&amp;"s|media|hobb|photo|art|shop""), ""Entertainment"", REGEXMATCH(LOWER(VLOOKUP(A293, Data1_Raw_Slack!A:B, 2, FALSE)), ""law|government|""), ""Law and Government"",
  TRUE, ""Other""
)"),"Auto")</f>
        <v>Auto</v>
      </c>
      <c r="G293" s="9" t="s">
        <v>122</v>
      </c>
      <c r="H293" s="9" t="s">
        <v>32</v>
      </c>
      <c r="I293" s="9" t="s">
        <v>1049</v>
      </c>
      <c r="J293" s="9" t="s">
        <v>34</v>
      </c>
      <c r="K293" s="9" t="s">
        <v>236</v>
      </c>
      <c r="L293" s="9" t="s">
        <v>82</v>
      </c>
      <c r="M293" s="10" t="s">
        <v>222</v>
      </c>
      <c r="N293" s="9" t="str">
        <f ca="1">IFERROR(__xludf.DUMMYFUNCTION("REGEXEXTRACT(LOWER(M293), ""([a-z0-9\-]+)\.(?:co|net|org|io|gg)"")"),"usatoday")</f>
        <v>usatoday</v>
      </c>
      <c r="O293" s="9" t="s">
        <v>50</v>
      </c>
      <c r="P293" s="9" t="s">
        <v>39</v>
      </c>
      <c r="Q293" s="9">
        <v>25539</v>
      </c>
      <c r="R293" s="9">
        <v>78</v>
      </c>
      <c r="S293" s="9">
        <v>12130</v>
      </c>
      <c r="T293" s="9">
        <v>24129</v>
      </c>
      <c r="U293" s="9">
        <v>15</v>
      </c>
      <c r="V293" s="11">
        <v>4804.4932330000001</v>
      </c>
      <c r="W293" s="12">
        <f t="shared" si="7"/>
        <v>320.29954886666667</v>
      </c>
      <c r="X293" s="12">
        <f t="shared" si="8"/>
        <v>0.30541524726888286</v>
      </c>
      <c r="Y293" s="12">
        <f t="shared" si="9"/>
        <v>47.49598653040448</v>
      </c>
      <c r="Z293" s="12">
        <f t="shared" si="10"/>
        <v>396.08353116240727</v>
      </c>
      <c r="AA293" s="12">
        <f t="shared" si="11"/>
        <v>188.12378061004739</v>
      </c>
      <c r="AB293" s="12">
        <f t="shared" si="12"/>
        <v>61.596067089743592</v>
      </c>
      <c r="AC293" s="12">
        <f t="shared" si="13"/>
        <v>19.230769230769234</v>
      </c>
      <c r="AE293" s="13"/>
      <c r="AF293" s="13"/>
    </row>
    <row r="294" spans="1:32">
      <c r="A294" s="8" t="s">
        <v>1174</v>
      </c>
      <c r="B294" s="9" t="s">
        <v>41</v>
      </c>
      <c r="C294" s="9" t="s">
        <v>214</v>
      </c>
      <c r="D294" s="9" t="s">
        <v>1175</v>
      </c>
      <c r="E294" s="9" t="s">
        <v>1176</v>
      </c>
      <c r="F294" s="9" t="str">
        <f ca="1">IFERROR(__xludf.DUMMYFUNCTION("IFS(
  REGEXMATCH(LOWER(VLOOKUP(A294, Data1_Raw_Slack!A:B, 2, FALSE)), ""news|weather""), ""News and Weather"", REGEXMATCH(LOWER(VLOOKUP(A294, Data1_Raw_Slack!A:B, 2, FALSE)), ""sports|ufc|nba|nfl|mlb|soccer|sports fans""), ""Sports"",
  REGEXMATCH(LOWER("&amp;"VLOOKUP(A294, Data1_Raw_Slack!A:B, 2, FALSE)), ""fashion|style|clothing|apparel|shoes|accessories|beauty|cosmetics|fashionistas""), ""Fashion and Beauty"",
  REGEXMATCH(LOWER(VLOOKUP(A294, Data1_Raw_Slack!A:B, 2, FALSE)), ""food|cooking|recipe|restaurant|"&amp;"snack|grocery|foodies""), ""Food"",
  REGEXMATCH(LOWER(VLOOKUP(A294, Data1_Raw_Slack!A:B, 2, FALSE)), ""travel|vacation|airline|hotel|trip|flights|travelers""), ""Travel"",
  REGEXMATCH(LOWER(VLOOKUP(A294, Data1_Raw_Slack!A:B, 2, FALSE)), ""fitness|workou"&amp;"t|gym|exercise|yoga|wellness|fitness enthusiasts""), ""Fitness"",
  REGEXMATCH(LOWER(VLOOKUP(A294, Data1_Raw_Slack!A:B, 2, FALSE)), ""health|medical|pharmacy|mental health|doctor|health-conscious""), ""Health"",
  REGEXMATCH(LOWER(VLOOKUP(A294, Data1_Raw_"&amp;"Slack!A:B, 2, FALSE)), ""pets|dogs|cats|animals|pet care|pet lovers""), ""Pets"",
  REGEXMATCH(LOWER(VLOOKUP(A294, Data1_Raw_Slack!A:B, 2, FALSE)), ""games|gaming|game|xbox|playstation|nintendo|gamers""), ""Gaming"",
  REGEXMATCH(LOWER(VLOOKUP(A294, Data1"&amp;"_Raw_Slack!A:B, 2, FALSE)), ""entertainment|movies|tv|netflix|streaming|celebrity|movie lovers|tv fans|hobb|photo|art""), ""Entertainment"",
  REGEXMATCH(LOWER(VLOOKUP(A294, Data1_Raw_Slack!A:B, 2, FALSE)), ""lifestyle|home|interior|decor|living|lifestyle"&amp;" enthusiasts""), ""Lifestyle"",
  REGEXMATCH(LOWER(VLOOKUP(A294, Data1_Raw_Slack!A:B, 2, FALSE)), ""financial|finance|investing|stocks|retirement|banking|credit|debt|loans|savings|personal finance|insurance|econ|ecom|business|retail|occupation|sale|job|ma"&amp;"rketing""), ""Finance"",
  REGEXMATCH(LOWER(VLOOKUP(A294, Data1_Raw_Slack!A:B, 2, FALSE)), ""auto|automotive""), ""Auto"",
  REGEXMATCH(LOWER(VLOOKUP(A294, Data1_Raw_Slack!A:B, 2, FALSE)), ""parenting|moms|dads|kids|toddlers|baby|parent|children""), ""Par"&amp;"enting"",
  REGEXMATCH(LOWER(VLOOKUP(A294, Data1_Raw_Slack!A:B, 2, FALSE)), ""education|students|learning|school|teachers|college|university|academics""), ""Education"",
  REGEXMATCH(LOWER(VLOOKUP(A294, Data1_Raw_Slack!A:B, 2, FALSE)), ""age|gender|dem"&amp;"ographic|family|household""), ""Demographics"",
  REGEXMATCH(LOWER(VLOOKUP(A294, Data1_Raw_Slack!A:B, 2, FALSE)), ""mortgage|real estate""), ""Real Estate"",REGEXMATCH(LOWER(VLOOKUP(A294, Data1_Raw_Slack!A:B, 2, FALSE)), ""technology|tech|gadgets|smartpho"&amp;"ne|electro|apps|devices|computing|ai|robots|software|computer|internet|tele|mobile|tablet""), ""Technology"", REGEXMATCH(LOWER(VLOOKUP(A294, Data1_Raw_Slack!A:B, 2, FALSE)), ""entertainment|purchas|movies|tv|netflix|streaming|celebrity|movie lovers|tv fan"&amp;"s|media|hobb|photo|art|shop""), ""Entertainment"", REGEXMATCH(LOWER(VLOOKUP(A294, Data1_Raw_Slack!A:B, 2, FALSE)), ""law|government|""), ""Law and Government"",
  TRUE, ""Other""
)"),"Demographics")</f>
        <v>Demographics</v>
      </c>
      <c r="G294" s="9"/>
      <c r="H294" s="9" t="s">
        <v>123</v>
      </c>
      <c r="I294" s="9" t="s">
        <v>1177</v>
      </c>
      <c r="J294" s="9" t="s">
        <v>80</v>
      </c>
      <c r="K294" s="9" t="s">
        <v>142</v>
      </c>
      <c r="L294" s="9" t="s">
        <v>72</v>
      </c>
      <c r="M294" s="10" t="s">
        <v>1178</v>
      </c>
      <c r="N294" s="9" t="str">
        <f ca="1">IFERROR(__xludf.DUMMYFUNCTION("REGEXEXTRACT(LOWER(M294), ""([a-z0-9\-]+)\.(?:co|net|org|io|gg)"")"),"yourroyals")</f>
        <v>yourroyals</v>
      </c>
      <c r="O294" s="9" t="s">
        <v>50</v>
      </c>
      <c r="P294" s="9" t="s">
        <v>39</v>
      </c>
      <c r="Q294" s="9">
        <v>10906</v>
      </c>
      <c r="R294" s="9">
        <v>46</v>
      </c>
      <c r="S294" s="9">
        <v>4735</v>
      </c>
      <c r="T294" s="9">
        <v>6390</v>
      </c>
      <c r="U294" s="9">
        <v>3</v>
      </c>
      <c r="V294" s="11">
        <v>5694.2709400000003</v>
      </c>
      <c r="W294" s="12">
        <f t="shared" si="7"/>
        <v>1898.0903133333334</v>
      </c>
      <c r="X294" s="12">
        <f t="shared" si="8"/>
        <v>0.42178617274894559</v>
      </c>
      <c r="Y294" s="12">
        <f t="shared" si="9"/>
        <v>43.416467999266459</v>
      </c>
      <c r="Z294" s="12">
        <f t="shared" si="10"/>
        <v>1202.5915395987331</v>
      </c>
      <c r="AA294" s="12">
        <f t="shared" si="11"/>
        <v>522.12277095176978</v>
      </c>
      <c r="AB294" s="12">
        <f t="shared" si="12"/>
        <v>123.78849869565218</v>
      </c>
      <c r="AC294" s="12">
        <f t="shared" si="13"/>
        <v>6.5217391304347823</v>
      </c>
      <c r="AE294" s="13"/>
      <c r="AF294" s="13"/>
    </row>
    <row r="295" spans="1:32">
      <c r="A295" s="8" t="s">
        <v>1179</v>
      </c>
      <c r="B295" s="9" t="s">
        <v>41</v>
      </c>
      <c r="C295" s="9" t="s">
        <v>105</v>
      </c>
      <c r="D295" s="9" t="s">
        <v>1122</v>
      </c>
      <c r="E295" s="9" t="s">
        <v>1180</v>
      </c>
      <c r="F295" s="9" t="str">
        <f ca="1">IFERROR(__xludf.DUMMYFUNCTION("IFS(
  REGEXMATCH(LOWER(VLOOKUP(A295, Data1_Raw_Slack!A:B, 2, FALSE)), ""news|weather""), ""News and Weather"", REGEXMATCH(LOWER(VLOOKUP(A295, Data1_Raw_Slack!A:B, 2, FALSE)), ""sports|ufc|nba|nfl|mlb|soccer|sports fans""), ""Sports"",
  REGEXMATCH(LOWER("&amp;"VLOOKUP(A295, Data1_Raw_Slack!A:B, 2, FALSE)), ""fashion|style|clothing|apparel|shoes|accessories|beauty|cosmetics|fashionistas""), ""Fashion and Beauty"",
  REGEXMATCH(LOWER(VLOOKUP(A295, Data1_Raw_Slack!A:B, 2, FALSE)), ""food|cooking|recipe|restaurant|"&amp;"snack|grocery|foodies""), ""Food"",
  REGEXMATCH(LOWER(VLOOKUP(A295, Data1_Raw_Slack!A:B, 2, FALSE)), ""travel|vacation|airline|hotel|trip|flights|travelers""), ""Travel"",
  REGEXMATCH(LOWER(VLOOKUP(A295, Data1_Raw_Slack!A:B, 2, FALSE)), ""fitness|workou"&amp;"t|gym|exercise|yoga|wellness|fitness enthusiasts""), ""Fitness"",
  REGEXMATCH(LOWER(VLOOKUP(A295, Data1_Raw_Slack!A:B, 2, FALSE)), ""health|medical|pharmacy|mental health|doctor|health-conscious""), ""Health"",
  REGEXMATCH(LOWER(VLOOKUP(A295, Data1_Raw_"&amp;"Slack!A:B, 2, FALSE)), ""pets|dogs|cats|animals|pet care|pet lovers""), ""Pets"",
  REGEXMATCH(LOWER(VLOOKUP(A295, Data1_Raw_Slack!A:B, 2, FALSE)), ""games|gaming|game|xbox|playstation|nintendo|gamers""), ""Gaming"",
  REGEXMATCH(LOWER(VLOOKUP(A295, Data1"&amp;"_Raw_Slack!A:B, 2, FALSE)), ""entertainment|movies|tv|netflix|streaming|celebrity|movie lovers|tv fans|hobb|photo|art""), ""Entertainment"",
  REGEXMATCH(LOWER(VLOOKUP(A295, Data1_Raw_Slack!A:B, 2, FALSE)), ""lifestyle|home|interior|decor|living|lifestyle"&amp;" enthusiasts""), ""Lifestyle"",
  REGEXMATCH(LOWER(VLOOKUP(A295, Data1_Raw_Slack!A:B, 2, FALSE)), ""financial|finance|investing|stocks|retirement|banking|credit|debt|loans|savings|personal finance|insurance|econ|ecom|business|retail|occupation|sale|job|ma"&amp;"rketing""), ""Finance"",
  REGEXMATCH(LOWER(VLOOKUP(A295, Data1_Raw_Slack!A:B, 2, FALSE)), ""auto|automotive""), ""Auto"",
  REGEXMATCH(LOWER(VLOOKUP(A295, Data1_Raw_Slack!A:B, 2, FALSE)), ""parenting|moms|dads|kids|toddlers|baby|parent|children""), ""Par"&amp;"enting"",
  REGEXMATCH(LOWER(VLOOKUP(A295, Data1_Raw_Slack!A:B, 2, FALSE)), ""education|students|learning|school|teachers|college|university|academics""), ""Education"",
  REGEXMATCH(LOWER(VLOOKUP(A295, Data1_Raw_Slack!A:B, 2, FALSE)), ""age|gender|dem"&amp;"ographic|family|household""), ""Demographics"",
  REGEXMATCH(LOWER(VLOOKUP(A295, Data1_Raw_Slack!A:B, 2, FALSE)), ""mortgage|real estate""), ""Real Estate"",REGEXMATCH(LOWER(VLOOKUP(A295, Data1_Raw_Slack!A:B, 2, FALSE)), ""technology|tech|gadgets|smartpho"&amp;"ne|electro|apps|devices|computing|ai|robots|software|computer|internet|tele|mobile|tablet""), ""Technology"", REGEXMATCH(LOWER(VLOOKUP(A295, Data1_Raw_Slack!A:B, 2, FALSE)), ""entertainment|purchas|movies|tv|netflix|streaming|celebrity|movie lovers|tv fan"&amp;"s|media|hobb|photo|art|shop""), ""Entertainment"", REGEXMATCH(LOWER(VLOOKUP(A295, Data1_Raw_Slack!A:B, 2, FALSE)), ""law|government|""), ""Law and Government"",
  TRUE, ""Other""
)"),"Fashion and Beauty")</f>
        <v>Fashion and Beauty</v>
      </c>
      <c r="G295" s="9" t="s">
        <v>105</v>
      </c>
      <c r="H295" s="9" t="s">
        <v>44</v>
      </c>
      <c r="I295" s="9" t="s">
        <v>1181</v>
      </c>
      <c r="J295" s="9" t="s">
        <v>62</v>
      </c>
      <c r="K295" s="9" t="s">
        <v>88</v>
      </c>
      <c r="L295" s="9" t="s">
        <v>89</v>
      </c>
      <c r="M295" s="10" t="s">
        <v>1182</v>
      </c>
      <c r="N295" s="9" t="str">
        <f ca="1">IFERROR(__xludf.DUMMYFUNCTION("REGEXEXTRACT(LOWER(M295), ""([a-z0-9\-]+)\.(?:co|net|org|io|gg)"")"),"zdnet")</f>
        <v>zdnet</v>
      </c>
      <c r="O295" s="9" t="s">
        <v>103</v>
      </c>
      <c r="P295" s="9" t="s">
        <v>64</v>
      </c>
      <c r="Q295" s="9">
        <v>7585</v>
      </c>
      <c r="R295" s="9">
        <v>13</v>
      </c>
      <c r="S295" s="9">
        <v>5396</v>
      </c>
      <c r="T295" s="9">
        <v>7417</v>
      </c>
      <c r="U295" s="9">
        <v>24</v>
      </c>
      <c r="V295" s="11">
        <v>7082.6538019999998</v>
      </c>
      <c r="W295" s="12">
        <f t="shared" si="7"/>
        <v>295.11057508333334</v>
      </c>
      <c r="X295" s="12">
        <f t="shared" si="8"/>
        <v>0.17139090309822017</v>
      </c>
      <c r="Y295" s="12">
        <f t="shared" si="9"/>
        <v>71.140408701384303</v>
      </c>
      <c r="Z295" s="12">
        <f t="shared" si="10"/>
        <v>1312.5748335804299</v>
      </c>
      <c r="AA295" s="12">
        <f t="shared" si="11"/>
        <v>933.77110112063281</v>
      </c>
      <c r="AB295" s="12">
        <f t="shared" si="12"/>
        <v>544.81952323076916</v>
      </c>
      <c r="AC295" s="12">
        <f t="shared" si="13"/>
        <v>184.61538461538461</v>
      </c>
      <c r="AE295" s="13"/>
      <c r="AF295" s="13"/>
    </row>
    <row r="296" spans="1:32">
      <c r="A296" s="8" t="s">
        <v>1183</v>
      </c>
      <c r="B296" s="9" t="s">
        <v>41</v>
      </c>
      <c r="C296" s="9" t="s">
        <v>120</v>
      </c>
      <c r="D296" s="9" t="s">
        <v>1184</v>
      </c>
      <c r="E296" s="9"/>
      <c r="F296" s="9" t="str">
        <f ca="1">IFERROR(__xludf.DUMMYFUNCTION("IFS(
  REGEXMATCH(LOWER(VLOOKUP(A296, Data1_Raw_Slack!A:B, 2, FALSE)), ""news|weather""), ""News and Weather"", REGEXMATCH(LOWER(VLOOKUP(A296, Data1_Raw_Slack!A:B, 2, FALSE)), ""sports|ufc|nba|nfl|mlb|soccer|sports fans""), ""Sports"",
  REGEXMATCH(LOWER("&amp;"VLOOKUP(A296, Data1_Raw_Slack!A:B, 2, FALSE)), ""fashion|style|clothing|apparel|shoes|accessories|beauty|cosmetics|fashionistas""), ""Fashion and Beauty"",
  REGEXMATCH(LOWER(VLOOKUP(A296, Data1_Raw_Slack!A:B, 2, FALSE)), ""food|cooking|recipe|restaurant|"&amp;"snack|grocery|foodies""), ""Food"",
  REGEXMATCH(LOWER(VLOOKUP(A296, Data1_Raw_Slack!A:B, 2, FALSE)), ""travel|vacation|airline|hotel|trip|flights|travelers""), ""Travel"",
  REGEXMATCH(LOWER(VLOOKUP(A296, Data1_Raw_Slack!A:B, 2, FALSE)), ""fitness|workou"&amp;"t|gym|exercise|yoga|wellness|fitness enthusiasts""), ""Fitness"",
  REGEXMATCH(LOWER(VLOOKUP(A296, Data1_Raw_Slack!A:B, 2, FALSE)), ""health|medical|pharmacy|mental health|doctor|health-conscious""), ""Health"",
  REGEXMATCH(LOWER(VLOOKUP(A296, Data1_Raw_"&amp;"Slack!A:B, 2, FALSE)), ""pets|dogs|cats|animals|pet care|pet lovers""), ""Pets"",
  REGEXMATCH(LOWER(VLOOKUP(A296, Data1_Raw_Slack!A:B, 2, FALSE)), ""games|gaming|game|xbox|playstation|nintendo|gamers""), ""Gaming"",
  REGEXMATCH(LOWER(VLOOKUP(A296, Data1"&amp;"_Raw_Slack!A:B, 2, FALSE)), ""entertainment|movies|tv|netflix|streaming|celebrity|movie lovers|tv fans|hobb|photo|art""), ""Entertainment"",
  REGEXMATCH(LOWER(VLOOKUP(A296, Data1_Raw_Slack!A:B, 2, FALSE)), ""lifestyle|home|interior|decor|living|lifestyle"&amp;" enthusiasts""), ""Lifestyle"",
  REGEXMATCH(LOWER(VLOOKUP(A296, Data1_Raw_Slack!A:B, 2, FALSE)), ""financial|finance|investing|stocks|retirement|banking|credit|debt|loans|savings|personal finance|insurance|econ|ecom|business|retail|occupation|sale|job|ma"&amp;"rketing""), ""Finance"",
  REGEXMATCH(LOWER(VLOOKUP(A296, Data1_Raw_Slack!A:B, 2, FALSE)), ""auto|automotive""), ""Auto"",
  REGEXMATCH(LOWER(VLOOKUP(A296, Data1_Raw_Slack!A:B, 2, FALSE)), ""parenting|moms|dads|kids|toddlers|baby|parent|children""), ""Par"&amp;"enting"",
  REGEXMATCH(LOWER(VLOOKUP(A296, Data1_Raw_Slack!A:B, 2, FALSE)), ""education|students|learning|school|teachers|college|university|academics""), ""Education"",
  REGEXMATCH(LOWER(VLOOKUP(A296, Data1_Raw_Slack!A:B, 2, FALSE)), ""age|gender|dem"&amp;"ographic|family|household""), ""Demographics"",
  REGEXMATCH(LOWER(VLOOKUP(A296, Data1_Raw_Slack!A:B, 2, FALSE)), ""mortgage|real estate""), ""Real Estate"",REGEXMATCH(LOWER(VLOOKUP(A296, Data1_Raw_Slack!A:B, 2, FALSE)), ""technology|tech|gadgets|smartpho"&amp;"ne|electro|apps|devices|computing|ai|robots|software|computer|internet|tele|mobile|tablet""), ""Technology"", REGEXMATCH(LOWER(VLOOKUP(A296, Data1_Raw_Slack!A:B, 2, FALSE)), ""entertainment|purchas|movies|tv|netflix|streaming|celebrity|movie lovers|tv fan"&amp;"s|media|hobb|photo|art|shop""), ""Entertainment"", REGEXMATCH(LOWER(VLOOKUP(A296, Data1_Raw_Slack!A:B, 2, FALSE)), ""law|government|""), ""Law and Government"",
  TRUE, ""Other""
)"),"Auto")</f>
        <v>Auto</v>
      </c>
      <c r="G296" s="9" t="s">
        <v>122</v>
      </c>
      <c r="H296" s="9" t="s">
        <v>44</v>
      </c>
      <c r="I296" s="9" t="s">
        <v>1185</v>
      </c>
      <c r="J296" s="9" t="s">
        <v>80</v>
      </c>
      <c r="K296" s="9" t="s">
        <v>264</v>
      </c>
      <c r="L296" s="9" t="s">
        <v>265</v>
      </c>
      <c r="M296" s="10" t="s">
        <v>1152</v>
      </c>
      <c r="N296" s="9" t="str">
        <f ca="1">IFERROR(__xludf.DUMMYFUNCTION("REGEXEXTRACT(LOWER(M296), ""([a-z0-9\-]+)\.(?:co|net|org|io|gg)"")"),"signupgenius")</f>
        <v>signupgenius</v>
      </c>
      <c r="O296" s="9" t="s">
        <v>50</v>
      </c>
      <c r="P296" s="9" t="s">
        <v>64</v>
      </c>
      <c r="Q296" s="9">
        <v>21599</v>
      </c>
      <c r="R296" s="9">
        <v>66</v>
      </c>
      <c r="S296" s="9">
        <v>13600</v>
      </c>
      <c r="T296" s="9">
        <v>20256</v>
      </c>
      <c r="U296" s="9">
        <v>9</v>
      </c>
      <c r="V296" s="11">
        <v>5551.3874150000001</v>
      </c>
      <c r="W296" s="12">
        <f t="shared" si="7"/>
        <v>616.82082388888887</v>
      </c>
      <c r="X296" s="12">
        <f t="shared" si="8"/>
        <v>0.30556970230103248</v>
      </c>
      <c r="Y296" s="12">
        <f t="shared" si="9"/>
        <v>62.965878049909719</v>
      </c>
      <c r="Z296" s="12">
        <f t="shared" si="10"/>
        <v>408.19025110294115</v>
      </c>
      <c r="AA296" s="12">
        <f t="shared" si="11"/>
        <v>257.02057572109823</v>
      </c>
      <c r="AB296" s="12">
        <f t="shared" si="12"/>
        <v>84.111930530303027</v>
      </c>
      <c r="AC296" s="12">
        <f t="shared" si="13"/>
        <v>13.636363636363635</v>
      </c>
      <c r="AE296" s="13"/>
      <c r="AF296" s="13"/>
    </row>
    <row r="297" spans="1:32">
      <c r="A297" s="8" t="s">
        <v>1186</v>
      </c>
      <c r="B297" s="9" t="s">
        <v>41</v>
      </c>
      <c r="C297" s="9" t="s">
        <v>127</v>
      </c>
      <c r="D297" s="9" t="s">
        <v>395</v>
      </c>
      <c r="E297" s="9" t="s">
        <v>395</v>
      </c>
      <c r="F297" s="9" t="str">
        <f ca="1">IFERROR(__xludf.DUMMYFUNCTION("IFS(
  REGEXMATCH(LOWER(VLOOKUP(A297, Data1_Raw_Slack!A:B, 2, FALSE)), ""news|weather""), ""News and Weather"", REGEXMATCH(LOWER(VLOOKUP(A297, Data1_Raw_Slack!A:B, 2, FALSE)), ""sports|ufc|nba|nfl|mlb|soccer|sports fans""), ""Sports"",
  REGEXMATCH(LOWER("&amp;"VLOOKUP(A297, Data1_Raw_Slack!A:B, 2, FALSE)), ""fashion|style|clothing|apparel|shoes|accessories|beauty|cosmetics|fashionistas""), ""Fashion and Beauty"",
  REGEXMATCH(LOWER(VLOOKUP(A297, Data1_Raw_Slack!A:B, 2, FALSE)), ""food|cooking|recipe|restaurant|"&amp;"snack|grocery|foodies""), ""Food"",
  REGEXMATCH(LOWER(VLOOKUP(A297, Data1_Raw_Slack!A:B, 2, FALSE)), ""travel|vacation|airline|hotel|trip|flights|travelers""), ""Travel"",
  REGEXMATCH(LOWER(VLOOKUP(A297, Data1_Raw_Slack!A:B, 2, FALSE)), ""fitness|workou"&amp;"t|gym|exercise|yoga|wellness|fitness enthusiasts""), ""Fitness"",
  REGEXMATCH(LOWER(VLOOKUP(A297, Data1_Raw_Slack!A:B, 2, FALSE)), ""health|medical|pharmacy|mental health|doctor|health-conscious""), ""Health"",
  REGEXMATCH(LOWER(VLOOKUP(A297, Data1_Raw_"&amp;"Slack!A:B, 2, FALSE)), ""pets|dogs|cats|animals|pet care|pet lovers""), ""Pets"",
  REGEXMATCH(LOWER(VLOOKUP(A297, Data1_Raw_Slack!A:B, 2, FALSE)), ""games|gaming|game|xbox|playstation|nintendo|gamers""), ""Gaming"",
  REGEXMATCH(LOWER(VLOOKUP(A297, Data1"&amp;"_Raw_Slack!A:B, 2, FALSE)), ""entertainment|movies|tv|netflix|streaming|celebrity|movie lovers|tv fans|hobb|photo|art""), ""Entertainment"",
  REGEXMATCH(LOWER(VLOOKUP(A297, Data1_Raw_Slack!A:B, 2, FALSE)), ""lifestyle|home|interior|decor|living|lifestyle"&amp;" enthusiasts""), ""Lifestyle"",
  REGEXMATCH(LOWER(VLOOKUP(A297, Data1_Raw_Slack!A:B, 2, FALSE)), ""financial|finance|investing|stocks|retirement|banking|credit|debt|loans|savings|personal finance|insurance|econ|ecom|business|retail|occupation|sale|job|ma"&amp;"rketing""), ""Finance"",
  REGEXMATCH(LOWER(VLOOKUP(A297, Data1_Raw_Slack!A:B, 2, FALSE)), ""auto|automotive""), ""Auto"",
  REGEXMATCH(LOWER(VLOOKUP(A297, Data1_Raw_Slack!A:B, 2, FALSE)), ""parenting|moms|dads|kids|toddlers|baby|parent|children""), ""Par"&amp;"enting"",
  REGEXMATCH(LOWER(VLOOKUP(A297, Data1_Raw_Slack!A:B, 2, FALSE)), ""education|students|learning|school|teachers|college|university|academics""), ""Education"",
  REGEXMATCH(LOWER(VLOOKUP(A297, Data1_Raw_Slack!A:B, 2, FALSE)), ""age|gender|dem"&amp;"ographic|family|household""), ""Demographics"",
  REGEXMATCH(LOWER(VLOOKUP(A297, Data1_Raw_Slack!A:B, 2, FALSE)), ""mortgage|real estate""), ""Real Estate"",REGEXMATCH(LOWER(VLOOKUP(A297, Data1_Raw_Slack!A:B, 2, FALSE)), ""technology|tech|gadgets|smartpho"&amp;"ne|electro|apps|devices|computing|ai|robots|software|computer|internet|tele|mobile|tablet""), ""Technology"", REGEXMATCH(LOWER(VLOOKUP(A297, Data1_Raw_Slack!A:B, 2, FALSE)), ""entertainment|purchas|movies|tv|netflix|streaming|celebrity|movie lovers|tv fan"&amp;"s|media|hobb|photo|art|shop""), ""Entertainment"", REGEXMATCH(LOWER(VLOOKUP(A297, Data1_Raw_Slack!A:B, 2, FALSE)), ""law|government|""), ""Law and Government"",
  TRUE, ""Other""
)"),"Finance")</f>
        <v>Finance</v>
      </c>
      <c r="G297" s="9" t="s">
        <v>127</v>
      </c>
      <c r="H297" s="9" t="s">
        <v>44</v>
      </c>
      <c r="I297" s="9" t="s">
        <v>1187</v>
      </c>
      <c r="J297" s="9" t="s">
        <v>80</v>
      </c>
      <c r="K297" s="9" t="s">
        <v>236</v>
      </c>
      <c r="L297" s="9" t="s">
        <v>82</v>
      </c>
      <c r="M297" s="10" t="s">
        <v>354</v>
      </c>
      <c r="N297" s="9" t="str">
        <f ca="1">IFERROR(__xludf.DUMMYFUNCTION("REGEXEXTRACT(LOWER(M297), ""([a-z0-9\-]+)\.(?:co|net|org|io|gg)"")"),"yahoo")</f>
        <v>yahoo</v>
      </c>
      <c r="O297" s="9" t="s">
        <v>593</v>
      </c>
      <c r="P297" s="9" t="s">
        <v>39</v>
      </c>
      <c r="Q297" s="9">
        <v>1767940</v>
      </c>
      <c r="R297" s="9">
        <v>4852</v>
      </c>
      <c r="S297" s="9">
        <v>881525</v>
      </c>
      <c r="T297" s="9">
        <v>1550866</v>
      </c>
      <c r="U297" s="9">
        <v>78</v>
      </c>
      <c r="V297" s="11">
        <v>7511.656191</v>
      </c>
      <c r="W297" s="12">
        <f t="shared" si="7"/>
        <v>96.303284500000004</v>
      </c>
      <c r="X297" s="12">
        <f t="shared" si="8"/>
        <v>0.27444370284059416</v>
      </c>
      <c r="Y297" s="12">
        <f t="shared" si="9"/>
        <v>49.861703451474597</v>
      </c>
      <c r="Z297" s="12">
        <f t="shared" si="10"/>
        <v>8.521206081506481</v>
      </c>
      <c r="AA297" s="12">
        <f t="shared" si="11"/>
        <v>4.2488185068497799</v>
      </c>
      <c r="AB297" s="12">
        <f t="shared" si="12"/>
        <v>1.5481566758037923</v>
      </c>
      <c r="AC297" s="12">
        <f t="shared" si="13"/>
        <v>1.6075845012366035</v>
      </c>
      <c r="AE297" s="13"/>
      <c r="AF297" s="13"/>
    </row>
    <row r="298" spans="1:32">
      <c r="A298" s="8" t="s">
        <v>1188</v>
      </c>
      <c r="B298" s="9" t="s">
        <v>41</v>
      </c>
      <c r="C298" s="9" t="s">
        <v>253</v>
      </c>
      <c r="D298" s="9" t="s">
        <v>1189</v>
      </c>
      <c r="E298" s="9" t="s">
        <v>1190</v>
      </c>
      <c r="F298" s="9" t="str">
        <f ca="1">IFERROR(__xludf.DUMMYFUNCTION("IFS(
  REGEXMATCH(LOWER(VLOOKUP(A298, Data1_Raw_Slack!A:B, 2, FALSE)), ""news|weather""), ""News and Weather"", REGEXMATCH(LOWER(VLOOKUP(A298, Data1_Raw_Slack!A:B, 2, FALSE)), ""sports|ufc|nba|nfl|mlb|soccer|sports fans""), ""Sports"",
  REGEXMATCH(LOWER("&amp;"VLOOKUP(A298, Data1_Raw_Slack!A:B, 2, FALSE)), ""fashion|style|clothing|apparel|shoes|accessories|beauty|cosmetics|fashionistas""), ""Fashion and Beauty"",
  REGEXMATCH(LOWER(VLOOKUP(A298, Data1_Raw_Slack!A:B, 2, FALSE)), ""food|cooking|recipe|restaurant|"&amp;"snack|grocery|foodies""), ""Food"",
  REGEXMATCH(LOWER(VLOOKUP(A298, Data1_Raw_Slack!A:B, 2, FALSE)), ""travel|vacation|airline|hotel|trip|flights|travelers""), ""Travel"",
  REGEXMATCH(LOWER(VLOOKUP(A298, Data1_Raw_Slack!A:B, 2, FALSE)), ""fitness|workou"&amp;"t|gym|exercise|yoga|wellness|fitness enthusiasts""), ""Fitness"",
  REGEXMATCH(LOWER(VLOOKUP(A298, Data1_Raw_Slack!A:B, 2, FALSE)), ""health|medical|pharmacy|mental health|doctor|health-conscious""), ""Health"",
  REGEXMATCH(LOWER(VLOOKUP(A298, Data1_Raw_"&amp;"Slack!A:B, 2, FALSE)), ""pets|dogs|cats|animals|pet care|pet lovers""), ""Pets"",
  REGEXMATCH(LOWER(VLOOKUP(A298, Data1_Raw_Slack!A:B, 2, FALSE)), ""games|gaming|game|xbox|playstation|nintendo|gamers""), ""Gaming"",
  REGEXMATCH(LOWER(VLOOKUP(A298, Data1"&amp;"_Raw_Slack!A:B, 2, FALSE)), ""entertainment|movies|tv|netflix|streaming|celebrity|movie lovers|tv fans|hobb|photo|art""), ""Entertainment"",
  REGEXMATCH(LOWER(VLOOKUP(A298, Data1_Raw_Slack!A:B, 2, FALSE)), ""lifestyle|home|interior|decor|living|lifestyle"&amp;" enthusiasts""), ""Lifestyle"",
  REGEXMATCH(LOWER(VLOOKUP(A298, Data1_Raw_Slack!A:B, 2, FALSE)), ""financial|finance|investing|stocks|retirement|banking|credit|debt|loans|savings|personal finance|insurance|econ|ecom|business|retail|occupation|sale|job|ma"&amp;"rketing""), ""Finance"",
  REGEXMATCH(LOWER(VLOOKUP(A298, Data1_Raw_Slack!A:B, 2, FALSE)), ""auto|automotive""), ""Auto"",
  REGEXMATCH(LOWER(VLOOKUP(A298, Data1_Raw_Slack!A:B, 2, FALSE)), ""parenting|moms|dads|kids|toddlers|baby|parent|children""), ""Par"&amp;"enting"",
  REGEXMATCH(LOWER(VLOOKUP(A298, Data1_Raw_Slack!A:B, 2, FALSE)), ""education|students|learning|school|teachers|college|university|academics""), ""Education"",
  REGEXMATCH(LOWER(VLOOKUP(A298, Data1_Raw_Slack!A:B, 2, FALSE)), ""age|gender|dem"&amp;"ographic|family|household""), ""Demographics"",
  REGEXMATCH(LOWER(VLOOKUP(A298, Data1_Raw_Slack!A:B, 2, FALSE)), ""mortgage|real estate""), ""Real Estate"",REGEXMATCH(LOWER(VLOOKUP(A298, Data1_Raw_Slack!A:B, 2, FALSE)), ""technology|tech|gadgets|smartpho"&amp;"ne|electro|apps|devices|computing|ai|robots|software|computer|internet|tele|mobile|tablet""), ""Technology"", REGEXMATCH(LOWER(VLOOKUP(A298, Data1_Raw_Slack!A:B, 2, FALSE)), ""entertainment|purchas|movies|tv|netflix|streaming|celebrity|movie lovers|tv fan"&amp;"s|media|hobb|photo|art|shop""), ""Entertainment"", REGEXMATCH(LOWER(VLOOKUP(A298, Data1_Raw_Slack!A:B, 2, FALSE)), ""law|government|""), ""Law and Government"",
  TRUE, ""Other""
)"),"Entertainment")</f>
        <v>Entertainment</v>
      </c>
      <c r="G298" s="9"/>
      <c r="H298" s="9" t="s">
        <v>44</v>
      </c>
      <c r="I298" s="9" t="s">
        <v>1191</v>
      </c>
      <c r="J298" s="9" t="s">
        <v>34</v>
      </c>
      <c r="K298" s="9" t="s">
        <v>88</v>
      </c>
      <c r="L298" s="9" t="s">
        <v>89</v>
      </c>
      <c r="M298" s="10" t="s">
        <v>348</v>
      </c>
      <c r="N298" s="9" t="str">
        <f ca="1">IFERROR(__xludf.DUMMYFUNCTION("REGEXEXTRACT(LOWER(M298), ""([a-z0-9\-]+)\.(?:co|net|org|io|gg)"")"),"drugs")</f>
        <v>drugs</v>
      </c>
      <c r="O298" s="9" t="s">
        <v>103</v>
      </c>
      <c r="P298" s="9" t="s">
        <v>39</v>
      </c>
      <c r="Q298" s="9">
        <v>11697</v>
      </c>
      <c r="R298" s="9">
        <v>64</v>
      </c>
      <c r="S298" s="9">
        <v>6761</v>
      </c>
      <c r="T298" s="9">
        <v>10783</v>
      </c>
      <c r="U298" s="9">
        <v>3</v>
      </c>
      <c r="V298" s="11">
        <v>5218.0702309999997</v>
      </c>
      <c r="W298" s="12">
        <f t="shared" si="7"/>
        <v>1739.3567436666665</v>
      </c>
      <c r="X298" s="12">
        <f t="shared" si="8"/>
        <v>0.54714884158331201</v>
      </c>
      <c r="Y298" s="12">
        <f t="shared" si="9"/>
        <v>57.80114559288706</v>
      </c>
      <c r="Z298" s="12">
        <f t="shared" si="10"/>
        <v>771.78971024996304</v>
      </c>
      <c r="AA298" s="12">
        <f t="shared" si="11"/>
        <v>446.10329409250232</v>
      </c>
      <c r="AB298" s="12">
        <f t="shared" si="12"/>
        <v>81.532347359374995</v>
      </c>
      <c r="AC298" s="12">
        <f t="shared" si="13"/>
        <v>4.6875</v>
      </c>
      <c r="AE298" s="13"/>
      <c r="AF298" s="13"/>
    </row>
    <row r="299" spans="1:32">
      <c r="A299" s="8" t="s">
        <v>1192</v>
      </c>
      <c r="B299" s="9" t="s">
        <v>144</v>
      </c>
      <c r="C299" s="9" t="s">
        <v>1193</v>
      </c>
      <c r="D299" s="9"/>
      <c r="E299" s="9"/>
      <c r="F299" s="9" t="str">
        <f ca="1">IFERROR(__xludf.DUMMYFUNCTION("IFS(
  REGEXMATCH(LOWER(VLOOKUP(A299, Data1_Raw_Slack!A:B, 2, FALSE)), ""news|weather""), ""News and Weather"", REGEXMATCH(LOWER(VLOOKUP(A299, Data1_Raw_Slack!A:B, 2, FALSE)), ""sports|ufc|nba|nfl|mlb|soccer|sports fans""), ""Sports"",
  REGEXMATCH(LOWER("&amp;"VLOOKUP(A299, Data1_Raw_Slack!A:B, 2, FALSE)), ""fashion|style|clothing|apparel|shoes|accessories|beauty|cosmetics|fashionistas""), ""Fashion and Beauty"",
  REGEXMATCH(LOWER(VLOOKUP(A299, Data1_Raw_Slack!A:B, 2, FALSE)), ""food|cooking|recipe|restaurant|"&amp;"snack|grocery|foodies""), ""Food"",
  REGEXMATCH(LOWER(VLOOKUP(A299, Data1_Raw_Slack!A:B, 2, FALSE)), ""travel|vacation|airline|hotel|trip|flights|travelers""), ""Travel"",
  REGEXMATCH(LOWER(VLOOKUP(A299, Data1_Raw_Slack!A:B, 2, FALSE)), ""fitness|workou"&amp;"t|gym|exercise|yoga|wellness|fitness enthusiasts""), ""Fitness"",
  REGEXMATCH(LOWER(VLOOKUP(A299, Data1_Raw_Slack!A:B, 2, FALSE)), ""health|medical|pharmacy|mental health|doctor|health-conscious""), ""Health"",
  REGEXMATCH(LOWER(VLOOKUP(A299, Data1_Raw_"&amp;"Slack!A:B, 2, FALSE)), ""pets|dogs|cats|animals|pet care|pet lovers""), ""Pets"",
  REGEXMATCH(LOWER(VLOOKUP(A299, Data1_Raw_Slack!A:B, 2, FALSE)), ""games|gaming|game|xbox|playstation|nintendo|gamers""), ""Gaming"",
  REGEXMATCH(LOWER(VLOOKUP(A299, Data1"&amp;"_Raw_Slack!A:B, 2, FALSE)), ""entertainment|movies|tv|netflix|streaming|celebrity|movie lovers|tv fans|hobb|photo|art""), ""Entertainment"",
  REGEXMATCH(LOWER(VLOOKUP(A299, Data1_Raw_Slack!A:B, 2, FALSE)), ""lifestyle|home|interior|decor|living|lifestyle"&amp;" enthusiasts""), ""Lifestyle"",
  REGEXMATCH(LOWER(VLOOKUP(A299, Data1_Raw_Slack!A:B, 2, FALSE)), ""financial|finance|investing|stocks|retirement|banking|credit|debt|loans|savings|personal finance|insurance|econ|ecom|business|retail|occupation|sale|job|ma"&amp;"rketing""), ""Finance"",
  REGEXMATCH(LOWER(VLOOKUP(A299, Data1_Raw_Slack!A:B, 2, FALSE)), ""auto|automotive""), ""Auto"",
  REGEXMATCH(LOWER(VLOOKUP(A299, Data1_Raw_Slack!A:B, 2, FALSE)), ""parenting|moms|dads|kids|toddlers|baby|parent|children""), ""Par"&amp;"enting"",
  REGEXMATCH(LOWER(VLOOKUP(A299, Data1_Raw_Slack!A:B, 2, FALSE)), ""education|students|learning|school|teachers|college|university|academics""), ""Education"",
  REGEXMATCH(LOWER(VLOOKUP(A299, Data1_Raw_Slack!A:B, 2, FALSE)), ""age|gender|dem"&amp;"ographic|family|household""), ""Demographics"",
  REGEXMATCH(LOWER(VLOOKUP(A299, Data1_Raw_Slack!A:B, 2, FALSE)), ""mortgage|real estate""), ""Real Estate"",REGEXMATCH(LOWER(VLOOKUP(A299, Data1_Raw_Slack!A:B, 2, FALSE)), ""technology|tech|gadgets|smartpho"&amp;"ne|electro|apps|devices|computing|ai|robots|software|computer|internet|tele|mobile|tablet""), ""Technology"", REGEXMATCH(LOWER(VLOOKUP(A299, Data1_Raw_Slack!A:B, 2, FALSE)), ""entertainment|purchas|movies|tv|netflix|streaming|celebrity|movie lovers|tv fan"&amp;"s|media|hobb|photo|art|shop""), ""Entertainment"", REGEXMATCH(LOWER(VLOOKUP(A299, Data1_Raw_Slack!A:B, 2, FALSE)), ""law|government|""), ""Law and Government"",
  TRUE, ""Other""
)"),"Demographics")</f>
        <v>Demographics</v>
      </c>
      <c r="G299" s="9"/>
      <c r="H299" s="9" t="s">
        <v>44</v>
      </c>
      <c r="I299" s="9" t="s">
        <v>1194</v>
      </c>
      <c r="J299" s="9" t="s">
        <v>62</v>
      </c>
      <c r="K299" s="9" t="s">
        <v>137</v>
      </c>
      <c r="L299" s="9" t="s">
        <v>72</v>
      </c>
      <c r="M299" s="10" t="s">
        <v>112</v>
      </c>
      <c r="N299" s="9" t="str">
        <f ca="1">IFERROR(__xludf.DUMMYFUNCTION("REGEXEXTRACT(LOWER(M299), ""([a-z0-9\-]+)\.(?:co|net|org|io|gg)"")"),"ebay")</f>
        <v>ebay</v>
      </c>
      <c r="O299" s="9" t="s">
        <v>50</v>
      </c>
      <c r="P299" s="9" t="s">
        <v>39</v>
      </c>
      <c r="Q299" s="9">
        <v>189462</v>
      </c>
      <c r="R299" s="9">
        <v>478</v>
      </c>
      <c r="S299" s="9">
        <v>53431</v>
      </c>
      <c r="T299" s="9">
        <v>163634</v>
      </c>
      <c r="U299" s="9">
        <v>5</v>
      </c>
      <c r="V299" s="11">
        <v>1625.17488</v>
      </c>
      <c r="W299" s="12">
        <f t="shared" si="7"/>
        <v>325.03497600000003</v>
      </c>
      <c r="X299" s="12">
        <f t="shared" si="8"/>
        <v>0.2522933358668229</v>
      </c>
      <c r="Y299" s="12">
        <f t="shared" si="9"/>
        <v>28.201433532845638</v>
      </c>
      <c r="Z299" s="12">
        <f t="shared" si="10"/>
        <v>30.416329097340494</v>
      </c>
      <c r="AA299" s="12">
        <f t="shared" si="11"/>
        <v>8.5778408335180671</v>
      </c>
      <c r="AB299" s="12">
        <f t="shared" si="12"/>
        <v>3.3999474476987448</v>
      </c>
      <c r="AC299" s="12">
        <f t="shared" si="13"/>
        <v>1.0460251046025104</v>
      </c>
      <c r="AE299" s="13"/>
      <c r="AF299" s="13"/>
    </row>
    <row r="300" spans="1:32">
      <c r="A300" s="8" t="s">
        <v>1195</v>
      </c>
      <c r="B300" s="9" t="s">
        <v>41</v>
      </c>
      <c r="C300" s="9" t="s">
        <v>127</v>
      </c>
      <c r="D300" s="9" t="s">
        <v>427</v>
      </c>
      <c r="E300" s="9" t="s">
        <v>1196</v>
      </c>
      <c r="F300" s="9" t="str">
        <f ca="1">IFERROR(__xludf.DUMMYFUNCTION("IFS(
  REGEXMATCH(LOWER(VLOOKUP(A300, Data1_Raw_Slack!A:B, 2, FALSE)), ""news|weather""), ""News and Weather"", REGEXMATCH(LOWER(VLOOKUP(A300, Data1_Raw_Slack!A:B, 2, FALSE)), ""sports|ufc|nba|nfl|mlb|soccer|sports fans""), ""Sports"",
  REGEXMATCH(LOWER("&amp;"VLOOKUP(A300, Data1_Raw_Slack!A:B, 2, FALSE)), ""fashion|style|clothing|apparel|shoes|accessories|beauty|cosmetics|fashionistas""), ""Fashion and Beauty"",
  REGEXMATCH(LOWER(VLOOKUP(A300, Data1_Raw_Slack!A:B, 2, FALSE)), ""food|cooking|recipe|restaurant|"&amp;"snack|grocery|foodies""), ""Food"",
  REGEXMATCH(LOWER(VLOOKUP(A300, Data1_Raw_Slack!A:B, 2, FALSE)), ""travel|vacation|airline|hotel|trip|flights|travelers""), ""Travel"",
  REGEXMATCH(LOWER(VLOOKUP(A300, Data1_Raw_Slack!A:B, 2, FALSE)), ""fitness|workou"&amp;"t|gym|exercise|yoga|wellness|fitness enthusiasts""), ""Fitness"",
  REGEXMATCH(LOWER(VLOOKUP(A300, Data1_Raw_Slack!A:B, 2, FALSE)), ""health|medical|pharmacy|mental health|doctor|health-conscious""), ""Health"",
  REGEXMATCH(LOWER(VLOOKUP(A300, Data1_Raw_"&amp;"Slack!A:B, 2, FALSE)), ""pets|dogs|cats|animals|pet care|pet lovers""), ""Pets"",
  REGEXMATCH(LOWER(VLOOKUP(A300, Data1_Raw_Slack!A:B, 2, FALSE)), ""games|gaming|game|xbox|playstation|nintendo|gamers""), ""Gaming"",
  REGEXMATCH(LOWER(VLOOKUP(A300, Data1"&amp;"_Raw_Slack!A:B, 2, FALSE)), ""entertainment|movies|tv|netflix|streaming|celebrity|movie lovers|tv fans|hobb|photo|art""), ""Entertainment"",
  REGEXMATCH(LOWER(VLOOKUP(A300, Data1_Raw_Slack!A:B, 2, FALSE)), ""lifestyle|home|interior|decor|living|lifestyle"&amp;" enthusiasts""), ""Lifestyle"",
  REGEXMATCH(LOWER(VLOOKUP(A300, Data1_Raw_Slack!A:B, 2, FALSE)), ""financial|finance|investing|stocks|retirement|banking|credit|debt|loans|savings|personal finance|insurance|econ|ecom|business|retail|occupation|sale|job|ma"&amp;"rketing""), ""Finance"",
  REGEXMATCH(LOWER(VLOOKUP(A300, Data1_Raw_Slack!A:B, 2, FALSE)), ""auto|automotive""), ""Auto"",
  REGEXMATCH(LOWER(VLOOKUP(A300, Data1_Raw_Slack!A:B, 2, FALSE)), ""parenting|moms|dads|kids|toddlers|baby|parent|children""), ""Par"&amp;"enting"",
  REGEXMATCH(LOWER(VLOOKUP(A300, Data1_Raw_Slack!A:B, 2, FALSE)), ""education|students|learning|school|teachers|college|university|academics""), ""Education"",
  REGEXMATCH(LOWER(VLOOKUP(A300, Data1_Raw_Slack!A:B, 2, FALSE)), ""age|gender|dem"&amp;"ographic|family|household""), ""Demographics"",
  REGEXMATCH(LOWER(VLOOKUP(A300, Data1_Raw_Slack!A:B, 2, FALSE)), ""mortgage|real estate""), ""Real Estate"",REGEXMATCH(LOWER(VLOOKUP(A300, Data1_Raw_Slack!A:B, 2, FALSE)), ""technology|tech|gadgets|smartpho"&amp;"ne|electro|apps|devices|computing|ai|robots|software|computer|internet|tele|mobile|tablet""), ""Technology"", REGEXMATCH(LOWER(VLOOKUP(A300, Data1_Raw_Slack!A:B, 2, FALSE)), ""entertainment|purchas|movies|tv|netflix|streaming|celebrity|movie lovers|tv fan"&amp;"s|media|hobb|photo|art|shop""), ""Entertainment"", REGEXMATCH(LOWER(VLOOKUP(A300, Data1_Raw_Slack!A:B, 2, FALSE)), ""law|government|""), ""Law and Government"",
  TRUE, ""Other""
)"),"Finance")</f>
        <v>Finance</v>
      </c>
      <c r="G300" s="9" t="s">
        <v>127</v>
      </c>
      <c r="H300" s="9" t="s">
        <v>44</v>
      </c>
      <c r="I300" s="9" t="s">
        <v>1197</v>
      </c>
      <c r="J300" s="9" t="s">
        <v>62</v>
      </c>
      <c r="K300" s="9" t="s">
        <v>315</v>
      </c>
      <c r="L300" s="9" t="s">
        <v>36</v>
      </c>
      <c r="M300" s="10" t="s">
        <v>1198</v>
      </c>
      <c r="N300" s="9" t="str">
        <f ca="1">IFERROR(__xludf.DUMMYFUNCTION("REGEXEXTRACT(LOWER(M300), ""([a-z0-9\-]+)\.(?:co|net|org|io|gg)"")"),"newsmemory")</f>
        <v>newsmemory</v>
      </c>
      <c r="O300" s="9" t="s">
        <v>50</v>
      </c>
      <c r="P300" s="9" t="s">
        <v>64</v>
      </c>
      <c r="Q300" s="9">
        <v>7695</v>
      </c>
      <c r="R300" s="9">
        <v>20</v>
      </c>
      <c r="S300" s="9">
        <v>3481</v>
      </c>
      <c r="T300" s="9">
        <v>7050</v>
      </c>
      <c r="U300" s="9">
        <v>14</v>
      </c>
      <c r="V300" s="11">
        <v>6727.4404990000003</v>
      </c>
      <c r="W300" s="12">
        <f t="shared" si="7"/>
        <v>480.53146421428573</v>
      </c>
      <c r="X300" s="12">
        <f t="shared" si="8"/>
        <v>0.25990903183885639</v>
      </c>
      <c r="Y300" s="12">
        <f t="shared" si="9"/>
        <v>45.237166991552954</v>
      </c>
      <c r="Z300" s="12">
        <f t="shared" si="10"/>
        <v>1932.6172074116635</v>
      </c>
      <c r="AA300" s="12">
        <f t="shared" si="11"/>
        <v>874.26127342430152</v>
      </c>
      <c r="AB300" s="12">
        <f t="shared" si="12"/>
        <v>336.37202495000003</v>
      </c>
      <c r="AC300" s="12">
        <f t="shared" si="13"/>
        <v>70</v>
      </c>
      <c r="AE300" s="13"/>
      <c r="AF300" s="13"/>
    </row>
    <row r="301" spans="1:32">
      <c r="A301" s="8" t="s">
        <v>1199</v>
      </c>
      <c r="B301" s="9" t="s">
        <v>41</v>
      </c>
      <c r="C301" s="9" t="s">
        <v>120</v>
      </c>
      <c r="D301" s="9" t="s">
        <v>1200</v>
      </c>
      <c r="E301" s="9"/>
      <c r="F301" s="9" t="str">
        <f ca="1">IFERROR(__xludf.DUMMYFUNCTION("IFS(
  REGEXMATCH(LOWER(VLOOKUP(A301, Data1_Raw_Slack!A:B, 2, FALSE)), ""news|weather""), ""News and Weather"", REGEXMATCH(LOWER(VLOOKUP(A301, Data1_Raw_Slack!A:B, 2, FALSE)), ""sports|ufc|nba|nfl|mlb|soccer|sports fans""), ""Sports"",
  REGEXMATCH(LOWER("&amp;"VLOOKUP(A301, Data1_Raw_Slack!A:B, 2, FALSE)), ""fashion|style|clothing|apparel|shoes|accessories|beauty|cosmetics|fashionistas""), ""Fashion and Beauty"",
  REGEXMATCH(LOWER(VLOOKUP(A301, Data1_Raw_Slack!A:B, 2, FALSE)), ""food|cooking|recipe|restaurant|"&amp;"snack|grocery|foodies""), ""Food"",
  REGEXMATCH(LOWER(VLOOKUP(A301, Data1_Raw_Slack!A:B, 2, FALSE)), ""travel|vacation|airline|hotel|trip|flights|travelers""), ""Travel"",
  REGEXMATCH(LOWER(VLOOKUP(A301, Data1_Raw_Slack!A:B, 2, FALSE)), ""fitness|workou"&amp;"t|gym|exercise|yoga|wellness|fitness enthusiasts""), ""Fitness"",
  REGEXMATCH(LOWER(VLOOKUP(A301, Data1_Raw_Slack!A:B, 2, FALSE)), ""health|medical|pharmacy|mental health|doctor|health-conscious""), ""Health"",
  REGEXMATCH(LOWER(VLOOKUP(A301, Data1_Raw_"&amp;"Slack!A:B, 2, FALSE)), ""pets|dogs|cats|animals|pet care|pet lovers""), ""Pets"",
  REGEXMATCH(LOWER(VLOOKUP(A301, Data1_Raw_Slack!A:B, 2, FALSE)), ""games|gaming|game|xbox|playstation|nintendo|gamers""), ""Gaming"",
  REGEXMATCH(LOWER(VLOOKUP(A301, Data1"&amp;"_Raw_Slack!A:B, 2, FALSE)), ""entertainment|movies|tv|netflix|streaming|celebrity|movie lovers|tv fans|hobb|photo|art""), ""Entertainment"",
  REGEXMATCH(LOWER(VLOOKUP(A301, Data1_Raw_Slack!A:B, 2, FALSE)), ""lifestyle|home|interior|decor|living|lifestyle"&amp;" enthusiasts""), ""Lifestyle"",
  REGEXMATCH(LOWER(VLOOKUP(A301, Data1_Raw_Slack!A:B, 2, FALSE)), ""financial|finance|investing|stocks|retirement|banking|credit|debt|loans|savings|personal finance|insurance|econ|ecom|business|retail|occupation|sale|job|ma"&amp;"rketing""), ""Finance"",
  REGEXMATCH(LOWER(VLOOKUP(A301, Data1_Raw_Slack!A:B, 2, FALSE)), ""auto|automotive""), ""Auto"",
  REGEXMATCH(LOWER(VLOOKUP(A301, Data1_Raw_Slack!A:B, 2, FALSE)), ""parenting|moms|dads|kids|toddlers|baby|parent|children""), ""Par"&amp;"enting"",
  REGEXMATCH(LOWER(VLOOKUP(A301, Data1_Raw_Slack!A:B, 2, FALSE)), ""education|students|learning|school|teachers|college|university|academics""), ""Education"",
  REGEXMATCH(LOWER(VLOOKUP(A301, Data1_Raw_Slack!A:B, 2, FALSE)), ""age|gender|dem"&amp;"ographic|family|household""), ""Demographics"",
  REGEXMATCH(LOWER(VLOOKUP(A301, Data1_Raw_Slack!A:B, 2, FALSE)), ""mortgage|real estate""), ""Real Estate"",REGEXMATCH(LOWER(VLOOKUP(A301, Data1_Raw_Slack!A:B, 2, FALSE)), ""technology|tech|gadgets|smartpho"&amp;"ne|electro|apps|devices|computing|ai|robots|software|computer|internet|tele|mobile|tablet""), ""Technology"", REGEXMATCH(LOWER(VLOOKUP(A301, Data1_Raw_Slack!A:B, 2, FALSE)), ""entertainment|purchas|movies|tv|netflix|streaming|celebrity|movie lovers|tv fan"&amp;"s|media|hobb|photo|art|shop""), ""Entertainment"", REGEXMATCH(LOWER(VLOOKUP(A301, Data1_Raw_Slack!A:B, 2, FALSE)), ""law|government|""), ""Law and Government"",
  TRUE, ""Other""
)"),"Auto")</f>
        <v>Auto</v>
      </c>
      <c r="G301" s="9" t="s">
        <v>122</v>
      </c>
      <c r="H301" s="9" t="s">
        <v>32</v>
      </c>
      <c r="I301" s="9" t="s">
        <v>1201</v>
      </c>
      <c r="J301" s="9" t="s">
        <v>46</v>
      </c>
      <c r="K301" s="9" t="s">
        <v>1202</v>
      </c>
      <c r="L301" s="9" t="s">
        <v>1203</v>
      </c>
      <c r="M301" s="10" t="s">
        <v>1204</v>
      </c>
      <c r="N301" s="9" t="str">
        <f ca="1">IFERROR(__xludf.DUMMYFUNCTION("REGEXEXTRACT(LOWER(M301), ""([a-z0-9\-]+)\.(?:co|net|org|io|gg)"")"),"reuters")</f>
        <v>reuters</v>
      </c>
      <c r="O301" s="9" t="s">
        <v>131</v>
      </c>
      <c r="P301" s="9" t="s">
        <v>39</v>
      </c>
      <c r="Q301" s="9">
        <v>9319</v>
      </c>
      <c r="R301" s="9">
        <v>30</v>
      </c>
      <c r="S301" s="9">
        <v>6193</v>
      </c>
      <c r="T301" s="9">
        <v>8682</v>
      </c>
      <c r="U301" s="9">
        <v>12</v>
      </c>
      <c r="V301" s="11">
        <v>4594.6040030000004</v>
      </c>
      <c r="W301" s="12">
        <f t="shared" si="7"/>
        <v>382.8836669166667</v>
      </c>
      <c r="X301" s="12">
        <f t="shared" si="8"/>
        <v>0.3219229531065565</v>
      </c>
      <c r="Y301" s="12">
        <f t="shared" si="9"/>
        <v>66.455628286296815</v>
      </c>
      <c r="Z301" s="12">
        <f t="shared" si="10"/>
        <v>741.90279396092376</v>
      </c>
      <c r="AA301" s="12">
        <f t="shared" si="11"/>
        <v>493.03616300032195</v>
      </c>
      <c r="AB301" s="12">
        <f t="shared" si="12"/>
        <v>153.15346676666667</v>
      </c>
      <c r="AC301" s="12">
        <f t="shared" si="13"/>
        <v>40</v>
      </c>
      <c r="AE301" s="13"/>
      <c r="AF301" s="13"/>
    </row>
    <row r="302" spans="1:32">
      <c r="A302" s="8" t="s">
        <v>1205</v>
      </c>
      <c r="B302" s="9" t="s">
        <v>41</v>
      </c>
      <c r="C302" s="9" t="s">
        <v>85</v>
      </c>
      <c r="D302" s="9" t="s">
        <v>1206</v>
      </c>
      <c r="E302" s="9"/>
      <c r="F302" s="9" t="str">
        <f ca="1">IFERROR(__xludf.DUMMYFUNCTION("IFS(
  REGEXMATCH(LOWER(VLOOKUP(A302, Data1_Raw_Slack!A:B, 2, FALSE)), ""news|weather""), ""News and Weather"", REGEXMATCH(LOWER(VLOOKUP(A302, Data1_Raw_Slack!A:B, 2, FALSE)), ""sports|ufc|nba|nfl|mlb|soccer|sports fans""), ""Sports"",
  REGEXMATCH(LOWER("&amp;"VLOOKUP(A302, Data1_Raw_Slack!A:B, 2, FALSE)), ""fashion|style|clothing|apparel|shoes|accessories|beauty|cosmetics|fashionistas""), ""Fashion and Beauty"",
  REGEXMATCH(LOWER(VLOOKUP(A302, Data1_Raw_Slack!A:B, 2, FALSE)), ""food|cooking|recipe|restaurant|"&amp;"snack|grocery|foodies""), ""Food"",
  REGEXMATCH(LOWER(VLOOKUP(A302, Data1_Raw_Slack!A:B, 2, FALSE)), ""travel|vacation|airline|hotel|trip|flights|travelers""), ""Travel"",
  REGEXMATCH(LOWER(VLOOKUP(A302, Data1_Raw_Slack!A:B, 2, FALSE)), ""fitness|workou"&amp;"t|gym|exercise|yoga|wellness|fitness enthusiasts""), ""Fitness"",
  REGEXMATCH(LOWER(VLOOKUP(A302, Data1_Raw_Slack!A:B, 2, FALSE)), ""health|medical|pharmacy|mental health|doctor|health-conscious""), ""Health"",
  REGEXMATCH(LOWER(VLOOKUP(A302, Data1_Raw_"&amp;"Slack!A:B, 2, FALSE)), ""pets|dogs|cats|animals|pet care|pet lovers""), ""Pets"",
  REGEXMATCH(LOWER(VLOOKUP(A302, Data1_Raw_Slack!A:B, 2, FALSE)), ""games|gaming|game|xbox|playstation|nintendo|gamers""), ""Gaming"",
  REGEXMATCH(LOWER(VLOOKUP(A302, Data1"&amp;"_Raw_Slack!A:B, 2, FALSE)), ""entertainment|movies|tv|netflix|streaming|celebrity|movie lovers|tv fans|hobb|photo|art""), ""Entertainment"",
  REGEXMATCH(LOWER(VLOOKUP(A302, Data1_Raw_Slack!A:B, 2, FALSE)), ""lifestyle|home|interior|decor|living|lifestyle"&amp;" enthusiasts""), ""Lifestyle"",
  REGEXMATCH(LOWER(VLOOKUP(A302, Data1_Raw_Slack!A:B, 2, FALSE)), ""financial|finance|investing|stocks|retirement|banking|credit|debt|loans|savings|personal finance|insurance|econ|ecom|business|retail|occupation|sale|job|ma"&amp;"rketing""), ""Finance"",
  REGEXMATCH(LOWER(VLOOKUP(A302, Data1_Raw_Slack!A:B, 2, FALSE)), ""auto|automotive""), ""Auto"",
  REGEXMATCH(LOWER(VLOOKUP(A302, Data1_Raw_Slack!A:B, 2, FALSE)), ""parenting|moms|dads|kids|toddlers|baby|parent|children""), ""Par"&amp;"enting"",
  REGEXMATCH(LOWER(VLOOKUP(A302, Data1_Raw_Slack!A:B, 2, FALSE)), ""education|students|learning|school|teachers|college|university|academics""), ""Education"",
  REGEXMATCH(LOWER(VLOOKUP(A302, Data1_Raw_Slack!A:B, 2, FALSE)), ""age|gender|dem"&amp;"ographic|family|household""), ""Demographics"",
  REGEXMATCH(LOWER(VLOOKUP(A302, Data1_Raw_Slack!A:B, 2, FALSE)), ""mortgage|real estate""), ""Real Estate"",REGEXMATCH(LOWER(VLOOKUP(A302, Data1_Raw_Slack!A:B, 2, FALSE)), ""technology|tech|gadgets|smartpho"&amp;"ne|electro|apps|devices|computing|ai|robots|software|computer|internet|tele|mobile|tablet""), ""Technology"", REGEXMATCH(LOWER(VLOOKUP(A302, Data1_Raw_Slack!A:B, 2, FALSE)), ""entertainment|purchas|movies|tv|netflix|streaming|celebrity|movie lovers|tv fan"&amp;"s|media|hobb|photo|art|shop""), ""Entertainment"", REGEXMATCH(LOWER(VLOOKUP(A302, Data1_Raw_Slack!A:B, 2, FALSE)), ""law|government|""), ""Law and Government"",
  TRUE, ""Other""
)"),"Travel")</f>
        <v>Travel</v>
      </c>
      <c r="G302" s="9" t="s">
        <v>85</v>
      </c>
      <c r="H302" s="9" t="s">
        <v>123</v>
      </c>
      <c r="I302" s="9" t="s">
        <v>1207</v>
      </c>
      <c r="J302" s="9" t="s">
        <v>80</v>
      </c>
      <c r="K302" s="9" t="s">
        <v>148</v>
      </c>
      <c r="L302" s="9" t="s">
        <v>89</v>
      </c>
      <c r="M302" s="10" t="s">
        <v>1208</v>
      </c>
      <c r="N302" s="9" t="str">
        <f ca="1">IFERROR(__xludf.DUMMYFUNCTION("REGEXEXTRACT(LOWER(M302), ""([a-z0-9\-]+)\.(?:co|net|org|io|gg)"")"),"yachtworld")</f>
        <v>yachtworld</v>
      </c>
      <c r="O302" s="9" t="s">
        <v>74</v>
      </c>
      <c r="P302" s="9" t="s">
        <v>39</v>
      </c>
      <c r="Q302" s="9">
        <v>10565</v>
      </c>
      <c r="R302" s="9">
        <v>66</v>
      </c>
      <c r="S302" s="9">
        <v>6248</v>
      </c>
      <c r="T302" s="9">
        <v>10141</v>
      </c>
      <c r="U302" s="9">
        <v>9</v>
      </c>
      <c r="V302" s="11">
        <v>6236.1130940000003</v>
      </c>
      <c r="W302" s="12">
        <f t="shared" si="7"/>
        <v>692.90145488888891</v>
      </c>
      <c r="X302" s="12">
        <f t="shared" si="8"/>
        <v>0.62470421202082349</v>
      </c>
      <c r="Y302" s="12">
        <f t="shared" si="9"/>
        <v>59.138665404637955</v>
      </c>
      <c r="Z302" s="12">
        <f t="shared" si="10"/>
        <v>998.09748623559551</v>
      </c>
      <c r="AA302" s="12">
        <f t="shared" si="11"/>
        <v>590.2615327969711</v>
      </c>
      <c r="AB302" s="12">
        <f t="shared" si="12"/>
        <v>94.486562030303034</v>
      </c>
      <c r="AC302" s="12">
        <f t="shared" si="13"/>
        <v>13.636363636363635</v>
      </c>
      <c r="AE302" s="13"/>
      <c r="AF302" s="13"/>
    </row>
    <row r="303" spans="1:32">
      <c r="A303" s="8" t="s">
        <v>1209</v>
      </c>
      <c r="B303" s="9" t="s">
        <v>41</v>
      </c>
      <c r="C303" s="9" t="s">
        <v>281</v>
      </c>
      <c r="D303" s="9" t="s">
        <v>1210</v>
      </c>
      <c r="E303" s="9"/>
      <c r="F303" s="9" t="str">
        <f ca="1">IFERROR(__xludf.DUMMYFUNCTION("IFS(
  REGEXMATCH(LOWER(VLOOKUP(A303, Data1_Raw_Slack!A:B, 2, FALSE)), ""news|weather""), ""News and Weather"", REGEXMATCH(LOWER(VLOOKUP(A303, Data1_Raw_Slack!A:B, 2, FALSE)), ""sports|ufc|nba|nfl|mlb|soccer|sports fans""), ""Sports"",
  REGEXMATCH(LOWER("&amp;"VLOOKUP(A303, Data1_Raw_Slack!A:B, 2, FALSE)), ""fashion|style|clothing|apparel|shoes|accessories|beauty|cosmetics|fashionistas""), ""Fashion and Beauty"",
  REGEXMATCH(LOWER(VLOOKUP(A303, Data1_Raw_Slack!A:B, 2, FALSE)), ""food|cooking|recipe|restaurant|"&amp;"snack|grocery|foodies""), ""Food"",
  REGEXMATCH(LOWER(VLOOKUP(A303, Data1_Raw_Slack!A:B, 2, FALSE)), ""travel|vacation|airline|hotel|trip|flights|travelers""), ""Travel"",
  REGEXMATCH(LOWER(VLOOKUP(A303, Data1_Raw_Slack!A:B, 2, FALSE)), ""fitness|workou"&amp;"t|gym|exercise|yoga|wellness|fitness enthusiasts""), ""Fitness"",
  REGEXMATCH(LOWER(VLOOKUP(A303, Data1_Raw_Slack!A:B, 2, FALSE)), ""health|medical|pharmacy|mental health|doctor|health-conscious""), ""Health"",
  REGEXMATCH(LOWER(VLOOKUP(A303, Data1_Raw_"&amp;"Slack!A:B, 2, FALSE)), ""pets|dogs|cats|animals|pet care|pet lovers""), ""Pets"",
  REGEXMATCH(LOWER(VLOOKUP(A303, Data1_Raw_Slack!A:B, 2, FALSE)), ""games|gaming|game|xbox|playstation|nintendo|gamers""), ""Gaming"",
  REGEXMATCH(LOWER(VLOOKUP(A303, Data1"&amp;"_Raw_Slack!A:B, 2, FALSE)), ""entertainment|movies|tv|netflix|streaming|celebrity|movie lovers|tv fans|hobb|photo|art""), ""Entertainment"",
  REGEXMATCH(LOWER(VLOOKUP(A303, Data1_Raw_Slack!A:B, 2, FALSE)), ""lifestyle|home|interior|decor|living|lifestyle"&amp;" enthusiasts""), ""Lifestyle"",
  REGEXMATCH(LOWER(VLOOKUP(A303, Data1_Raw_Slack!A:B, 2, FALSE)), ""financial|finance|investing|stocks|retirement|banking|credit|debt|loans|savings|personal finance|insurance|econ|ecom|business|retail|occupation|sale|job|ma"&amp;"rketing""), ""Finance"",
  REGEXMATCH(LOWER(VLOOKUP(A303, Data1_Raw_Slack!A:B, 2, FALSE)), ""auto|automotive""), ""Auto"",
  REGEXMATCH(LOWER(VLOOKUP(A303, Data1_Raw_Slack!A:B, 2, FALSE)), ""parenting|moms|dads|kids|toddlers|baby|parent|children""), ""Par"&amp;"enting"",
  REGEXMATCH(LOWER(VLOOKUP(A303, Data1_Raw_Slack!A:B, 2, FALSE)), ""education|students|learning|school|teachers|college|university|academics""), ""Education"",
  REGEXMATCH(LOWER(VLOOKUP(A303, Data1_Raw_Slack!A:B, 2, FALSE)), ""age|gender|dem"&amp;"ographic|family|household""), ""Demographics"",
  REGEXMATCH(LOWER(VLOOKUP(A303, Data1_Raw_Slack!A:B, 2, FALSE)), ""mortgage|real estate""), ""Real Estate"",REGEXMATCH(LOWER(VLOOKUP(A303, Data1_Raw_Slack!A:B, 2, FALSE)), ""technology|tech|gadgets|smartpho"&amp;"ne|electro|apps|devices|computing|ai|robots|software|computer|internet|tele|mobile|tablet""), ""Technology"", REGEXMATCH(LOWER(VLOOKUP(A303, Data1_Raw_Slack!A:B, 2, FALSE)), ""entertainment|purchas|movies|tv|netflix|streaming|celebrity|movie lovers|tv fan"&amp;"s|media|hobb|photo|art|shop""), ""Entertainment"", REGEXMATCH(LOWER(VLOOKUP(A303, Data1_Raw_Slack!A:B, 2, FALSE)), ""law|government|""), ""Law and Government"",
  TRUE, ""Other""
)"),"Gaming")</f>
        <v>Gaming</v>
      </c>
      <c r="G303" s="9" t="s">
        <v>69</v>
      </c>
      <c r="H303" s="9" t="s">
        <v>32</v>
      </c>
      <c r="I303" s="9" t="s">
        <v>565</v>
      </c>
      <c r="J303" s="9" t="s">
        <v>62</v>
      </c>
      <c r="K303" s="9" t="s">
        <v>88</v>
      </c>
      <c r="L303" s="9" t="s">
        <v>89</v>
      </c>
      <c r="M303" s="10" t="s">
        <v>279</v>
      </c>
      <c r="N303" s="9" t="str">
        <f ca="1">IFERROR(__xludf.DUMMYFUNCTION("REGEXEXTRACT(LOWER(M303), ""([a-z0-9\-]+)\.(?:co|net|org|io|gg)"")"),"boattrader")</f>
        <v>boattrader</v>
      </c>
      <c r="O303" s="9" t="s">
        <v>50</v>
      </c>
      <c r="P303" s="9" t="s">
        <v>39</v>
      </c>
      <c r="Q303" s="9">
        <v>11511</v>
      </c>
      <c r="R303" s="9">
        <v>33</v>
      </c>
      <c r="S303" s="9">
        <v>8268</v>
      </c>
      <c r="T303" s="9">
        <v>11042</v>
      </c>
      <c r="U303" s="9">
        <v>3</v>
      </c>
      <c r="V303" s="11">
        <v>6815.7123250000004</v>
      </c>
      <c r="W303" s="12">
        <f t="shared" si="7"/>
        <v>2271.9041083333336</v>
      </c>
      <c r="X303" s="12">
        <f t="shared" si="8"/>
        <v>0.28668230388324212</v>
      </c>
      <c r="Y303" s="12">
        <f t="shared" si="9"/>
        <v>71.826948136565022</v>
      </c>
      <c r="Z303" s="12">
        <f t="shared" si="10"/>
        <v>824.34837022254476</v>
      </c>
      <c r="AA303" s="12">
        <f t="shared" si="11"/>
        <v>592.10427634436621</v>
      </c>
      <c r="AB303" s="12">
        <f t="shared" si="12"/>
        <v>206.53673712121213</v>
      </c>
      <c r="AC303" s="12">
        <f t="shared" si="13"/>
        <v>9.0909090909090917</v>
      </c>
      <c r="AE303" s="13"/>
      <c r="AF303" s="13"/>
    </row>
    <row r="304" spans="1:32">
      <c r="A304" s="8" t="s">
        <v>1211</v>
      </c>
      <c r="B304" s="9" t="s">
        <v>41</v>
      </c>
      <c r="C304" s="9" t="s">
        <v>105</v>
      </c>
      <c r="D304" s="9" t="s">
        <v>808</v>
      </c>
      <c r="E304" s="9" t="s">
        <v>1212</v>
      </c>
      <c r="F304" s="9" t="str">
        <f ca="1">IFERROR(__xludf.DUMMYFUNCTION("IFS(
  REGEXMATCH(LOWER(VLOOKUP(A304, Data1_Raw_Slack!A:B, 2, FALSE)), ""news|weather""), ""News and Weather"", REGEXMATCH(LOWER(VLOOKUP(A304, Data1_Raw_Slack!A:B, 2, FALSE)), ""sports|ufc|nba|nfl|mlb|soccer|sports fans""), ""Sports"",
  REGEXMATCH(LOWER("&amp;"VLOOKUP(A304, Data1_Raw_Slack!A:B, 2, FALSE)), ""fashion|style|clothing|apparel|shoes|accessories|beauty|cosmetics|fashionistas""), ""Fashion and Beauty"",
  REGEXMATCH(LOWER(VLOOKUP(A304, Data1_Raw_Slack!A:B, 2, FALSE)), ""food|cooking|recipe|restaurant|"&amp;"snack|grocery|foodies""), ""Food"",
  REGEXMATCH(LOWER(VLOOKUP(A304, Data1_Raw_Slack!A:B, 2, FALSE)), ""travel|vacation|airline|hotel|trip|flights|travelers""), ""Travel"",
  REGEXMATCH(LOWER(VLOOKUP(A304, Data1_Raw_Slack!A:B, 2, FALSE)), ""fitness|workou"&amp;"t|gym|exercise|yoga|wellness|fitness enthusiasts""), ""Fitness"",
  REGEXMATCH(LOWER(VLOOKUP(A304, Data1_Raw_Slack!A:B, 2, FALSE)), ""health|medical|pharmacy|mental health|doctor|health-conscious""), ""Health"",
  REGEXMATCH(LOWER(VLOOKUP(A304, Data1_Raw_"&amp;"Slack!A:B, 2, FALSE)), ""pets|dogs|cats|animals|pet care|pet lovers""), ""Pets"",
  REGEXMATCH(LOWER(VLOOKUP(A304, Data1_Raw_Slack!A:B, 2, FALSE)), ""games|gaming|game|xbox|playstation|nintendo|gamers""), ""Gaming"",
  REGEXMATCH(LOWER(VLOOKUP(A304, Data1"&amp;"_Raw_Slack!A:B, 2, FALSE)), ""entertainment|movies|tv|netflix|streaming|celebrity|movie lovers|tv fans|hobb|photo|art""), ""Entertainment"",
  REGEXMATCH(LOWER(VLOOKUP(A304, Data1_Raw_Slack!A:B, 2, FALSE)), ""lifestyle|home|interior|decor|living|lifestyle"&amp;" enthusiasts""), ""Lifestyle"",
  REGEXMATCH(LOWER(VLOOKUP(A304, Data1_Raw_Slack!A:B, 2, FALSE)), ""financial|finance|investing|stocks|retirement|banking|credit|debt|loans|savings|personal finance|insurance|econ|ecom|business|retail|occupation|sale|job|ma"&amp;"rketing""), ""Finance"",
  REGEXMATCH(LOWER(VLOOKUP(A304, Data1_Raw_Slack!A:B, 2, FALSE)), ""auto|automotive""), ""Auto"",
  REGEXMATCH(LOWER(VLOOKUP(A304, Data1_Raw_Slack!A:B, 2, FALSE)), ""parenting|moms|dads|kids|toddlers|baby|parent|children""), ""Par"&amp;"enting"",
  REGEXMATCH(LOWER(VLOOKUP(A304, Data1_Raw_Slack!A:B, 2, FALSE)), ""education|students|learning|school|teachers|college|university|academics""), ""Education"",
  REGEXMATCH(LOWER(VLOOKUP(A304, Data1_Raw_Slack!A:B, 2, FALSE)), ""age|gender|dem"&amp;"ographic|family|household""), ""Demographics"",
  REGEXMATCH(LOWER(VLOOKUP(A304, Data1_Raw_Slack!A:B, 2, FALSE)), ""mortgage|real estate""), ""Real Estate"",REGEXMATCH(LOWER(VLOOKUP(A304, Data1_Raw_Slack!A:B, 2, FALSE)), ""technology|tech|gadgets|smartpho"&amp;"ne|electro|apps|devices|computing|ai|robots|software|computer|internet|tele|mobile|tablet""), ""Technology"", REGEXMATCH(LOWER(VLOOKUP(A304, Data1_Raw_Slack!A:B, 2, FALSE)), ""entertainment|purchas|movies|tv|netflix|streaming|celebrity|movie lovers|tv fan"&amp;"s|media|hobb|photo|art|shop""), ""Entertainment"", REGEXMATCH(LOWER(VLOOKUP(A304, Data1_Raw_Slack!A:B, 2, FALSE)), ""law|government|""), ""Law and Government"",
  TRUE, ""Other""
)"),"Fashion and Beauty")</f>
        <v>Fashion and Beauty</v>
      </c>
      <c r="G304" s="9" t="s">
        <v>105</v>
      </c>
      <c r="H304" s="9" t="s">
        <v>44</v>
      </c>
      <c r="I304" s="9" t="s">
        <v>1213</v>
      </c>
      <c r="J304" s="9" t="s">
        <v>34</v>
      </c>
      <c r="K304" s="9" t="s">
        <v>142</v>
      </c>
      <c r="L304" s="9" t="s">
        <v>72</v>
      </c>
      <c r="M304" s="10" t="s">
        <v>49</v>
      </c>
      <c r="N304" s="9" t="str">
        <f ca="1">IFERROR(__xludf.DUMMYFUNCTION("REGEXEXTRACT(LOWER(M304), ""([a-z0-9\-]+)\.(?:co|net|org|io|gg)"")"),"yahoo")</f>
        <v>yahoo</v>
      </c>
      <c r="O304" s="9" t="s">
        <v>50</v>
      </c>
      <c r="P304" s="9" t="s">
        <v>39</v>
      </c>
      <c r="Q304" s="9">
        <v>23774</v>
      </c>
      <c r="R304" s="9">
        <v>60</v>
      </c>
      <c r="S304" s="9">
        <v>10735</v>
      </c>
      <c r="T304" s="9">
        <v>21076</v>
      </c>
      <c r="U304" s="9">
        <v>24</v>
      </c>
      <c r="V304" s="11">
        <v>7657.1080339999999</v>
      </c>
      <c r="W304" s="12">
        <f t="shared" si="7"/>
        <v>319.04616808333333</v>
      </c>
      <c r="X304" s="12">
        <f t="shared" si="8"/>
        <v>0.25237654580634306</v>
      </c>
      <c r="Y304" s="12">
        <f t="shared" si="9"/>
        <v>45.154370320518211</v>
      </c>
      <c r="Z304" s="12">
        <f t="shared" si="10"/>
        <v>713.28440000000001</v>
      </c>
      <c r="AA304" s="12">
        <f t="shared" si="11"/>
        <v>322.07907941448644</v>
      </c>
      <c r="AB304" s="12">
        <f t="shared" si="12"/>
        <v>127.61846723333333</v>
      </c>
      <c r="AC304" s="12">
        <f t="shared" si="13"/>
        <v>40</v>
      </c>
      <c r="AE304" s="13"/>
      <c r="AF304" s="13"/>
    </row>
    <row r="305" spans="1:32">
      <c r="A305" s="8" t="s">
        <v>1214</v>
      </c>
      <c r="B305" s="9" t="s">
        <v>67</v>
      </c>
      <c r="C305" s="9" t="s">
        <v>151</v>
      </c>
      <c r="D305" s="9" t="s">
        <v>469</v>
      </c>
      <c r="E305" s="9"/>
      <c r="F305" s="9" t="str">
        <f ca="1">IFERROR(__xludf.DUMMYFUNCTION("IFS(
  REGEXMATCH(LOWER(VLOOKUP(A305, Data1_Raw_Slack!A:B, 2, FALSE)), ""news|weather""), ""News and Weather"", REGEXMATCH(LOWER(VLOOKUP(A305, Data1_Raw_Slack!A:B, 2, FALSE)), ""sports|ufc|nba|nfl|mlb|soccer|sports fans""), ""Sports"",
  REGEXMATCH(LOWER("&amp;"VLOOKUP(A305, Data1_Raw_Slack!A:B, 2, FALSE)), ""fashion|style|clothing|apparel|shoes|accessories|beauty|cosmetics|fashionistas""), ""Fashion and Beauty"",
  REGEXMATCH(LOWER(VLOOKUP(A305, Data1_Raw_Slack!A:B, 2, FALSE)), ""food|cooking|recipe|restaurant|"&amp;"snack|grocery|foodies""), ""Food"",
  REGEXMATCH(LOWER(VLOOKUP(A305, Data1_Raw_Slack!A:B, 2, FALSE)), ""travel|vacation|airline|hotel|trip|flights|travelers""), ""Travel"",
  REGEXMATCH(LOWER(VLOOKUP(A305, Data1_Raw_Slack!A:B, 2, FALSE)), ""fitness|workou"&amp;"t|gym|exercise|yoga|wellness|fitness enthusiasts""), ""Fitness"",
  REGEXMATCH(LOWER(VLOOKUP(A305, Data1_Raw_Slack!A:B, 2, FALSE)), ""health|medical|pharmacy|mental health|doctor|health-conscious""), ""Health"",
  REGEXMATCH(LOWER(VLOOKUP(A305, Data1_Raw_"&amp;"Slack!A:B, 2, FALSE)), ""pets|dogs|cats|animals|pet care|pet lovers""), ""Pets"",
  REGEXMATCH(LOWER(VLOOKUP(A305, Data1_Raw_Slack!A:B, 2, FALSE)), ""games|gaming|game|xbox|playstation|nintendo|gamers""), ""Gaming"",
  REGEXMATCH(LOWER(VLOOKUP(A305, Data1"&amp;"_Raw_Slack!A:B, 2, FALSE)), ""entertainment|movies|tv|netflix|streaming|celebrity|movie lovers|tv fans|hobb|photo|art""), ""Entertainment"",
  REGEXMATCH(LOWER(VLOOKUP(A305, Data1_Raw_Slack!A:B, 2, FALSE)), ""lifestyle|home|interior|decor|living|lifestyle"&amp;" enthusiasts""), ""Lifestyle"",
  REGEXMATCH(LOWER(VLOOKUP(A305, Data1_Raw_Slack!A:B, 2, FALSE)), ""financial|finance|investing|stocks|retirement|banking|credit|debt|loans|savings|personal finance|insurance|econ|ecom|business|retail|occupation|sale|job|ma"&amp;"rketing""), ""Finance"",
  REGEXMATCH(LOWER(VLOOKUP(A305, Data1_Raw_Slack!A:B, 2, FALSE)), ""auto|automotive""), ""Auto"",
  REGEXMATCH(LOWER(VLOOKUP(A305, Data1_Raw_Slack!A:B, 2, FALSE)), ""parenting|moms|dads|kids|toddlers|baby|parent|children""), ""Par"&amp;"enting"",
  REGEXMATCH(LOWER(VLOOKUP(A305, Data1_Raw_Slack!A:B, 2, FALSE)), ""education|students|learning|school|teachers|college|university|academics""), ""Education"",
  REGEXMATCH(LOWER(VLOOKUP(A305, Data1_Raw_Slack!A:B, 2, FALSE)), ""age|gender|dem"&amp;"ographic|family|household""), ""Demographics"",
  REGEXMATCH(LOWER(VLOOKUP(A305, Data1_Raw_Slack!A:B, 2, FALSE)), ""mortgage|real estate""), ""Real Estate"",REGEXMATCH(LOWER(VLOOKUP(A305, Data1_Raw_Slack!A:B, 2, FALSE)), ""technology|tech|gadgets|smartpho"&amp;"ne|electro|apps|devices|computing|ai|robots|software|computer|internet|tele|mobile|tablet""), ""Technology"", REGEXMATCH(LOWER(VLOOKUP(A305, Data1_Raw_Slack!A:B, 2, FALSE)), ""entertainment|purchas|movies|tv|netflix|streaming|celebrity|movie lovers|tv fan"&amp;"s|media|hobb|photo|art|shop""), ""Entertainment"", REGEXMATCH(LOWER(VLOOKUP(A305, Data1_Raw_Slack!A:B, 2, FALSE)), ""law|government|""), ""Law and Government"",
  TRUE, ""Other""
)"),"Sports")</f>
        <v>Sports</v>
      </c>
      <c r="G305" s="9" t="s">
        <v>154</v>
      </c>
      <c r="H305" s="9" t="s">
        <v>32</v>
      </c>
      <c r="I305" s="9" t="s">
        <v>1215</v>
      </c>
      <c r="J305" s="9" t="s">
        <v>80</v>
      </c>
      <c r="K305" s="9" t="s">
        <v>236</v>
      </c>
      <c r="L305" s="9" t="s">
        <v>82</v>
      </c>
      <c r="M305" s="10" t="s">
        <v>354</v>
      </c>
      <c r="N305" s="9" t="str">
        <f ca="1">IFERROR(__xludf.DUMMYFUNCTION("REGEXEXTRACT(LOWER(M305), ""([a-z0-9\-]+)\.(?:co|net|org|io|gg)"")"),"yahoo")</f>
        <v>yahoo</v>
      </c>
      <c r="O305" s="9" t="s">
        <v>118</v>
      </c>
      <c r="P305" s="9" t="s">
        <v>39</v>
      </c>
      <c r="Q305" s="9">
        <v>37227</v>
      </c>
      <c r="R305" s="9">
        <v>130</v>
      </c>
      <c r="S305" s="9">
        <v>13542</v>
      </c>
      <c r="T305" s="9">
        <v>32456</v>
      </c>
      <c r="U305" s="9">
        <v>4</v>
      </c>
      <c r="V305" s="11">
        <v>1901.094691</v>
      </c>
      <c r="W305" s="12">
        <f t="shared" si="7"/>
        <v>475.27367275</v>
      </c>
      <c r="X305" s="12">
        <f t="shared" si="8"/>
        <v>0.34920890751336398</v>
      </c>
      <c r="Y305" s="12">
        <f t="shared" si="9"/>
        <v>36.376823273430574</v>
      </c>
      <c r="Z305" s="12">
        <f t="shared" si="10"/>
        <v>140.38507539506719</v>
      </c>
      <c r="AA305" s="12">
        <f t="shared" si="11"/>
        <v>51.067630778735861</v>
      </c>
      <c r="AB305" s="12">
        <f t="shared" si="12"/>
        <v>14.623805315384615</v>
      </c>
      <c r="AC305" s="12">
        <f t="shared" si="13"/>
        <v>3.0769230769230771</v>
      </c>
      <c r="AE305" s="13"/>
      <c r="AF305" s="13"/>
    </row>
    <row r="306" spans="1:32">
      <c r="A306" s="8" t="s">
        <v>1216</v>
      </c>
      <c r="B306" s="9" t="s">
        <v>66</v>
      </c>
      <c r="C306" s="9" t="s">
        <v>85</v>
      </c>
      <c r="D306" s="9" t="s">
        <v>1217</v>
      </c>
      <c r="E306" s="9"/>
      <c r="F306" s="9" t="str">
        <f ca="1">IFERROR(__xludf.DUMMYFUNCTION("IFS(
  REGEXMATCH(LOWER(VLOOKUP(A306, Data1_Raw_Slack!A:B, 2, FALSE)), ""news|weather""), ""News and Weather"", REGEXMATCH(LOWER(VLOOKUP(A306, Data1_Raw_Slack!A:B, 2, FALSE)), ""sports|ufc|nba|nfl|mlb|soccer|sports fans""), ""Sports"",
  REGEXMATCH(LOWER("&amp;"VLOOKUP(A306, Data1_Raw_Slack!A:B, 2, FALSE)), ""fashion|style|clothing|apparel|shoes|accessories|beauty|cosmetics|fashionistas""), ""Fashion and Beauty"",
  REGEXMATCH(LOWER(VLOOKUP(A306, Data1_Raw_Slack!A:B, 2, FALSE)), ""food|cooking|recipe|restaurant|"&amp;"snack|grocery|foodies""), ""Food"",
  REGEXMATCH(LOWER(VLOOKUP(A306, Data1_Raw_Slack!A:B, 2, FALSE)), ""travel|vacation|airline|hotel|trip|flights|travelers""), ""Travel"",
  REGEXMATCH(LOWER(VLOOKUP(A306, Data1_Raw_Slack!A:B, 2, FALSE)), ""fitness|workou"&amp;"t|gym|exercise|yoga|wellness|fitness enthusiasts""), ""Fitness"",
  REGEXMATCH(LOWER(VLOOKUP(A306, Data1_Raw_Slack!A:B, 2, FALSE)), ""health|medical|pharmacy|mental health|doctor|health-conscious""), ""Health"",
  REGEXMATCH(LOWER(VLOOKUP(A306, Data1_Raw_"&amp;"Slack!A:B, 2, FALSE)), ""pets|dogs|cats|animals|pet care|pet lovers""), ""Pets"",
  REGEXMATCH(LOWER(VLOOKUP(A306, Data1_Raw_Slack!A:B, 2, FALSE)), ""games|gaming|game|xbox|playstation|nintendo|gamers""), ""Gaming"",
  REGEXMATCH(LOWER(VLOOKUP(A306, Data1"&amp;"_Raw_Slack!A:B, 2, FALSE)), ""entertainment|movies|tv|netflix|streaming|celebrity|movie lovers|tv fans|hobb|photo|art""), ""Entertainment"",
  REGEXMATCH(LOWER(VLOOKUP(A306, Data1_Raw_Slack!A:B, 2, FALSE)), ""lifestyle|home|interior|decor|living|lifestyle"&amp;" enthusiasts""), ""Lifestyle"",
  REGEXMATCH(LOWER(VLOOKUP(A306, Data1_Raw_Slack!A:B, 2, FALSE)), ""financial|finance|investing|stocks|retirement|banking|credit|debt|loans|savings|personal finance|insurance|econ|ecom|business|retail|occupation|sale|job|ma"&amp;"rketing""), ""Finance"",
  REGEXMATCH(LOWER(VLOOKUP(A306, Data1_Raw_Slack!A:B, 2, FALSE)), ""auto|automotive""), ""Auto"",
  REGEXMATCH(LOWER(VLOOKUP(A306, Data1_Raw_Slack!A:B, 2, FALSE)), ""parenting|moms|dads|kids|toddlers|baby|parent|children""), ""Par"&amp;"enting"",
  REGEXMATCH(LOWER(VLOOKUP(A306, Data1_Raw_Slack!A:B, 2, FALSE)), ""education|students|learning|school|teachers|college|university|academics""), ""Education"",
  REGEXMATCH(LOWER(VLOOKUP(A306, Data1_Raw_Slack!A:B, 2, FALSE)), ""age|gender|dem"&amp;"ographic|family|household""), ""Demographics"",
  REGEXMATCH(LOWER(VLOOKUP(A306, Data1_Raw_Slack!A:B, 2, FALSE)), ""mortgage|real estate""), ""Real Estate"",REGEXMATCH(LOWER(VLOOKUP(A306, Data1_Raw_Slack!A:B, 2, FALSE)), ""technology|tech|gadgets|smartpho"&amp;"ne|electro|apps|devices|computing|ai|robots|software|computer|internet|tele|mobile|tablet""), ""Technology"", REGEXMATCH(LOWER(VLOOKUP(A306, Data1_Raw_Slack!A:B, 2, FALSE)), ""entertainment|purchas|movies|tv|netflix|streaming|celebrity|movie lovers|tv fan"&amp;"s|media|hobb|photo|art|shop""), ""Entertainment"", REGEXMATCH(LOWER(VLOOKUP(A306, Data1_Raw_Slack!A:B, 2, FALSE)), ""law|government|""), ""Law and Government"",
  TRUE, ""Other""
)"),"Travel")</f>
        <v>Travel</v>
      </c>
      <c r="G306" s="9" t="s">
        <v>85</v>
      </c>
      <c r="H306" s="9" t="s">
        <v>32</v>
      </c>
      <c r="I306" s="9" t="s">
        <v>1218</v>
      </c>
      <c r="J306" s="9" t="s">
        <v>80</v>
      </c>
      <c r="K306" s="9" t="s">
        <v>142</v>
      </c>
      <c r="L306" s="9" t="s">
        <v>72</v>
      </c>
      <c r="M306" s="10" t="s">
        <v>941</v>
      </c>
      <c r="N306" s="9" t="str">
        <f ca="1">IFERROR(__xludf.DUMMYFUNCTION("REGEXEXTRACT(LOWER(M306), ""([a-z0-9\-]+)\.(?:co|net|org|io|gg)"")"),"fandom")</f>
        <v>fandom</v>
      </c>
      <c r="O306" s="9" t="s">
        <v>50</v>
      </c>
      <c r="P306" s="9" t="s">
        <v>39</v>
      </c>
      <c r="Q306" s="9">
        <v>22259</v>
      </c>
      <c r="R306" s="9">
        <v>120</v>
      </c>
      <c r="S306" s="9">
        <v>12405</v>
      </c>
      <c r="T306" s="9">
        <v>17609</v>
      </c>
      <c r="U306" s="9">
        <v>14</v>
      </c>
      <c r="V306" s="11">
        <v>1611.340211</v>
      </c>
      <c r="W306" s="12">
        <f t="shared" si="7"/>
        <v>115.09572935714286</v>
      </c>
      <c r="X306" s="12">
        <f t="shared" si="8"/>
        <v>0.5391077766296779</v>
      </c>
      <c r="Y306" s="12">
        <f t="shared" si="9"/>
        <v>55.730266409092955</v>
      </c>
      <c r="Z306" s="12">
        <f t="shared" si="10"/>
        <v>129.89441442966546</v>
      </c>
      <c r="AA306" s="12">
        <f t="shared" si="11"/>
        <v>72.39050321218383</v>
      </c>
      <c r="AB306" s="12">
        <f t="shared" si="12"/>
        <v>13.427835091666667</v>
      </c>
      <c r="AC306" s="12">
        <f t="shared" si="13"/>
        <v>11.666666666666666</v>
      </c>
      <c r="AE306" s="13"/>
      <c r="AF306" s="13"/>
    </row>
    <row r="307" spans="1:32">
      <c r="A307" s="8" t="s">
        <v>1219</v>
      </c>
      <c r="B307" s="9" t="s">
        <v>41</v>
      </c>
      <c r="C307" s="9" t="s">
        <v>1220</v>
      </c>
      <c r="D307" s="9" t="s">
        <v>1221</v>
      </c>
      <c r="E307" s="9"/>
      <c r="F307" s="9" t="str">
        <f ca="1">IFERROR(__xludf.DUMMYFUNCTION("IFS(
  REGEXMATCH(LOWER(VLOOKUP(A307, Data1_Raw_Slack!A:B, 2, FALSE)), ""news|weather""), ""News and Weather"", REGEXMATCH(LOWER(VLOOKUP(A307, Data1_Raw_Slack!A:B, 2, FALSE)), ""sports|ufc|nba|nfl|mlb|soccer|sports fans""), ""Sports"",
  REGEXMATCH(LOWER("&amp;"VLOOKUP(A307, Data1_Raw_Slack!A:B, 2, FALSE)), ""fashion|style|clothing|apparel|shoes|accessories|beauty|cosmetics|fashionistas""), ""Fashion and Beauty"",
  REGEXMATCH(LOWER(VLOOKUP(A307, Data1_Raw_Slack!A:B, 2, FALSE)), ""food|cooking|recipe|restaurant|"&amp;"snack|grocery|foodies""), ""Food"",
  REGEXMATCH(LOWER(VLOOKUP(A307, Data1_Raw_Slack!A:B, 2, FALSE)), ""travel|vacation|airline|hotel|trip|flights|travelers""), ""Travel"",
  REGEXMATCH(LOWER(VLOOKUP(A307, Data1_Raw_Slack!A:B, 2, FALSE)), ""fitness|workou"&amp;"t|gym|exercise|yoga|wellness|fitness enthusiasts""), ""Fitness"",
  REGEXMATCH(LOWER(VLOOKUP(A307, Data1_Raw_Slack!A:B, 2, FALSE)), ""health|medical|pharmacy|mental health|doctor|health-conscious""), ""Health"",
  REGEXMATCH(LOWER(VLOOKUP(A307, Data1_Raw_"&amp;"Slack!A:B, 2, FALSE)), ""pets|dogs|cats|animals|pet care|pet lovers""), ""Pets"",
  REGEXMATCH(LOWER(VLOOKUP(A307, Data1_Raw_Slack!A:B, 2, FALSE)), ""games|gaming|game|xbox|playstation|nintendo|gamers""), ""Gaming"",
  REGEXMATCH(LOWER(VLOOKUP(A307, Data1"&amp;"_Raw_Slack!A:B, 2, FALSE)), ""entertainment|movies|tv|netflix|streaming|celebrity|movie lovers|tv fans|hobb|photo|art""), ""Entertainment"",
  REGEXMATCH(LOWER(VLOOKUP(A307, Data1_Raw_Slack!A:B, 2, FALSE)), ""lifestyle|home|interior|decor|living|lifestyle"&amp;" enthusiasts""), ""Lifestyle"",
  REGEXMATCH(LOWER(VLOOKUP(A307, Data1_Raw_Slack!A:B, 2, FALSE)), ""financial|finance|investing|stocks|retirement|banking|credit|debt|loans|savings|personal finance|insurance|econ|ecom|business|retail|occupation|sale|job|ma"&amp;"rketing""), ""Finance"",
  REGEXMATCH(LOWER(VLOOKUP(A307, Data1_Raw_Slack!A:B, 2, FALSE)), ""auto|automotive""), ""Auto"",
  REGEXMATCH(LOWER(VLOOKUP(A307, Data1_Raw_Slack!A:B, 2, FALSE)), ""parenting|moms|dads|kids|toddlers|baby|parent|children""), ""Par"&amp;"enting"",
  REGEXMATCH(LOWER(VLOOKUP(A307, Data1_Raw_Slack!A:B, 2, FALSE)), ""education|students|learning|school|teachers|college|university|academics""), ""Education"",
  REGEXMATCH(LOWER(VLOOKUP(A307, Data1_Raw_Slack!A:B, 2, FALSE)), ""age|gender|dem"&amp;"ographic|family|household""), ""Demographics"",
  REGEXMATCH(LOWER(VLOOKUP(A307, Data1_Raw_Slack!A:B, 2, FALSE)), ""mortgage|real estate""), ""Real Estate"",REGEXMATCH(LOWER(VLOOKUP(A307, Data1_Raw_Slack!A:B, 2, FALSE)), ""technology|tech|gadgets|smartpho"&amp;"ne|electro|apps|devices|computing|ai|robots|software|computer|internet|tele|mobile|tablet""), ""Technology"", REGEXMATCH(LOWER(VLOOKUP(A307, Data1_Raw_Slack!A:B, 2, FALSE)), ""entertainment|purchas|movies|tv|netflix|streaming|celebrity|movie lovers|tv fan"&amp;"s|media|hobb|photo|art|shop""), ""Entertainment"", REGEXMATCH(LOWER(VLOOKUP(A307, Data1_Raw_Slack!A:B, 2, FALSE)), ""law|government|""), ""Law and Government"",
  TRUE, ""Other""
)"),"Law and Government")</f>
        <v>Law and Government</v>
      </c>
      <c r="G307" s="9" t="s">
        <v>1220</v>
      </c>
      <c r="H307" s="9" t="s">
        <v>32</v>
      </c>
      <c r="I307" s="9" t="s">
        <v>1222</v>
      </c>
      <c r="J307" s="9" t="s">
        <v>62</v>
      </c>
      <c r="K307" s="9" t="s">
        <v>236</v>
      </c>
      <c r="L307" s="9" t="s">
        <v>82</v>
      </c>
      <c r="M307" s="10" t="s">
        <v>1223</v>
      </c>
      <c r="N307" s="9" t="str">
        <f ca="1">IFERROR(__xludf.DUMMYFUNCTION("REGEXEXTRACT(LOWER(M307), ""([a-z0-9\-]+)\.(?:co|net|org|io|gg)"")"),"washingtonpost")</f>
        <v>washingtonpost</v>
      </c>
      <c r="O307" s="9" t="s">
        <v>109</v>
      </c>
      <c r="P307" s="9" t="s">
        <v>39</v>
      </c>
      <c r="Q307" s="9">
        <v>9867</v>
      </c>
      <c r="R307" s="9">
        <v>30</v>
      </c>
      <c r="S307" s="9">
        <v>6867</v>
      </c>
      <c r="T307" s="9">
        <v>9347</v>
      </c>
      <c r="U307" s="9">
        <v>12</v>
      </c>
      <c r="V307" s="11">
        <v>6839.5690860000004</v>
      </c>
      <c r="W307" s="12">
        <f t="shared" si="7"/>
        <v>569.9640905</v>
      </c>
      <c r="X307" s="12">
        <f t="shared" si="8"/>
        <v>0.30404378230465184</v>
      </c>
      <c r="Y307" s="12">
        <f t="shared" si="9"/>
        <v>69.595621769534816</v>
      </c>
      <c r="Z307" s="12">
        <f t="shared" si="10"/>
        <v>996.00540061162087</v>
      </c>
      <c r="AA307" s="12">
        <f t="shared" si="11"/>
        <v>693.17615141380361</v>
      </c>
      <c r="AB307" s="12">
        <f t="shared" si="12"/>
        <v>227.98563620000002</v>
      </c>
      <c r="AC307" s="12">
        <f t="shared" si="13"/>
        <v>40</v>
      </c>
      <c r="AE307" s="13"/>
      <c r="AF307" s="13"/>
    </row>
    <row r="308" spans="1:32">
      <c r="A308" s="8" t="s">
        <v>1224</v>
      </c>
      <c r="B308" s="9" t="s">
        <v>92</v>
      </c>
      <c r="C308" s="9" t="s">
        <v>1225</v>
      </c>
      <c r="D308" s="9"/>
      <c r="E308" s="9"/>
      <c r="F308" s="9" t="str">
        <f ca="1">IFERROR(__xludf.DUMMYFUNCTION("IFS(
  REGEXMATCH(LOWER(VLOOKUP(A308, Data1_Raw_Slack!A:B, 2, FALSE)), ""news|weather""), ""News and Weather"", REGEXMATCH(LOWER(VLOOKUP(A308, Data1_Raw_Slack!A:B, 2, FALSE)), ""sports|ufc|nba|nfl|mlb|soccer|sports fans""), ""Sports"",
  REGEXMATCH(LOWER("&amp;"VLOOKUP(A308, Data1_Raw_Slack!A:B, 2, FALSE)), ""fashion|style|clothing|apparel|shoes|accessories|beauty|cosmetics|fashionistas""), ""Fashion and Beauty"",
  REGEXMATCH(LOWER(VLOOKUP(A308, Data1_Raw_Slack!A:B, 2, FALSE)), ""food|cooking|recipe|restaurant|"&amp;"snack|grocery|foodies""), ""Food"",
  REGEXMATCH(LOWER(VLOOKUP(A308, Data1_Raw_Slack!A:B, 2, FALSE)), ""travel|vacation|airline|hotel|trip|flights|travelers""), ""Travel"",
  REGEXMATCH(LOWER(VLOOKUP(A308, Data1_Raw_Slack!A:B, 2, FALSE)), ""fitness|workou"&amp;"t|gym|exercise|yoga|wellness|fitness enthusiasts""), ""Fitness"",
  REGEXMATCH(LOWER(VLOOKUP(A308, Data1_Raw_Slack!A:B, 2, FALSE)), ""health|medical|pharmacy|mental health|doctor|health-conscious""), ""Health"",
  REGEXMATCH(LOWER(VLOOKUP(A308, Data1_Raw_"&amp;"Slack!A:B, 2, FALSE)), ""pets|dogs|cats|animals|pet care|pet lovers""), ""Pets"",
  REGEXMATCH(LOWER(VLOOKUP(A308, Data1_Raw_Slack!A:B, 2, FALSE)), ""games|gaming|game|xbox|playstation|nintendo|gamers""), ""Gaming"",
  REGEXMATCH(LOWER(VLOOKUP(A308, Data1"&amp;"_Raw_Slack!A:B, 2, FALSE)), ""entertainment|movies|tv|netflix|streaming|celebrity|movie lovers|tv fans|hobb|photo|art""), ""Entertainment"",
  REGEXMATCH(LOWER(VLOOKUP(A308, Data1_Raw_Slack!A:B, 2, FALSE)), ""lifestyle|home|interior|decor|living|lifestyle"&amp;" enthusiasts""), ""Lifestyle"",
  REGEXMATCH(LOWER(VLOOKUP(A308, Data1_Raw_Slack!A:B, 2, FALSE)), ""financial|finance|investing|stocks|retirement|banking|credit|debt|loans|savings|personal finance|insurance|econ|ecom|business|retail|occupation|sale|job|ma"&amp;"rketing""), ""Finance"",
  REGEXMATCH(LOWER(VLOOKUP(A308, Data1_Raw_Slack!A:B, 2, FALSE)), ""auto|automotive""), ""Auto"",
  REGEXMATCH(LOWER(VLOOKUP(A308, Data1_Raw_Slack!A:B, 2, FALSE)), ""parenting|moms|dads|kids|toddlers|baby|parent|children""), ""Par"&amp;"enting"",
  REGEXMATCH(LOWER(VLOOKUP(A308, Data1_Raw_Slack!A:B, 2, FALSE)), ""education|students|learning|school|teachers|college|university|academics""), ""Education"",
  REGEXMATCH(LOWER(VLOOKUP(A308, Data1_Raw_Slack!A:B, 2, FALSE)), ""age|gender|dem"&amp;"ographic|family|household""), ""Demographics"",
  REGEXMATCH(LOWER(VLOOKUP(A308, Data1_Raw_Slack!A:B, 2, FALSE)), ""mortgage|real estate""), ""Real Estate"",REGEXMATCH(LOWER(VLOOKUP(A308, Data1_Raw_Slack!A:B, 2, FALSE)), ""technology|tech|gadgets|smartpho"&amp;"ne|electro|apps|devices|computing|ai|robots|software|computer|internet|tele|mobile|tablet""), ""Technology"", REGEXMATCH(LOWER(VLOOKUP(A308, Data1_Raw_Slack!A:B, 2, FALSE)), ""entertainment|purchas|movies|tv|netflix|streaming|celebrity|movie lovers|tv fan"&amp;"s|media|hobb|photo|art|shop""), ""Entertainment"", REGEXMATCH(LOWER(VLOOKUP(A308, Data1_Raw_Slack!A:B, 2, FALSE)), ""law|government|""), ""Law and Government"",
  TRUE, ""Other""
)"),"Fashion and Beauty")</f>
        <v>Fashion and Beauty</v>
      </c>
      <c r="G308" s="9"/>
      <c r="H308" s="9" t="s">
        <v>32</v>
      </c>
      <c r="I308" s="9" t="s">
        <v>107</v>
      </c>
      <c r="J308" s="9" t="s">
        <v>34</v>
      </c>
      <c r="K308" s="9" t="s">
        <v>56</v>
      </c>
      <c r="L308" s="9" t="s">
        <v>57</v>
      </c>
      <c r="M308" s="10" t="s">
        <v>1226</v>
      </c>
      <c r="N308" s="9" t="str">
        <f ca="1">IFERROR(__xludf.DUMMYFUNCTION("REGEXEXTRACT(LOWER(M308), ""([a-z0-9\-]+)\.(?:co|net|org|io|gg)"")"),"sciencesensei")</f>
        <v>sciencesensei</v>
      </c>
      <c r="O308" s="9" t="s">
        <v>157</v>
      </c>
      <c r="P308" s="9" t="s">
        <v>39</v>
      </c>
      <c r="Q308" s="9">
        <v>20885</v>
      </c>
      <c r="R308" s="9">
        <v>99</v>
      </c>
      <c r="S308" s="9">
        <v>9901</v>
      </c>
      <c r="T308" s="9">
        <v>16266</v>
      </c>
      <c r="U308" s="9">
        <v>15</v>
      </c>
      <c r="V308" s="11">
        <v>2496.7854360000001</v>
      </c>
      <c r="W308" s="12">
        <f t="shared" si="7"/>
        <v>166.4523624</v>
      </c>
      <c r="X308" s="12">
        <f t="shared" si="8"/>
        <v>0.47402441943978929</v>
      </c>
      <c r="Y308" s="12">
        <f t="shared" si="9"/>
        <v>47.407230069427818</v>
      </c>
      <c r="Z308" s="12">
        <f t="shared" si="10"/>
        <v>252.17507686092316</v>
      </c>
      <c r="AA308" s="12">
        <f t="shared" si="11"/>
        <v>119.54921886521427</v>
      </c>
      <c r="AB308" s="12">
        <f t="shared" si="12"/>
        <v>25.220054909090909</v>
      </c>
      <c r="AC308" s="12">
        <f t="shared" si="13"/>
        <v>15.151515151515152</v>
      </c>
      <c r="AE308" s="13"/>
      <c r="AF308" s="13"/>
    </row>
    <row r="309" spans="1:32">
      <c r="A309" s="8" t="s">
        <v>1227</v>
      </c>
      <c r="B309" s="9" t="s">
        <v>507</v>
      </c>
      <c r="C309" s="9" t="s">
        <v>508</v>
      </c>
      <c r="D309" s="9" t="s">
        <v>1228</v>
      </c>
      <c r="E309" s="9"/>
      <c r="F309" s="9" t="str">
        <f ca="1">IFERROR(__xludf.DUMMYFUNCTION("IFS(
  REGEXMATCH(LOWER(VLOOKUP(A309, Data1_Raw_Slack!A:B, 2, FALSE)), ""news|weather""), ""News and Weather"", REGEXMATCH(LOWER(VLOOKUP(A309, Data1_Raw_Slack!A:B, 2, FALSE)), ""sports|ufc|nba|nfl|mlb|soccer|sports fans""), ""Sports"",
  REGEXMATCH(LOWER("&amp;"VLOOKUP(A309, Data1_Raw_Slack!A:B, 2, FALSE)), ""fashion|style|clothing|apparel|shoes|accessories|beauty|cosmetics|fashionistas""), ""Fashion and Beauty"",
  REGEXMATCH(LOWER(VLOOKUP(A309, Data1_Raw_Slack!A:B, 2, FALSE)), ""food|cooking|recipe|restaurant|"&amp;"snack|grocery|foodies""), ""Food"",
  REGEXMATCH(LOWER(VLOOKUP(A309, Data1_Raw_Slack!A:B, 2, FALSE)), ""travel|vacation|airline|hotel|trip|flights|travelers""), ""Travel"",
  REGEXMATCH(LOWER(VLOOKUP(A309, Data1_Raw_Slack!A:B, 2, FALSE)), ""fitness|workou"&amp;"t|gym|exercise|yoga|wellness|fitness enthusiasts""), ""Fitness"",
  REGEXMATCH(LOWER(VLOOKUP(A309, Data1_Raw_Slack!A:B, 2, FALSE)), ""health|medical|pharmacy|mental health|doctor|health-conscious""), ""Health"",
  REGEXMATCH(LOWER(VLOOKUP(A309, Data1_Raw_"&amp;"Slack!A:B, 2, FALSE)), ""pets|dogs|cats|animals|pet care|pet lovers""), ""Pets"",
  REGEXMATCH(LOWER(VLOOKUP(A309, Data1_Raw_Slack!A:B, 2, FALSE)), ""games|gaming|game|xbox|playstation|nintendo|gamers""), ""Gaming"",
  REGEXMATCH(LOWER(VLOOKUP(A309, Data1"&amp;"_Raw_Slack!A:B, 2, FALSE)), ""entertainment|movies|tv|netflix|streaming|celebrity|movie lovers|tv fans|hobb|photo|art""), ""Entertainment"",
  REGEXMATCH(LOWER(VLOOKUP(A309, Data1_Raw_Slack!A:B, 2, FALSE)), ""lifestyle|home|interior|decor|living|lifestyle"&amp;" enthusiasts""), ""Lifestyle"",
  REGEXMATCH(LOWER(VLOOKUP(A309, Data1_Raw_Slack!A:B, 2, FALSE)), ""financial|finance|investing|stocks|retirement|banking|credit|debt|loans|savings|personal finance|insurance|econ|ecom|business|retail|occupation|sale|job|ma"&amp;"rketing""), ""Finance"",
  REGEXMATCH(LOWER(VLOOKUP(A309, Data1_Raw_Slack!A:B, 2, FALSE)), ""auto|automotive""), ""Auto"",
  REGEXMATCH(LOWER(VLOOKUP(A309, Data1_Raw_Slack!A:B, 2, FALSE)), ""parenting|moms|dads|kids|toddlers|baby|parent|children""), ""Par"&amp;"enting"",
  REGEXMATCH(LOWER(VLOOKUP(A309, Data1_Raw_Slack!A:B, 2, FALSE)), ""education|students|learning|school|teachers|college|university|academics""), ""Education"",
  REGEXMATCH(LOWER(VLOOKUP(A309, Data1_Raw_Slack!A:B, 2, FALSE)), ""age|gender|dem"&amp;"ographic|family|household""), ""Demographics"",
  REGEXMATCH(LOWER(VLOOKUP(A309, Data1_Raw_Slack!A:B, 2, FALSE)), ""mortgage|real estate""), ""Real Estate"",REGEXMATCH(LOWER(VLOOKUP(A309, Data1_Raw_Slack!A:B, 2, FALSE)), ""technology|tech|gadgets|smartpho"&amp;"ne|electro|apps|devices|computing|ai|robots|software|computer|internet|tele|mobile|tablet""), ""Technology"", REGEXMATCH(LOWER(VLOOKUP(A309, Data1_Raw_Slack!A:B, 2, FALSE)), ""entertainment|purchas|movies|tv|netflix|streaming|celebrity|movie lovers|tv fan"&amp;"s|media|hobb|photo|art|shop""), ""Entertainment"", REGEXMATCH(LOWER(VLOOKUP(A309, Data1_Raw_Slack!A:B, 2, FALSE)), ""law|government|""), ""Law and Government"",
  TRUE, ""Other""
)"),"Demographics")</f>
        <v>Demographics</v>
      </c>
      <c r="G309" s="9"/>
      <c r="H309" s="9" t="s">
        <v>32</v>
      </c>
      <c r="I309" s="9" t="s">
        <v>1229</v>
      </c>
      <c r="J309" s="9" t="s">
        <v>62</v>
      </c>
      <c r="K309" s="9" t="s">
        <v>639</v>
      </c>
      <c r="L309" s="9" t="s">
        <v>265</v>
      </c>
      <c r="M309" s="10" t="s">
        <v>354</v>
      </c>
      <c r="N309" s="9" t="str">
        <f ca="1">IFERROR(__xludf.DUMMYFUNCTION("REGEXEXTRACT(LOWER(M309), ""([a-z0-9\-]+)\.(?:co|net|org|io|gg)"")"),"yahoo")</f>
        <v>yahoo</v>
      </c>
      <c r="O309" s="9" t="s">
        <v>103</v>
      </c>
      <c r="P309" s="9" t="s">
        <v>39</v>
      </c>
      <c r="Q309" s="9">
        <v>507889</v>
      </c>
      <c r="R309" s="9">
        <v>823</v>
      </c>
      <c r="S309" s="9">
        <v>176329</v>
      </c>
      <c r="T309" s="9">
        <v>450103</v>
      </c>
      <c r="U309" s="9">
        <v>78</v>
      </c>
      <c r="V309" s="11">
        <v>1440.7453620000001</v>
      </c>
      <c r="W309" s="12">
        <f t="shared" si="7"/>
        <v>18.471094384615387</v>
      </c>
      <c r="X309" s="12">
        <f t="shared" si="8"/>
        <v>0.16204328111063637</v>
      </c>
      <c r="Y309" s="12">
        <f t="shared" si="9"/>
        <v>34.718019094723452</v>
      </c>
      <c r="Z309" s="12">
        <f t="shared" si="10"/>
        <v>8.1707794066772923</v>
      </c>
      <c r="AA309" s="12">
        <f t="shared" si="11"/>
        <v>2.8367327545979539</v>
      </c>
      <c r="AB309" s="12">
        <f t="shared" si="12"/>
        <v>1.7506018979343865</v>
      </c>
      <c r="AC309" s="12">
        <f t="shared" si="13"/>
        <v>9.4775212636695016</v>
      </c>
      <c r="AE309" s="13"/>
      <c r="AF309" s="13"/>
    </row>
    <row r="310" spans="1:32">
      <c r="A310" s="8" t="s">
        <v>1230</v>
      </c>
      <c r="B310" s="9" t="s">
        <v>341</v>
      </c>
      <c r="C310" s="9" t="s">
        <v>1231</v>
      </c>
      <c r="D310" s="9"/>
      <c r="E310" s="9"/>
      <c r="F310" s="9" t="str">
        <f ca="1">IFERROR(__xludf.DUMMYFUNCTION("IFS(
  REGEXMATCH(LOWER(VLOOKUP(A310, Data1_Raw_Slack!A:B, 2, FALSE)), ""news|weather""), ""News and Weather"", REGEXMATCH(LOWER(VLOOKUP(A310, Data1_Raw_Slack!A:B, 2, FALSE)), ""sports|ufc|nba|nfl|mlb|soccer|sports fans""), ""Sports"",
  REGEXMATCH(LOWER("&amp;"VLOOKUP(A310, Data1_Raw_Slack!A:B, 2, FALSE)), ""fashion|style|clothing|apparel|shoes|accessories|beauty|cosmetics|fashionistas""), ""Fashion and Beauty"",
  REGEXMATCH(LOWER(VLOOKUP(A310, Data1_Raw_Slack!A:B, 2, FALSE)), ""food|cooking|recipe|restaurant|"&amp;"snack|grocery|foodies""), ""Food"",
  REGEXMATCH(LOWER(VLOOKUP(A310, Data1_Raw_Slack!A:B, 2, FALSE)), ""travel|vacation|airline|hotel|trip|flights|travelers""), ""Travel"",
  REGEXMATCH(LOWER(VLOOKUP(A310, Data1_Raw_Slack!A:B, 2, FALSE)), ""fitness|workou"&amp;"t|gym|exercise|yoga|wellness|fitness enthusiasts""), ""Fitness"",
  REGEXMATCH(LOWER(VLOOKUP(A310, Data1_Raw_Slack!A:B, 2, FALSE)), ""health|medical|pharmacy|mental health|doctor|health-conscious""), ""Health"",
  REGEXMATCH(LOWER(VLOOKUP(A310, Data1_Raw_"&amp;"Slack!A:B, 2, FALSE)), ""pets|dogs|cats|animals|pet care|pet lovers""), ""Pets"",
  REGEXMATCH(LOWER(VLOOKUP(A310, Data1_Raw_Slack!A:B, 2, FALSE)), ""games|gaming|game|xbox|playstation|nintendo|gamers""), ""Gaming"",
  REGEXMATCH(LOWER(VLOOKUP(A310, Data1"&amp;"_Raw_Slack!A:B, 2, FALSE)), ""entertainment|movies|tv|netflix|streaming|celebrity|movie lovers|tv fans|hobb|photo|art""), ""Entertainment"",
  REGEXMATCH(LOWER(VLOOKUP(A310, Data1_Raw_Slack!A:B, 2, FALSE)), ""lifestyle|home|interior|decor|living|lifestyle"&amp;" enthusiasts""), ""Lifestyle"",
  REGEXMATCH(LOWER(VLOOKUP(A310, Data1_Raw_Slack!A:B, 2, FALSE)), ""financial|finance|investing|stocks|retirement|banking|credit|debt|loans|savings|personal finance|insurance|econ|ecom|business|retail|occupation|sale|job|ma"&amp;"rketing""), ""Finance"",
  REGEXMATCH(LOWER(VLOOKUP(A310, Data1_Raw_Slack!A:B, 2, FALSE)), ""auto|automotive""), ""Auto"",
  REGEXMATCH(LOWER(VLOOKUP(A310, Data1_Raw_Slack!A:B, 2, FALSE)), ""parenting|moms|dads|kids|toddlers|baby|parent|children""), ""Par"&amp;"enting"",
  REGEXMATCH(LOWER(VLOOKUP(A310, Data1_Raw_Slack!A:B, 2, FALSE)), ""education|students|learning|school|teachers|college|university|academics""), ""Education"",
  REGEXMATCH(LOWER(VLOOKUP(A310, Data1_Raw_Slack!A:B, 2, FALSE)), ""age|gender|dem"&amp;"ographic|family|household""), ""Demographics"",
  REGEXMATCH(LOWER(VLOOKUP(A310, Data1_Raw_Slack!A:B, 2, FALSE)), ""mortgage|real estate""), ""Real Estate"",REGEXMATCH(LOWER(VLOOKUP(A310, Data1_Raw_Slack!A:B, 2, FALSE)), ""technology|tech|gadgets|smartpho"&amp;"ne|electro|apps|devices|computing|ai|robots|software|computer|internet|tele|mobile|tablet""), ""Technology"", REGEXMATCH(LOWER(VLOOKUP(A310, Data1_Raw_Slack!A:B, 2, FALSE)), ""entertainment|purchas|movies|tv|netflix|streaming|celebrity|movie lovers|tv fan"&amp;"s|media|hobb|photo|art|shop""), ""Entertainment"", REGEXMATCH(LOWER(VLOOKUP(A310, Data1_Raw_Slack!A:B, 2, FALSE)), ""law|government|""), ""Law and Government"",
  TRUE, ""Other""
)"),"Entertainment")</f>
        <v>Entertainment</v>
      </c>
      <c r="G310" s="9"/>
      <c r="H310" s="9" t="s">
        <v>44</v>
      </c>
      <c r="I310" s="9" t="s">
        <v>1232</v>
      </c>
      <c r="J310" s="9" t="s">
        <v>62</v>
      </c>
      <c r="K310" s="9" t="s">
        <v>88</v>
      </c>
      <c r="L310" s="9" t="s">
        <v>89</v>
      </c>
      <c r="M310" s="10" t="s">
        <v>1152</v>
      </c>
      <c r="N310" s="9" t="str">
        <f ca="1">IFERROR(__xludf.DUMMYFUNCTION("REGEXEXTRACT(LOWER(M310), ""([a-z0-9\-]+)\.(?:co|net|org|io|gg)"")"),"signupgenius")</f>
        <v>signupgenius</v>
      </c>
      <c r="O310" s="9" t="s">
        <v>50</v>
      </c>
      <c r="P310" s="9" t="s">
        <v>39</v>
      </c>
      <c r="Q310" s="9">
        <v>14763</v>
      </c>
      <c r="R310" s="9">
        <v>40</v>
      </c>
      <c r="S310" s="9">
        <v>8955</v>
      </c>
      <c r="T310" s="9">
        <v>13829</v>
      </c>
      <c r="U310" s="9">
        <v>2</v>
      </c>
      <c r="V310" s="11">
        <v>1531.9268850000001</v>
      </c>
      <c r="W310" s="12">
        <f t="shared" si="7"/>
        <v>765.96344250000004</v>
      </c>
      <c r="X310" s="12">
        <f t="shared" si="8"/>
        <v>0.27094763936869198</v>
      </c>
      <c r="Y310" s="12">
        <f t="shared" si="9"/>
        <v>60.658402763665919</v>
      </c>
      <c r="Z310" s="12">
        <f t="shared" si="10"/>
        <v>171.06944556113905</v>
      </c>
      <c r="AA310" s="12">
        <f t="shared" si="11"/>
        <v>103.76799329404592</v>
      </c>
      <c r="AB310" s="12">
        <f t="shared" si="12"/>
        <v>38.298172125000001</v>
      </c>
      <c r="AC310" s="12">
        <f t="shared" si="13"/>
        <v>5</v>
      </c>
      <c r="AE310" s="13"/>
      <c r="AF310" s="13"/>
    </row>
    <row r="311" spans="1:32">
      <c r="A311" s="8" t="s">
        <v>1233</v>
      </c>
      <c r="B311" s="9" t="s">
        <v>341</v>
      </c>
      <c r="C311" s="9" t="s">
        <v>1234</v>
      </c>
      <c r="D311" s="9"/>
      <c r="E311" s="9"/>
      <c r="F311" s="9" t="str">
        <f ca="1">IFERROR(__xludf.DUMMYFUNCTION("IFS(
  REGEXMATCH(LOWER(VLOOKUP(A311, Data1_Raw_Slack!A:B, 2, FALSE)), ""news|weather""), ""News and Weather"", REGEXMATCH(LOWER(VLOOKUP(A311, Data1_Raw_Slack!A:B, 2, FALSE)), ""sports|ufc|nba|nfl|mlb|soccer|sports fans""), ""Sports"",
  REGEXMATCH(LOWER("&amp;"VLOOKUP(A311, Data1_Raw_Slack!A:B, 2, FALSE)), ""fashion|style|clothing|apparel|shoes|accessories|beauty|cosmetics|fashionistas""), ""Fashion and Beauty"",
  REGEXMATCH(LOWER(VLOOKUP(A311, Data1_Raw_Slack!A:B, 2, FALSE)), ""food|cooking|recipe|restaurant|"&amp;"snack|grocery|foodies""), ""Food"",
  REGEXMATCH(LOWER(VLOOKUP(A311, Data1_Raw_Slack!A:B, 2, FALSE)), ""travel|vacation|airline|hotel|trip|flights|travelers""), ""Travel"",
  REGEXMATCH(LOWER(VLOOKUP(A311, Data1_Raw_Slack!A:B, 2, FALSE)), ""fitness|workou"&amp;"t|gym|exercise|yoga|wellness|fitness enthusiasts""), ""Fitness"",
  REGEXMATCH(LOWER(VLOOKUP(A311, Data1_Raw_Slack!A:B, 2, FALSE)), ""health|medical|pharmacy|mental health|doctor|health-conscious""), ""Health"",
  REGEXMATCH(LOWER(VLOOKUP(A311, Data1_Raw_"&amp;"Slack!A:B, 2, FALSE)), ""pets|dogs|cats|animals|pet care|pet lovers""), ""Pets"",
  REGEXMATCH(LOWER(VLOOKUP(A311, Data1_Raw_Slack!A:B, 2, FALSE)), ""games|gaming|game|xbox|playstation|nintendo|gamers""), ""Gaming"",
  REGEXMATCH(LOWER(VLOOKUP(A311, Data1"&amp;"_Raw_Slack!A:B, 2, FALSE)), ""entertainment|movies|tv|netflix|streaming|celebrity|movie lovers|tv fans|hobb|photo|art""), ""Entertainment"",
  REGEXMATCH(LOWER(VLOOKUP(A311, Data1_Raw_Slack!A:B, 2, FALSE)), ""lifestyle|home|interior|decor|living|lifestyle"&amp;" enthusiasts""), ""Lifestyle"",
  REGEXMATCH(LOWER(VLOOKUP(A311, Data1_Raw_Slack!A:B, 2, FALSE)), ""financial|finance|investing|stocks|retirement|banking|credit|debt|loans|savings|personal finance|insurance|econ|ecom|business|retail|occupation|sale|job|ma"&amp;"rketing""), ""Finance"",
  REGEXMATCH(LOWER(VLOOKUP(A311, Data1_Raw_Slack!A:B, 2, FALSE)), ""auto|automotive""), ""Auto"",
  REGEXMATCH(LOWER(VLOOKUP(A311, Data1_Raw_Slack!A:B, 2, FALSE)), ""parenting|moms|dads|kids|toddlers|baby|parent|children""), ""Par"&amp;"enting"",
  REGEXMATCH(LOWER(VLOOKUP(A311, Data1_Raw_Slack!A:B, 2, FALSE)), ""education|students|learning|school|teachers|college|university|academics""), ""Education"",
  REGEXMATCH(LOWER(VLOOKUP(A311, Data1_Raw_Slack!A:B, 2, FALSE)), ""age|gender|dem"&amp;"ographic|family|household""), ""Demographics"",
  REGEXMATCH(LOWER(VLOOKUP(A311, Data1_Raw_Slack!A:B, 2, FALSE)), ""mortgage|real estate""), ""Real Estate"",REGEXMATCH(LOWER(VLOOKUP(A311, Data1_Raw_Slack!A:B, 2, FALSE)), ""technology|tech|gadgets|smartpho"&amp;"ne|electro|apps|devices|computing|ai|robots|software|computer|internet|tele|mobile|tablet""), ""Technology"", REGEXMATCH(LOWER(VLOOKUP(A311, Data1_Raw_Slack!A:B, 2, FALSE)), ""entertainment|purchas|movies|tv|netflix|streaming|celebrity|movie lovers|tv fan"&amp;"s|media|hobb|photo|art|shop""), ""Entertainment"", REGEXMATCH(LOWER(VLOOKUP(A311, Data1_Raw_Slack!A:B, 2, FALSE)), ""law|government|""), ""Law and Government"",
  TRUE, ""Other""
)"),"Entertainment")</f>
        <v>Entertainment</v>
      </c>
      <c r="G311" s="9"/>
      <c r="H311" s="9" t="s">
        <v>44</v>
      </c>
      <c r="I311" s="9" t="s">
        <v>1235</v>
      </c>
      <c r="J311" s="9" t="s">
        <v>46</v>
      </c>
      <c r="K311" s="9" t="s">
        <v>148</v>
      </c>
      <c r="L311" s="9" t="s">
        <v>89</v>
      </c>
      <c r="M311" s="10" t="s">
        <v>112</v>
      </c>
      <c r="N311" s="9" t="str">
        <f ca="1">IFERROR(__xludf.DUMMYFUNCTION("REGEXEXTRACT(LOWER(M311), ""([a-z0-9\-]+)\.(?:co|net|org|io|gg)"")"),"ebay")</f>
        <v>ebay</v>
      </c>
      <c r="O311" s="9" t="s">
        <v>186</v>
      </c>
      <c r="P311" s="9" t="s">
        <v>39</v>
      </c>
      <c r="Q311" s="9">
        <v>144088</v>
      </c>
      <c r="R311" s="9">
        <v>490</v>
      </c>
      <c r="S311" s="9">
        <v>26416</v>
      </c>
      <c r="T311" s="9">
        <v>137369</v>
      </c>
      <c r="U311" s="9">
        <v>7</v>
      </c>
      <c r="V311" s="11">
        <v>1464.0642350000001</v>
      </c>
      <c r="W311" s="12">
        <f t="shared" si="7"/>
        <v>209.15203357142857</v>
      </c>
      <c r="X311" s="12">
        <f t="shared" si="8"/>
        <v>0.34006995724834821</v>
      </c>
      <c r="Y311" s="12">
        <f t="shared" si="9"/>
        <v>18.333240797290546</v>
      </c>
      <c r="Z311" s="12">
        <f t="shared" si="10"/>
        <v>55.423388665960026</v>
      </c>
      <c r="AA311" s="12">
        <f t="shared" si="11"/>
        <v>10.160903302148688</v>
      </c>
      <c r="AB311" s="12">
        <f t="shared" si="12"/>
        <v>2.9878861938775509</v>
      </c>
      <c r="AC311" s="12">
        <f t="shared" si="13"/>
        <v>1.4285714285714286</v>
      </c>
      <c r="AE311" s="13"/>
      <c r="AF311" s="13"/>
    </row>
    <row r="312" spans="1:32">
      <c r="A312" s="8" t="s">
        <v>1236</v>
      </c>
      <c r="B312" s="9" t="s">
        <v>92</v>
      </c>
      <c r="C312" s="9" t="s">
        <v>1237</v>
      </c>
      <c r="D312" s="9"/>
      <c r="E312" s="9"/>
      <c r="F312" s="9" t="str">
        <f ca="1">IFERROR(__xludf.DUMMYFUNCTION("IFS(
  REGEXMATCH(LOWER(VLOOKUP(A312, Data1_Raw_Slack!A:B, 2, FALSE)), ""news|weather""), ""News and Weather"", REGEXMATCH(LOWER(VLOOKUP(A312, Data1_Raw_Slack!A:B, 2, FALSE)), ""sports|ufc|nba|nfl|mlb|soccer|sports fans""), ""Sports"",
  REGEXMATCH(LOWER("&amp;"VLOOKUP(A312, Data1_Raw_Slack!A:B, 2, FALSE)), ""fashion|style|clothing|apparel|shoes|accessories|beauty|cosmetics|fashionistas""), ""Fashion and Beauty"",
  REGEXMATCH(LOWER(VLOOKUP(A312, Data1_Raw_Slack!A:B, 2, FALSE)), ""food|cooking|recipe|restaurant|"&amp;"snack|grocery|foodies""), ""Food"",
  REGEXMATCH(LOWER(VLOOKUP(A312, Data1_Raw_Slack!A:B, 2, FALSE)), ""travel|vacation|airline|hotel|trip|flights|travelers""), ""Travel"",
  REGEXMATCH(LOWER(VLOOKUP(A312, Data1_Raw_Slack!A:B, 2, FALSE)), ""fitness|workou"&amp;"t|gym|exercise|yoga|wellness|fitness enthusiasts""), ""Fitness"",
  REGEXMATCH(LOWER(VLOOKUP(A312, Data1_Raw_Slack!A:B, 2, FALSE)), ""health|medical|pharmacy|mental health|doctor|health-conscious""), ""Health"",
  REGEXMATCH(LOWER(VLOOKUP(A312, Data1_Raw_"&amp;"Slack!A:B, 2, FALSE)), ""pets|dogs|cats|animals|pet care|pet lovers""), ""Pets"",
  REGEXMATCH(LOWER(VLOOKUP(A312, Data1_Raw_Slack!A:B, 2, FALSE)), ""games|gaming|game|xbox|playstation|nintendo|gamers""), ""Gaming"",
  REGEXMATCH(LOWER(VLOOKUP(A312, Data1"&amp;"_Raw_Slack!A:B, 2, FALSE)), ""entertainment|movies|tv|netflix|streaming|celebrity|movie lovers|tv fans|hobb|photo|art""), ""Entertainment"",
  REGEXMATCH(LOWER(VLOOKUP(A312, Data1_Raw_Slack!A:B, 2, FALSE)), ""lifestyle|home|interior|decor|living|lifestyle"&amp;" enthusiasts""), ""Lifestyle"",
  REGEXMATCH(LOWER(VLOOKUP(A312, Data1_Raw_Slack!A:B, 2, FALSE)), ""financial|finance|investing|stocks|retirement|banking|credit|debt|loans|savings|personal finance|insurance|econ|ecom|business|retail|occupation|sale|job|ma"&amp;"rketing""), ""Finance"",
  REGEXMATCH(LOWER(VLOOKUP(A312, Data1_Raw_Slack!A:B, 2, FALSE)), ""auto|automotive""), ""Auto"",
  REGEXMATCH(LOWER(VLOOKUP(A312, Data1_Raw_Slack!A:B, 2, FALSE)), ""parenting|moms|dads|kids|toddlers|baby|parent|children""), ""Par"&amp;"enting"",
  REGEXMATCH(LOWER(VLOOKUP(A312, Data1_Raw_Slack!A:B, 2, FALSE)), ""education|students|learning|school|teachers|college|university|academics""), ""Education"",
  REGEXMATCH(LOWER(VLOOKUP(A312, Data1_Raw_Slack!A:B, 2, FALSE)), ""age|gender|dem"&amp;"ographic|family|household""), ""Demographics"",
  REGEXMATCH(LOWER(VLOOKUP(A312, Data1_Raw_Slack!A:B, 2, FALSE)), ""mortgage|real estate""), ""Real Estate"",REGEXMATCH(LOWER(VLOOKUP(A312, Data1_Raw_Slack!A:B, 2, FALSE)), ""technology|tech|gadgets|smartpho"&amp;"ne|electro|apps|devices|computing|ai|robots|software|computer|internet|tele|mobile|tablet""), ""Technology"", REGEXMATCH(LOWER(VLOOKUP(A312, Data1_Raw_Slack!A:B, 2, FALSE)), ""entertainment|purchas|movies|tv|netflix|streaming|celebrity|movie lovers|tv fan"&amp;"s|media|hobb|photo|art|shop""), ""Entertainment"", REGEXMATCH(LOWER(VLOOKUP(A312, Data1_Raw_Slack!A:B, 2, FALSE)), ""law|government|""), ""Law and Government"",
  TRUE, ""Other""
)"),"Entertainment")</f>
        <v>Entertainment</v>
      </c>
      <c r="G312" s="9"/>
      <c r="H312" s="9" t="s">
        <v>123</v>
      </c>
      <c r="I312" s="9" t="s">
        <v>1238</v>
      </c>
      <c r="J312" s="9" t="s">
        <v>80</v>
      </c>
      <c r="K312" s="9" t="s">
        <v>315</v>
      </c>
      <c r="L312" s="9" t="s">
        <v>36</v>
      </c>
      <c r="M312" s="10" t="s">
        <v>1198</v>
      </c>
      <c r="N312" s="9" t="str">
        <f ca="1">IFERROR(__xludf.DUMMYFUNCTION("REGEXEXTRACT(LOWER(M312), ""([a-z0-9\-]+)\.(?:co|net|org|io|gg)"")"),"newsmemory")</f>
        <v>newsmemory</v>
      </c>
      <c r="O312" s="9" t="s">
        <v>50</v>
      </c>
      <c r="P312" s="9" t="s">
        <v>39</v>
      </c>
      <c r="Q312" s="9">
        <v>15602</v>
      </c>
      <c r="R312" s="9">
        <v>50</v>
      </c>
      <c r="S312" s="9">
        <v>7676</v>
      </c>
      <c r="T312" s="9">
        <v>13775</v>
      </c>
      <c r="U312" s="9">
        <v>1</v>
      </c>
      <c r="V312" s="11">
        <v>2600.894327</v>
      </c>
      <c r="W312" s="12">
        <f t="shared" si="7"/>
        <v>2600.894327</v>
      </c>
      <c r="X312" s="12">
        <f t="shared" si="8"/>
        <v>0.32047173439302656</v>
      </c>
      <c r="Y312" s="12">
        <f t="shared" si="9"/>
        <v>49.198820664017433</v>
      </c>
      <c r="Z312" s="12">
        <f t="shared" si="10"/>
        <v>338.83459184471076</v>
      </c>
      <c r="AA312" s="12">
        <f t="shared" si="11"/>
        <v>166.7026231893347</v>
      </c>
      <c r="AB312" s="12">
        <f t="shared" si="12"/>
        <v>52.017886539999999</v>
      </c>
      <c r="AC312" s="12">
        <f t="shared" si="13"/>
        <v>2</v>
      </c>
      <c r="AE312" s="13"/>
      <c r="AF312" s="13"/>
    </row>
    <row r="313" spans="1:32">
      <c r="A313" s="8" t="s">
        <v>1239</v>
      </c>
      <c r="B313" s="9" t="s">
        <v>41</v>
      </c>
      <c r="C313" s="9" t="s">
        <v>145</v>
      </c>
      <c r="D313" s="9" t="s">
        <v>696</v>
      </c>
      <c r="E313" s="9"/>
      <c r="F313" s="9" t="str">
        <f ca="1">IFERROR(__xludf.DUMMYFUNCTION("IFS(
  REGEXMATCH(LOWER(VLOOKUP(A313, Data1_Raw_Slack!A:B, 2, FALSE)), ""news|weather""), ""News and Weather"", REGEXMATCH(LOWER(VLOOKUP(A313, Data1_Raw_Slack!A:B, 2, FALSE)), ""sports|ufc|nba|nfl|mlb|soccer|sports fans""), ""Sports"",
  REGEXMATCH(LOWER("&amp;"VLOOKUP(A313, Data1_Raw_Slack!A:B, 2, FALSE)), ""fashion|style|clothing|apparel|shoes|accessories|beauty|cosmetics|fashionistas""), ""Fashion and Beauty"",
  REGEXMATCH(LOWER(VLOOKUP(A313, Data1_Raw_Slack!A:B, 2, FALSE)), ""food|cooking|recipe|restaurant|"&amp;"snack|grocery|foodies""), ""Food"",
  REGEXMATCH(LOWER(VLOOKUP(A313, Data1_Raw_Slack!A:B, 2, FALSE)), ""travel|vacation|airline|hotel|trip|flights|travelers""), ""Travel"",
  REGEXMATCH(LOWER(VLOOKUP(A313, Data1_Raw_Slack!A:B, 2, FALSE)), ""fitness|workou"&amp;"t|gym|exercise|yoga|wellness|fitness enthusiasts""), ""Fitness"",
  REGEXMATCH(LOWER(VLOOKUP(A313, Data1_Raw_Slack!A:B, 2, FALSE)), ""health|medical|pharmacy|mental health|doctor|health-conscious""), ""Health"",
  REGEXMATCH(LOWER(VLOOKUP(A313, Data1_Raw_"&amp;"Slack!A:B, 2, FALSE)), ""pets|dogs|cats|animals|pet care|pet lovers""), ""Pets"",
  REGEXMATCH(LOWER(VLOOKUP(A313, Data1_Raw_Slack!A:B, 2, FALSE)), ""games|gaming|game|xbox|playstation|nintendo|gamers""), ""Gaming"",
  REGEXMATCH(LOWER(VLOOKUP(A313, Data1"&amp;"_Raw_Slack!A:B, 2, FALSE)), ""entertainment|movies|tv|netflix|streaming|celebrity|movie lovers|tv fans|hobb|photo|art""), ""Entertainment"",
  REGEXMATCH(LOWER(VLOOKUP(A313, Data1_Raw_Slack!A:B, 2, FALSE)), ""lifestyle|home|interior|decor|living|lifestyle"&amp;" enthusiasts""), ""Lifestyle"",
  REGEXMATCH(LOWER(VLOOKUP(A313, Data1_Raw_Slack!A:B, 2, FALSE)), ""financial|finance|investing|stocks|retirement|banking|credit|debt|loans|savings|personal finance|insurance|econ|ecom|business|retail|occupation|sale|job|ma"&amp;"rketing""), ""Finance"",
  REGEXMATCH(LOWER(VLOOKUP(A313, Data1_Raw_Slack!A:B, 2, FALSE)), ""auto|automotive""), ""Auto"",
  REGEXMATCH(LOWER(VLOOKUP(A313, Data1_Raw_Slack!A:B, 2, FALSE)), ""parenting|moms|dads|kids|toddlers|baby|parent|children""), ""Par"&amp;"enting"",
  REGEXMATCH(LOWER(VLOOKUP(A313, Data1_Raw_Slack!A:B, 2, FALSE)), ""education|students|learning|school|teachers|college|university|academics""), ""Education"",
  REGEXMATCH(LOWER(VLOOKUP(A313, Data1_Raw_Slack!A:B, 2, FALSE)), ""age|gender|dem"&amp;"ographic|family|household""), ""Demographics"",
  REGEXMATCH(LOWER(VLOOKUP(A313, Data1_Raw_Slack!A:B, 2, FALSE)), ""mortgage|real estate""), ""Real Estate"",REGEXMATCH(LOWER(VLOOKUP(A313, Data1_Raw_Slack!A:B, 2, FALSE)), ""technology|tech|gadgets|smartpho"&amp;"ne|electro|apps|devices|computing|ai|robots|software|computer|internet|tele|mobile|tablet""), ""Technology"", REGEXMATCH(LOWER(VLOOKUP(A313, Data1_Raw_Slack!A:B, 2, FALSE)), ""entertainment|purchas|movies|tv|netflix|streaming|celebrity|movie lovers|tv fan"&amp;"s|media|hobb|photo|art|shop""), ""Entertainment"", REGEXMATCH(LOWER(VLOOKUP(A313, Data1_Raw_Slack!A:B, 2, FALSE)), ""law|government|""), ""Law and Government"",
  TRUE, ""Other""
)"),"News and Weather")</f>
        <v>News and Weather</v>
      </c>
      <c r="G313" s="9" t="s">
        <v>145</v>
      </c>
      <c r="H313" s="9" t="s">
        <v>44</v>
      </c>
      <c r="I313" s="9" t="s">
        <v>1240</v>
      </c>
      <c r="J313" s="9" t="s">
        <v>34</v>
      </c>
      <c r="K313" s="9" t="s">
        <v>56</v>
      </c>
      <c r="L313" s="9" t="s">
        <v>57</v>
      </c>
      <c r="M313" s="10" t="s">
        <v>1003</v>
      </c>
      <c r="N313" s="9" t="str">
        <f ca="1">IFERROR(__xludf.DUMMYFUNCTION("REGEXEXTRACT(LOWER(M313), ""([a-z0-9\-]+)\.(?:co|net|org|io|gg)"")"),"wikihow")</f>
        <v>wikihow</v>
      </c>
      <c r="O313" s="9" t="s">
        <v>50</v>
      </c>
      <c r="P313" s="9" t="s">
        <v>39</v>
      </c>
      <c r="Q313" s="9">
        <v>9404</v>
      </c>
      <c r="R313" s="9">
        <v>30</v>
      </c>
      <c r="S313" s="9">
        <v>4781</v>
      </c>
      <c r="T313" s="9">
        <v>7943</v>
      </c>
      <c r="U313" s="9">
        <v>4</v>
      </c>
      <c r="V313" s="11">
        <v>1345.3689999999999</v>
      </c>
      <c r="W313" s="12">
        <f t="shared" si="7"/>
        <v>336.34224999999998</v>
      </c>
      <c r="X313" s="12">
        <f t="shared" si="8"/>
        <v>0.31901318587834965</v>
      </c>
      <c r="Y313" s="12">
        <f t="shared" si="9"/>
        <v>50.840068056146329</v>
      </c>
      <c r="Z313" s="12">
        <f t="shared" si="10"/>
        <v>281.39907969044134</v>
      </c>
      <c r="AA313" s="12">
        <f t="shared" si="11"/>
        <v>143.06348362398978</v>
      </c>
      <c r="AB313" s="12">
        <f t="shared" si="12"/>
        <v>44.845633333333332</v>
      </c>
      <c r="AC313" s="12">
        <f t="shared" si="13"/>
        <v>13.333333333333334</v>
      </c>
      <c r="AE313" s="13"/>
      <c r="AF313" s="13"/>
    </row>
    <row r="314" spans="1:32">
      <c r="A314" s="8" t="s">
        <v>1241</v>
      </c>
      <c r="B314" s="9" t="s">
        <v>874</v>
      </c>
      <c r="C314" s="9" t="s">
        <v>122</v>
      </c>
      <c r="D314" s="9" t="s">
        <v>1242</v>
      </c>
      <c r="E314" s="9" t="s">
        <v>1243</v>
      </c>
      <c r="F314" s="9" t="str">
        <f ca="1">IFERROR(__xludf.DUMMYFUNCTION("IFS(
  REGEXMATCH(LOWER(VLOOKUP(A314, Data1_Raw_Slack!A:B, 2, FALSE)), ""news|weather""), ""News and Weather"", REGEXMATCH(LOWER(VLOOKUP(A314, Data1_Raw_Slack!A:B, 2, FALSE)), ""sports|ufc|nba|nfl|mlb|soccer|sports fans""), ""Sports"",
  REGEXMATCH(LOWER("&amp;"VLOOKUP(A314, Data1_Raw_Slack!A:B, 2, FALSE)), ""fashion|style|clothing|apparel|shoes|accessories|beauty|cosmetics|fashionistas""), ""Fashion and Beauty"",
  REGEXMATCH(LOWER(VLOOKUP(A314, Data1_Raw_Slack!A:B, 2, FALSE)), ""food|cooking|recipe|restaurant|"&amp;"snack|grocery|foodies""), ""Food"",
  REGEXMATCH(LOWER(VLOOKUP(A314, Data1_Raw_Slack!A:B, 2, FALSE)), ""travel|vacation|airline|hotel|trip|flights|travelers""), ""Travel"",
  REGEXMATCH(LOWER(VLOOKUP(A314, Data1_Raw_Slack!A:B, 2, FALSE)), ""fitness|workou"&amp;"t|gym|exercise|yoga|wellness|fitness enthusiasts""), ""Fitness"",
  REGEXMATCH(LOWER(VLOOKUP(A314, Data1_Raw_Slack!A:B, 2, FALSE)), ""health|medical|pharmacy|mental health|doctor|health-conscious""), ""Health"",
  REGEXMATCH(LOWER(VLOOKUP(A314, Data1_Raw_"&amp;"Slack!A:B, 2, FALSE)), ""pets|dogs|cats|animals|pet care|pet lovers""), ""Pets"",
  REGEXMATCH(LOWER(VLOOKUP(A314, Data1_Raw_Slack!A:B, 2, FALSE)), ""games|gaming|game|xbox|playstation|nintendo|gamers""), ""Gaming"",
  REGEXMATCH(LOWER(VLOOKUP(A314, Data1"&amp;"_Raw_Slack!A:B, 2, FALSE)), ""entertainment|movies|tv|netflix|streaming|celebrity|movie lovers|tv fans|hobb|photo|art""), ""Entertainment"",
  REGEXMATCH(LOWER(VLOOKUP(A314, Data1_Raw_Slack!A:B, 2, FALSE)), ""lifestyle|home|interior|decor|living|lifestyle"&amp;" enthusiasts""), ""Lifestyle"",
  REGEXMATCH(LOWER(VLOOKUP(A314, Data1_Raw_Slack!A:B, 2, FALSE)), ""financial|finance|investing|stocks|retirement|banking|credit|debt|loans|savings|personal finance|insurance|econ|ecom|business|retail|occupation|sale|job|ma"&amp;"rketing""), ""Finance"",
  REGEXMATCH(LOWER(VLOOKUP(A314, Data1_Raw_Slack!A:B, 2, FALSE)), ""auto|automotive""), ""Auto"",
  REGEXMATCH(LOWER(VLOOKUP(A314, Data1_Raw_Slack!A:B, 2, FALSE)), ""parenting|moms|dads|kids|toddlers|baby|parent|children""), ""Par"&amp;"enting"",
  REGEXMATCH(LOWER(VLOOKUP(A314, Data1_Raw_Slack!A:B, 2, FALSE)), ""education|students|learning|school|teachers|college|university|academics""), ""Education"",
  REGEXMATCH(LOWER(VLOOKUP(A314, Data1_Raw_Slack!A:B, 2, FALSE)), ""age|gender|dem"&amp;"ographic|family|household""), ""Demographics"",
  REGEXMATCH(LOWER(VLOOKUP(A314, Data1_Raw_Slack!A:B, 2, FALSE)), ""mortgage|real estate""), ""Real Estate"",REGEXMATCH(LOWER(VLOOKUP(A314, Data1_Raw_Slack!A:B, 2, FALSE)), ""technology|tech|gadgets|smartpho"&amp;"ne|electro|apps|devices|computing|ai|robots|software|computer|internet|tele|mobile|tablet""), ""Technology"", REGEXMATCH(LOWER(VLOOKUP(A314, Data1_Raw_Slack!A:B, 2, FALSE)), ""entertainment|purchas|movies|tv|netflix|streaming|celebrity|movie lovers|tv fan"&amp;"s|media|hobb|photo|art|shop""), ""Entertainment"", REGEXMATCH(LOWER(VLOOKUP(A314, Data1_Raw_Slack!A:B, 2, FALSE)), ""law|government|""), ""Law and Government"",
  TRUE, ""Other""
)"),"Auto")</f>
        <v>Auto</v>
      </c>
      <c r="G314" s="9" t="s">
        <v>122</v>
      </c>
      <c r="H314" s="9" t="s">
        <v>44</v>
      </c>
      <c r="I314" s="9" t="s">
        <v>1244</v>
      </c>
      <c r="J314" s="9" t="s">
        <v>46</v>
      </c>
      <c r="K314" s="9" t="s">
        <v>148</v>
      </c>
      <c r="L314" s="9" t="s">
        <v>89</v>
      </c>
      <c r="M314" s="10" t="s">
        <v>1245</v>
      </c>
      <c r="N314" s="9" t="str">
        <f ca="1">IFERROR(__xludf.DUMMYFUNCTION("REGEXEXTRACT(LOWER(M314), ""([a-z0-9\-]+)\.(?:co|net|org|io|gg)"")"),"dinneratthezoo")</f>
        <v>dinneratthezoo</v>
      </c>
      <c r="O314" s="9" t="s">
        <v>50</v>
      </c>
      <c r="P314" s="9" t="s">
        <v>39</v>
      </c>
      <c r="Q314" s="9">
        <v>12391</v>
      </c>
      <c r="R314" s="9">
        <v>40</v>
      </c>
      <c r="S314" s="9">
        <v>5756</v>
      </c>
      <c r="T314" s="9">
        <v>11636</v>
      </c>
      <c r="U314" s="9">
        <v>4</v>
      </c>
      <c r="V314" s="11">
        <v>3069.1234829999999</v>
      </c>
      <c r="W314" s="12">
        <f t="shared" si="7"/>
        <v>767.28087074999996</v>
      </c>
      <c r="X314" s="12">
        <f t="shared" si="8"/>
        <v>0.32281494633201518</v>
      </c>
      <c r="Y314" s="12">
        <f t="shared" si="9"/>
        <v>46.453070777176983</v>
      </c>
      <c r="Z314" s="12">
        <f t="shared" si="10"/>
        <v>533.20421872828354</v>
      </c>
      <c r="AA314" s="12">
        <f t="shared" si="11"/>
        <v>247.68973311274311</v>
      </c>
      <c r="AB314" s="12">
        <f t="shared" si="12"/>
        <v>76.728087074999991</v>
      </c>
      <c r="AC314" s="12">
        <f t="shared" si="13"/>
        <v>10</v>
      </c>
      <c r="AE314" s="13"/>
      <c r="AF314" s="13"/>
    </row>
    <row r="315" spans="1:32">
      <c r="A315" s="8" t="s">
        <v>1246</v>
      </c>
      <c r="B315" s="9" t="s">
        <v>874</v>
      </c>
      <c r="C315" s="9" t="s">
        <v>122</v>
      </c>
      <c r="D315" s="9" t="s">
        <v>1247</v>
      </c>
      <c r="E315" s="9" t="s">
        <v>1248</v>
      </c>
      <c r="F315" s="9" t="str">
        <f ca="1">IFERROR(__xludf.DUMMYFUNCTION("IFS(
  REGEXMATCH(LOWER(VLOOKUP(A315, Data1_Raw_Slack!A:B, 2, FALSE)), ""news|weather""), ""News and Weather"", REGEXMATCH(LOWER(VLOOKUP(A315, Data1_Raw_Slack!A:B, 2, FALSE)), ""sports|ufc|nba|nfl|mlb|soccer|sports fans""), ""Sports"",
  REGEXMATCH(LOWER("&amp;"VLOOKUP(A315, Data1_Raw_Slack!A:B, 2, FALSE)), ""fashion|style|clothing|apparel|shoes|accessories|beauty|cosmetics|fashionistas""), ""Fashion and Beauty"",
  REGEXMATCH(LOWER(VLOOKUP(A315, Data1_Raw_Slack!A:B, 2, FALSE)), ""food|cooking|recipe|restaurant|"&amp;"snack|grocery|foodies""), ""Food"",
  REGEXMATCH(LOWER(VLOOKUP(A315, Data1_Raw_Slack!A:B, 2, FALSE)), ""travel|vacation|airline|hotel|trip|flights|travelers""), ""Travel"",
  REGEXMATCH(LOWER(VLOOKUP(A315, Data1_Raw_Slack!A:B, 2, FALSE)), ""fitness|workou"&amp;"t|gym|exercise|yoga|wellness|fitness enthusiasts""), ""Fitness"",
  REGEXMATCH(LOWER(VLOOKUP(A315, Data1_Raw_Slack!A:B, 2, FALSE)), ""health|medical|pharmacy|mental health|doctor|health-conscious""), ""Health"",
  REGEXMATCH(LOWER(VLOOKUP(A315, Data1_Raw_"&amp;"Slack!A:B, 2, FALSE)), ""pets|dogs|cats|animals|pet care|pet lovers""), ""Pets"",
  REGEXMATCH(LOWER(VLOOKUP(A315, Data1_Raw_Slack!A:B, 2, FALSE)), ""games|gaming|game|xbox|playstation|nintendo|gamers""), ""Gaming"",
  REGEXMATCH(LOWER(VLOOKUP(A315, Data1"&amp;"_Raw_Slack!A:B, 2, FALSE)), ""entertainment|movies|tv|netflix|streaming|celebrity|movie lovers|tv fans|hobb|photo|art""), ""Entertainment"",
  REGEXMATCH(LOWER(VLOOKUP(A315, Data1_Raw_Slack!A:B, 2, FALSE)), ""lifestyle|home|interior|decor|living|lifestyle"&amp;" enthusiasts""), ""Lifestyle"",
  REGEXMATCH(LOWER(VLOOKUP(A315, Data1_Raw_Slack!A:B, 2, FALSE)), ""financial|finance|investing|stocks|retirement|banking|credit|debt|loans|savings|personal finance|insurance|econ|ecom|business|retail|occupation|sale|job|ma"&amp;"rketing""), ""Finance"",
  REGEXMATCH(LOWER(VLOOKUP(A315, Data1_Raw_Slack!A:B, 2, FALSE)), ""auto|automotive""), ""Auto"",
  REGEXMATCH(LOWER(VLOOKUP(A315, Data1_Raw_Slack!A:B, 2, FALSE)), ""parenting|moms|dads|kids|toddlers|baby|parent|children""), ""Par"&amp;"enting"",
  REGEXMATCH(LOWER(VLOOKUP(A315, Data1_Raw_Slack!A:B, 2, FALSE)), ""education|students|learning|school|teachers|college|university|academics""), ""Education"",
  REGEXMATCH(LOWER(VLOOKUP(A315, Data1_Raw_Slack!A:B, 2, FALSE)), ""age|gender|dem"&amp;"ographic|family|household""), ""Demographics"",
  REGEXMATCH(LOWER(VLOOKUP(A315, Data1_Raw_Slack!A:B, 2, FALSE)), ""mortgage|real estate""), ""Real Estate"",REGEXMATCH(LOWER(VLOOKUP(A315, Data1_Raw_Slack!A:B, 2, FALSE)), ""technology|tech|gadgets|smartpho"&amp;"ne|electro|apps|devices|computing|ai|robots|software|computer|internet|tele|mobile|tablet""), ""Technology"", REGEXMATCH(LOWER(VLOOKUP(A315, Data1_Raw_Slack!A:B, 2, FALSE)), ""entertainment|purchas|movies|tv|netflix|streaming|celebrity|movie lovers|tv fan"&amp;"s|media|hobb|photo|art|shop""), ""Entertainment"", REGEXMATCH(LOWER(VLOOKUP(A315, Data1_Raw_Slack!A:B, 2, FALSE)), ""law|government|""), ""Law and Government"",
  TRUE, ""Other""
)"),"Auto")</f>
        <v>Auto</v>
      </c>
      <c r="G315" s="9" t="s">
        <v>122</v>
      </c>
      <c r="H315" s="9" t="s">
        <v>44</v>
      </c>
      <c r="I315" s="9" t="s">
        <v>982</v>
      </c>
      <c r="J315" s="9" t="s">
        <v>80</v>
      </c>
      <c r="K315" s="9" t="s">
        <v>56</v>
      </c>
      <c r="L315" s="9" t="s">
        <v>57</v>
      </c>
      <c r="M315" s="10" t="s">
        <v>354</v>
      </c>
      <c r="N315" s="9" t="str">
        <f ca="1">IFERROR(__xludf.DUMMYFUNCTION("REGEXEXTRACT(LOWER(M315), ""([a-z0-9\-]+)\.(?:co|net|org|io|gg)"")"),"yahoo")</f>
        <v>yahoo</v>
      </c>
      <c r="O315" s="9" t="s">
        <v>50</v>
      </c>
      <c r="P315" s="9" t="s">
        <v>39</v>
      </c>
      <c r="Q315" s="9">
        <v>1116343</v>
      </c>
      <c r="R315" s="9">
        <v>3104</v>
      </c>
      <c r="S315" s="9">
        <v>550519</v>
      </c>
      <c r="T315" s="9">
        <v>977978</v>
      </c>
      <c r="U315" s="9">
        <v>9</v>
      </c>
      <c r="V315" s="11">
        <v>2494.217596</v>
      </c>
      <c r="W315" s="12">
        <f t="shared" si="7"/>
        <v>277.13528844444443</v>
      </c>
      <c r="X315" s="12">
        <f t="shared" si="8"/>
        <v>0.27805074246893652</v>
      </c>
      <c r="Y315" s="12">
        <f t="shared" si="9"/>
        <v>49.314502800662517</v>
      </c>
      <c r="Z315" s="12">
        <f t="shared" si="10"/>
        <v>4.5306657826523695</v>
      </c>
      <c r="AA315" s="12">
        <f t="shared" si="11"/>
        <v>2.2342753042747612</v>
      </c>
      <c r="AB315" s="12">
        <f t="shared" si="12"/>
        <v>0.8035494832474227</v>
      </c>
      <c r="AC315" s="12">
        <f t="shared" si="13"/>
        <v>0.28994845360824745</v>
      </c>
      <c r="AE315" s="13"/>
      <c r="AF315" s="13"/>
    </row>
    <row r="316" spans="1:32">
      <c r="A316" s="8" t="s">
        <v>1249</v>
      </c>
      <c r="B316" s="9" t="s">
        <v>52</v>
      </c>
      <c r="C316" s="9" t="s">
        <v>53</v>
      </c>
      <c r="D316" s="9" t="s">
        <v>1250</v>
      </c>
      <c r="E316" s="9"/>
      <c r="F316" s="9" t="str">
        <f ca="1">IFERROR(__xludf.DUMMYFUNCTION("IFS(
  REGEXMATCH(LOWER(VLOOKUP(A316, Data1_Raw_Slack!A:B, 2, FALSE)), ""news|weather""), ""News and Weather"", REGEXMATCH(LOWER(VLOOKUP(A316, Data1_Raw_Slack!A:B, 2, FALSE)), ""sports|ufc|nba|nfl|mlb|soccer|sports fans""), ""Sports"",
  REGEXMATCH(LOWER("&amp;"VLOOKUP(A316, Data1_Raw_Slack!A:B, 2, FALSE)), ""fashion|style|clothing|apparel|shoes|accessories|beauty|cosmetics|fashionistas""), ""Fashion and Beauty"",
  REGEXMATCH(LOWER(VLOOKUP(A316, Data1_Raw_Slack!A:B, 2, FALSE)), ""food|cooking|recipe|restaurant|"&amp;"snack|grocery|foodies""), ""Food"",
  REGEXMATCH(LOWER(VLOOKUP(A316, Data1_Raw_Slack!A:B, 2, FALSE)), ""travel|vacation|airline|hotel|trip|flights|travelers""), ""Travel"",
  REGEXMATCH(LOWER(VLOOKUP(A316, Data1_Raw_Slack!A:B, 2, FALSE)), ""fitness|workou"&amp;"t|gym|exercise|yoga|wellness|fitness enthusiasts""), ""Fitness"",
  REGEXMATCH(LOWER(VLOOKUP(A316, Data1_Raw_Slack!A:B, 2, FALSE)), ""health|medical|pharmacy|mental health|doctor|health-conscious""), ""Health"",
  REGEXMATCH(LOWER(VLOOKUP(A316, Data1_Raw_"&amp;"Slack!A:B, 2, FALSE)), ""pets|dogs|cats|animals|pet care|pet lovers""), ""Pets"",
  REGEXMATCH(LOWER(VLOOKUP(A316, Data1_Raw_Slack!A:B, 2, FALSE)), ""games|gaming|game|xbox|playstation|nintendo|gamers""), ""Gaming"",
  REGEXMATCH(LOWER(VLOOKUP(A316, Data1"&amp;"_Raw_Slack!A:B, 2, FALSE)), ""entertainment|movies|tv|netflix|streaming|celebrity|movie lovers|tv fans|hobb|photo|art""), ""Entertainment"",
  REGEXMATCH(LOWER(VLOOKUP(A316, Data1_Raw_Slack!A:B, 2, FALSE)), ""lifestyle|home|interior|decor|living|lifestyle"&amp;" enthusiasts""), ""Lifestyle"",
  REGEXMATCH(LOWER(VLOOKUP(A316, Data1_Raw_Slack!A:B, 2, FALSE)), ""financial|finance|investing|stocks|retirement|banking|credit|debt|loans|savings|personal finance|insurance|econ|ecom|business|retail|occupation|sale|job|ma"&amp;"rketing""), ""Finance"",
  REGEXMATCH(LOWER(VLOOKUP(A316, Data1_Raw_Slack!A:B, 2, FALSE)), ""auto|automotive""), ""Auto"",
  REGEXMATCH(LOWER(VLOOKUP(A316, Data1_Raw_Slack!A:B, 2, FALSE)), ""parenting|moms|dads|kids|toddlers|baby|parent|children""), ""Par"&amp;"enting"",
  REGEXMATCH(LOWER(VLOOKUP(A316, Data1_Raw_Slack!A:B, 2, FALSE)), ""education|students|learning|school|teachers|college|university|academics""), ""Education"",
  REGEXMATCH(LOWER(VLOOKUP(A316, Data1_Raw_Slack!A:B, 2, FALSE)), ""age|gender|dem"&amp;"ographic|family|household""), ""Demographics"",
  REGEXMATCH(LOWER(VLOOKUP(A316, Data1_Raw_Slack!A:B, 2, FALSE)), ""mortgage|real estate""), ""Real Estate"",REGEXMATCH(LOWER(VLOOKUP(A316, Data1_Raw_Slack!A:B, 2, FALSE)), ""technology|tech|gadgets|smartpho"&amp;"ne|electro|apps|devices|computing|ai|robots|software|computer|internet|tele|mobile|tablet""), ""Technology"", REGEXMATCH(LOWER(VLOOKUP(A316, Data1_Raw_Slack!A:B, 2, FALSE)), ""entertainment|purchas|movies|tv|netflix|streaming|celebrity|movie lovers|tv fan"&amp;"s|media|hobb|photo|art|shop""), ""Entertainment"", REGEXMATCH(LOWER(VLOOKUP(A316, Data1_Raw_Slack!A:B, 2, FALSE)), ""law|government|""), ""Law and Government"",
  TRUE, ""Other""
)"),"Finance")</f>
        <v>Finance</v>
      </c>
      <c r="G316" s="9"/>
      <c r="H316" s="9" t="s">
        <v>44</v>
      </c>
      <c r="I316" s="9" t="s">
        <v>1251</v>
      </c>
      <c r="J316" s="9" t="s">
        <v>46</v>
      </c>
      <c r="K316" s="9" t="s">
        <v>236</v>
      </c>
      <c r="L316" s="9" t="s">
        <v>82</v>
      </c>
      <c r="M316" s="10" t="s">
        <v>112</v>
      </c>
      <c r="N316" s="9" t="str">
        <f ca="1">IFERROR(__xludf.DUMMYFUNCTION("REGEXEXTRACT(LOWER(M316), ""([a-z0-9\-]+)\.(?:co|net|org|io|gg)"")"),"ebay")</f>
        <v>ebay</v>
      </c>
      <c r="O316" s="9" t="s">
        <v>703</v>
      </c>
      <c r="P316" s="9" t="s">
        <v>39</v>
      </c>
      <c r="Q316" s="9">
        <v>229908</v>
      </c>
      <c r="R316" s="9">
        <v>489</v>
      </c>
      <c r="S316" s="9">
        <v>98259</v>
      </c>
      <c r="T316" s="9">
        <v>212073</v>
      </c>
      <c r="U316" s="9">
        <v>4</v>
      </c>
      <c r="V316" s="11">
        <v>1464.3489440000001</v>
      </c>
      <c r="W316" s="12">
        <f t="shared" si="7"/>
        <v>366.08723600000002</v>
      </c>
      <c r="X316" s="12">
        <f t="shared" si="8"/>
        <v>0.21269377316143848</v>
      </c>
      <c r="Y316" s="12">
        <f t="shared" si="9"/>
        <v>42.738399707709171</v>
      </c>
      <c r="Z316" s="12">
        <f t="shared" si="10"/>
        <v>14.902949795947446</v>
      </c>
      <c r="AA316" s="12">
        <f t="shared" si="11"/>
        <v>6.3692822520312475</v>
      </c>
      <c r="AB316" s="12">
        <f t="shared" si="12"/>
        <v>2.994578617586912</v>
      </c>
      <c r="AC316" s="12">
        <f t="shared" si="13"/>
        <v>0.81799591002045002</v>
      </c>
      <c r="AE316" s="13"/>
      <c r="AF316" s="13"/>
    </row>
    <row r="317" spans="1:32">
      <c r="A317" s="8" t="s">
        <v>1252</v>
      </c>
      <c r="B317" s="9" t="s">
        <v>41</v>
      </c>
      <c r="C317" s="9" t="s">
        <v>209</v>
      </c>
      <c r="D317" s="9" t="s">
        <v>1253</v>
      </c>
      <c r="E317" s="9"/>
      <c r="F317" s="9" t="str">
        <f ca="1">IFERROR(__xludf.DUMMYFUNCTION("IFS(
  REGEXMATCH(LOWER(VLOOKUP(A317, Data1_Raw_Slack!A:B, 2, FALSE)), ""news|weather""), ""News and Weather"", REGEXMATCH(LOWER(VLOOKUP(A317, Data1_Raw_Slack!A:B, 2, FALSE)), ""sports|ufc|nba|nfl|mlb|soccer|sports fans""), ""Sports"",
  REGEXMATCH(LOWER("&amp;"VLOOKUP(A317, Data1_Raw_Slack!A:B, 2, FALSE)), ""fashion|style|clothing|apparel|shoes|accessories|beauty|cosmetics|fashionistas""), ""Fashion and Beauty"",
  REGEXMATCH(LOWER(VLOOKUP(A317, Data1_Raw_Slack!A:B, 2, FALSE)), ""food|cooking|recipe|restaurant|"&amp;"snack|grocery|foodies""), ""Food"",
  REGEXMATCH(LOWER(VLOOKUP(A317, Data1_Raw_Slack!A:B, 2, FALSE)), ""travel|vacation|airline|hotel|trip|flights|travelers""), ""Travel"",
  REGEXMATCH(LOWER(VLOOKUP(A317, Data1_Raw_Slack!A:B, 2, FALSE)), ""fitness|workou"&amp;"t|gym|exercise|yoga|wellness|fitness enthusiasts""), ""Fitness"",
  REGEXMATCH(LOWER(VLOOKUP(A317, Data1_Raw_Slack!A:B, 2, FALSE)), ""health|medical|pharmacy|mental health|doctor|health-conscious""), ""Health"",
  REGEXMATCH(LOWER(VLOOKUP(A317, Data1_Raw_"&amp;"Slack!A:B, 2, FALSE)), ""pets|dogs|cats|animals|pet care|pet lovers""), ""Pets"",
  REGEXMATCH(LOWER(VLOOKUP(A317, Data1_Raw_Slack!A:B, 2, FALSE)), ""games|gaming|game|xbox|playstation|nintendo|gamers""), ""Gaming"",
  REGEXMATCH(LOWER(VLOOKUP(A317, Data1"&amp;"_Raw_Slack!A:B, 2, FALSE)), ""entertainment|movies|tv|netflix|streaming|celebrity|movie lovers|tv fans|hobb|photo|art""), ""Entertainment"",
  REGEXMATCH(LOWER(VLOOKUP(A317, Data1_Raw_Slack!A:B, 2, FALSE)), ""lifestyle|home|interior|decor|living|lifestyle"&amp;" enthusiasts""), ""Lifestyle"",
  REGEXMATCH(LOWER(VLOOKUP(A317, Data1_Raw_Slack!A:B, 2, FALSE)), ""financial|finance|investing|stocks|retirement|banking|credit|debt|loans|savings|personal finance|insurance|econ|ecom|business|retail|occupation|sale|job|ma"&amp;"rketing""), ""Finance"",
  REGEXMATCH(LOWER(VLOOKUP(A317, Data1_Raw_Slack!A:B, 2, FALSE)), ""auto|automotive""), ""Auto"",
  REGEXMATCH(LOWER(VLOOKUP(A317, Data1_Raw_Slack!A:B, 2, FALSE)), ""parenting|moms|dads|kids|toddlers|baby|parent|children""), ""Par"&amp;"enting"",
  REGEXMATCH(LOWER(VLOOKUP(A317, Data1_Raw_Slack!A:B, 2, FALSE)), ""education|students|learning|school|teachers|college|university|academics""), ""Education"",
  REGEXMATCH(LOWER(VLOOKUP(A317, Data1_Raw_Slack!A:B, 2, FALSE)), ""age|gender|dem"&amp;"ographic|family|household""), ""Demographics"",
  REGEXMATCH(LOWER(VLOOKUP(A317, Data1_Raw_Slack!A:B, 2, FALSE)), ""mortgage|real estate""), ""Real Estate"",REGEXMATCH(LOWER(VLOOKUP(A317, Data1_Raw_Slack!A:B, 2, FALSE)), ""technology|tech|gadgets|smartpho"&amp;"ne|electro|apps|devices|computing|ai|robots|software|computer|internet|tele|mobile|tablet""), ""Technology"", REGEXMATCH(LOWER(VLOOKUP(A317, Data1_Raw_Slack!A:B, 2, FALSE)), ""entertainment|purchas|movies|tv|netflix|streaming|celebrity|movie lovers|tv fan"&amp;"s|media|hobb|photo|art|shop""), ""Entertainment"", REGEXMATCH(LOWER(VLOOKUP(A317, Data1_Raw_Slack!A:B, 2, FALSE)), ""law|government|""), ""Law and Government"",
  TRUE, ""Other""
)"),"Finance")</f>
        <v>Finance</v>
      </c>
      <c r="G317" s="9" t="s">
        <v>209</v>
      </c>
      <c r="H317" s="9" t="s">
        <v>44</v>
      </c>
      <c r="I317" s="9" t="s">
        <v>1254</v>
      </c>
      <c r="J317" s="9" t="s">
        <v>46</v>
      </c>
      <c r="K317" s="9" t="s">
        <v>236</v>
      </c>
      <c r="L317" s="9" t="s">
        <v>82</v>
      </c>
      <c r="M317" s="10" t="s">
        <v>398</v>
      </c>
      <c r="N317" s="9" t="str">
        <f ca="1">IFERROR(__xludf.DUMMYFUNCTION("REGEXEXTRACT(LOWER(M317), ""([a-z0-9\-]+)\.(?:co|net|org|io|gg)"")"),"kbb")</f>
        <v>kbb</v>
      </c>
      <c r="O317" s="9" t="s">
        <v>157</v>
      </c>
      <c r="P317" s="9" t="s">
        <v>39</v>
      </c>
      <c r="Q317" s="9">
        <v>49014</v>
      </c>
      <c r="R317" s="9">
        <v>100</v>
      </c>
      <c r="S317" s="9">
        <v>30349</v>
      </c>
      <c r="T317" s="9">
        <v>46446</v>
      </c>
      <c r="U317" s="9">
        <v>6</v>
      </c>
      <c r="V317" s="11">
        <v>3628.3461699999998</v>
      </c>
      <c r="W317" s="12">
        <f t="shared" si="7"/>
        <v>604.7243616666666</v>
      </c>
      <c r="X317" s="12">
        <f t="shared" si="8"/>
        <v>0.20402334027012689</v>
      </c>
      <c r="Y317" s="12">
        <f t="shared" si="9"/>
        <v>61.919043538580809</v>
      </c>
      <c r="Z317" s="12">
        <f t="shared" si="10"/>
        <v>119.55406010082704</v>
      </c>
      <c r="AA317" s="12">
        <f t="shared" si="11"/>
        <v>74.02673052597217</v>
      </c>
      <c r="AB317" s="12">
        <f t="shared" si="12"/>
        <v>36.283461699999997</v>
      </c>
      <c r="AC317" s="12">
        <f t="shared" si="13"/>
        <v>6</v>
      </c>
      <c r="AE317" s="13"/>
      <c r="AF317" s="13"/>
    </row>
    <row r="318" spans="1:32">
      <c r="A318" s="8" t="s">
        <v>1255</v>
      </c>
      <c r="B318" s="9" t="s">
        <v>41</v>
      </c>
      <c r="C318" s="9" t="s">
        <v>127</v>
      </c>
      <c r="D318" s="9" t="s">
        <v>395</v>
      </c>
      <c r="E318" s="9" t="s">
        <v>1256</v>
      </c>
      <c r="F318" s="9" t="str">
        <f ca="1">IFERROR(__xludf.DUMMYFUNCTION("IFS(
  REGEXMATCH(LOWER(VLOOKUP(A318, Data1_Raw_Slack!A:B, 2, FALSE)), ""news|weather""), ""News and Weather"", REGEXMATCH(LOWER(VLOOKUP(A318, Data1_Raw_Slack!A:B, 2, FALSE)), ""sports|ufc|nba|nfl|mlb|soccer|sports fans""), ""Sports"",
  REGEXMATCH(LOWER("&amp;"VLOOKUP(A318, Data1_Raw_Slack!A:B, 2, FALSE)), ""fashion|style|clothing|apparel|shoes|accessories|beauty|cosmetics|fashionistas""), ""Fashion and Beauty"",
  REGEXMATCH(LOWER(VLOOKUP(A318, Data1_Raw_Slack!A:B, 2, FALSE)), ""food|cooking|recipe|restaurant|"&amp;"snack|grocery|foodies""), ""Food"",
  REGEXMATCH(LOWER(VLOOKUP(A318, Data1_Raw_Slack!A:B, 2, FALSE)), ""travel|vacation|airline|hotel|trip|flights|travelers""), ""Travel"",
  REGEXMATCH(LOWER(VLOOKUP(A318, Data1_Raw_Slack!A:B, 2, FALSE)), ""fitness|workou"&amp;"t|gym|exercise|yoga|wellness|fitness enthusiasts""), ""Fitness"",
  REGEXMATCH(LOWER(VLOOKUP(A318, Data1_Raw_Slack!A:B, 2, FALSE)), ""health|medical|pharmacy|mental health|doctor|health-conscious""), ""Health"",
  REGEXMATCH(LOWER(VLOOKUP(A318, Data1_Raw_"&amp;"Slack!A:B, 2, FALSE)), ""pets|dogs|cats|animals|pet care|pet lovers""), ""Pets"",
  REGEXMATCH(LOWER(VLOOKUP(A318, Data1_Raw_Slack!A:B, 2, FALSE)), ""games|gaming|game|xbox|playstation|nintendo|gamers""), ""Gaming"",
  REGEXMATCH(LOWER(VLOOKUP(A318, Data1"&amp;"_Raw_Slack!A:B, 2, FALSE)), ""entertainment|movies|tv|netflix|streaming|celebrity|movie lovers|tv fans|hobb|photo|art""), ""Entertainment"",
  REGEXMATCH(LOWER(VLOOKUP(A318, Data1_Raw_Slack!A:B, 2, FALSE)), ""lifestyle|home|interior|decor|living|lifestyle"&amp;" enthusiasts""), ""Lifestyle"",
  REGEXMATCH(LOWER(VLOOKUP(A318, Data1_Raw_Slack!A:B, 2, FALSE)), ""financial|finance|investing|stocks|retirement|banking|credit|debt|loans|savings|personal finance|insurance|econ|ecom|business|retail|occupation|sale|job|ma"&amp;"rketing""), ""Finance"",
  REGEXMATCH(LOWER(VLOOKUP(A318, Data1_Raw_Slack!A:B, 2, FALSE)), ""auto|automotive""), ""Auto"",
  REGEXMATCH(LOWER(VLOOKUP(A318, Data1_Raw_Slack!A:B, 2, FALSE)), ""parenting|moms|dads|kids|toddlers|baby|parent|children""), ""Par"&amp;"enting"",
  REGEXMATCH(LOWER(VLOOKUP(A318, Data1_Raw_Slack!A:B, 2, FALSE)), ""education|students|learning|school|teachers|college|university|academics""), ""Education"",
  REGEXMATCH(LOWER(VLOOKUP(A318, Data1_Raw_Slack!A:B, 2, FALSE)), ""age|gender|dem"&amp;"ographic|family|household""), ""Demographics"",
  REGEXMATCH(LOWER(VLOOKUP(A318, Data1_Raw_Slack!A:B, 2, FALSE)), ""mortgage|real estate""), ""Real Estate"",REGEXMATCH(LOWER(VLOOKUP(A318, Data1_Raw_Slack!A:B, 2, FALSE)), ""technology|tech|gadgets|smartpho"&amp;"ne|electro|apps|devices|computing|ai|robots|software|computer|internet|tele|mobile|tablet""), ""Technology"", REGEXMATCH(LOWER(VLOOKUP(A318, Data1_Raw_Slack!A:B, 2, FALSE)), ""entertainment|purchas|movies|tv|netflix|streaming|celebrity|movie lovers|tv fan"&amp;"s|media|hobb|photo|art|shop""), ""Entertainment"", REGEXMATCH(LOWER(VLOOKUP(A318, Data1_Raw_Slack!A:B, 2, FALSE)), ""law|government|""), ""Law and Government"",
  TRUE, ""Other""
)"),"Finance")</f>
        <v>Finance</v>
      </c>
      <c r="G318" s="9" t="s">
        <v>127</v>
      </c>
      <c r="H318" s="9" t="s">
        <v>44</v>
      </c>
      <c r="I318" s="9" t="s">
        <v>649</v>
      </c>
      <c r="J318" s="9" t="s">
        <v>62</v>
      </c>
      <c r="K318" s="9" t="s">
        <v>236</v>
      </c>
      <c r="L318" s="9" t="s">
        <v>82</v>
      </c>
      <c r="M318" s="10" t="s">
        <v>1257</v>
      </c>
      <c r="N318" s="9" t="str">
        <f ca="1">IFERROR(__xludf.DUMMYFUNCTION("REGEXEXTRACT(LOWER(M318), ""([a-z0-9\-]+)\.(?:co|net|org|io|gg)"")"),"pandora")</f>
        <v>pandora</v>
      </c>
      <c r="O318" s="9" t="s">
        <v>50</v>
      </c>
      <c r="P318" s="9" t="s">
        <v>75</v>
      </c>
      <c r="Q318" s="9">
        <v>24962</v>
      </c>
      <c r="R318" s="9">
        <v>75</v>
      </c>
      <c r="S318" s="9">
        <v>18450</v>
      </c>
      <c r="T318" s="9">
        <v>24128</v>
      </c>
      <c r="U318" s="9">
        <v>16</v>
      </c>
      <c r="V318" s="11">
        <v>6809.0560509999996</v>
      </c>
      <c r="W318" s="12">
        <f t="shared" si="7"/>
        <v>425.56600318749997</v>
      </c>
      <c r="X318" s="12">
        <f t="shared" si="8"/>
        <v>0.3004566941751462</v>
      </c>
      <c r="Y318" s="12">
        <f t="shared" si="9"/>
        <v>73.912346767085964</v>
      </c>
      <c r="Z318" s="12">
        <f t="shared" si="10"/>
        <v>369.05452850948507</v>
      </c>
      <c r="AA318" s="12">
        <f t="shared" si="11"/>
        <v>272.77686287156479</v>
      </c>
      <c r="AB318" s="12">
        <f t="shared" si="12"/>
        <v>90.787414013333333</v>
      </c>
      <c r="AC318" s="12">
        <f t="shared" si="13"/>
        <v>21.333333333333336</v>
      </c>
      <c r="AE318" s="13"/>
      <c r="AF318" s="13"/>
    </row>
    <row r="319" spans="1:32">
      <c r="A319" s="8" t="s">
        <v>1258</v>
      </c>
      <c r="B319" s="9" t="s">
        <v>378</v>
      </c>
      <c r="C319" s="9" t="s">
        <v>1259</v>
      </c>
      <c r="D319" s="9" t="s">
        <v>1260</v>
      </c>
      <c r="E319" s="9"/>
      <c r="F319" s="9" t="str">
        <f ca="1">IFERROR(__xludf.DUMMYFUNCTION("IFS(
  REGEXMATCH(LOWER(VLOOKUP(A319, Data1_Raw_Slack!A:B, 2, FALSE)), ""news|weather""), ""News and Weather"", REGEXMATCH(LOWER(VLOOKUP(A319, Data1_Raw_Slack!A:B, 2, FALSE)), ""sports|ufc|nba|nfl|mlb|soccer|sports fans""), ""Sports"",
  REGEXMATCH(LOWER("&amp;"VLOOKUP(A319, Data1_Raw_Slack!A:B, 2, FALSE)), ""fashion|style|clothing|apparel|shoes|accessories|beauty|cosmetics|fashionistas""), ""Fashion and Beauty"",
  REGEXMATCH(LOWER(VLOOKUP(A319, Data1_Raw_Slack!A:B, 2, FALSE)), ""food|cooking|recipe|restaurant|"&amp;"snack|grocery|foodies""), ""Food"",
  REGEXMATCH(LOWER(VLOOKUP(A319, Data1_Raw_Slack!A:B, 2, FALSE)), ""travel|vacation|airline|hotel|trip|flights|travelers""), ""Travel"",
  REGEXMATCH(LOWER(VLOOKUP(A319, Data1_Raw_Slack!A:B, 2, FALSE)), ""fitness|workou"&amp;"t|gym|exercise|yoga|wellness|fitness enthusiasts""), ""Fitness"",
  REGEXMATCH(LOWER(VLOOKUP(A319, Data1_Raw_Slack!A:B, 2, FALSE)), ""health|medical|pharmacy|mental health|doctor|health-conscious""), ""Health"",
  REGEXMATCH(LOWER(VLOOKUP(A319, Data1_Raw_"&amp;"Slack!A:B, 2, FALSE)), ""pets|dogs|cats|animals|pet care|pet lovers""), ""Pets"",
  REGEXMATCH(LOWER(VLOOKUP(A319, Data1_Raw_Slack!A:B, 2, FALSE)), ""games|gaming|game|xbox|playstation|nintendo|gamers""), ""Gaming"",
  REGEXMATCH(LOWER(VLOOKUP(A319, Data1"&amp;"_Raw_Slack!A:B, 2, FALSE)), ""entertainment|movies|tv|netflix|streaming|celebrity|movie lovers|tv fans|hobb|photo|art""), ""Entertainment"",
  REGEXMATCH(LOWER(VLOOKUP(A319, Data1_Raw_Slack!A:B, 2, FALSE)), ""lifestyle|home|interior|decor|living|lifestyle"&amp;" enthusiasts""), ""Lifestyle"",
  REGEXMATCH(LOWER(VLOOKUP(A319, Data1_Raw_Slack!A:B, 2, FALSE)), ""financial|finance|investing|stocks|retirement|banking|credit|debt|loans|savings|personal finance|insurance|econ|ecom|business|retail|occupation|sale|job|ma"&amp;"rketing""), ""Finance"",
  REGEXMATCH(LOWER(VLOOKUP(A319, Data1_Raw_Slack!A:B, 2, FALSE)), ""auto|automotive""), ""Auto"",
  REGEXMATCH(LOWER(VLOOKUP(A319, Data1_Raw_Slack!A:B, 2, FALSE)), ""parenting|moms|dads|kids|toddlers|baby|parent|children""), ""Par"&amp;"enting"",
  REGEXMATCH(LOWER(VLOOKUP(A319, Data1_Raw_Slack!A:B, 2, FALSE)), ""education|students|learning|school|teachers|college|university|academics""), ""Education"",
  REGEXMATCH(LOWER(VLOOKUP(A319, Data1_Raw_Slack!A:B, 2, FALSE)), ""age|gender|dem"&amp;"ographic|family|household""), ""Demographics"",
  REGEXMATCH(LOWER(VLOOKUP(A319, Data1_Raw_Slack!A:B, 2, FALSE)), ""mortgage|real estate""), ""Real Estate"",REGEXMATCH(LOWER(VLOOKUP(A319, Data1_Raw_Slack!A:B, 2, FALSE)), ""technology|tech|gadgets|smartpho"&amp;"ne|electro|apps|devices|computing|ai|robots|software|computer|internet|tele|mobile|tablet""), ""Technology"", REGEXMATCH(LOWER(VLOOKUP(A319, Data1_Raw_Slack!A:B, 2, FALSE)), ""entertainment|purchas|movies|tv|netflix|streaming|celebrity|movie lovers|tv fan"&amp;"s|media|hobb|photo|art|shop""), ""Entertainment"", REGEXMATCH(LOWER(VLOOKUP(A319, Data1_Raw_Slack!A:B, 2, FALSE)), ""law|government|""), ""Law and Government"",
  TRUE, ""Other""
)"),"Finance")</f>
        <v>Finance</v>
      </c>
      <c r="G319" s="9"/>
      <c r="H319" s="9" t="s">
        <v>32</v>
      </c>
      <c r="I319" s="9" t="s">
        <v>1261</v>
      </c>
      <c r="J319" s="9" t="s">
        <v>34</v>
      </c>
      <c r="K319" s="9" t="s">
        <v>236</v>
      </c>
      <c r="L319" s="9" t="s">
        <v>82</v>
      </c>
      <c r="M319" s="10" t="s">
        <v>112</v>
      </c>
      <c r="N319" s="9" t="str">
        <f ca="1">IFERROR(__xludf.DUMMYFUNCTION("REGEXEXTRACT(LOWER(M319), ""([a-z0-9\-]+)\.(?:co|net|org|io|gg)"")"),"ebay")</f>
        <v>ebay</v>
      </c>
      <c r="O319" s="9" t="s">
        <v>50</v>
      </c>
      <c r="P319" s="9" t="s">
        <v>39</v>
      </c>
      <c r="Q319" s="9">
        <v>126337</v>
      </c>
      <c r="R319" s="9">
        <v>325</v>
      </c>
      <c r="S319" s="9">
        <v>51394</v>
      </c>
      <c r="T319" s="9">
        <v>117635</v>
      </c>
      <c r="U319" s="9">
        <v>5</v>
      </c>
      <c r="V319" s="11">
        <v>1487.0882879999999</v>
      </c>
      <c r="W319" s="12">
        <f t="shared" si="7"/>
        <v>297.41765759999998</v>
      </c>
      <c r="X319" s="12">
        <f t="shared" si="8"/>
        <v>0.25724847036101856</v>
      </c>
      <c r="Y319" s="12">
        <f t="shared" si="9"/>
        <v>40.680085802259036</v>
      </c>
      <c r="Z319" s="12">
        <f t="shared" si="10"/>
        <v>28.935056387905203</v>
      </c>
      <c r="AA319" s="12">
        <f t="shared" si="11"/>
        <v>11.770805765531872</v>
      </c>
      <c r="AB319" s="12">
        <f t="shared" si="12"/>
        <v>4.5756562707692305</v>
      </c>
      <c r="AC319" s="12">
        <f t="shared" si="13"/>
        <v>1.5384615384615385</v>
      </c>
      <c r="AE319" s="13"/>
      <c r="AF319" s="13"/>
    </row>
    <row r="320" spans="1:32">
      <c r="A320" s="8" t="s">
        <v>1262</v>
      </c>
      <c r="B320" s="9" t="s">
        <v>498</v>
      </c>
      <c r="C320" s="9" t="s">
        <v>1263</v>
      </c>
      <c r="D320" s="9" t="s">
        <v>1264</v>
      </c>
      <c r="E320" s="9" t="s">
        <v>1265</v>
      </c>
      <c r="F320" s="9" t="str">
        <f ca="1">IFERROR(__xludf.DUMMYFUNCTION("IFS(
  REGEXMATCH(LOWER(VLOOKUP(A320, Data1_Raw_Slack!A:B, 2, FALSE)), ""news|weather""), ""News and Weather"", REGEXMATCH(LOWER(VLOOKUP(A320, Data1_Raw_Slack!A:B, 2, FALSE)), ""sports|ufc|nba|nfl|mlb|soccer|sports fans""), ""Sports"",
  REGEXMATCH(LOWER("&amp;"VLOOKUP(A320, Data1_Raw_Slack!A:B, 2, FALSE)), ""fashion|style|clothing|apparel|shoes|accessories|beauty|cosmetics|fashionistas""), ""Fashion and Beauty"",
  REGEXMATCH(LOWER(VLOOKUP(A320, Data1_Raw_Slack!A:B, 2, FALSE)), ""food|cooking|recipe|restaurant|"&amp;"snack|grocery|foodies""), ""Food"",
  REGEXMATCH(LOWER(VLOOKUP(A320, Data1_Raw_Slack!A:B, 2, FALSE)), ""travel|vacation|airline|hotel|trip|flights|travelers""), ""Travel"",
  REGEXMATCH(LOWER(VLOOKUP(A320, Data1_Raw_Slack!A:B, 2, FALSE)), ""fitness|workou"&amp;"t|gym|exercise|yoga|wellness|fitness enthusiasts""), ""Fitness"",
  REGEXMATCH(LOWER(VLOOKUP(A320, Data1_Raw_Slack!A:B, 2, FALSE)), ""health|medical|pharmacy|mental health|doctor|health-conscious""), ""Health"",
  REGEXMATCH(LOWER(VLOOKUP(A320, Data1_Raw_"&amp;"Slack!A:B, 2, FALSE)), ""pets|dogs|cats|animals|pet care|pet lovers""), ""Pets"",
  REGEXMATCH(LOWER(VLOOKUP(A320, Data1_Raw_Slack!A:B, 2, FALSE)), ""games|gaming|game|xbox|playstation|nintendo|gamers""), ""Gaming"",
  REGEXMATCH(LOWER(VLOOKUP(A320, Data1"&amp;"_Raw_Slack!A:B, 2, FALSE)), ""entertainment|movies|tv|netflix|streaming|celebrity|movie lovers|tv fans|hobb|photo|art""), ""Entertainment"",
  REGEXMATCH(LOWER(VLOOKUP(A320, Data1_Raw_Slack!A:B, 2, FALSE)), ""lifestyle|home|interior|decor|living|lifestyle"&amp;" enthusiasts""), ""Lifestyle"",
  REGEXMATCH(LOWER(VLOOKUP(A320, Data1_Raw_Slack!A:B, 2, FALSE)), ""financial|finance|investing|stocks|retirement|banking|credit|debt|loans|savings|personal finance|insurance|econ|ecom|business|retail|occupation|sale|job|ma"&amp;"rketing""), ""Finance"",
  REGEXMATCH(LOWER(VLOOKUP(A320, Data1_Raw_Slack!A:B, 2, FALSE)), ""auto|automotive""), ""Auto"",
  REGEXMATCH(LOWER(VLOOKUP(A320, Data1_Raw_Slack!A:B, 2, FALSE)), ""parenting|moms|dads|kids|toddlers|baby|parent|children""), ""Par"&amp;"enting"",
  REGEXMATCH(LOWER(VLOOKUP(A320, Data1_Raw_Slack!A:B, 2, FALSE)), ""education|students|learning|school|teachers|college|university|academics""), ""Education"",
  REGEXMATCH(LOWER(VLOOKUP(A320, Data1_Raw_Slack!A:B, 2, FALSE)), ""age|gender|dem"&amp;"ographic|family|household""), ""Demographics"",
  REGEXMATCH(LOWER(VLOOKUP(A320, Data1_Raw_Slack!A:B, 2, FALSE)), ""mortgage|real estate""), ""Real Estate"",REGEXMATCH(LOWER(VLOOKUP(A320, Data1_Raw_Slack!A:B, 2, FALSE)), ""technology|tech|gadgets|smartpho"&amp;"ne|electro|apps|devices|computing|ai|robots|software|computer|internet|tele|mobile|tablet""), ""Technology"", REGEXMATCH(LOWER(VLOOKUP(A320, Data1_Raw_Slack!A:B, 2, FALSE)), ""entertainment|purchas|movies|tv|netflix|streaming|celebrity|movie lovers|tv fan"&amp;"s|media|hobb|photo|art|shop""), ""Entertainment"", REGEXMATCH(LOWER(VLOOKUP(A320, Data1_Raw_Slack!A:B, 2, FALSE)), ""law|government|""), ""Law and Government"",
  TRUE, ""Other""
)"),"Lifestyle")</f>
        <v>Lifestyle</v>
      </c>
      <c r="G320" s="9"/>
      <c r="H320" s="9" t="s">
        <v>44</v>
      </c>
      <c r="I320" s="9" t="s">
        <v>1191</v>
      </c>
      <c r="J320" s="9" t="s">
        <v>46</v>
      </c>
      <c r="K320" s="9" t="s">
        <v>148</v>
      </c>
      <c r="L320" s="9" t="s">
        <v>89</v>
      </c>
      <c r="M320" s="10" t="s">
        <v>112</v>
      </c>
      <c r="N320" s="9" t="str">
        <f ca="1">IFERROR(__xludf.DUMMYFUNCTION("REGEXEXTRACT(LOWER(M320), ""([a-z0-9\-]+)\.(?:co|net|org|io|gg)"")"),"ebay")</f>
        <v>ebay</v>
      </c>
      <c r="O320" s="9" t="s">
        <v>74</v>
      </c>
      <c r="P320" s="9" t="s">
        <v>39</v>
      </c>
      <c r="Q320" s="9">
        <v>13326</v>
      </c>
      <c r="R320" s="9">
        <v>98</v>
      </c>
      <c r="S320" s="9">
        <v>3568</v>
      </c>
      <c r="T320" s="9">
        <v>11388</v>
      </c>
      <c r="U320" s="9">
        <v>2</v>
      </c>
      <c r="V320" s="11">
        <v>1442.032183</v>
      </c>
      <c r="W320" s="12">
        <f t="shared" si="7"/>
        <v>721.01609150000002</v>
      </c>
      <c r="X320" s="12">
        <f t="shared" si="8"/>
        <v>0.73540447245985296</v>
      </c>
      <c r="Y320" s="12">
        <f t="shared" si="9"/>
        <v>26.774726099354645</v>
      </c>
      <c r="Z320" s="12">
        <f t="shared" si="10"/>
        <v>404.1570019618834</v>
      </c>
      <c r="AA320" s="12">
        <f t="shared" si="11"/>
        <v>108.21193028665766</v>
      </c>
      <c r="AB320" s="12">
        <f t="shared" si="12"/>
        <v>14.714614112244899</v>
      </c>
      <c r="AC320" s="12">
        <f t="shared" si="13"/>
        <v>2.0408163265306123</v>
      </c>
      <c r="AE320" s="13"/>
      <c r="AF320" s="13"/>
    </row>
    <row r="321" spans="1:32">
      <c r="A321" s="8" t="s">
        <v>1266</v>
      </c>
      <c r="B321" s="9" t="s">
        <v>41</v>
      </c>
      <c r="C321" s="9" t="s">
        <v>120</v>
      </c>
      <c r="D321" s="9" t="s">
        <v>1267</v>
      </c>
      <c r="E321" s="9"/>
      <c r="F321" s="9" t="str">
        <f ca="1">IFERROR(__xludf.DUMMYFUNCTION("IFS(
  REGEXMATCH(LOWER(VLOOKUP(A321, Data1_Raw_Slack!A:B, 2, FALSE)), ""news|weather""), ""News and Weather"", REGEXMATCH(LOWER(VLOOKUP(A321, Data1_Raw_Slack!A:B, 2, FALSE)), ""sports|ufc|nba|nfl|mlb|soccer|sports fans""), ""Sports"",
  REGEXMATCH(LOWER("&amp;"VLOOKUP(A321, Data1_Raw_Slack!A:B, 2, FALSE)), ""fashion|style|clothing|apparel|shoes|accessories|beauty|cosmetics|fashionistas""), ""Fashion and Beauty"",
  REGEXMATCH(LOWER(VLOOKUP(A321, Data1_Raw_Slack!A:B, 2, FALSE)), ""food|cooking|recipe|restaurant|"&amp;"snack|grocery|foodies""), ""Food"",
  REGEXMATCH(LOWER(VLOOKUP(A321, Data1_Raw_Slack!A:B, 2, FALSE)), ""travel|vacation|airline|hotel|trip|flights|travelers""), ""Travel"",
  REGEXMATCH(LOWER(VLOOKUP(A321, Data1_Raw_Slack!A:B, 2, FALSE)), ""fitness|workou"&amp;"t|gym|exercise|yoga|wellness|fitness enthusiasts""), ""Fitness"",
  REGEXMATCH(LOWER(VLOOKUP(A321, Data1_Raw_Slack!A:B, 2, FALSE)), ""health|medical|pharmacy|mental health|doctor|health-conscious""), ""Health"",
  REGEXMATCH(LOWER(VLOOKUP(A321, Data1_Raw_"&amp;"Slack!A:B, 2, FALSE)), ""pets|dogs|cats|animals|pet care|pet lovers""), ""Pets"",
  REGEXMATCH(LOWER(VLOOKUP(A321, Data1_Raw_Slack!A:B, 2, FALSE)), ""games|gaming|game|xbox|playstation|nintendo|gamers""), ""Gaming"",
  REGEXMATCH(LOWER(VLOOKUP(A321, Data1"&amp;"_Raw_Slack!A:B, 2, FALSE)), ""entertainment|movies|tv|netflix|streaming|celebrity|movie lovers|tv fans|hobb|photo|art""), ""Entertainment"",
  REGEXMATCH(LOWER(VLOOKUP(A321, Data1_Raw_Slack!A:B, 2, FALSE)), ""lifestyle|home|interior|decor|living|lifestyle"&amp;" enthusiasts""), ""Lifestyle"",
  REGEXMATCH(LOWER(VLOOKUP(A321, Data1_Raw_Slack!A:B, 2, FALSE)), ""financial|finance|investing|stocks|retirement|banking|credit|debt|loans|savings|personal finance|insurance|econ|ecom|business|retail|occupation|sale|job|ma"&amp;"rketing""), ""Finance"",
  REGEXMATCH(LOWER(VLOOKUP(A321, Data1_Raw_Slack!A:B, 2, FALSE)), ""auto|automotive""), ""Auto"",
  REGEXMATCH(LOWER(VLOOKUP(A321, Data1_Raw_Slack!A:B, 2, FALSE)), ""parenting|moms|dads|kids|toddlers|baby|parent|children""), ""Par"&amp;"enting"",
  REGEXMATCH(LOWER(VLOOKUP(A321, Data1_Raw_Slack!A:B, 2, FALSE)), ""education|students|learning|school|teachers|college|university|academics""), ""Education"",
  REGEXMATCH(LOWER(VLOOKUP(A321, Data1_Raw_Slack!A:B, 2, FALSE)), ""age|gender|dem"&amp;"ographic|family|household""), ""Demographics"",
  REGEXMATCH(LOWER(VLOOKUP(A321, Data1_Raw_Slack!A:B, 2, FALSE)), ""mortgage|real estate""), ""Real Estate"",REGEXMATCH(LOWER(VLOOKUP(A321, Data1_Raw_Slack!A:B, 2, FALSE)), ""technology|tech|gadgets|smartpho"&amp;"ne|electro|apps|devices|computing|ai|robots|software|computer|internet|tele|mobile|tablet""), ""Technology"", REGEXMATCH(LOWER(VLOOKUP(A321, Data1_Raw_Slack!A:B, 2, FALSE)), ""entertainment|purchas|movies|tv|netflix|streaming|celebrity|movie lovers|tv fan"&amp;"s|media|hobb|photo|art|shop""), ""Entertainment"", REGEXMATCH(LOWER(VLOOKUP(A321, Data1_Raw_Slack!A:B, 2, FALSE)), ""law|government|""), ""Law and Government"",
  TRUE, ""Other""
)"),"Entertainment")</f>
        <v>Entertainment</v>
      </c>
      <c r="G321" s="9" t="s">
        <v>122</v>
      </c>
      <c r="H321" s="9" t="s">
        <v>44</v>
      </c>
      <c r="I321" s="9" t="s">
        <v>1268</v>
      </c>
      <c r="J321" s="9" t="s">
        <v>80</v>
      </c>
      <c r="K321" s="9" t="s">
        <v>443</v>
      </c>
      <c r="L321" s="9" t="s">
        <v>72</v>
      </c>
      <c r="M321" s="10" t="s">
        <v>354</v>
      </c>
      <c r="N321" s="9" t="str">
        <f ca="1">IFERROR(__xludf.DUMMYFUNCTION("REGEXEXTRACT(LOWER(M321), ""([a-z0-9\-]+)\.(?:co|net|org|io|gg)"")"),"yahoo")</f>
        <v>yahoo</v>
      </c>
      <c r="O321" s="9" t="s">
        <v>50</v>
      </c>
      <c r="P321" s="9" t="s">
        <v>75</v>
      </c>
      <c r="Q321" s="9">
        <v>84460</v>
      </c>
      <c r="R321" s="9">
        <v>209</v>
      </c>
      <c r="S321" s="9">
        <v>13169</v>
      </c>
      <c r="T321" s="9">
        <v>26688</v>
      </c>
      <c r="U321" s="9">
        <v>1</v>
      </c>
      <c r="V321" s="11">
        <v>4279.230955</v>
      </c>
      <c r="W321" s="12">
        <f t="shared" si="7"/>
        <v>4279.230955</v>
      </c>
      <c r="X321" s="12">
        <f t="shared" si="8"/>
        <v>0.24745441629173576</v>
      </c>
      <c r="Y321" s="12">
        <f t="shared" si="9"/>
        <v>15.591996211224249</v>
      </c>
      <c r="Z321" s="12">
        <f t="shared" si="10"/>
        <v>324.94729706128027</v>
      </c>
      <c r="AA321" s="12">
        <f t="shared" si="11"/>
        <v>50.665770246270426</v>
      </c>
      <c r="AB321" s="12">
        <f t="shared" si="12"/>
        <v>20.474789258373207</v>
      </c>
      <c r="AC321" s="12">
        <f t="shared" si="13"/>
        <v>0.4784688995215311</v>
      </c>
      <c r="AE321" s="13"/>
      <c r="AF321" s="13"/>
    </row>
    <row r="322" spans="1:32">
      <c r="A322" s="8" t="s">
        <v>1269</v>
      </c>
      <c r="B322" s="9" t="s">
        <v>41</v>
      </c>
      <c r="C322" s="9" t="s">
        <v>145</v>
      </c>
      <c r="D322" s="9" t="s">
        <v>1270</v>
      </c>
      <c r="E322" s="9"/>
      <c r="F322" s="9" t="str">
        <f ca="1">IFERROR(__xludf.DUMMYFUNCTION("IFS(
  REGEXMATCH(LOWER(VLOOKUP(A322, Data1_Raw_Slack!A:B, 2, FALSE)), ""news|weather""), ""News and Weather"", REGEXMATCH(LOWER(VLOOKUP(A322, Data1_Raw_Slack!A:B, 2, FALSE)), ""sports|ufc|nba|nfl|mlb|soccer|sports fans""), ""Sports"",
  REGEXMATCH(LOWER("&amp;"VLOOKUP(A322, Data1_Raw_Slack!A:B, 2, FALSE)), ""fashion|style|clothing|apparel|shoes|accessories|beauty|cosmetics|fashionistas""), ""Fashion and Beauty"",
  REGEXMATCH(LOWER(VLOOKUP(A322, Data1_Raw_Slack!A:B, 2, FALSE)), ""food|cooking|recipe|restaurant|"&amp;"snack|grocery|foodies""), ""Food"",
  REGEXMATCH(LOWER(VLOOKUP(A322, Data1_Raw_Slack!A:B, 2, FALSE)), ""travel|vacation|airline|hotel|trip|flights|travelers""), ""Travel"",
  REGEXMATCH(LOWER(VLOOKUP(A322, Data1_Raw_Slack!A:B, 2, FALSE)), ""fitness|workou"&amp;"t|gym|exercise|yoga|wellness|fitness enthusiasts""), ""Fitness"",
  REGEXMATCH(LOWER(VLOOKUP(A322, Data1_Raw_Slack!A:B, 2, FALSE)), ""health|medical|pharmacy|mental health|doctor|health-conscious""), ""Health"",
  REGEXMATCH(LOWER(VLOOKUP(A322, Data1_Raw_"&amp;"Slack!A:B, 2, FALSE)), ""pets|dogs|cats|animals|pet care|pet lovers""), ""Pets"",
  REGEXMATCH(LOWER(VLOOKUP(A322, Data1_Raw_Slack!A:B, 2, FALSE)), ""games|gaming|game|xbox|playstation|nintendo|gamers""), ""Gaming"",
  REGEXMATCH(LOWER(VLOOKUP(A322, Data1"&amp;"_Raw_Slack!A:B, 2, FALSE)), ""entertainment|movies|tv|netflix|streaming|celebrity|movie lovers|tv fans|hobb|photo|art""), ""Entertainment"",
  REGEXMATCH(LOWER(VLOOKUP(A322, Data1_Raw_Slack!A:B, 2, FALSE)), ""lifestyle|home|interior|decor|living|lifestyle"&amp;" enthusiasts""), ""Lifestyle"",
  REGEXMATCH(LOWER(VLOOKUP(A322, Data1_Raw_Slack!A:B, 2, FALSE)), ""financial|finance|investing|stocks|retirement|banking|credit|debt|loans|savings|personal finance|insurance|econ|ecom|business|retail|occupation|sale|job|ma"&amp;"rketing""), ""Finance"",
  REGEXMATCH(LOWER(VLOOKUP(A322, Data1_Raw_Slack!A:B, 2, FALSE)), ""auto|automotive""), ""Auto"",
  REGEXMATCH(LOWER(VLOOKUP(A322, Data1_Raw_Slack!A:B, 2, FALSE)), ""parenting|moms|dads|kids|toddlers|baby|parent|children""), ""Par"&amp;"enting"",
  REGEXMATCH(LOWER(VLOOKUP(A322, Data1_Raw_Slack!A:B, 2, FALSE)), ""education|students|learning|school|teachers|college|university|academics""), ""Education"",
  REGEXMATCH(LOWER(VLOOKUP(A322, Data1_Raw_Slack!A:B, 2, FALSE)), ""age|gender|dem"&amp;"ographic|family|household""), ""Demographics"",
  REGEXMATCH(LOWER(VLOOKUP(A322, Data1_Raw_Slack!A:B, 2, FALSE)), ""mortgage|real estate""), ""Real Estate"",REGEXMATCH(LOWER(VLOOKUP(A322, Data1_Raw_Slack!A:B, 2, FALSE)), ""technology|tech|gadgets|smartpho"&amp;"ne|electro|apps|devices|computing|ai|robots|software|computer|internet|tele|mobile|tablet""), ""Technology"", REGEXMATCH(LOWER(VLOOKUP(A322, Data1_Raw_Slack!A:B, 2, FALSE)), ""entertainment|purchas|movies|tv|netflix|streaming|celebrity|movie lovers|tv fan"&amp;"s|media|hobb|photo|art|shop""), ""Entertainment"", REGEXMATCH(LOWER(VLOOKUP(A322, Data1_Raw_Slack!A:B, 2, FALSE)), ""law|government|""), ""Law and Government"",
  TRUE, ""Other""
)"),"News and Weather")</f>
        <v>News and Weather</v>
      </c>
      <c r="G322" s="9" t="s">
        <v>145</v>
      </c>
      <c r="H322" s="9" t="s">
        <v>32</v>
      </c>
      <c r="I322" s="9" t="s">
        <v>1271</v>
      </c>
      <c r="J322" s="9" t="s">
        <v>62</v>
      </c>
      <c r="K322" s="9" t="s">
        <v>56</v>
      </c>
      <c r="L322" s="9" t="s">
        <v>57</v>
      </c>
      <c r="M322" s="10" t="s">
        <v>1272</v>
      </c>
      <c r="N322" s="9" t="str">
        <f ca="1">IFERROR(__xludf.DUMMYFUNCTION("REGEXEXTRACT(LOWER(M322), ""([a-z0-9\-]+)\.(?:co|net|org|io|gg)"")"),"calculator")</f>
        <v>calculator</v>
      </c>
      <c r="O322" s="9" t="s">
        <v>74</v>
      </c>
      <c r="P322" s="9" t="s">
        <v>39</v>
      </c>
      <c r="Q322" s="9">
        <v>37176</v>
      </c>
      <c r="R322" s="9">
        <v>100</v>
      </c>
      <c r="S322" s="9">
        <v>31829</v>
      </c>
      <c r="T322" s="9">
        <v>35639</v>
      </c>
      <c r="U322" s="9">
        <v>21</v>
      </c>
      <c r="V322" s="11">
        <v>6753.5952420000003</v>
      </c>
      <c r="W322" s="12">
        <f t="shared" si="7"/>
        <v>321.59977342857144</v>
      </c>
      <c r="X322" s="12">
        <f t="shared" si="8"/>
        <v>0.26899074671831291</v>
      </c>
      <c r="Y322" s="12">
        <f t="shared" si="9"/>
        <v>85.617064772971801</v>
      </c>
      <c r="Z322" s="12">
        <f t="shared" si="10"/>
        <v>212.18370800213643</v>
      </c>
      <c r="AA322" s="12">
        <f t="shared" si="11"/>
        <v>181.66546271788249</v>
      </c>
      <c r="AB322" s="12">
        <f t="shared" si="12"/>
        <v>67.535952420000001</v>
      </c>
      <c r="AC322" s="12">
        <f t="shared" si="13"/>
        <v>21</v>
      </c>
      <c r="AE322" s="13"/>
      <c r="AF322" s="13"/>
    </row>
    <row r="323" spans="1:32">
      <c r="A323" s="8" t="s">
        <v>1273</v>
      </c>
      <c r="B323" s="9" t="s">
        <v>41</v>
      </c>
      <c r="C323" s="9" t="s">
        <v>85</v>
      </c>
      <c r="D323" s="9" t="s">
        <v>1274</v>
      </c>
      <c r="E323" s="9"/>
      <c r="F323" s="9" t="str">
        <f ca="1">IFERROR(__xludf.DUMMYFUNCTION("IFS(
  REGEXMATCH(LOWER(VLOOKUP(A323, Data1_Raw_Slack!A:B, 2, FALSE)), ""news|weather""), ""News and Weather"", REGEXMATCH(LOWER(VLOOKUP(A323, Data1_Raw_Slack!A:B, 2, FALSE)), ""sports|ufc|nba|nfl|mlb|soccer|sports fans""), ""Sports"",
  REGEXMATCH(LOWER("&amp;"VLOOKUP(A323, Data1_Raw_Slack!A:B, 2, FALSE)), ""fashion|style|clothing|apparel|shoes|accessories|beauty|cosmetics|fashionistas""), ""Fashion and Beauty"",
  REGEXMATCH(LOWER(VLOOKUP(A323, Data1_Raw_Slack!A:B, 2, FALSE)), ""food|cooking|recipe|restaurant|"&amp;"snack|grocery|foodies""), ""Food"",
  REGEXMATCH(LOWER(VLOOKUP(A323, Data1_Raw_Slack!A:B, 2, FALSE)), ""travel|vacation|airline|hotel|trip|flights|travelers""), ""Travel"",
  REGEXMATCH(LOWER(VLOOKUP(A323, Data1_Raw_Slack!A:B, 2, FALSE)), ""fitness|workou"&amp;"t|gym|exercise|yoga|wellness|fitness enthusiasts""), ""Fitness"",
  REGEXMATCH(LOWER(VLOOKUP(A323, Data1_Raw_Slack!A:B, 2, FALSE)), ""health|medical|pharmacy|mental health|doctor|health-conscious""), ""Health"",
  REGEXMATCH(LOWER(VLOOKUP(A323, Data1_Raw_"&amp;"Slack!A:B, 2, FALSE)), ""pets|dogs|cats|animals|pet care|pet lovers""), ""Pets"",
  REGEXMATCH(LOWER(VLOOKUP(A323, Data1_Raw_Slack!A:B, 2, FALSE)), ""games|gaming|game|xbox|playstation|nintendo|gamers""), ""Gaming"",
  REGEXMATCH(LOWER(VLOOKUP(A323, Data1"&amp;"_Raw_Slack!A:B, 2, FALSE)), ""entertainment|movies|tv|netflix|streaming|celebrity|movie lovers|tv fans|hobb|photo|art""), ""Entertainment"",
  REGEXMATCH(LOWER(VLOOKUP(A323, Data1_Raw_Slack!A:B, 2, FALSE)), ""lifestyle|home|interior|decor|living|lifestyle"&amp;" enthusiasts""), ""Lifestyle"",
  REGEXMATCH(LOWER(VLOOKUP(A323, Data1_Raw_Slack!A:B, 2, FALSE)), ""financial|finance|investing|stocks|retirement|banking|credit|debt|loans|savings|personal finance|insurance|econ|ecom|business|retail|occupation|sale|job|ma"&amp;"rketing""), ""Finance"",
  REGEXMATCH(LOWER(VLOOKUP(A323, Data1_Raw_Slack!A:B, 2, FALSE)), ""auto|automotive""), ""Auto"",
  REGEXMATCH(LOWER(VLOOKUP(A323, Data1_Raw_Slack!A:B, 2, FALSE)), ""parenting|moms|dads|kids|toddlers|baby|parent|children""), ""Par"&amp;"enting"",
  REGEXMATCH(LOWER(VLOOKUP(A323, Data1_Raw_Slack!A:B, 2, FALSE)), ""education|students|learning|school|teachers|college|university|academics""), ""Education"",
  REGEXMATCH(LOWER(VLOOKUP(A323, Data1_Raw_Slack!A:B, 2, FALSE)), ""age|gender|dem"&amp;"ographic|family|household""), ""Demographics"",
  REGEXMATCH(LOWER(VLOOKUP(A323, Data1_Raw_Slack!A:B, 2, FALSE)), ""mortgage|real estate""), ""Real Estate"",REGEXMATCH(LOWER(VLOOKUP(A323, Data1_Raw_Slack!A:B, 2, FALSE)), ""technology|tech|gadgets|smartpho"&amp;"ne|electro|apps|devices|computing|ai|robots|software|computer|internet|tele|mobile|tablet""), ""Technology"", REGEXMATCH(LOWER(VLOOKUP(A323, Data1_Raw_Slack!A:B, 2, FALSE)), ""entertainment|purchas|movies|tv|netflix|streaming|celebrity|movie lovers|tv fan"&amp;"s|media|hobb|photo|art|shop""), ""Entertainment"", REGEXMATCH(LOWER(VLOOKUP(A323, Data1_Raw_Slack!A:B, 2, FALSE)), ""law|government|""), ""Law and Government"",
  TRUE, ""Other""
)"),"Travel")</f>
        <v>Travel</v>
      </c>
      <c r="G323" s="9" t="s">
        <v>85</v>
      </c>
      <c r="H323" s="9" t="s">
        <v>44</v>
      </c>
      <c r="I323" s="9" t="s">
        <v>1275</v>
      </c>
      <c r="J323" s="9" t="s">
        <v>34</v>
      </c>
      <c r="K323" s="9" t="s">
        <v>56</v>
      </c>
      <c r="L323" s="9" t="s">
        <v>57</v>
      </c>
      <c r="M323" s="10" t="s">
        <v>37</v>
      </c>
      <c r="N323" s="9" t="str">
        <f ca="1">IFERROR(__xludf.DUMMYFUNCTION("REGEXEXTRACT(LOWER(M323), ""([a-z0-9\-]+)\.(?:co|net|org|io|gg)"")"),"cars")</f>
        <v>cars</v>
      </c>
      <c r="O323" s="9" t="s">
        <v>103</v>
      </c>
      <c r="P323" s="9" t="s">
        <v>75</v>
      </c>
      <c r="Q323" s="9">
        <v>45711</v>
      </c>
      <c r="R323" s="9">
        <v>130</v>
      </c>
      <c r="S323" s="9">
        <v>23052</v>
      </c>
      <c r="T323" s="9">
        <v>42375</v>
      </c>
      <c r="U323" s="9">
        <v>11</v>
      </c>
      <c r="V323" s="11">
        <v>6417.8761690000001</v>
      </c>
      <c r="W323" s="12">
        <f t="shared" si="7"/>
        <v>583.44328809090905</v>
      </c>
      <c r="X323" s="12">
        <f t="shared" si="8"/>
        <v>0.28439544092231628</v>
      </c>
      <c r="Y323" s="12">
        <f t="shared" si="9"/>
        <v>50.429874647240268</v>
      </c>
      <c r="Z323" s="12">
        <f t="shared" si="10"/>
        <v>278.40864866389029</v>
      </c>
      <c r="AA323" s="12">
        <f t="shared" si="11"/>
        <v>140.40113252827547</v>
      </c>
      <c r="AB323" s="12">
        <f t="shared" si="12"/>
        <v>49.368278223076921</v>
      </c>
      <c r="AC323" s="12">
        <f t="shared" si="13"/>
        <v>8.4615384615384617</v>
      </c>
      <c r="AE323" s="13"/>
      <c r="AF323" s="13"/>
    </row>
    <row r="324" spans="1:32">
      <c r="A324" s="8" t="s">
        <v>1276</v>
      </c>
      <c r="B324" s="9" t="s">
        <v>66</v>
      </c>
      <c r="C324" s="9" t="s">
        <v>67</v>
      </c>
      <c r="D324" s="9" t="s">
        <v>1277</v>
      </c>
      <c r="E324" s="9"/>
      <c r="F324" s="9" t="str">
        <f ca="1">IFERROR(__xludf.DUMMYFUNCTION("IFS(
  REGEXMATCH(LOWER(VLOOKUP(A324, Data1_Raw_Slack!A:B, 2, FALSE)), ""news|weather""), ""News and Weather"", REGEXMATCH(LOWER(VLOOKUP(A324, Data1_Raw_Slack!A:B, 2, FALSE)), ""sports|ufc|nba|nfl|mlb|soccer|sports fans""), ""Sports"",
  REGEXMATCH(LOWER("&amp;"VLOOKUP(A324, Data1_Raw_Slack!A:B, 2, FALSE)), ""fashion|style|clothing|apparel|shoes|accessories|beauty|cosmetics|fashionistas""), ""Fashion and Beauty"",
  REGEXMATCH(LOWER(VLOOKUP(A324, Data1_Raw_Slack!A:B, 2, FALSE)), ""food|cooking|recipe|restaurant|"&amp;"snack|grocery|foodies""), ""Food"",
  REGEXMATCH(LOWER(VLOOKUP(A324, Data1_Raw_Slack!A:B, 2, FALSE)), ""travel|vacation|airline|hotel|trip|flights|travelers""), ""Travel"",
  REGEXMATCH(LOWER(VLOOKUP(A324, Data1_Raw_Slack!A:B, 2, FALSE)), ""fitness|workou"&amp;"t|gym|exercise|yoga|wellness|fitness enthusiasts""), ""Fitness"",
  REGEXMATCH(LOWER(VLOOKUP(A324, Data1_Raw_Slack!A:B, 2, FALSE)), ""health|medical|pharmacy|mental health|doctor|health-conscious""), ""Health"",
  REGEXMATCH(LOWER(VLOOKUP(A324, Data1_Raw_"&amp;"Slack!A:B, 2, FALSE)), ""pets|dogs|cats|animals|pet care|pet lovers""), ""Pets"",
  REGEXMATCH(LOWER(VLOOKUP(A324, Data1_Raw_Slack!A:B, 2, FALSE)), ""games|gaming|game|xbox|playstation|nintendo|gamers""), ""Gaming"",
  REGEXMATCH(LOWER(VLOOKUP(A324, Data1"&amp;"_Raw_Slack!A:B, 2, FALSE)), ""entertainment|movies|tv|netflix|streaming|celebrity|movie lovers|tv fans|hobb|photo|art""), ""Entertainment"",
  REGEXMATCH(LOWER(VLOOKUP(A324, Data1_Raw_Slack!A:B, 2, FALSE)), ""lifestyle|home|interior|decor|living|lifestyle"&amp;" enthusiasts""), ""Lifestyle"",
  REGEXMATCH(LOWER(VLOOKUP(A324, Data1_Raw_Slack!A:B, 2, FALSE)), ""financial|finance|investing|stocks|retirement|banking|credit|debt|loans|savings|personal finance|insurance|econ|ecom|business|retail|occupation|sale|job|ma"&amp;"rketing""), ""Finance"",
  REGEXMATCH(LOWER(VLOOKUP(A324, Data1_Raw_Slack!A:B, 2, FALSE)), ""auto|automotive""), ""Auto"",
  REGEXMATCH(LOWER(VLOOKUP(A324, Data1_Raw_Slack!A:B, 2, FALSE)), ""parenting|moms|dads|kids|toddlers|baby|parent|children""), ""Par"&amp;"enting"",
  REGEXMATCH(LOWER(VLOOKUP(A324, Data1_Raw_Slack!A:B, 2, FALSE)), ""education|students|learning|school|teachers|college|university|academics""), ""Education"",
  REGEXMATCH(LOWER(VLOOKUP(A324, Data1_Raw_Slack!A:B, 2, FALSE)), ""age|gender|dem"&amp;"ographic|family|household""), ""Demographics"",
  REGEXMATCH(LOWER(VLOOKUP(A324, Data1_Raw_Slack!A:B, 2, FALSE)), ""mortgage|real estate""), ""Real Estate"",REGEXMATCH(LOWER(VLOOKUP(A324, Data1_Raw_Slack!A:B, 2, FALSE)), ""technology|tech|gadgets|smartpho"&amp;"ne|electro|apps|devices|computing|ai|robots|software|computer|internet|tele|mobile|tablet""), ""Technology"", REGEXMATCH(LOWER(VLOOKUP(A324, Data1_Raw_Slack!A:B, 2, FALSE)), ""entertainment|purchas|movies|tv|netflix|streaming|celebrity|movie lovers|tv fan"&amp;"s|media|hobb|photo|art|shop""), ""Entertainment"", REGEXMATCH(LOWER(VLOOKUP(A324, Data1_Raw_Slack!A:B, 2, FALSE)), ""law|government|""), ""Law and Government"",
  TRUE, ""Other""
)"),"Entertainment")</f>
        <v>Entertainment</v>
      </c>
      <c r="G324" s="9" t="s">
        <v>69</v>
      </c>
      <c r="H324" s="9" t="s">
        <v>44</v>
      </c>
      <c r="I324" s="9" t="s">
        <v>1278</v>
      </c>
      <c r="J324" s="9" t="s">
        <v>34</v>
      </c>
      <c r="K324" s="9" t="s">
        <v>299</v>
      </c>
      <c r="L324" s="9" t="s">
        <v>72</v>
      </c>
      <c r="M324" s="10" t="s">
        <v>1279</v>
      </c>
      <c r="N324" s="9" t="str">
        <f ca="1">IFERROR(__xludf.DUMMYFUNCTION("REGEXEXTRACT(LOWER(M324), ""([a-z0-9\-]+)\.(?:co|net|org|io|gg)"")"),"allrecipes")</f>
        <v>allrecipes</v>
      </c>
      <c r="O324" s="9" t="s">
        <v>50</v>
      </c>
      <c r="P324" s="9" t="s">
        <v>75</v>
      </c>
      <c r="Q324" s="9">
        <v>20348</v>
      </c>
      <c r="R324" s="9">
        <v>101</v>
      </c>
      <c r="S324" s="9">
        <v>14945</v>
      </c>
      <c r="T324" s="9">
        <v>19548</v>
      </c>
      <c r="U324" s="9">
        <v>6</v>
      </c>
      <c r="V324" s="11">
        <v>1596.552373</v>
      </c>
      <c r="W324" s="12">
        <f t="shared" si="7"/>
        <v>266.09206216666666</v>
      </c>
      <c r="X324" s="12">
        <f t="shared" si="8"/>
        <v>0.49636327894633375</v>
      </c>
      <c r="Y324" s="12">
        <f t="shared" si="9"/>
        <v>73.447021820326313</v>
      </c>
      <c r="Z324" s="12">
        <f t="shared" si="10"/>
        <v>106.82852947474071</v>
      </c>
      <c r="AA324" s="12">
        <f t="shared" si="11"/>
        <v>78.462373353646541</v>
      </c>
      <c r="AB324" s="12">
        <f t="shared" si="12"/>
        <v>15.807449237623763</v>
      </c>
      <c r="AC324" s="12">
        <f t="shared" si="13"/>
        <v>5.9405940594059405</v>
      </c>
      <c r="AE324" s="13"/>
      <c r="AF324" s="13"/>
    </row>
    <row r="325" spans="1:32">
      <c r="A325" s="8" t="s">
        <v>1280</v>
      </c>
      <c r="B325" s="9" t="s">
        <v>498</v>
      </c>
      <c r="C325" s="9" t="s">
        <v>85</v>
      </c>
      <c r="D325" s="9" t="s">
        <v>1281</v>
      </c>
      <c r="E325" s="9"/>
      <c r="F325" s="9" t="str">
        <f ca="1">IFERROR(__xludf.DUMMYFUNCTION("IFS(
  REGEXMATCH(LOWER(VLOOKUP(A325, Data1_Raw_Slack!A:B, 2, FALSE)), ""news|weather""), ""News and Weather"", REGEXMATCH(LOWER(VLOOKUP(A325, Data1_Raw_Slack!A:B, 2, FALSE)), ""sports|ufc|nba|nfl|mlb|soccer|sports fans""), ""Sports"",
  REGEXMATCH(LOWER("&amp;"VLOOKUP(A325, Data1_Raw_Slack!A:B, 2, FALSE)), ""fashion|style|clothing|apparel|shoes|accessories|beauty|cosmetics|fashionistas""), ""Fashion and Beauty"",
  REGEXMATCH(LOWER(VLOOKUP(A325, Data1_Raw_Slack!A:B, 2, FALSE)), ""food|cooking|recipe|restaurant|"&amp;"snack|grocery|foodies""), ""Food"",
  REGEXMATCH(LOWER(VLOOKUP(A325, Data1_Raw_Slack!A:B, 2, FALSE)), ""travel|vacation|airline|hotel|trip|flights|travelers""), ""Travel"",
  REGEXMATCH(LOWER(VLOOKUP(A325, Data1_Raw_Slack!A:B, 2, FALSE)), ""fitness|workou"&amp;"t|gym|exercise|yoga|wellness|fitness enthusiasts""), ""Fitness"",
  REGEXMATCH(LOWER(VLOOKUP(A325, Data1_Raw_Slack!A:B, 2, FALSE)), ""health|medical|pharmacy|mental health|doctor|health-conscious""), ""Health"",
  REGEXMATCH(LOWER(VLOOKUP(A325, Data1_Raw_"&amp;"Slack!A:B, 2, FALSE)), ""pets|dogs|cats|animals|pet care|pet lovers""), ""Pets"",
  REGEXMATCH(LOWER(VLOOKUP(A325, Data1_Raw_Slack!A:B, 2, FALSE)), ""games|gaming|game|xbox|playstation|nintendo|gamers""), ""Gaming"",
  REGEXMATCH(LOWER(VLOOKUP(A325, Data1"&amp;"_Raw_Slack!A:B, 2, FALSE)), ""entertainment|movies|tv|netflix|streaming|celebrity|movie lovers|tv fans|hobb|photo|art""), ""Entertainment"",
  REGEXMATCH(LOWER(VLOOKUP(A325, Data1_Raw_Slack!A:B, 2, FALSE)), ""lifestyle|home|interior|decor|living|lifestyle"&amp;" enthusiasts""), ""Lifestyle"",
  REGEXMATCH(LOWER(VLOOKUP(A325, Data1_Raw_Slack!A:B, 2, FALSE)), ""financial|finance|investing|stocks|retirement|banking|credit|debt|loans|savings|personal finance|insurance|econ|ecom|business|retail|occupation|sale|job|ma"&amp;"rketing""), ""Finance"",
  REGEXMATCH(LOWER(VLOOKUP(A325, Data1_Raw_Slack!A:B, 2, FALSE)), ""auto|automotive""), ""Auto"",
  REGEXMATCH(LOWER(VLOOKUP(A325, Data1_Raw_Slack!A:B, 2, FALSE)), ""parenting|moms|dads|kids|toddlers|baby|parent|children""), ""Par"&amp;"enting"",
  REGEXMATCH(LOWER(VLOOKUP(A325, Data1_Raw_Slack!A:B, 2, FALSE)), ""education|students|learning|school|teachers|college|university|academics""), ""Education"",
  REGEXMATCH(LOWER(VLOOKUP(A325, Data1_Raw_Slack!A:B, 2, FALSE)), ""age|gender|dem"&amp;"ographic|family|household""), ""Demographics"",
  REGEXMATCH(LOWER(VLOOKUP(A325, Data1_Raw_Slack!A:B, 2, FALSE)), ""mortgage|real estate""), ""Real Estate"",REGEXMATCH(LOWER(VLOOKUP(A325, Data1_Raw_Slack!A:B, 2, FALSE)), ""technology|tech|gadgets|smartpho"&amp;"ne|electro|apps|devices|computing|ai|robots|software|computer|internet|tele|mobile|tablet""), ""Technology"", REGEXMATCH(LOWER(VLOOKUP(A325, Data1_Raw_Slack!A:B, 2, FALSE)), ""entertainment|purchas|movies|tv|netflix|streaming|celebrity|movie lovers|tv fan"&amp;"s|media|hobb|photo|art|shop""), ""Entertainment"", REGEXMATCH(LOWER(VLOOKUP(A325, Data1_Raw_Slack!A:B, 2, FALSE)), ""law|government|""), ""Law and Government"",
  TRUE, ""Other""
)"),"Travel")</f>
        <v>Travel</v>
      </c>
      <c r="G325" s="9" t="s">
        <v>85</v>
      </c>
      <c r="H325" s="9" t="s">
        <v>44</v>
      </c>
      <c r="I325" s="9" t="s">
        <v>1282</v>
      </c>
      <c r="J325" s="9" t="s">
        <v>34</v>
      </c>
      <c r="K325" s="9" t="s">
        <v>88</v>
      </c>
      <c r="L325" s="9" t="s">
        <v>89</v>
      </c>
      <c r="M325" s="10" t="s">
        <v>642</v>
      </c>
      <c r="N325" s="9" t="str">
        <f ca="1">IFERROR(__xludf.DUMMYFUNCTION("REGEXEXTRACT(LOWER(M325), ""([a-z0-9\-]+)\.(?:co|net|org|io|gg)"")"),"investing")</f>
        <v>investing</v>
      </c>
      <c r="O325" s="9" t="s">
        <v>131</v>
      </c>
      <c r="P325" s="9" t="s">
        <v>64</v>
      </c>
      <c r="Q325" s="9">
        <v>81486</v>
      </c>
      <c r="R325" s="9">
        <v>193</v>
      </c>
      <c r="S325" s="9">
        <v>57653</v>
      </c>
      <c r="T325" s="9">
        <v>76803</v>
      </c>
      <c r="U325" s="9">
        <v>6</v>
      </c>
      <c r="V325" s="11">
        <v>1463.8428739999999</v>
      </c>
      <c r="W325" s="12">
        <f t="shared" si="7"/>
        <v>243.97381233333331</v>
      </c>
      <c r="X325" s="12">
        <f t="shared" si="8"/>
        <v>0.23685050192671134</v>
      </c>
      <c r="Y325" s="12">
        <f t="shared" si="9"/>
        <v>70.752031023734148</v>
      </c>
      <c r="Z325" s="12">
        <f t="shared" si="10"/>
        <v>25.390575928399215</v>
      </c>
      <c r="AA325" s="12">
        <f t="shared" si="11"/>
        <v>17.964348157965784</v>
      </c>
      <c r="AB325" s="12">
        <f t="shared" si="12"/>
        <v>7.5846781036269428</v>
      </c>
      <c r="AC325" s="12">
        <f t="shared" si="13"/>
        <v>3.1088082901554404</v>
      </c>
      <c r="AE325" s="13"/>
      <c r="AF325" s="13"/>
    </row>
    <row r="326" spans="1:32">
      <c r="A326" s="8" t="s">
        <v>1283</v>
      </c>
      <c r="B326" s="9" t="s">
        <v>41</v>
      </c>
      <c r="C326" s="9" t="s">
        <v>85</v>
      </c>
      <c r="D326" s="9" t="s">
        <v>1284</v>
      </c>
      <c r="E326" s="9"/>
      <c r="F326" s="9" t="str">
        <f ca="1">IFERROR(__xludf.DUMMYFUNCTION("IFS(
  REGEXMATCH(LOWER(VLOOKUP(A326, Data1_Raw_Slack!A:B, 2, FALSE)), ""news|weather""), ""News and Weather"", REGEXMATCH(LOWER(VLOOKUP(A326, Data1_Raw_Slack!A:B, 2, FALSE)), ""sports|ufc|nba|nfl|mlb|soccer|sports fans""), ""Sports"",
  REGEXMATCH(LOWER("&amp;"VLOOKUP(A326, Data1_Raw_Slack!A:B, 2, FALSE)), ""fashion|style|clothing|apparel|shoes|accessories|beauty|cosmetics|fashionistas""), ""Fashion and Beauty"",
  REGEXMATCH(LOWER(VLOOKUP(A326, Data1_Raw_Slack!A:B, 2, FALSE)), ""food|cooking|recipe|restaurant|"&amp;"snack|grocery|foodies""), ""Food"",
  REGEXMATCH(LOWER(VLOOKUP(A326, Data1_Raw_Slack!A:B, 2, FALSE)), ""travel|vacation|airline|hotel|trip|flights|travelers""), ""Travel"",
  REGEXMATCH(LOWER(VLOOKUP(A326, Data1_Raw_Slack!A:B, 2, FALSE)), ""fitness|workou"&amp;"t|gym|exercise|yoga|wellness|fitness enthusiasts""), ""Fitness"",
  REGEXMATCH(LOWER(VLOOKUP(A326, Data1_Raw_Slack!A:B, 2, FALSE)), ""health|medical|pharmacy|mental health|doctor|health-conscious""), ""Health"",
  REGEXMATCH(LOWER(VLOOKUP(A326, Data1_Raw_"&amp;"Slack!A:B, 2, FALSE)), ""pets|dogs|cats|animals|pet care|pet lovers""), ""Pets"",
  REGEXMATCH(LOWER(VLOOKUP(A326, Data1_Raw_Slack!A:B, 2, FALSE)), ""games|gaming|game|xbox|playstation|nintendo|gamers""), ""Gaming"",
  REGEXMATCH(LOWER(VLOOKUP(A326, Data1"&amp;"_Raw_Slack!A:B, 2, FALSE)), ""entertainment|movies|tv|netflix|streaming|celebrity|movie lovers|tv fans|hobb|photo|art""), ""Entertainment"",
  REGEXMATCH(LOWER(VLOOKUP(A326, Data1_Raw_Slack!A:B, 2, FALSE)), ""lifestyle|home|interior|decor|living|lifestyle"&amp;" enthusiasts""), ""Lifestyle"",
  REGEXMATCH(LOWER(VLOOKUP(A326, Data1_Raw_Slack!A:B, 2, FALSE)), ""financial|finance|investing|stocks|retirement|banking|credit|debt|loans|savings|personal finance|insurance|econ|ecom|business|retail|occupation|sale|job|ma"&amp;"rketing""), ""Finance"",
  REGEXMATCH(LOWER(VLOOKUP(A326, Data1_Raw_Slack!A:B, 2, FALSE)), ""auto|automotive""), ""Auto"",
  REGEXMATCH(LOWER(VLOOKUP(A326, Data1_Raw_Slack!A:B, 2, FALSE)), ""parenting|moms|dads|kids|toddlers|baby|parent|children""), ""Par"&amp;"enting"",
  REGEXMATCH(LOWER(VLOOKUP(A326, Data1_Raw_Slack!A:B, 2, FALSE)), ""education|students|learning|school|teachers|college|university|academics""), ""Education"",
  REGEXMATCH(LOWER(VLOOKUP(A326, Data1_Raw_Slack!A:B, 2, FALSE)), ""age|gender|dem"&amp;"ographic|family|household""), ""Demographics"",
  REGEXMATCH(LOWER(VLOOKUP(A326, Data1_Raw_Slack!A:B, 2, FALSE)), ""mortgage|real estate""), ""Real Estate"",REGEXMATCH(LOWER(VLOOKUP(A326, Data1_Raw_Slack!A:B, 2, FALSE)), ""technology|tech|gadgets|smartpho"&amp;"ne|electro|apps|devices|computing|ai|robots|software|computer|internet|tele|mobile|tablet""), ""Technology"", REGEXMATCH(LOWER(VLOOKUP(A326, Data1_Raw_Slack!A:B, 2, FALSE)), ""entertainment|purchas|movies|tv|netflix|streaming|celebrity|movie lovers|tv fan"&amp;"s|media|hobb|photo|art|shop""), ""Entertainment"", REGEXMATCH(LOWER(VLOOKUP(A326, Data1_Raw_Slack!A:B, 2, FALSE)), ""law|government|""), ""Law and Government"",
  TRUE, ""Other""
)"),"Travel")</f>
        <v>Travel</v>
      </c>
      <c r="G326" s="9" t="s">
        <v>85</v>
      </c>
      <c r="H326" s="9" t="s">
        <v>44</v>
      </c>
      <c r="I326" s="9" t="s">
        <v>1285</v>
      </c>
      <c r="J326" s="9" t="s">
        <v>46</v>
      </c>
      <c r="K326" s="9" t="s">
        <v>236</v>
      </c>
      <c r="L326" s="9" t="s">
        <v>82</v>
      </c>
      <c r="M326" s="10" t="s">
        <v>130</v>
      </c>
      <c r="N326" s="9" t="str">
        <f ca="1">IFERROR(__xludf.DUMMYFUNCTION("REGEXEXTRACT(LOWER(M326), ""([a-z0-9\-]+)\.(?:co|net|org|io|gg)"")"),"weather")</f>
        <v>weather</v>
      </c>
      <c r="O326" s="9" t="s">
        <v>50</v>
      </c>
      <c r="P326" s="9" t="s">
        <v>39</v>
      </c>
      <c r="Q326" s="9">
        <v>182114</v>
      </c>
      <c r="R326" s="9">
        <v>500</v>
      </c>
      <c r="S326" s="9">
        <v>14477</v>
      </c>
      <c r="T326" s="9">
        <v>139167</v>
      </c>
      <c r="U326" s="9">
        <v>29</v>
      </c>
      <c r="V326" s="11">
        <v>6307.9007510000001</v>
      </c>
      <c r="W326" s="12">
        <f t="shared" si="7"/>
        <v>217.51381900000001</v>
      </c>
      <c r="X326" s="12">
        <f t="shared" si="8"/>
        <v>0.27455330177800719</v>
      </c>
      <c r="Y326" s="12">
        <f t="shared" si="9"/>
        <v>7.9494162996804203</v>
      </c>
      <c r="Z326" s="12">
        <f t="shared" si="10"/>
        <v>435.71877813082818</v>
      </c>
      <c r="AA326" s="12">
        <f t="shared" si="11"/>
        <v>34.637099569500421</v>
      </c>
      <c r="AB326" s="12">
        <f t="shared" si="12"/>
        <v>12.615801502</v>
      </c>
      <c r="AC326" s="12">
        <f t="shared" si="13"/>
        <v>5.8000000000000007</v>
      </c>
      <c r="AE326" s="13"/>
      <c r="AF326" s="13"/>
    </row>
    <row r="327" spans="1:32">
      <c r="A327" s="8" t="s">
        <v>1286</v>
      </c>
      <c r="B327" s="9" t="s">
        <v>41</v>
      </c>
      <c r="C327" s="9" t="s">
        <v>162</v>
      </c>
      <c r="D327" s="9" t="s">
        <v>248</v>
      </c>
      <c r="E327" s="9" t="s">
        <v>1287</v>
      </c>
      <c r="F327" s="9" t="str">
        <f ca="1">IFERROR(__xludf.DUMMYFUNCTION("IFS(
  REGEXMATCH(LOWER(VLOOKUP(A327, Data1_Raw_Slack!A:B, 2, FALSE)), ""news|weather""), ""News and Weather"", REGEXMATCH(LOWER(VLOOKUP(A327, Data1_Raw_Slack!A:B, 2, FALSE)), ""sports|ufc|nba|nfl|mlb|soccer|sports fans""), ""Sports"",
  REGEXMATCH(LOWER("&amp;"VLOOKUP(A327, Data1_Raw_Slack!A:B, 2, FALSE)), ""fashion|style|clothing|apparel|shoes|accessories|beauty|cosmetics|fashionistas""), ""Fashion and Beauty"",
  REGEXMATCH(LOWER(VLOOKUP(A327, Data1_Raw_Slack!A:B, 2, FALSE)), ""food|cooking|recipe|restaurant|"&amp;"snack|grocery|foodies""), ""Food"",
  REGEXMATCH(LOWER(VLOOKUP(A327, Data1_Raw_Slack!A:B, 2, FALSE)), ""travel|vacation|airline|hotel|trip|flights|travelers""), ""Travel"",
  REGEXMATCH(LOWER(VLOOKUP(A327, Data1_Raw_Slack!A:B, 2, FALSE)), ""fitness|workou"&amp;"t|gym|exercise|yoga|wellness|fitness enthusiasts""), ""Fitness"",
  REGEXMATCH(LOWER(VLOOKUP(A327, Data1_Raw_Slack!A:B, 2, FALSE)), ""health|medical|pharmacy|mental health|doctor|health-conscious""), ""Health"",
  REGEXMATCH(LOWER(VLOOKUP(A327, Data1_Raw_"&amp;"Slack!A:B, 2, FALSE)), ""pets|dogs|cats|animals|pet care|pet lovers""), ""Pets"",
  REGEXMATCH(LOWER(VLOOKUP(A327, Data1_Raw_Slack!A:B, 2, FALSE)), ""games|gaming|game|xbox|playstation|nintendo|gamers""), ""Gaming"",
  REGEXMATCH(LOWER(VLOOKUP(A327, Data1"&amp;"_Raw_Slack!A:B, 2, FALSE)), ""entertainment|movies|tv|netflix|streaming|celebrity|movie lovers|tv fans|hobb|photo|art""), ""Entertainment"",
  REGEXMATCH(LOWER(VLOOKUP(A327, Data1_Raw_Slack!A:B, 2, FALSE)), ""lifestyle|home|interior|decor|living|lifestyle"&amp;" enthusiasts""), ""Lifestyle"",
  REGEXMATCH(LOWER(VLOOKUP(A327, Data1_Raw_Slack!A:B, 2, FALSE)), ""financial|finance|investing|stocks|retirement|banking|credit|debt|loans|savings|personal finance|insurance|econ|ecom|business|retail|occupation|sale|job|ma"&amp;"rketing""), ""Finance"",
  REGEXMATCH(LOWER(VLOOKUP(A327, Data1_Raw_Slack!A:B, 2, FALSE)), ""auto|automotive""), ""Auto"",
  REGEXMATCH(LOWER(VLOOKUP(A327, Data1_Raw_Slack!A:B, 2, FALSE)), ""parenting|moms|dads|kids|toddlers|baby|parent|children""), ""Par"&amp;"enting"",
  REGEXMATCH(LOWER(VLOOKUP(A327, Data1_Raw_Slack!A:B, 2, FALSE)), ""education|students|learning|school|teachers|college|university|academics""), ""Education"",
  REGEXMATCH(LOWER(VLOOKUP(A327, Data1_Raw_Slack!A:B, 2, FALSE)), ""age|gender|dem"&amp;"ographic|family|household""), ""Demographics"",
  REGEXMATCH(LOWER(VLOOKUP(A327, Data1_Raw_Slack!A:B, 2, FALSE)), ""mortgage|real estate""), ""Real Estate"",REGEXMATCH(LOWER(VLOOKUP(A327, Data1_Raw_Slack!A:B, 2, FALSE)), ""technology|tech|gadgets|smartpho"&amp;"ne|electro|apps|devices|computing|ai|robots|software|computer|internet|tele|mobile|tablet""), ""Technology"", REGEXMATCH(LOWER(VLOOKUP(A327, Data1_Raw_Slack!A:B, 2, FALSE)), ""entertainment|purchas|movies|tv|netflix|streaming|celebrity|movie lovers|tv fan"&amp;"s|media|hobb|photo|art|shop""), ""Entertainment"", REGEXMATCH(LOWER(VLOOKUP(A327, Data1_Raw_Slack!A:B, 2, FALSE)), ""law|government|""), ""Law and Government"",
  TRUE, ""Other""
)"),"Auto")</f>
        <v>Auto</v>
      </c>
      <c r="G327" s="9" t="s">
        <v>122</v>
      </c>
      <c r="H327" s="9" t="s">
        <v>32</v>
      </c>
      <c r="I327" s="9" t="s">
        <v>1288</v>
      </c>
      <c r="J327" s="9" t="s">
        <v>34</v>
      </c>
      <c r="K327" s="9" t="s">
        <v>148</v>
      </c>
      <c r="L327" s="9" t="s">
        <v>89</v>
      </c>
      <c r="M327" s="10" t="s">
        <v>1289</v>
      </c>
      <c r="N327" s="9" t="str">
        <f ca="1">IFERROR(__xludf.DUMMYFUNCTION("REGEXEXTRACT(LOWER(M327), ""([a-z0-9\-]+)\.(?:co|net|org|io|gg)"")"),"al")</f>
        <v>al</v>
      </c>
      <c r="O327" s="9" t="s">
        <v>74</v>
      </c>
      <c r="P327" s="9" t="s">
        <v>39</v>
      </c>
      <c r="Q327" s="9">
        <v>14489</v>
      </c>
      <c r="R327" s="9">
        <v>37</v>
      </c>
      <c r="S327" s="9">
        <v>12453</v>
      </c>
      <c r="T327" s="9">
        <v>13873</v>
      </c>
      <c r="U327" s="9">
        <v>10</v>
      </c>
      <c r="V327" s="11">
        <v>6195.8407340000003</v>
      </c>
      <c r="W327" s="12">
        <f t="shared" si="7"/>
        <v>619.58407340000008</v>
      </c>
      <c r="X327" s="12">
        <f t="shared" si="8"/>
        <v>0.25536613983021605</v>
      </c>
      <c r="Y327" s="12">
        <f t="shared" si="9"/>
        <v>85.94796052177513</v>
      </c>
      <c r="Z327" s="12">
        <f t="shared" si="10"/>
        <v>497.53800160603873</v>
      </c>
      <c r="AA327" s="12">
        <f t="shared" si="11"/>
        <v>427.6237652011871</v>
      </c>
      <c r="AB327" s="12">
        <f t="shared" si="12"/>
        <v>167.45515497297299</v>
      </c>
      <c r="AC327" s="12">
        <f t="shared" si="13"/>
        <v>27.027027027027028</v>
      </c>
      <c r="AE327" s="13"/>
      <c r="AF327" s="13"/>
    </row>
    <row r="328" spans="1:32">
      <c r="A328" s="8" t="s">
        <v>1290</v>
      </c>
      <c r="B328" s="9" t="s">
        <v>41</v>
      </c>
      <c r="C328" s="9" t="s">
        <v>120</v>
      </c>
      <c r="D328" s="9" t="s">
        <v>1291</v>
      </c>
      <c r="E328" s="9"/>
      <c r="F328" s="9" t="str">
        <f ca="1">IFERROR(__xludf.DUMMYFUNCTION("IFS(
  REGEXMATCH(LOWER(VLOOKUP(A328, Data1_Raw_Slack!A:B, 2, FALSE)), ""news|weather""), ""News and Weather"", REGEXMATCH(LOWER(VLOOKUP(A328, Data1_Raw_Slack!A:B, 2, FALSE)), ""sports|ufc|nba|nfl|mlb|soccer|sports fans""), ""Sports"",
  REGEXMATCH(LOWER("&amp;"VLOOKUP(A328, Data1_Raw_Slack!A:B, 2, FALSE)), ""fashion|style|clothing|apparel|shoes|accessories|beauty|cosmetics|fashionistas""), ""Fashion and Beauty"",
  REGEXMATCH(LOWER(VLOOKUP(A328, Data1_Raw_Slack!A:B, 2, FALSE)), ""food|cooking|recipe|restaurant|"&amp;"snack|grocery|foodies""), ""Food"",
  REGEXMATCH(LOWER(VLOOKUP(A328, Data1_Raw_Slack!A:B, 2, FALSE)), ""travel|vacation|airline|hotel|trip|flights|travelers""), ""Travel"",
  REGEXMATCH(LOWER(VLOOKUP(A328, Data1_Raw_Slack!A:B, 2, FALSE)), ""fitness|workou"&amp;"t|gym|exercise|yoga|wellness|fitness enthusiasts""), ""Fitness"",
  REGEXMATCH(LOWER(VLOOKUP(A328, Data1_Raw_Slack!A:B, 2, FALSE)), ""health|medical|pharmacy|mental health|doctor|health-conscious""), ""Health"",
  REGEXMATCH(LOWER(VLOOKUP(A328, Data1_Raw_"&amp;"Slack!A:B, 2, FALSE)), ""pets|dogs|cats|animals|pet care|pet lovers""), ""Pets"",
  REGEXMATCH(LOWER(VLOOKUP(A328, Data1_Raw_Slack!A:B, 2, FALSE)), ""games|gaming|game|xbox|playstation|nintendo|gamers""), ""Gaming"",
  REGEXMATCH(LOWER(VLOOKUP(A328, Data1"&amp;"_Raw_Slack!A:B, 2, FALSE)), ""entertainment|movies|tv|netflix|streaming|celebrity|movie lovers|tv fans|hobb|photo|art""), ""Entertainment"",
  REGEXMATCH(LOWER(VLOOKUP(A328, Data1_Raw_Slack!A:B, 2, FALSE)), ""lifestyle|home|interior|decor|living|lifestyle"&amp;" enthusiasts""), ""Lifestyle"",
  REGEXMATCH(LOWER(VLOOKUP(A328, Data1_Raw_Slack!A:B, 2, FALSE)), ""financial|finance|investing|stocks|retirement|banking|credit|debt|loans|savings|personal finance|insurance|econ|ecom|business|retail|occupation|sale|job|ma"&amp;"rketing""), ""Finance"",
  REGEXMATCH(LOWER(VLOOKUP(A328, Data1_Raw_Slack!A:B, 2, FALSE)), ""auto|automotive""), ""Auto"",
  REGEXMATCH(LOWER(VLOOKUP(A328, Data1_Raw_Slack!A:B, 2, FALSE)), ""parenting|moms|dads|kids|toddlers|baby|parent|children""), ""Par"&amp;"enting"",
  REGEXMATCH(LOWER(VLOOKUP(A328, Data1_Raw_Slack!A:B, 2, FALSE)), ""education|students|learning|school|teachers|college|university|academics""), ""Education"",
  REGEXMATCH(LOWER(VLOOKUP(A328, Data1_Raw_Slack!A:B, 2, FALSE)), ""age|gender|dem"&amp;"ographic|family|household""), ""Demographics"",
  REGEXMATCH(LOWER(VLOOKUP(A328, Data1_Raw_Slack!A:B, 2, FALSE)), ""mortgage|real estate""), ""Real Estate"",REGEXMATCH(LOWER(VLOOKUP(A328, Data1_Raw_Slack!A:B, 2, FALSE)), ""technology|tech|gadgets|smartpho"&amp;"ne|electro|apps|devices|computing|ai|robots|software|computer|internet|tele|mobile|tablet""), ""Technology"", REGEXMATCH(LOWER(VLOOKUP(A328, Data1_Raw_Slack!A:B, 2, FALSE)), ""entertainment|purchas|movies|tv|netflix|streaming|celebrity|movie lovers|tv fan"&amp;"s|media|hobb|photo|art|shop""), ""Entertainment"", REGEXMATCH(LOWER(VLOOKUP(A328, Data1_Raw_Slack!A:B, 2, FALSE)), ""law|government|""), ""Law and Government"",
  TRUE, ""Other""
)"),"Auto")</f>
        <v>Auto</v>
      </c>
      <c r="G328" s="9" t="s">
        <v>122</v>
      </c>
      <c r="H328" s="9" t="s">
        <v>32</v>
      </c>
      <c r="I328" s="9" t="s">
        <v>1292</v>
      </c>
      <c r="J328" s="9" t="s">
        <v>80</v>
      </c>
      <c r="K328" s="9" t="s">
        <v>56</v>
      </c>
      <c r="L328" s="9" t="s">
        <v>57</v>
      </c>
      <c r="M328" s="10" t="s">
        <v>1293</v>
      </c>
      <c r="N328" s="9" t="str">
        <f ca="1">IFERROR(__xludf.DUMMYFUNCTION("REGEXEXTRACT(LOWER(M328), ""([a-z0-9\-]+)\.(?:co|net|org|io|gg)"")"),"chocolatecoveredkatie")</f>
        <v>chocolatecoveredkatie</v>
      </c>
      <c r="O328" s="9" t="s">
        <v>50</v>
      </c>
      <c r="P328" s="9" t="s">
        <v>39</v>
      </c>
      <c r="Q328" s="9">
        <v>7806</v>
      </c>
      <c r="R328" s="9">
        <v>20</v>
      </c>
      <c r="S328" s="9">
        <v>3150</v>
      </c>
      <c r="T328" s="9">
        <v>7247</v>
      </c>
      <c r="U328" s="9">
        <v>1</v>
      </c>
      <c r="V328" s="11">
        <v>6162.3208329999998</v>
      </c>
      <c r="W328" s="12">
        <f t="shared" si="7"/>
        <v>6162.3208329999998</v>
      </c>
      <c r="X328" s="12">
        <f t="shared" si="8"/>
        <v>0.25621316935690497</v>
      </c>
      <c r="Y328" s="12">
        <f t="shared" si="9"/>
        <v>40.353574173712531</v>
      </c>
      <c r="Z328" s="12">
        <f t="shared" si="10"/>
        <v>1956.2923279365079</v>
      </c>
      <c r="AA328" s="12">
        <f t="shared" si="11"/>
        <v>789.43387560850624</v>
      </c>
      <c r="AB328" s="12">
        <f t="shared" si="12"/>
        <v>308.11604165</v>
      </c>
      <c r="AC328" s="12">
        <f t="shared" si="13"/>
        <v>5</v>
      </c>
      <c r="AE328" s="13"/>
      <c r="AF328" s="13"/>
    </row>
    <row r="329" spans="1:32">
      <c r="A329" s="8" t="s">
        <v>1294</v>
      </c>
      <c r="B329" s="9" t="s">
        <v>66</v>
      </c>
      <c r="C329" s="9" t="s">
        <v>1295</v>
      </c>
      <c r="D329" s="9" t="s">
        <v>1296</v>
      </c>
      <c r="E329" s="9"/>
      <c r="F329" s="9" t="str">
        <f ca="1">IFERROR(__xludf.DUMMYFUNCTION("IFS(
  REGEXMATCH(LOWER(VLOOKUP(A329, Data1_Raw_Slack!A:B, 2, FALSE)), ""news|weather""), ""News and Weather"", REGEXMATCH(LOWER(VLOOKUP(A329, Data1_Raw_Slack!A:B, 2, FALSE)), ""sports|ufc|nba|nfl|mlb|soccer|sports fans""), ""Sports"",
  REGEXMATCH(LOWER("&amp;"VLOOKUP(A329, Data1_Raw_Slack!A:B, 2, FALSE)), ""fashion|style|clothing|apparel|shoes|accessories|beauty|cosmetics|fashionistas""), ""Fashion and Beauty"",
  REGEXMATCH(LOWER(VLOOKUP(A329, Data1_Raw_Slack!A:B, 2, FALSE)), ""food|cooking|recipe|restaurant|"&amp;"snack|grocery|foodies""), ""Food"",
  REGEXMATCH(LOWER(VLOOKUP(A329, Data1_Raw_Slack!A:B, 2, FALSE)), ""travel|vacation|airline|hotel|trip|flights|travelers""), ""Travel"",
  REGEXMATCH(LOWER(VLOOKUP(A329, Data1_Raw_Slack!A:B, 2, FALSE)), ""fitness|workou"&amp;"t|gym|exercise|yoga|wellness|fitness enthusiasts""), ""Fitness"",
  REGEXMATCH(LOWER(VLOOKUP(A329, Data1_Raw_Slack!A:B, 2, FALSE)), ""health|medical|pharmacy|mental health|doctor|health-conscious""), ""Health"",
  REGEXMATCH(LOWER(VLOOKUP(A329, Data1_Raw_"&amp;"Slack!A:B, 2, FALSE)), ""pets|dogs|cats|animals|pet care|pet lovers""), ""Pets"",
  REGEXMATCH(LOWER(VLOOKUP(A329, Data1_Raw_Slack!A:B, 2, FALSE)), ""games|gaming|game|xbox|playstation|nintendo|gamers""), ""Gaming"",
  REGEXMATCH(LOWER(VLOOKUP(A329, Data1"&amp;"_Raw_Slack!A:B, 2, FALSE)), ""entertainment|movies|tv|netflix|streaming|celebrity|movie lovers|tv fans|hobb|photo|art""), ""Entertainment"",
  REGEXMATCH(LOWER(VLOOKUP(A329, Data1_Raw_Slack!A:B, 2, FALSE)), ""lifestyle|home|interior|decor|living|lifestyle"&amp;" enthusiasts""), ""Lifestyle"",
  REGEXMATCH(LOWER(VLOOKUP(A329, Data1_Raw_Slack!A:B, 2, FALSE)), ""financial|finance|investing|stocks|retirement|banking|credit|debt|loans|savings|personal finance|insurance|econ|ecom|business|retail|occupation|sale|job|ma"&amp;"rketing""), ""Finance"",
  REGEXMATCH(LOWER(VLOOKUP(A329, Data1_Raw_Slack!A:B, 2, FALSE)), ""auto|automotive""), ""Auto"",
  REGEXMATCH(LOWER(VLOOKUP(A329, Data1_Raw_Slack!A:B, 2, FALSE)), ""parenting|moms|dads|kids|toddlers|baby|parent|children""), ""Par"&amp;"enting"",
  REGEXMATCH(LOWER(VLOOKUP(A329, Data1_Raw_Slack!A:B, 2, FALSE)), ""education|students|learning|school|teachers|college|university|academics""), ""Education"",
  REGEXMATCH(LOWER(VLOOKUP(A329, Data1_Raw_Slack!A:B, 2, FALSE)), ""age|gender|dem"&amp;"ographic|family|household""), ""Demographics"",
  REGEXMATCH(LOWER(VLOOKUP(A329, Data1_Raw_Slack!A:B, 2, FALSE)), ""mortgage|real estate""), ""Real Estate"",REGEXMATCH(LOWER(VLOOKUP(A329, Data1_Raw_Slack!A:B, 2, FALSE)), ""technology|tech|gadgets|smartpho"&amp;"ne|electro|apps|devices|computing|ai|robots|software|computer|internet|tele|mobile|tablet""), ""Technology"", REGEXMATCH(LOWER(VLOOKUP(A329, Data1_Raw_Slack!A:B, 2, FALSE)), ""entertainment|purchas|movies|tv|netflix|streaming|celebrity|movie lovers|tv fan"&amp;"s|media|hobb|photo|art|shop""), ""Entertainment"", REGEXMATCH(LOWER(VLOOKUP(A329, Data1_Raw_Slack!A:B, 2, FALSE)), ""law|government|""), ""Law and Government"",
  TRUE, ""Other""
)"),"Lifestyle")</f>
        <v>Lifestyle</v>
      </c>
      <c r="G329" s="9"/>
      <c r="H329" s="9" t="s">
        <v>44</v>
      </c>
      <c r="I329" s="9" t="s">
        <v>1297</v>
      </c>
      <c r="J329" s="9" t="s">
        <v>34</v>
      </c>
      <c r="K329" s="9" t="s">
        <v>142</v>
      </c>
      <c r="L329" s="9" t="s">
        <v>72</v>
      </c>
      <c r="M329" s="10" t="s">
        <v>1298</v>
      </c>
      <c r="N329" s="9" t="str">
        <f ca="1">IFERROR(__xludf.DUMMYFUNCTION("REGEXEXTRACT(LOWER(M329), ""([a-z0-9\-]+)\.(?:co|net|org|io|gg)"")"),"investmentguru")</f>
        <v>investmentguru</v>
      </c>
      <c r="O329" s="9" t="s">
        <v>157</v>
      </c>
      <c r="P329" s="9" t="s">
        <v>75</v>
      </c>
      <c r="Q329" s="9">
        <v>31813</v>
      </c>
      <c r="R329" s="9">
        <v>84</v>
      </c>
      <c r="S329" s="9">
        <v>14149</v>
      </c>
      <c r="T329" s="9">
        <v>21281</v>
      </c>
      <c r="U329" s="9">
        <v>13</v>
      </c>
      <c r="V329" s="11">
        <v>2060.9938820000002</v>
      </c>
      <c r="W329" s="12">
        <f t="shared" si="7"/>
        <v>158.53799092307693</v>
      </c>
      <c r="X329" s="12">
        <f t="shared" si="8"/>
        <v>0.26404300128878133</v>
      </c>
      <c r="Y329" s="12">
        <f t="shared" si="9"/>
        <v>44.475528871844844</v>
      </c>
      <c r="Z329" s="12">
        <f t="shared" si="10"/>
        <v>145.66357212523857</v>
      </c>
      <c r="AA329" s="12">
        <f t="shared" si="11"/>
        <v>64.784644076321001</v>
      </c>
      <c r="AB329" s="12">
        <f t="shared" si="12"/>
        <v>24.535641452380954</v>
      </c>
      <c r="AC329" s="12">
        <f t="shared" si="13"/>
        <v>15.476190476190476</v>
      </c>
      <c r="AE329" s="13"/>
      <c r="AF329" s="13"/>
    </row>
    <row r="330" spans="1:32">
      <c r="A330" s="8" t="s">
        <v>1299</v>
      </c>
      <c r="B330" s="9" t="s">
        <v>41</v>
      </c>
      <c r="C330" s="9" t="s">
        <v>127</v>
      </c>
      <c r="D330" s="9" t="s">
        <v>53</v>
      </c>
      <c r="E330" s="9" t="s">
        <v>53</v>
      </c>
      <c r="F330" s="9" t="str">
        <f ca="1">IFERROR(__xludf.DUMMYFUNCTION("IFS(
  REGEXMATCH(LOWER(VLOOKUP(A330, Data1_Raw_Slack!A:B, 2, FALSE)), ""news|weather""), ""News and Weather"", REGEXMATCH(LOWER(VLOOKUP(A330, Data1_Raw_Slack!A:B, 2, FALSE)), ""sports|ufc|nba|nfl|mlb|soccer|sports fans""), ""Sports"",
  REGEXMATCH(LOWER("&amp;"VLOOKUP(A330, Data1_Raw_Slack!A:B, 2, FALSE)), ""fashion|style|clothing|apparel|shoes|accessories|beauty|cosmetics|fashionistas""), ""Fashion and Beauty"",
  REGEXMATCH(LOWER(VLOOKUP(A330, Data1_Raw_Slack!A:B, 2, FALSE)), ""food|cooking|recipe|restaurant|"&amp;"snack|grocery|foodies""), ""Food"",
  REGEXMATCH(LOWER(VLOOKUP(A330, Data1_Raw_Slack!A:B, 2, FALSE)), ""travel|vacation|airline|hotel|trip|flights|travelers""), ""Travel"",
  REGEXMATCH(LOWER(VLOOKUP(A330, Data1_Raw_Slack!A:B, 2, FALSE)), ""fitness|workou"&amp;"t|gym|exercise|yoga|wellness|fitness enthusiasts""), ""Fitness"",
  REGEXMATCH(LOWER(VLOOKUP(A330, Data1_Raw_Slack!A:B, 2, FALSE)), ""health|medical|pharmacy|mental health|doctor|health-conscious""), ""Health"",
  REGEXMATCH(LOWER(VLOOKUP(A330, Data1_Raw_"&amp;"Slack!A:B, 2, FALSE)), ""pets|dogs|cats|animals|pet care|pet lovers""), ""Pets"",
  REGEXMATCH(LOWER(VLOOKUP(A330, Data1_Raw_Slack!A:B, 2, FALSE)), ""games|gaming|game|xbox|playstation|nintendo|gamers""), ""Gaming"",
  REGEXMATCH(LOWER(VLOOKUP(A330, Data1"&amp;"_Raw_Slack!A:B, 2, FALSE)), ""entertainment|movies|tv|netflix|streaming|celebrity|movie lovers|tv fans|hobb|photo|art""), ""Entertainment"",
  REGEXMATCH(LOWER(VLOOKUP(A330, Data1_Raw_Slack!A:B, 2, FALSE)), ""lifestyle|home|interior|decor|living|lifestyle"&amp;" enthusiasts""), ""Lifestyle"",
  REGEXMATCH(LOWER(VLOOKUP(A330, Data1_Raw_Slack!A:B, 2, FALSE)), ""financial|finance|investing|stocks|retirement|banking|credit|debt|loans|savings|personal finance|insurance|econ|ecom|business|retail|occupation|sale|job|ma"&amp;"rketing""), ""Finance"",
  REGEXMATCH(LOWER(VLOOKUP(A330, Data1_Raw_Slack!A:B, 2, FALSE)), ""auto|automotive""), ""Auto"",
  REGEXMATCH(LOWER(VLOOKUP(A330, Data1_Raw_Slack!A:B, 2, FALSE)), ""parenting|moms|dads|kids|toddlers|baby|parent|children""), ""Par"&amp;"enting"",
  REGEXMATCH(LOWER(VLOOKUP(A330, Data1_Raw_Slack!A:B, 2, FALSE)), ""education|students|learning|school|teachers|college|university|academics""), ""Education"",
  REGEXMATCH(LOWER(VLOOKUP(A330, Data1_Raw_Slack!A:B, 2, FALSE)), ""age|gender|dem"&amp;"ographic|family|household""), ""Demographics"",
  REGEXMATCH(LOWER(VLOOKUP(A330, Data1_Raw_Slack!A:B, 2, FALSE)), ""mortgage|real estate""), ""Real Estate"",REGEXMATCH(LOWER(VLOOKUP(A330, Data1_Raw_Slack!A:B, 2, FALSE)), ""technology|tech|gadgets|smartpho"&amp;"ne|electro|apps|devices|computing|ai|robots|software|computer|internet|tele|mobile|tablet""), ""Technology"", REGEXMATCH(LOWER(VLOOKUP(A330, Data1_Raw_Slack!A:B, 2, FALSE)), ""entertainment|purchas|movies|tv|netflix|streaming|celebrity|movie lovers|tv fan"&amp;"s|media|hobb|photo|art|shop""), ""Entertainment"", REGEXMATCH(LOWER(VLOOKUP(A330, Data1_Raw_Slack!A:B, 2, FALSE)), ""law|government|""), ""Law and Government"",
  TRUE, ""Other""
)"),"Finance")</f>
        <v>Finance</v>
      </c>
      <c r="G330" s="9" t="s">
        <v>127</v>
      </c>
      <c r="H330" s="9" t="s">
        <v>32</v>
      </c>
      <c r="I330" s="9" t="s">
        <v>1300</v>
      </c>
      <c r="J330" s="9" t="s">
        <v>34</v>
      </c>
      <c r="K330" s="9" t="s">
        <v>236</v>
      </c>
      <c r="L330" s="9" t="s">
        <v>82</v>
      </c>
      <c r="M330" s="10" t="s">
        <v>339</v>
      </c>
      <c r="N330" s="9" t="str">
        <f ca="1">IFERROR(__xludf.DUMMYFUNCTION("REGEXEXTRACT(LOWER(M330), ""([a-z0-9\-]+)\.(?:co|net|org|io|gg)"")"),"foxnews")</f>
        <v>foxnews</v>
      </c>
      <c r="O330" s="9" t="s">
        <v>131</v>
      </c>
      <c r="P330" s="9" t="s">
        <v>39</v>
      </c>
      <c r="Q330" s="9">
        <v>122086</v>
      </c>
      <c r="R330" s="9">
        <v>299</v>
      </c>
      <c r="S330" s="9">
        <v>82898</v>
      </c>
      <c r="T330" s="9">
        <v>116235</v>
      </c>
      <c r="U330" s="9">
        <v>16</v>
      </c>
      <c r="V330" s="11">
        <v>7663.6952940000001</v>
      </c>
      <c r="W330" s="12">
        <f t="shared" si="7"/>
        <v>478.98095587500001</v>
      </c>
      <c r="X330" s="12">
        <f t="shared" si="8"/>
        <v>0.24490932621266973</v>
      </c>
      <c r="Y330" s="12">
        <f t="shared" si="9"/>
        <v>67.901315466146812</v>
      </c>
      <c r="Z330" s="12">
        <f t="shared" si="10"/>
        <v>92.447288161354919</v>
      </c>
      <c r="AA330" s="12">
        <f t="shared" si="11"/>
        <v>62.772924774339408</v>
      </c>
      <c r="AB330" s="12">
        <f t="shared" si="12"/>
        <v>25.631087939799333</v>
      </c>
      <c r="AC330" s="12">
        <f t="shared" si="13"/>
        <v>5.3511705685618729</v>
      </c>
      <c r="AE330" s="13"/>
      <c r="AF330" s="13"/>
    </row>
    <row r="331" spans="1:32">
      <c r="A331" s="8" t="s">
        <v>1301</v>
      </c>
      <c r="B331" s="9" t="s">
        <v>41</v>
      </c>
      <c r="C331" s="9" t="s">
        <v>85</v>
      </c>
      <c r="D331" s="9" t="s">
        <v>99</v>
      </c>
      <c r="E331" s="9" t="s">
        <v>1302</v>
      </c>
      <c r="F331" s="9" t="str">
        <f ca="1">IFERROR(__xludf.DUMMYFUNCTION("IFS(
  REGEXMATCH(LOWER(VLOOKUP(A331, Data1_Raw_Slack!A:B, 2, FALSE)), ""news|weather""), ""News and Weather"", REGEXMATCH(LOWER(VLOOKUP(A331, Data1_Raw_Slack!A:B, 2, FALSE)), ""sports|ufc|nba|nfl|mlb|soccer|sports fans""), ""Sports"",
  REGEXMATCH(LOWER("&amp;"VLOOKUP(A331, Data1_Raw_Slack!A:B, 2, FALSE)), ""fashion|style|clothing|apparel|shoes|accessories|beauty|cosmetics|fashionistas""), ""Fashion and Beauty"",
  REGEXMATCH(LOWER(VLOOKUP(A331, Data1_Raw_Slack!A:B, 2, FALSE)), ""food|cooking|recipe|restaurant|"&amp;"snack|grocery|foodies""), ""Food"",
  REGEXMATCH(LOWER(VLOOKUP(A331, Data1_Raw_Slack!A:B, 2, FALSE)), ""travel|vacation|airline|hotel|trip|flights|travelers""), ""Travel"",
  REGEXMATCH(LOWER(VLOOKUP(A331, Data1_Raw_Slack!A:B, 2, FALSE)), ""fitness|workou"&amp;"t|gym|exercise|yoga|wellness|fitness enthusiasts""), ""Fitness"",
  REGEXMATCH(LOWER(VLOOKUP(A331, Data1_Raw_Slack!A:B, 2, FALSE)), ""health|medical|pharmacy|mental health|doctor|health-conscious""), ""Health"",
  REGEXMATCH(LOWER(VLOOKUP(A331, Data1_Raw_"&amp;"Slack!A:B, 2, FALSE)), ""pets|dogs|cats|animals|pet care|pet lovers""), ""Pets"",
  REGEXMATCH(LOWER(VLOOKUP(A331, Data1_Raw_Slack!A:B, 2, FALSE)), ""games|gaming|game|xbox|playstation|nintendo|gamers""), ""Gaming"",
  REGEXMATCH(LOWER(VLOOKUP(A331, Data1"&amp;"_Raw_Slack!A:B, 2, FALSE)), ""entertainment|movies|tv|netflix|streaming|celebrity|movie lovers|tv fans|hobb|photo|art""), ""Entertainment"",
  REGEXMATCH(LOWER(VLOOKUP(A331, Data1_Raw_Slack!A:B, 2, FALSE)), ""lifestyle|home|interior|decor|living|lifestyle"&amp;" enthusiasts""), ""Lifestyle"",
  REGEXMATCH(LOWER(VLOOKUP(A331, Data1_Raw_Slack!A:B, 2, FALSE)), ""financial|finance|investing|stocks|retirement|banking|credit|debt|loans|savings|personal finance|insurance|econ|ecom|business|retail|occupation|sale|job|ma"&amp;"rketing""), ""Finance"",
  REGEXMATCH(LOWER(VLOOKUP(A331, Data1_Raw_Slack!A:B, 2, FALSE)), ""auto|automotive""), ""Auto"",
  REGEXMATCH(LOWER(VLOOKUP(A331, Data1_Raw_Slack!A:B, 2, FALSE)), ""parenting|moms|dads|kids|toddlers|baby|parent|children""), ""Par"&amp;"enting"",
  REGEXMATCH(LOWER(VLOOKUP(A331, Data1_Raw_Slack!A:B, 2, FALSE)), ""education|students|learning|school|teachers|college|university|academics""), ""Education"",
  REGEXMATCH(LOWER(VLOOKUP(A331, Data1_Raw_Slack!A:B, 2, FALSE)), ""age|gender|dem"&amp;"ographic|family|household""), ""Demographics"",
  REGEXMATCH(LOWER(VLOOKUP(A331, Data1_Raw_Slack!A:B, 2, FALSE)), ""mortgage|real estate""), ""Real Estate"",REGEXMATCH(LOWER(VLOOKUP(A331, Data1_Raw_Slack!A:B, 2, FALSE)), ""technology|tech|gadgets|smartpho"&amp;"ne|electro|apps|devices|computing|ai|robots|software|computer|internet|tele|mobile|tablet""), ""Technology"", REGEXMATCH(LOWER(VLOOKUP(A331, Data1_Raw_Slack!A:B, 2, FALSE)), ""entertainment|purchas|movies|tv|netflix|streaming|celebrity|movie lovers|tv fan"&amp;"s|media|hobb|photo|art|shop""), ""Entertainment"", REGEXMATCH(LOWER(VLOOKUP(A331, Data1_Raw_Slack!A:B, 2, FALSE)), ""law|government|""), ""Law and Government"",
  TRUE, ""Other""
)"),"Travel")</f>
        <v>Travel</v>
      </c>
      <c r="G331" s="9" t="s">
        <v>85</v>
      </c>
      <c r="H331" s="9" t="s">
        <v>123</v>
      </c>
      <c r="I331" s="9" t="s">
        <v>1303</v>
      </c>
      <c r="J331" s="9" t="s">
        <v>62</v>
      </c>
      <c r="K331" s="9" t="s">
        <v>236</v>
      </c>
      <c r="L331" s="9" t="s">
        <v>82</v>
      </c>
      <c r="M331" s="10" t="s">
        <v>479</v>
      </c>
      <c r="N331" s="9" t="str">
        <f ca="1">IFERROR(__xludf.DUMMYFUNCTION("REGEXEXTRACT(LOWER(M331), ""([a-z0-9\-]+)\.(?:co|net|org|io|gg)"")"),"cheezburger")</f>
        <v>cheezburger</v>
      </c>
      <c r="O331" s="9" t="s">
        <v>50</v>
      </c>
      <c r="P331" s="9" t="s">
        <v>39</v>
      </c>
      <c r="Q331" s="9">
        <v>19461</v>
      </c>
      <c r="R331" s="9">
        <v>74</v>
      </c>
      <c r="S331" s="9">
        <v>14647</v>
      </c>
      <c r="T331" s="9">
        <v>18731</v>
      </c>
      <c r="U331" s="9">
        <v>9</v>
      </c>
      <c r="V331" s="11">
        <v>7311.9987499999997</v>
      </c>
      <c r="W331" s="12">
        <f t="shared" si="7"/>
        <v>812.4443055555555</v>
      </c>
      <c r="X331" s="12">
        <f t="shared" si="8"/>
        <v>0.38024767483685318</v>
      </c>
      <c r="Y331" s="12">
        <f t="shared" si="9"/>
        <v>75.263347207234986</v>
      </c>
      <c r="Z331" s="12">
        <f t="shared" si="10"/>
        <v>499.21477094285518</v>
      </c>
      <c r="AA331" s="12">
        <f t="shared" si="11"/>
        <v>375.7257463645239</v>
      </c>
      <c r="AB331" s="12">
        <f t="shared" si="12"/>
        <v>98.810793918918918</v>
      </c>
      <c r="AC331" s="12">
        <f t="shared" si="13"/>
        <v>12.162162162162163</v>
      </c>
      <c r="AE331" s="13"/>
      <c r="AF331" s="13"/>
    </row>
    <row r="332" spans="1:32">
      <c r="A332" s="8" t="s">
        <v>1304</v>
      </c>
      <c r="B332" s="9" t="s">
        <v>41</v>
      </c>
      <c r="C332" s="9" t="s">
        <v>253</v>
      </c>
      <c r="D332" s="9" t="s">
        <v>254</v>
      </c>
      <c r="E332" s="9" t="s">
        <v>1305</v>
      </c>
      <c r="F332" s="9" t="str">
        <f ca="1">IFERROR(__xludf.DUMMYFUNCTION("IFS(
  REGEXMATCH(LOWER(VLOOKUP(A332, Data1_Raw_Slack!A:B, 2, FALSE)), ""news|weather""), ""News and Weather"", REGEXMATCH(LOWER(VLOOKUP(A332, Data1_Raw_Slack!A:B, 2, FALSE)), ""sports|ufc|nba|nfl|mlb|soccer|sports fans""), ""Sports"",
  REGEXMATCH(LOWER("&amp;"VLOOKUP(A332, Data1_Raw_Slack!A:B, 2, FALSE)), ""fashion|style|clothing|apparel|shoes|accessories|beauty|cosmetics|fashionistas""), ""Fashion and Beauty"",
  REGEXMATCH(LOWER(VLOOKUP(A332, Data1_Raw_Slack!A:B, 2, FALSE)), ""food|cooking|recipe|restaurant|"&amp;"snack|grocery|foodies""), ""Food"",
  REGEXMATCH(LOWER(VLOOKUP(A332, Data1_Raw_Slack!A:B, 2, FALSE)), ""travel|vacation|airline|hotel|trip|flights|travelers""), ""Travel"",
  REGEXMATCH(LOWER(VLOOKUP(A332, Data1_Raw_Slack!A:B, 2, FALSE)), ""fitness|workou"&amp;"t|gym|exercise|yoga|wellness|fitness enthusiasts""), ""Fitness"",
  REGEXMATCH(LOWER(VLOOKUP(A332, Data1_Raw_Slack!A:B, 2, FALSE)), ""health|medical|pharmacy|mental health|doctor|health-conscious""), ""Health"",
  REGEXMATCH(LOWER(VLOOKUP(A332, Data1_Raw_"&amp;"Slack!A:B, 2, FALSE)), ""pets|dogs|cats|animals|pet care|pet lovers""), ""Pets"",
  REGEXMATCH(LOWER(VLOOKUP(A332, Data1_Raw_Slack!A:B, 2, FALSE)), ""games|gaming|game|xbox|playstation|nintendo|gamers""), ""Gaming"",
  REGEXMATCH(LOWER(VLOOKUP(A332, Data1"&amp;"_Raw_Slack!A:B, 2, FALSE)), ""entertainment|movies|tv|netflix|streaming|celebrity|movie lovers|tv fans|hobb|photo|art""), ""Entertainment"",
  REGEXMATCH(LOWER(VLOOKUP(A332, Data1_Raw_Slack!A:B, 2, FALSE)), ""lifestyle|home|interior|decor|living|lifestyle"&amp;" enthusiasts""), ""Lifestyle"",
  REGEXMATCH(LOWER(VLOOKUP(A332, Data1_Raw_Slack!A:B, 2, FALSE)), ""financial|finance|investing|stocks|retirement|banking|credit|debt|loans|savings|personal finance|insurance|econ|ecom|business|retail|occupation|sale|job|ma"&amp;"rketing""), ""Finance"",
  REGEXMATCH(LOWER(VLOOKUP(A332, Data1_Raw_Slack!A:B, 2, FALSE)), ""auto|automotive""), ""Auto"",
  REGEXMATCH(LOWER(VLOOKUP(A332, Data1_Raw_Slack!A:B, 2, FALSE)), ""parenting|moms|dads|kids|toddlers|baby|parent|children""), ""Par"&amp;"enting"",
  REGEXMATCH(LOWER(VLOOKUP(A332, Data1_Raw_Slack!A:B, 2, FALSE)), ""education|students|learning|school|teachers|college|university|academics""), ""Education"",
  REGEXMATCH(LOWER(VLOOKUP(A332, Data1_Raw_Slack!A:B, 2, FALSE)), ""age|gender|dem"&amp;"ographic|family|household""), ""Demographics"",
  REGEXMATCH(LOWER(VLOOKUP(A332, Data1_Raw_Slack!A:B, 2, FALSE)), ""mortgage|real estate""), ""Real Estate"",REGEXMATCH(LOWER(VLOOKUP(A332, Data1_Raw_Slack!A:B, 2, FALSE)), ""technology|tech|gadgets|smartpho"&amp;"ne|electro|apps|devices|computing|ai|robots|software|computer|internet|tele|mobile|tablet""), ""Technology"", REGEXMATCH(LOWER(VLOOKUP(A332, Data1_Raw_Slack!A:B, 2, FALSE)), ""entertainment|purchas|movies|tv|netflix|streaming|celebrity|movie lovers|tv fan"&amp;"s|media|hobb|photo|art|shop""), ""Entertainment"", REGEXMATCH(LOWER(VLOOKUP(A332, Data1_Raw_Slack!A:B, 2, FALSE)), ""law|government|""), ""Law and Government"",
  TRUE, ""Other""
)"),"Technology")</f>
        <v>Technology</v>
      </c>
      <c r="G332" s="9" t="s">
        <v>135</v>
      </c>
      <c r="H332" s="9" t="s">
        <v>32</v>
      </c>
      <c r="I332" s="9" t="s">
        <v>1306</v>
      </c>
      <c r="J332" s="9" t="s">
        <v>46</v>
      </c>
      <c r="K332" s="9" t="s">
        <v>176</v>
      </c>
      <c r="L332" s="9" t="s">
        <v>36</v>
      </c>
      <c r="M332" s="10" t="s">
        <v>316</v>
      </c>
      <c r="N332" s="9" t="str">
        <f ca="1">IFERROR(__xludf.DUMMYFUNCTION("REGEXEXTRACT(LOWER(M332), ""([a-z0-9\-]+)\.(?:co|net|org|io|gg)"")"),"cargurus")</f>
        <v>cargurus</v>
      </c>
      <c r="O332" s="9" t="s">
        <v>593</v>
      </c>
      <c r="P332" s="9" t="s">
        <v>39</v>
      </c>
      <c r="Q332" s="9">
        <v>16644</v>
      </c>
      <c r="R332" s="9">
        <v>10</v>
      </c>
      <c r="S332" s="9">
        <v>5055</v>
      </c>
      <c r="T332" s="9">
        <v>15831</v>
      </c>
      <c r="U332" s="9">
        <v>5</v>
      </c>
      <c r="V332" s="11">
        <v>6386.4642320000003</v>
      </c>
      <c r="W332" s="12">
        <f t="shared" si="7"/>
        <v>1277.2928464000001</v>
      </c>
      <c r="X332" s="12">
        <f t="shared" si="8"/>
        <v>6.0081711127132897E-2</v>
      </c>
      <c r="Y332" s="12">
        <f t="shared" si="9"/>
        <v>30.371304974765685</v>
      </c>
      <c r="Z332" s="12">
        <f t="shared" si="10"/>
        <v>1263.3954959446094</v>
      </c>
      <c r="AA332" s="12">
        <f t="shared" si="11"/>
        <v>383.70969911079067</v>
      </c>
      <c r="AB332" s="12">
        <f t="shared" si="12"/>
        <v>638.64642320000007</v>
      </c>
      <c r="AC332" s="12">
        <f t="shared" si="13"/>
        <v>50</v>
      </c>
      <c r="AE332" s="13"/>
      <c r="AF332" s="13"/>
    </row>
    <row r="333" spans="1:32">
      <c r="A333" s="8" t="s">
        <v>1307</v>
      </c>
      <c r="B333" s="9" t="s">
        <v>52</v>
      </c>
      <c r="C333" s="9" t="s">
        <v>204</v>
      </c>
      <c r="D333" s="9" t="s">
        <v>1308</v>
      </c>
      <c r="E333" s="9" t="s">
        <v>1309</v>
      </c>
      <c r="F333" s="9" t="str">
        <f ca="1">IFERROR(__xludf.DUMMYFUNCTION("IFS(
  REGEXMATCH(LOWER(VLOOKUP(A333, Data1_Raw_Slack!A:B, 2, FALSE)), ""news|weather""), ""News and Weather"", REGEXMATCH(LOWER(VLOOKUP(A333, Data1_Raw_Slack!A:B, 2, FALSE)), ""sports|ufc|nba|nfl|mlb|soccer|sports fans""), ""Sports"",
  REGEXMATCH(LOWER("&amp;"VLOOKUP(A333, Data1_Raw_Slack!A:B, 2, FALSE)), ""fashion|style|clothing|apparel|shoes|accessories|beauty|cosmetics|fashionistas""), ""Fashion and Beauty"",
  REGEXMATCH(LOWER(VLOOKUP(A333, Data1_Raw_Slack!A:B, 2, FALSE)), ""food|cooking|recipe|restaurant|"&amp;"snack|grocery|foodies""), ""Food"",
  REGEXMATCH(LOWER(VLOOKUP(A333, Data1_Raw_Slack!A:B, 2, FALSE)), ""travel|vacation|airline|hotel|trip|flights|travelers""), ""Travel"",
  REGEXMATCH(LOWER(VLOOKUP(A333, Data1_Raw_Slack!A:B, 2, FALSE)), ""fitness|workou"&amp;"t|gym|exercise|yoga|wellness|fitness enthusiasts""), ""Fitness"",
  REGEXMATCH(LOWER(VLOOKUP(A333, Data1_Raw_Slack!A:B, 2, FALSE)), ""health|medical|pharmacy|mental health|doctor|health-conscious""), ""Health"",
  REGEXMATCH(LOWER(VLOOKUP(A333, Data1_Raw_"&amp;"Slack!A:B, 2, FALSE)), ""pets|dogs|cats|animals|pet care|pet lovers""), ""Pets"",
  REGEXMATCH(LOWER(VLOOKUP(A333, Data1_Raw_Slack!A:B, 2, FALSE)), ""games|gaming|game|xbox|playstation|nintendo|gamers""), ""Gaming"",
  REGEXMATCH(LOWER(VLOOKUP(A333, Data1"&amp;"_Raw_Slack!A:B, 2, FALSE)), ""entertainment|movies|tv|netflix|streaming|celebrity|movie lovers|tv fans|hobb|photo|art""), ""Entertainment"",
  REGEXMATCH(LOWER(VLOOKUP(A333, Data1_Raw_Slack!A:B, 2, FALSE)), ""lifestyle|home|interior|decor|living|lifestyle"&amp;" enthusiasts""), ""Lifestyle"",
  REGEXMATCH(LOWER(VLOOKUP(A333, Data1_Raw_Slack!A:B, 2, FALSE)), ""financial|finance|investing|stocks|retirement|banking|credit|debt|loans|savings|personal finance|insurance|econ|ecom|business|retail|occupation|sale|job|ma"&amp;"rketing""), ""Finance"",
  REGEXMATCH(LOWER(VLOOKUP(A333, Data1_Raw_Slack!A:B, 2, FALSE)), ""auto|automotive""), ""Auto"",
  REGEXMATCH(LOWER(VLOOKUP(A333, Data1_Raw_Slack!A:B, 2, FALSE)), ""parenting|moms|dads|kids|toddlers|baby|parent|children""), ""Par"&amp;"enting"",
  REGEXMATCH(LOWER(VLOOKUP(A333, Data1_Raw_Slack!A:B, 2, FALSE)), ""education|students|learning|school|teachers|college|university|academics""), ""Education"",
  REGEXMATCH(LOWER(VLOOKUP(A333, Data1_Raw_Slack!A:B, 2, FALSE)), ""age|gender|dem"&amp;"ographic|family|household""), ""Demographics"",
  REGEXMATCH(LOWER(VLOOKUP(A333, Data1_Raw_Slack!A:B, 2, FALSE)), ""mortgage|real estate""), ""Real Estate"",REGEXMATCH(LOWER(VLOOKUP(A333, Data1_Raw_Slack!A:B, 2, FALSE)), ""technology|tech|gadgets|smartpho"&amp;"ne|electro|apps|devices|computing|ai|robots|software|computer|internet|tele|mobile|tablet""), ""Technology"", REGEXMATCH(LOWER(VLOOKUP(A333, Data1_Raw_Slack!A:B, 2, FALSE)), ""entertainment|purchas|movies|tv|netflix|streaming|celebrity|movie lovers|tv fan"&amp;"s|media|hobb|photo|art|shop""), ""Entertainment"", REGEXMATCH(LOWER(VLOOKUP(A333, Data1_Raw_Slack!A:B, 2, FALSE)), ""law|government|""), ""Law and Government"",
  TRUE, ""Other""
)"),"Gaming")</f>
        <v>Gaming</v>
      </c>
      <c r="G333" s="9"/>
      <c r="H333" s="9" t="s">
        <v>44</v>
      </c>
      <c r="I333" s="9" t="s">
        <v>1310</v>
      </c>
      <c r="J333" s="9" t="s">
        <v>62</v>
      </c>
      <c r="K333" s="9" t="s">
        <v>236</v>
      </c>
      <c r="L333" s="9" t="s">
        <v>82</v>
      </c>
      <c r="M333" s="10" t="s">
        <v>1311</v>
      </c>
      <c r="N333" s="9" t="str">
        <f ca="1">IFERROR(__xludf.DUMMYFUNCTION("REGEXEXTRACT(LOWER(M333), ""([a-z0-9\-]+)\.(?:co|net|org|io|gg)"")"),"nbcsports")</f>
        <v>nbcsports</v>
      </c>
      <c r="O333" s="9" t="s">
        <v>186</v>
      </c>
      <c r="P333" s="9" t="s">
        <v>39</v>
      </c>
      <c r="Q333" s="9">
        <v>15047</v>
      </c>
      <c r="R333" s="9">
        <v>84</v>
      </c>
      <c r="S333" s="9">
        <v>5653</v>
      </c>
      <c r="T333" s="9">
        <v>14459</v>
      </c>
      <c r="U333" s="9">
        <v>4</v>
      </c>
      <c r="V333" s="11">
        <v>2127.495962</v>
      </c>
      <c r="W333" s="12">
        <f t="shared" si="7"/>
        <v>531.87399049999999</v>
      </c>
      <c r="X333" s="12">
        <f t="shared" si="8"/>
        <v>0.5582508141157706</v>
      </c>
      <c r="Y333" s="12">
        <f t="shared" si="9"/>
        <v>37.568950621386321</v>
      </c>
      <c r="Z333" s="12">
        <f t="shared" si="10"/>
        <v>376.34812701220591</v>
      </c>
      <c r="AA333" s="12">
        <f t="shared" si="11"/>
        <v>141.39004200172792</v>
      </c>
      <c r="AB333" s="12">
        <f t="shared" si="12"/>
        <v>25.32733288095238</v>
      </c>
      <c r="AC333" s="12">
        <f t="shared" si="13"/>
        <v>4.7619047619047619</v>
      </c>
      <c r="AE333" s="13"/>
      <c r="AF333" s="13"/>
    </row>
    <row r="334" spans="1:32">
      <c r="A334" s="8" t="s">
        <v>1312</v>
      </c>
      <c r="B334" s="9" t="s">
        <v>41</v>
      </c>
      <c r="C334" s="9" t="s">
        <v>42</v>
      </c>
      <c r="D334" s="9" t="s">
        <v>1313</v>
      </c>
      <c r="E334" s="9"/>
      <c r="F334" s="9" t="str">
        <f ca="1">IFERROR(__xludf.DUMMYFUNCTION("IFS(
  REGEXMATCH(LOWER(VLOOKUP(A334, Data1_Raw_Slack!A:B, 2, FALSE)), ""news|weather""), ""News and Weather"", REGEXMATCH(LOWER(VLOOKUP(A334, Data1_Raw_Slack!A:B, 2, FALSE)), ""sports|ufc|nba|nfl|mlb|soccer|sports fans""), ""Sports"",
  REGEXMATCH(LOWER("&amp;"VLOOKUP(A334, Data1_Raw_Slack!A:B, 2, FALSE)), ""fashion|style|clothing|apparel|shoes|accessories|beauty|cosmetics|fashionistas""), ""Fashion and Beauty"",
  REGEXMATCH(LOWER(VLOOKUP(A334, Data1_Raw_Slack!A:B, 2, FALSE)), ""food|cooking|recipe|restaurant|"&amp;"snack|grocery|foodies""), ""Food"",
  REGEXMATCH(LOWER(VLOOKUP(A334, Data1_Raw_Slack!A:B, 2, FALSE)), ""travel|vacation|airline|hotel|trip|flights|travelers""), ""Travel"",
  REGEXMATCH(LOWER(VLOOKUP(A334, Data1_Raw_Slack!A:B, 2, FALSE)), ""fitness|workou"&amp;"t|gym|exercise|yoga|wellness|fitness enthusiasts""), ""Fitness"",
  REGEXMATCH(LOWER(VLOOKUP(A334, Data1_Raw_Slack!A:B, 2, FALSE)), ""health|medical|pharmacy|mental health|doctor|health-conscious""), ""Health"",
  REGEXMATCH(LOWER(VLOOKUP(A334, Data1_Raw_"&amp;"Slack!A:B, 2, FALSE)), ""pets|dogs|cats|animals|pet care|pet lovers""), ""Pets"",
  REGEXMATCH(LOWER(VLOOKUP(A334, Data1_Raw_Slack!A:B, 2, FALSE)), ""games|gaming|game|xbox|playstation|nintendo|gamers""), ""Gaming"",
  REGEXMATCH(LOWER(VLOOKUP(A334, Data1"&amp;"_Raw_Slack!A:B, 2, FALSE)), ""entertainment|movies|tv|netflix|streaming|celebrity|movie lovers|tv fans|hobb|photo|art""), ""Entertainment"",
  REGEXMATCH(LOWER(VLOOKUP(A334, Data1_Raw_Slack!A:B, 2, FALSE)), ""lifestyle|home|interior|decor|living|lifestyle"&amp;" enthusiasts""), ""Lifestyle"",
  REGEXMATCH(LOWER(VLOOKUP(A334, Data1_Raw_Slack!A:B, 2, FALSE)), ""financial|finance|investing|stocks|retirement|banking|credit|debt|loans|savings|personal finance|insurance|econ|ecom|business|retail|occupation|sale|job|ma"&amp;"rketing""), ""Finance"",
  REGEXMATCH(LOWER(VLOOKUP(A334, Data1_Raw_Slack!A:B, 2, FALSE)), ""auto|automotive""), ""Auto"",
  REGEXMATCH(LOWER(VLOOKUP(A334, Data1_Raw_Slack!A:B, 2, FALSE)), ""parenting|moms|dads|kids|toddlers|baby|parent|children""), ""Par"&amp;"enting"",
  REGEXMATCH(LOWER(VLOOKUP(A334, Data1_Raw_Slack!A:B, 2, FALSE)), ""education|students|learning|school|teachers|college|university|academics""), ""Education"",
  REGEXMATCH(LOWER(VLOOKUP(A334, Data1_Raw_Slack!A:B, 2, FALSE)), ""age|gender|dem"&amp;"ographic|family|household""), ""Demographics"",
  REGEXMATCH(LOWER(VLOOKUP(A334, Data1_Raw_Slack!A:B, 2, FALSE)), ""mortgage|real estate""), ""Real Estate"",REGEXMATCH(LOWER(VLOOKUP(A334, Data1_Raw_Slack!A:B, 2, FALSE)), ""technology|tech|gadgets|smartpho"&amp;"ne|electro|apps|devices|computing|ai|robots|software|computer|internet|tele|mobile|tablet""), ""Technology"", REGEXMATCH(LOWER(VLOOKUP(A334, Data1_Raw_Slack!A:B, 2, FALSE)), ""entertainment|purchas|movies|tv|netflix|streaming|celebrity|movie lovers|tv fan"&amp;"s|media|hobb|photo|art|shop""), ""Entertainment"", REGEXMATCH(LOWER(VLOOKUP(A334, Data1_Raw_Slack!A:B, 2, FALSE)), ""law|government|""), ""Law and Government"",
  TRUE, ""Other""
)"),"Health")</f>
        <v>Health</v>
      </c>
      <c r="G334" s="9"/>
      <c r="H334" s="9" t="s">
        <v>123</v>
      </c>
      <c r="I334" s="9" t="s">
        <v>1314</v>
      </c>
      <c r="J334" s="9" t="s">
        <v>46</v>
      </c>
      <c r="K334" s="9" t="s">
        <v>170</v>
      </c>
      <c r="L334" s="9" t="s">
        <v>72</v>
      </c>
      <c r="M334" s="10" t="s">
        <v>668</v>
      </c>
      <c r="N334" s="9" t="str">
        <f ca="1">IFERROR(__xludf.DUMMYFUNCTION("REGEXEXTRACT(LOWER(M334), ""([a-z0-9\-]+)\.(?:co|net|org|io|gg)"")"),"slickdeals")</f>
        <v>slickdeals</v>
      </c>
      <c r="O334" s="9" t="s">
        <v>131</v>
      </c>
      <c r="P334" s="9" t="s">
        <v>39</v>
      </c>
      <c r="Q334" s="9">
        <v>19408</v>
      </c>
      <c r="R334" s="9">
        <v>58</v>
      </c>
      <c r="S334" s="9">
        <v>6596</v>
      </c>
      <c r="T334" s="9">
        <v>13880</v>
      </c>
      <c r="U334" s="9">
        <v>2</v>
      </c>
      <c r="V334" s="11">
        <v>5492.8216480000001</v>
      </c>
      <c r="W334" s="12">
        <f t="shared" si="7"/>
        <v>2746.410824</v>
      </c>
      <c r="X334" s="12">
        <f t="shared" si="8"/>
        <v>0.29884583676834298</v>
      </c>
      <c r="Y334" s="12">
        <f t="shared" si="9"/>
        <v>33.985985160758453</v>
      </c>
      <c r="Z334" s="12">
        <f t="shared" si="10"/>
        <v>832.75040145542755</v>
      </c>
      <c r="AA334" s="12">
        <f t="shared" si="11"/>
        <v>283.01842786479801</v>
      </c>
      <c r="AB334" s="12">
        <f t="shared" si="12"/>
        <v>94.70382151724138</v>
      </c>
      <c r="AC334" s="12">
        <f t="shared" si="13"/>
        <v>3.4482758620689653</v>
      </c>
      <c r="AE334" s="13"/>
      <c r="AF334" s="13"/>
    </row>
    <row r="335" spans="1:32">
      <c r="A335" s="8" t="s">
        <v>1315</v>
      </c>
      <c r="B335" s="9" t="s">
        <v>41</v>
      </c>
      <c r="C335" s="9" t="s">
        <v>1220</v>
      </c>
      <c r="D335" s="9" t="s">
        <v>1316</v>
      </c>
      <c r="E335" s="9"/>
      <c r="F335" s="9" t="str">
        <f ca="1">IFERROR(__xludf.DUMMYFUNCTION("IFS(
  REGEXMATCH(LOWER(VLOOKUP(A335, Data1_Raw_Slack!A:B, 2, FALSE)), ""news|weather""), ""News and Weather"", REGEXMATCH(LOWER(VLOOKUP(A335, Data1_Raw_Slack!A:B, 2, FALSE)), ""sports|ufc|nba|nfl|mlb|soccer|sports fans""), ""Sports"",
  REGEXMATCH(LOWER("&amp;"VLOOKUP(A335, Data1_Raw_Slack!A:B, 2, FALSE)), ""fashion|style|clothing|apparel|shoes|accessories|beauty|cosmetics|fashionistas""), ""Fashion and Beauty"",
  REGEXMATCH(LOWER(VLOOKUP(A335, Data1_Raw_Slack!A:B, 2, FALSE)), ""food|cooking|recipe|restaurant|"&amp;"snack|grocery|foodies""), ""Food"",
  REGEXMATCH(LOWER(VLOOKUP(A335, Data1_Raw_Slack!A:B, 2, FALSE)), ""travel|vacation|airline|hotel|trip|flights|travelers""), ""Travel"",
  REGEXMATCH(LOWER(VLOOKUP(A335, Data1_Raw_Slack!A:B, 2, FALSE)), ""fitness|workou"&amp;"t|gym|exercise|yoga|wellness|fitness enthusiasts""), ""Fitness"",
  REGEXMATCH(LOWER(VLOOKUP(A335, Data1_Raw_Slack!A:B, 2, FALSE)), ""health|medical|pharmacy|mental health|doctor|health-conscious""), ""Health"",
  REGEXMATCH(LOWER(VLOOKUP(A335, Data1_Raw_"&amp;"Slack!A:B, 2, FALSE)), ""pets|dogs|cats|animals|pet care|pet lovers""), ""Pets"",
  REGEXMATCH(LOWER(VLOOKUP(A335, Data1_Raw_Slack!A:B, 2, FALSE)), ""games|gaming|game|xbox|playstation|nintendo|gamers""), ""Gaming"",
  REGEXMATCH(LOWER(VLOOKUP(A335, Data1"&amp;"_Raw_Slack!A:B, 2, FALSE)), ""entertainment|movies|tv|netflix|streaming|celebrity|movie lovers|tv fans|hobb|photo|art""), ""Entertainment"",
  REGEXMATCH(LOWER(VLOOKUP(A335, Data1_Raw_Slack!A:B, 2, FALSE)), ""lifestyle|home|interior|decor|living|lifestyle"&amp;" enthusiasts""), ""Lifestyle"",
  REGEXMATCH(LOWER(VLOOKUP(A335, Data1_Raw_Slack!A:B, 2, FALSE)), ""financial|finance|investing|stocks|retirement|banking|credit|debt|loans|savings|personal finance|insurance|econ|ecom|business|retail|occupation|sale|job|ma"&amp;"rketing""), ""Finance"",
  REGEXMATCH(LOWER(VLOOKUP(A335, Data1_Raw_Slack!A:B, 2, FALSE)), ""auto|automotive""), ""Auto"",
  REGEXMATCH(LOWER(VLOOKUP(A335, Data1_Raw_Slack!A:B, 2, FALSE)), ""parenting|moms|dads|kids|toddlers|baby|parent|children""), ""Par"&amp;"enting"",
  REGEXMATCH(LOWER(VLOOKUP(A335, Data1_Raw_Slack!A:B, 2, FALSE)), ""education|students|learning|school|teachers|college|university|academics""), ""Education"",
  REGEXMATCH(LOWER(VLOOKUP(A335, Data1_Raw_Slack!A:B, 2, FALSE)), ""age|gender|dem"&amp;"ographic|family|household""), ""Demographics"",
  REGEXMATCH(LOWER(VLOOKUP(A335, Data1_Raw_Slack!A:B, 2, FALSE)), ""mortgage|real estate""), ""Real Estate"",REGEXMATCH(LOWER(VLOOKUP(A335, Data1_Raw_Slack!A:B, 2, FALSE)), ""technology|tech|gadgets|smartpho"&amp;"ne|electro|apps|devices|computing|ai|robots|software|computer|internet|tele|mobile|tablet""), ""Technology"", REGEXMATCH(LOWER(VLOOKUP(A335, Data1_Raw_Slack!A:B, 2, FALSE)), ""entertainment|purchas|movies|tv|netflix|streaming|celebrity|movie lovers|tv fan"&amp;"s|media|hobb|photo|art|shop""), ""Entertainment"", REGEXMATCH(LOWER(VLOOKUP(A335, Data1_Raw_Slack!A:B, 2, FALSE)), ""law|government|""), ""Law and Government"",
  TRUE, ""Other""
)"),"Law and Government")</f>
        <v>Law and Government</v>
      </c>
      <c r="G335" s="9" t="s">
        <v>1220</v>
      </c>
      <c r="H335" s="9" t="s">
        <v>32</v>
      </c>
      <c r="I335" s="9" t="s">
        <v>483</v>
      </c>
      <c r="J335" s="9" t="s">
        <v>46</v>
      </c>
      <c r="K335" s="9" t="s">
        <v>274</v>
      </c>
      <c r="L335" s="9" t="s">
        <v>48</v>
      </c>
      <c r="M335" s="10" t="s">
        <v>37</v>
      </c>
      <c r="N335" s="9" t="str">
        <f ca="1">IFERROR(__xludf.DUMMYFUNCTION("REGEXEXTRACT(LOWER(M335), ""([a-z0-9\-]+)\.(?:co|net|org|io|gg)"")"),"cars")</f>
        <v>cars</v>
      </c>
      <c r="O335" s="9" t="s">
        <v>50</v>
      </c>
      <c r="P335" s="9" t="s">
        <v>39</v>
      </c>
      <c r="Q335" s="9">
        <v>17582</v>
      </c>
      <c r="R335" s="9">
        <v>56</v>
      </c>
      <c r="S335" s="9">
        <v>9848</v>
      </c>
      <c r="T335" s="9">
        <v>16558</v>
      </c>
      <c r="U335" s="9">
        <v>12</v>
      </c>
      <c r="V335" s="11">
        <v>6846.4479149999997</v>
      </c>
      <c r="W335" s="12">
        <f t="shared" si="7"/>
        <v>570.53732624999998</v>
      </c>
      <c r="X335" s="12">
        <f t="shared" si="8"/>
        <v>0.31850756455465817</v>
      </c>
      <c r="Y335" s="12">
        <f t="shared" si="9"/>
        <v>56.011830280969178</v>
      </c>
      <c r="Z335" s="12">
        <f t="shared" si="10"/>
        <v>695.21201411454103</v>
      </c>
      <c r="AA335" s="12">
        <f t="shared" si="11"/>
        <v>389.40097343874413</v>
      </c>
      <c r="AB335" s="12">
        <f t="shared" si="12"/>
        <v>122.25799848214285</v>
      </c>
      <c r="AC335" s="12">
        <f t="shared" si="13"/>
        <v>21.428571428571427</v>
      </c>
      <c r="AE335" s="13"/>
      <c r="AF335" s="13"/>
    </row>
    <row r="336" spans="1:32">
      <c r="A336" s="8" t="s">
        <v>1317</v>
      </c>
      <c r="B336" s="9" t="s">
        <v>198</v>
      </c>
      <c r="C336" s="9" t="s">
        <v>1318</v>
      </c>
      <c r="D336" s="9"/>
      <c r="E336" s="9"/>
      <c r="F336" s="9" t="str">
        <f ca="1">IFERROR(__xludf.DUMMYFUNCTION("IFS(
  REGEXMATCH(LOWER(VLOOKUP(A336, Data1_Raw_Slack!A:B, 2, FALSE)), ""news|weather""), ""News and Weather"", REGEXMATCH(LOWER(VLOOKUP(A336, Data1_Raw_Slack!A:B, 2, FALSE)), ""sports|ufc|nba|nfl|mlb|soccer|sports fans""), ""Sports"",
  REGEXMATCH(LOWER("&amp;"VLOOKUP(A336, Data1_Raw_Slack!A:B, 2, FALSE)), ""fashion|style|clothing|apparel|shoes|accessories|beauty|cosmetics|fashionistas""), ""Fashion and Beauty"",
  REGEXMATCH(LOWER(VLOOKUP(A336, Data1_Raw_Slack!A:B, 2, FALSE)), ""food|cooking|recipe|restaurant|"&amp;"snack|grocery|foodies""), ""Food"",
  REGEXMATCH(LOWER(VLOOKUP(A336, Data1_Raw_Slack!A:B, 2, FALSE)), ""travel|vacation|airline|hotel|trip|flights|travelers""), ""Travel"",
  REGEXMATCH(LOWER(VLOOKUP(A336, Data1_Raw_Slack!A:B, 2, FALSE)), ""fitness|workou"&amp;"t|gym|exercise|yoga|wellness|fitness enthusiasts""), ""Fitness"",
  REGEXMATCH(LOWER(VLOOKUP(A336, Data1_Raw_Slack!A:B, 2, FALSE)), ""health|medical|pharmacy|mental health|doctor|health-conscious""), ""Health"",
  REGEXMATCH(LOWER(VLOOKUP(A336, Data1_Raw_"&amp;"Slack!A:B, 2, FALSE)), ""pets|dogs|cats|animals|pet care|pet lovers""), ""Pets"",
  REGEXMATCH(LOWER(VLOOKUP(A336, Data1_Raw_Slack!A:B, 2, FALSE)), ""games|gaming|game|xbox|playstation|nintendo|gamers""), ""Gaming"",
  REGEXMATCH(LOWER(VLOOKUP(A336, Data1"&amp;"_Raw_Slack!A:B, 2, FALSE)), ""entertainment|movies|tv|netflix|streaming|celebrity|movie lovers|tv fans|hobb|photo|art""), ""Entertainment"",
  REGEXMATCH(LOWER(VLOOKUP(A336, Data1_Raw_Slack!A:B, 2, FALSE)), ""lifestyle|home|interior|decor|living|lifestyle"&amp;" enthusiasts""), ""Lifestyle"",
  REGEXMATCH(LOWER(VLOOKUP(A336, Data1_Raw_Slack!A:B, 2, FALSE)), ""financial|finance|investing|stocks|retirement|banking|credit|debt|loans|savings|personal finance|insurance|econ|ecom|business|retail|occupation|sale|job|ma"&amp;"rketing""), ""Finance"",
  REGEXMATCH(LOWER(VLOOKUP(A336, Data1_Raw_Slack!A:B, 2, FALSE)), ""auto|automotive""), ""Auto"",
  REGEXMATCH(LOWER(VLOOKUP(A336, Data1_Raw_Slack!A:B, 2, FALSE)), ""parenting|moms|dads|kids|toddlers|baby|parent|children""), ""Par"&amp;"enting"",
  REGEXMATCH(LOWER(VLOOKUP(A336, Data1_Raw_Slack!A:B, 2, FALSE)), ""education|students|learning|school|teachers|college|university|academics""), ""Education"",
  REGEXMATCH(LOWER(VLOOKUP(A336, Data1_Raw_Slack!A:B, 2, FALSE)), ""age|gender|dem"&amp;"ographic|family|household""), ""Demographics"",
  REGEXMATCH(LOWER(VLOOKUP(A336, Data1_Raw_Slack!A:B, 2, FALSE)), ""mortgage|real estate""), ""Real Estate"",REGEXMATCH(LOWER(VLOOKUP(A336, Data1_Raw_Slack!A:B, 2, FALSE)), ""technology|tech|gadgets|smartpho"&amp;"ne|electro|apps|devices|computing|ai|robots|software|computer|internet|tele|mobile|tablet""), ""Technology"", REGEXMATCH(LOWER(VLOOKUP(A336, Data1_Raw_Slack!A:B, 2, FALSE)), ""entertainment|purchas|movies|tv|netflix|streaming|celebrity|movie lovers|tv fan"&amp;"s|media|hobb|photo|art|shop""), ""Entertainment"", REGEXMATCH(LOWER(VLOOKUP(A336, Data1_Raw_Slack!A:B, 2, FALSE)), ""law|government|""), ""Law and Government"",
  TRUE, ""Other""
)"),"Law and Government")</f>
        <v>Law and Government</v>
      </c>
      <c r="G336" s="9"/>
      <c r="H336" s="9" t="s">
        <v>44</v>
      </c>
      <c r="I336" s="9" t="s">
        <v>1093</v>
      </c>
      <c r="J336" s="9" t="s">
        <v>46</v>
      </c>
      <c r="K336" s="9" t="s">
        <v>35</v>
      </c>
      <c r="L336" s="9" t="s">
        <v>36</v>
      </c>
      <c r="M336" s="10" t="s">
        <v>207</v>
      </c>
      <c r="N336" s="9" t="str">
        <f ca="1">IFERROR(__xludf.DUMMYFUNCTION("REGEXEXTRACT(LOWER(M336), ""([a-z0-9\-]+)\.(?:co|net|org|io|gg)"")"),"realtor")</f>
        <v>realtor</v>
      </c>
      <c r="O336" s="9" t="s">
        <v>103</v>
      </c>
      <c r="P336" s="9" t="s">
        <v>64</v>
      </c>
      <c r="Q336" s="9">
        <v>49412</v>
      </c>
      <c r="R336" s="9">
        <v>170</v>
      </c>
      <c r="S336" s="9">
        <v>22155</v>
      </c>
      <c r="T336" s="9">
        <v>43802</v>
      </c>
      <c r="U336" s="9">
        <v>3</v>
      </c>
      <c r="V336" s="11">
        <v>1595.6594660000001</v>
      </c>
      <c r="W336" s="12">
        <f t="shared" si="7"/>
        <v>531.88648866666665</v>
      </c>
      <c r="X336" s="12">
        <f t="shared" si="8"/>
        <v>0.34404598073342507</v>
      </c>
      <c r="Y336" s="12">
        <f t="shared" si="9"/>
        <v>44.837286489111953</v>
      </c>
      <c r="Z336" s="12">
        <f t="shared" si="10"/>
        <v>72.022544166102463</v>
      </c>
      <c r="AA336" s="12">
        <f t="shared" si="11"/>
        <v>32.29295446450255</v>
      </c>
      <c r="AB336" s="12">
        <f t="shared" si="12"/>
        <v>9.3862321529411776</v>
      </c>
      <c r="AC336" s="12">
        <f t="shared" si="13"/>
        <v>1.7647058823529411</v>
      </c>
      <c r="AE336" s="13"/>
      <c r="AF336" s="13"/>
    </row>
    <row r="337" spans="1:32">
      <c r="A337" s="8" t="s">
        <v>1319</v>
      </c>
      <c r="B337" s="9" t="s">
        <v>144</v>
      </c>
      <c r="C337" s="9" t="s">
        <v>145</v>
      </c>
      <c r="D337" s="9" t="s">
        <v>712</v>
      </c>
      <c r="E337" s="9"/>
      <c r="F337" s="9" t="str">
        <f ca="1">IFERROR(__xludf.DUMMYFUNCTION("IFS(
  REGEXMATCH(LOWER(VLOOKUP(A337, Data1_Raw_Slack!A:B, 2, FALSE)), ""news|weather""), ""News and Weather"", REGEXMATCH(LOWER(VLOOKUP(A337, Data1_Raw_Slack!A:B, 2, FALSE)), ""sports|ufc|nba|nfl|mlb|soccer|sports fans""), ""Sports"",
  REGEXMATCH(LOWER("&amp;"VLOOKUP(A337, Data1_Raw_Slack!A:B, 2, FALSE)), ""fashion|style|clothing|apparel|shoes|accessories|beauty|cosmetics|fashionistas""), ""Fashion and Beauty"",
  REGEXMATCH(LOWER(VLOOKUP(A337, Data1_Raw_Slack!A:B, 2, FALSE)), ""food|cooking|recipe|restaurant|"&amp;"snack|grocery|foodies""), ""Food"",
  REGEXMATCH(LOWER(VLOOKUP(A337, Data1_Raw_Slack!A:B, 2, FALSE)), ""travel|vacation|airline|hotel|trip|flights|travelers""), ""Travel"",
  REGEXMATCH(LOWER(VLOOKUP(A337, Data1_Raw_Slack!A:B, 2, FALSE)), ""fitness|workou"&amp;"t|gym|exercise|yoga|wellness|fitness enthusiasts""), ""Fitness"",
  REGEXMATCH(LOWER(VLOOKUP(A337, Data1_Raw_Slack!A:B, 2, FALSE)), ""health|medical|pharmacy|mental health|doctor|health-conscious""), ""Health"",
  REGEXMATCH(LOWER(VLOOKUP(A337, Data1_Raw_"&amp;"Slack!A:B, 2, FALSE)), ""pets|dogs|cats|animals|pet care|pet lovers""), ""Pets"",
  REGEXMATCH(LOWER(VLOOKUP(A337, Data1_Raw_Slack!A:B, 2, FALSE)), ""games|gaming|game|xbox|playstation|nintendo|gamers""), ""Gaming"",
  REGEXMATCH(LOWER(VLOOKUP(A337, Data1"&amp;"_Raw_Slack!A:B, 2, FALSE)), ""entertainment|movies|tv|netflix|streaming|celebrity|movie lovers|tv fans|hobb|photo|art""), ""Entertainment"",
  REGEXMATCH(LOWER(VLOOKUP(A337, Data1_Raw_Slack!A:B, 2, FALSE)), ""lifestyle|home|interior|decor|living|lifestyle"&amp;" enthusiasts""), ""Lifestyle"",
  REGEXMATCH(LOWER(VLOOKUP(A337, Data1_Raw_Slack!A:B, 2, FALSE)), ""financial|finance|investing|stocks|retirement|banking|credit|debt|loans|savings|personal finance|insurance|econ|ecom|business|retail|occupation|sale|job|ma"&amp;"rketing""), ""Finance"",
  REGEXMATCH(LOWER(VLOOKUP(A337, Data1_Raw_Slack!A:B, 2, FALSE)), ""auto|automotive""), ""Auto"",
  REGEXMATCH(LOWER(VLOOKUP(A337, Data1_Raw_Slack!A:B, 2, FALSE)), ""parenting|moms|dads|kids|toddlers|baby|parent|children""), ""Par"&amp;"enting"",
  REGEXMATCH(LOWER(VLOOKUP(A337, Data1_Raw_Slack!A:B, 2, FALSE)), ""education|students|learning|school|teachers|college|university|academics""), ""Education"",
  REGEXMATCH(LOWER(VLOOKUP(A337, Data1_Raw_Slack!A:B, 2, FALSE)), ""age|gender|dem"&amp;"ographic|family|household""), ""Demographics"",
  REGEXMATCH(LOWER(VLOOKUP(A337, Data1_Raw_Slack!A:B, 2, FALSE)), ""mortgage|real estate""), ""Real Estate"",REGEXMATCH(LOWER(VLOOKUP(A337, Data1_Raw_Slack!A:B, 2, FALSE)), ""technology|tech|gadgets|smartpho"&amp;"ne|electro|apps|devices|computing|ai|robots|software|computer|internet|tele|mobile|tablet""), ""Technology"", REGEXMATCH(LOWER(VLOOKUP(A337, Data1_Raw_Slack!A:B, 2, FALSE)), ""entertainment|purchas|movies|tv|netflix|streaming|celebrity|movie lovers|tv fan"&amp;"s|media|hobb|photo|art|shop""), ""Entertainment"", REGEXMATCH(LOWER(VLOOKUP(A337, Data1_Raw_Slack!A:B, 2, FALSE)), ""law|government|""), ""Law and Government"",
  TRUE, ""Other""
)"),"News and Weather")</f>
        <v>News and Weather</v>
      </c>
      <c r="G337" s="9" t="s">
        <v>145</v>
      </c>
      <c r="H337" s="9" t="s">
        <v>44</v>
      </c>
      <c r="I337" s="9" t="s">
        <v>1320</v>
      </c>
      <c r="J337" s="9" t="s">
        <v>34</v>
      </c>
      <c r="K337" s="9" t="s">
        <v>137</v>
      </c>
      <c r="L337" s="9" t="s">
        <v>72</v>
      </c>
      <c r="M337" s="10" t="s">
        <v>130</v>
      </c>
      <c r="N337" s="9" t="str">
        <f ca="1">IFERROR(__xludf.DUMMYFUNCTION("REGEXEXTRACT(LOWER(M337), ""([a-z0-9\-]+)\.(?:co|net|org|io|gg)"")"),"weather")</f>
        <v>weather</v>
      </c>
      <c r="O337" s="9" t="s">
        <v>186</v>
      </c>
      <c r="P337" s="9" t="s">
        <v>39</v>
      </c>
      <c r="Q337" s="9">
        <v>197192</v>
      </c>
      <c r="R337" s="9">
        <v>519</v>
      </c>
      <c r="S337" s="9">
        <v>80623</v>
      </c>
      <c r="T337" s="9">
        <v>181763</v>
      </c>
      <c r="U337" s="9">
        <v>5</v>
      </c>
      <c r="V337" s="11">
        <v>1584.731757</v>
      </c>
      <c r="W337" s="12">
        <f t="shared" si="7"/>
        <v>316.94635140000003</v>
      </c>
      <c r="X337" s="12">
        <f t="shared" si="8"/>
        <v>0.2631952614710536</v>
      </c>
      <c r="Y337" s="12">
        <f t="shared" si="9"/>
        <v>40.885532881658484</v>
      </c>
      <c r="Z337" s="12">
        <f t="shared" si="10"/>
        <v>19.656075276285922</v>
      </c>
      <c r="AA337" s="12">
        <f t="shared" si="11"/>
        <v>8.0364911203294245</v>
      </c>
      <c r="AB337" s="12">
        <f t="shared" si="12"/>
        <v>3.0534330578034683</v>
      </c>
      <c r="AC337" s="12">
        <f t="shared" si="13"/>
        <v>0.96339113680154131</v>
      </c>
      <c r="AE337" s="13"/>
      <c r="AF337" s="13"/>
    </row>
    <row r="338" spans="1:32">
      <c r="A338" s="8" t="s">
        <v>1321</v>
      </c>
      <c r="B338" s="9" t="s">
        <v>41</v>
      </c>
      <c r="C338" s="9" t="s">
        <v>85</v>
      </c>
      <c r="D338" s="9" t="s">
        <v>1322</v>
      </c>
      <c r="E338" s="9"/>
      <c r="F338" s="9" t="str">
        <f ca="1">IFERROR(__xludf.DUMMYFUNCTION("IFS(
  REGEXMATCH(LOWER(VLOOKUP(A338, Data1_Raw_Slack!A:B, 2, FALSE)), ""news|weather""), ""News and Weather"", REGEXMATCH(LOWER(VLOOKUP(A338, Data1_Raw_Slack!A:B, 2, FALSE)), ""sports|ufc|nba|nfl|mlb|soccer|sports fans""), ""Sports"",
  REGEXMATCH(LOWER("&amp;"VLOOKUP(A338, Data1_Raw_Slack!A:B, 2, FALSE)), ""fashion|style|clothing|apparel|shoes|accessories|beauty|cosmetics|fashionistas""), ""Fashion and Beauty"",
  REGEXMATCH(LOWER(VLOOKUP(A338, Data1_Raw_Slack!A:B, 2, FALSE)), ""food|cooking|recipe|restaurant|"&amp;"snack|grocery|foodies""), ""Food"",
  REGEXMATCH(LOWER(VLOOKUP(A338, Data1_Raw_Slack!A:B, 2, FALSE)), ""travel|vacation|airline|hotel|trip|flights|travelers""), ""Travel"",
  REGEXMATCH(LOWER(VLOOKUP(A338, Data1_Raw_Slack!A:B, 2, FALSE)), ""fitness|workou"&amp;"t|gym|exercise|yoga|wellness|fitness enthusiasts""), ""Fitness"",
  REGEXMATCH(LOWER(VLOOKUP(A338, Data1_Raw_Slack!A:B, 2, FALSE)), ""health|medical|pharmacy|mental health|doctor|health-conscious""), ""Health"",
  REGEXMATCH(LOWER(VLOOKUP(A338, Data1_Raw_"&amp;"Slack!A:B, 2, FALSE)), ""pets|dogs|cats|animals|pet care|pet lovers""), ""Pets"",
  REGEXMATCH(LOWER(VLOOKUP(A338, Data1_Raw_Slack!A:B, 2, FALSE)), ""games|gaming|game|xbox|playstation|nintendo|gamers""), ""Gaming"",
  REGEXMATCH(LOWER(VLOOKUP(A338, Data1"&amp;"_Raw_Slack!A:B, 2, FALSE)), ""entertainment|movies|tv|netflix|streaming|celebrity|movie lovers|tv fans|hobb|photo|art""), ""Entertainment"",
  REGEXMATCH(LOWER(VLOOKUP(A338, Data1_Raw_Slack!A:B, 2, FALSE)), ""lifestyle|home|interior|decor|living|lifestyle"&amp;" enthusiasts""), ""Lifestyle"",
  REGEXMATCH(LOWER(VLOOKUP(A338, Data1_Raw_Slack!A:B, 2, FALSE)), ""financial|finance|investing|stocks|retirement|banking|credit|debt|loans|savings|personal finance|insurance|econ|ecom|business|retail|occupation|sale|job|ma"&amp;"rketing""), ""Finance"",
  REGEXMATCH(LOWER(VLOOKUP(A338, Data1_Raw_Slack!A:B, 2, FALSE)), ""auto|automotive""), ""Auto"",
  REGEXMATCH(LOWER(VLOOKUP(A338, Data1_Raw_Slack!A:B, 2, FALSE)), ""parenting|moms|dads|kids|toddlers|baby|parent|children""), ""Par"&amp;"enting"",
  REGEXMATCH(LOWER(VLOOKUP(A338, Data1_Raw_Slack!A:B, 2, FALSE)), ""education|students|learning|school|teachers|college|university|academics""), ""Education"",
  REGEXMATCH(LOWER(VLOOKUP(A338, Data1_Raw_Slack!A:B, 2, FALSE)), ""age|gender|dem"&amp;"ographic|family|household""), ""Demographics"",
  REGEXMATCH(LOWER(VLOOKUP(A338, Data1_Raw_Slack!A:B, 2, FALSE)), ""mortgage|real estate""), ""Real Estate"",REGEXMATCH(LOWER(VLOOKUP(A338, Data1_Raw_Slack!A:B, 2, FALSE)), ""technology|tech|gadgets|smartpho"&amp;"ne|electro|apps|devices|computing|ai|robots|software|computer|internet|tele|mobile|tablet""), ""Technology"", REGEXMATCH(LOWER(VLOOKUP(A338, Data1_Raw_Slack!A:B, 2, FALSE)), ""entertainment|purchas|movies|tv|netflix|streaming|celebrity|movie lovers|tv fan"&amp;"s|media|hobb|photo|art|shop""), ""Entertainment"", REGEXMATCH(LOWER(VLOOKUP(A338, Data1_Raw_Slack!A:B, 2, FALSE)), ""law|government|""), ""Law and Government"",
  TRUE, ""Other""
)"),"Travel")</f>
        <v>Travel</v>
      </c>
      <c r="G338" s="9" t="s">
        <v>85</v>
      </c>
      <c r="H338" s="9" t="s">
        <v>44</v>
      </c>
      <c r="I338" s="9" t="s">
        <v>1323</v>
      </c>
      <c r="J338" s="9" t="s">
        <v>34</v>
      </c>
      <c r="K338" s="9" t="s">
        <v>236</v>
      </c>
      <c r="L338" s="9" t="s">
        <v>82</v>
      </c>
      <c r="M338" s="10" t="s">
        <v>295</v>
      </c>
      <c r="N338" s="9" t="str">
        <f ca="1">IFERROR(__xludf.DUMMYFUNCTION("REGEXEXTRACT(LOWER(M338), ""([a-z0-9\-]+)\.(?:co|net|org|io|gg)"")"),"yahoo")</f>
        <v>yahoo</v>
      </c>
      <c r="O338" s="9" t="s">
        <v>50</v>
      </c>
      <c r="P338" s="9" t="s">
        <v>75</v>
      </c>
      <c r="Q338" s="9">
        <v>27394</v>
      </c>
      <c r="R338" s="9">
        <v>74</v>
      </c>
      <c r="S338" s="9">
        <v>16144</v>
      </c>
      <c r="T338" s="9">
        <v>24752</v>
      </c>
      <c r="U338" s="9">
        <v>78</v>
      </c>
      <c r="V338" s="11">
        <v>7264.5876099999996</v>
      </c>
      <c r="W338" s="12">
        <f t="shared" si="7"/>
        <v>93.135738589743582</v>
      </c>
      <c r="X338" s="12">
        <f t="shared" si="8"/>
        <v>0.27013214572534133</v>
      </c>
      <c r="Y338" s="12">
        <f t="shared" si="9"/>
        <v>58.932612980944732</v>
      </c>
      <c r="Z338" s="12">
        <f t="shared" si="10"/>
        <v>449.9868440287413</v>
      </c>
      <c r="AA338" s="12">
        <f t="shared" si="11"/>
        <v>265.18900525662553</v>
      </c>
      <c r="AB338" s="12">
        <f t="shared" si="12"/>
        <v>98.170102837837831</v>
      </c>
      <c r="AC338" s="12">
        <f t="shared" si="13"/>
        <v>105.40540540540539</v>
      </c>
      <c r="AE338" s="13"/>
      <c r="AF338" s="13"/>
    </row>
    <row r="339" spans="1:32">
      <c r="A339" s="8" t="s">
        <v>1324</v>
      </c>
      <c r="B339" s="9" t="s">
        <v>41</v>
      </c>
      <c r="C339" s="9" t="s">
        <v>319</v>
      </c>
      <c r="D339" s="9" t="s">
        <v>320</v>
      </c>
      <c r="E339" s="9" t="s">
        <v>1325</v>
      </c>
      <c r="F339" s="9" t="str">
        <f ca="1">IFERROR(__xludf.DUMMYFUNCTION("IFS(
  REGEXMATCH(LOWER(VLOOKUP(A339, Data1_Raw_Slack!A:B, 2, FALSE)), ""news|weather""), ""News and Weather"", REGEXMATCH(LOWER(VLOOKUP(A339, Data1_Raw_Slack!A:B, 2, FALSE)), ""sports|ufc|nba|nfl|mlb|soccer|sports fans""), ""Sports"",
  REGEXMATCH(LOWER("&amp;"VLOOKUP(A339, Data1_Raw_Slack!A:B, 2, FALSE)), ""fashion|style|clothing|apparel|shoes|accessories|beauty|cosmetics|fashionistas""), ""Fashion and Beauty"",
  REGEXMATCH(LOWER(VLOOKUP(A339, Data1_Raw_Slack!A:B, 2, FALSE)), ""food|cooking|recipe|restaurant|"&amp;"snack|grocery|foodies""), ""Food"",
  REGEXMATCH(LOWER(VLOOKUP(A339, Data1_Raw_Slack!A:B, 2, FALSE)), ""travel|vacation|airline|hotel|trip|flights|travelers""), ""Travel"",
  REGEXMATCH(LOWER(VLOOKUP(A339, Data1_Raw_Slack!A:B, 2, FALSE)), ""fitness|workou"&amp;"t|gym|exercise|yoga|wellness|fitness enthusiasts""), ""Fitness"",
  REGEXMATCH(LOWER(VLOOKUP(A339, Data1_Raw_Slack!A:B, 2, FALSE)), ""health|medical|pharmacy|mental health|doctor|health-conscious""), ""Health"",
  REGEXMATCH(LOWER(VLOOKUP(A339, Data1_Raw_"&amp;"Slack!A:B, 2, FALSE)), ""pets|dogs|cats|animals|pet care|pet lovers""), ""Pets"",
  REGEXMATCH(LOWER(VLOOKUP(A339, Data1_Raw_Slack!A:B, 2, FALSE)), ""games|gaming|game|xbox|playstation|nintendo|gamers""), ""Gaming"",
  REGEXMATCH(LOWER(VLOOKUP(A339, Data1"&amp;"_Raw_Slack!A:B, 2, FALSE)), ""entertainment|movies|tv|netflix|streaming|celebrity|movie lovers|tv fans|hobb|photo|art""), ""Entertainment"",
  REGEXMATCH(LOWER(VLOOKUP(A339, Data1_Raw_Slack!A:B, 2, FALSE)), ""lifestyle|home|interior|decor|living|lifestyle"&amp;" enthusiasts""), ""Lifestyle"",
  REGEXMATCH(LOWER(VLOOKUP(A339, Data1_Raw_Slack!A:B, 2, FALSE)), ""financial|finance|investing|stocks|retirement|banking|credit|debt|loans|savings|personal finance|insurance|econ|ecom|business|retail|occupation|sale|job|ma"&amp;"rketing""), ""Finance"",
  REGEXMATCH(LOWER(VLOOKUP(A339, Data1_Raw_Slack!A:B, 2, FALSE)), ""auto|automotive""), ""Auto"",
  REGEXMATCH(LOWER(VLOOKUP(A339, Data1_Raw_Slack!A:B, 2, FALSE)), ""parenting|moms|dads|kids|toddlers|baby|parent|children""), ""Par"&amp;"enting"",
  REGEXMATCH(LOWER(VLOOKUP(A339, Data1_Raw_Slack!A:B, 2, FALSE)), ""education|students|learning|school|teachers|college|university|academics""), ""Education"",
  REGEXMATCH(LOWER(VLOOKUP(A339, Data1_Raw_Slack!A:B, 2, FALSE)), ""age|gender|dem"&amp;"ographic|family|household""), ""Demographics"",
  REGEXMATCH(LOWER(VLOOKUP(A339, Data1_Raw_Slack!A:B, 2, FALSE)), ""mortgage|real estate""), ""Real Estate"",REGEXMATCH(LOWER(VLOOKUP(A339, Data1_Raw_Slack!A:B, 2, FALSE)), ""technology|tech|gadgets|smartpho"&amp;"ne|electro|apps|devices|computing|ai|robots|software|computer|internet|tele|mobile|tablet""), ""Technology"", REGEXMATCH(LOWER(VLOOKUP(A339, Data1_Raw_Slack!A:B, 2, FALSE)), ""entertainment|purchas|movies|tv|netflix|streaming|celebrity|movie lovers|tv fan"&amp;"s|media|hobb|photo|art|shop""), ""Entertainment"", REGEXMATCH(LOWER(VLOOKUP(A339, Data1_Raw_Slack!A:B, 2, FALSE)), ""law|government|""), ""Law and Government"",
  TRUE, ""Other""
)"),"Food")</f>
        <v>Food</v>
      </c>
      <c r="G339" s="9"/>
      <c r="H339" s="9" t="s">
        <v>32</v>
      </c>
      <c r="I339" s="9" t="s">
        <v>1326</v>
      </c>
      <c r="J339" s="9" t="s">
        <v>34</v>
      </c>
      <c r="K339" s="9" t="s">
        <v>56</v>
      </c>
      <c r="L339" s="9" t="s">
        <v>57</v>
      </c>
      <c r="M339" s="10" t="s">
        <v>58</v>
      </c>
      <c r="N339" s="9" t="str">
        <f ca="1">IFERROR(__xludf.DUMMYFUNCTION("REGEXEXTRACT(LOWER(M339), ""([a-z0-9\-]+)\.(?:co|net|org|io|gg)"")"),"forbes")</f>
        <v>forbes</v>
      </c>
      <c r="O339" s="9" t="s">
        <v>50</v>
      </c>
      <c r="P339" s="9" t="s">
        <v>39</v>
      </c>
      <c r="Q339" s="9">
        <v>12879</v>
      </c>
      <c r="R339" s="9">
        <v>71</v>
      </c>
      <c r="S339" s="9">
        <v>7225</v>
      </c>
      <c r="T339" s="9">
        <v>12173</v>
      </c>
      <c r="U339" s="9">
        <v>9</v>
      </c>
      <c r="V339" s="11">
        <v>5099.2824899999996</v>
      </c>
      <c r="W339" s="12">
        <f t="shared" si="7"/>
        <v>566.58694333333324</v>
      </c>
      <c r="X339" s="12">
        <f t="shared" si="8"/>
        <v>0.55128503765820325</v>
      </c>
      <c r="Y339" s="12">
        <f t="shared" si="9"/>
        <v>56.099076015218571</v>
      </c>
      <c r="Z339" s="12">
        <f t="shared" si="10"/>
        <v>705.7830435986159</v>
      </c>
      <c r="AA339" s="12">
        <f t="shared" si="11"/>
        <v>395.93776613091075</v>
      </c>
      <c r="AB339" s="12">
        <f t="shared" si="12"/>
        <v>71.820880140845063</v>
      </c>
      <c r="AC339" s="12">
        <f t="shared" si="13"/>
        <v>12.676056338028168</v>
      </c>
      <c r="AE339" s="13"/>
      <c r="AF339" s="13"/>
    </row>
    <row r="340" spans="1:32">
      <c r="A340" s="8" t="s">
        <v>1327</v>
      </c>
      <c r="B340" s="9" t="s">
        <v>66</v>
      </c>
      <c r="C340" s="9" t="s">
        <v>420</v>
      </c>
      <c r="D340" s="9" t="s">
        <v>421</v>
      </c>
      <c r="E340" s="9" t="s">
        <v>1328</v>
      </c>
      <c r="F340" s="9" t="str">
        <f ca="1">IFERROR(__xludf.DUMMYFUNCTION("IFS(
  REGEXMATCH(LOWER(VLOOKUP(A340, Data1_Raw_Slack!A:B, 2, FALSE)), ""news|weather""), ""News and Weather"", REGEXMATCH(LOWER(VLOOKUP(A340, Data1_Raw_Slack!A:B, 2, FALSE)), ""sports|ufc|nba|nfl|mlb|soccer|sports fans""), ""Sports"",
  REGEXMATCH(LOWER("&amp;"VLOOKUP(A340, Data1_Raw_Slack!A:B, 2, FALSE)), ""fashion|style|clothing|apparel|shoes|accessories|beauty|cosmetics|fashionistas""), ""Fashion and Beauty"",
  REGEXMATCH(LOWER(VLOOKUP(A340, Data1_Raw_Slack!A:B, 2, FALSE)), ""food|cooking|recipe|restaurant|"&amp;"snack|grocery|foodies""), ""Food"",
  REGEXMATCH(LOWER(VLOOKUP(A340, Data1_Raw_Slack!A:B, 2, FALSE)), ""travel|vacation|airline|hotel|trip|flights|travelers""), ""Travel"",
  REGEXMATCH(LOWER(VLOOKUP(A340, Data1_Raw_Slack!A:B, 2, FALSE)), ""fitness|workou"&amp;"t|gym|exercise|yoga|wellness|fitness enthusiasts""), ""Fitness"",
  REGEXMATCH(LOWER(VLOOKUP(A340, Data1_Raw_Slack!A:B, 2, FALSE)), ""health|medical|pharmacy|mental health|doctor|health-conscious""), ""Health"",
  REGEXMATCH(LOWER(VLOOKUP(A340, Data1_Raw_"&amp;"Slack!A:B, 2, FALSE)), ""pets|dogs|cats|animals|pet care|pet lovers""), ""Pets"",
  REGEXMATCH(LOWER(VLOOKUP(A340, Data1_Raw_Slack!A:B, 2, FALSE)), ""games|gaming|game|xbox|playstation|nintendo|gamers""), ""Gaming"",
  REGEXMATCH(LOWER(VLOOKUP(A340, Data1"&amp;"_Raw_Slack!A:B, 2, FALSE)), ""entertainment|movies|tv|netflix|streaming|celebrity|movie lovers|tv fans|hobb|photo|art""), ""Entertainment"",
  REGEXMATCH(LOWER(VLOOKUP(A340, Data1_Raw_Slack!A:B, 2, FALSE)), ""lifestyle|home|interior|decor|living|lifestyle"&amp;" enthusiasts""), ""Lifestyle"",
  REGEXMATCH(LOWER(VLOOKUP(A340, Data1_Raw_Slack!A:B, 2, FALSE)), ""financial|finance|investing|stocks|retirement|banking|credit|debt|loans|savings|personal finance|insurance|econ|ecom|business|retail|occupation|sale|job|ma"&amp;"rketing""), ""Finance"",
  REGEXMATCH(LOWER(VLOOKUP(A340, Data1_Raw_Slack!A:B, 2, FALSE)), ""auto|automotive""), ""Auto"",
  REGEXMATCH(LOWER(VLOOKUP(A340, Data1_Raw_Slack!A:B, 2, FALSE)), ""parenting|moms|dads|kids|toddlers|baby|parent|children""), ""Par"&amp;"enting"",
  REGEXMATCH(LOWER(VLOOKUP(A340, Data1_Raw_Slack!A:B, 2, FALSE)), ""education|students|learning|school|teachers|college|university|academics""), ""Education"",
  REGEXMATCH(LOWER(VLOOKUP(A340, Data1_Raw_Slack!A:B, 2, FALSE)), ""age|gender|dem"&amp;"ographic|family|household""), ""Demographics"",
  REGEXMATCH(LOWER(VLOOKUP(A340, Data1_Raw_Slack!A:B, 2, FALSE)), ""mortgage|real estate""), ""Real Estate"",REGEXMATCH(LOWER(VLOOKUP(A340, Data1_Raw_Slack!A:B, 2, FALSE)), ""technology|tech|gadgets|smartpho"&amp;"ne|electro|apps|devices|computing|ai|robots|software|computer|internet|tele|mobile|tablet""), ""Technology"", REGEXMATCH(LOWER(VLOOKUP(A340, Data1_Raw_Slack!A:B, 2, FALSE)), ""entertainment|purchas|movies|tv|netflix|streaming|celebrity|movie lovers|tv fan"&amp;"s|media|hobb|photo|art|shop""), ""Entertainment"", REGEXMATCH(LOWER(VLOOKUP(A340, Data1_Raw_Slack!A:B, 2, FALSE)), ""law|government|""), ""Law and Government"",
  TRUE, ""Other""
)"),"Fashion and Beauty")</f>
        <v>Fashion and Beauty</v>
      </c>
      <c r="G340" s="9"/>
      <c r="H340" s="9" t="s">
        <v>32</v>
      </c>
      <c r="I340" s="9" t="s">
        <v>1329</v>
      </c>
      <c r="J340" s="9" t="s">
        <v>34</v>
      </c>
      <c r="K340" s="9" t="s">
        <v>236</v>
      </c>
      <c r="L340" s="9" t="s">
        <v>82</v>
      </c>
      <c r="M340" s="10" t="s">
        <v>112</v>
      </c>
      <c r="N340" s="9" t="str">
        <f ca="1">IFERROR(__xludf.DUMMYFUNCTION("REGEXEXTRACT(LOWER(M340), ""([a-z0-9\-]+)\.(?:co|net|org|io|gg)"")"),"ebay")</f>
        <v>ebay</v>
      </c>
      <c r="O340" s="9" t="s">
        <v>131</v>
      </c>
      <c r="P340" s="9" t="s">
        <v>39</v>
      </c>
      <c r="Q340" s="9">
        <v>12088</v>
      </c>
      <c r="R340" s="9">
        <v>88</v>
      </c>
      <c r="S340" s="9">
        <v>1124</v>
      </c>
      <c r="T340" s="9">
        <v>10003</v>
      </c>
      <c r="U340" s="9">
        <v>2</v>
      </c>
      <c r="V340" s="11">
        <v>1500.0261519999999</v>
      </c>
      <c r="W340" s="12">
        <f t="shared" si="7"/>
        <v>750.01307599999996</v>
      </c>
      <c r="X340" s="12">
        <f t="shared" si="8"/>
        <v>0.72799470549305101</v>
      </c>
      <c r="Y340" s="12">
        <f t="shared" si="9"/>
        <v>9.2984778292521515</v>
      </c>
      <c r="Z340" s="12">
        <f t="shared" si="10"/>
        <v>1334.5428398576512</v>
      </c>
      <c r="AA340" s="12">
        <f t="shared" si="11"/>
        <v>124.09217008603574</v>
      </c>
      <c r="AB340" s="12">
        <f t="shared" si="12"/>
        <v>17.045751727272727</v>
      </c>
      <c r="AC340" s="12">
        <f t="shared" si="13"/>
        <v>2.2727272727272729</v>
      </c>
      <c r="AE340" s="13"/>
      <c r="AF340" s="13"/>
    </row>
    <row r="341" spans="1:32">
      <c r="A341" s="8" t="s">
        <v>1330</v>
      </c>
      <c r="B341" s="9" t="s">
        <v>41</v>
      </c>
      <c r="C341" s="9" t="s">
        <v>407</v>
      </c>
      <c r="D341" s="9" t="s">
        <v>1331</v>
      </c>
      <c r="E341" s="9" t="s">
        <v>1332</v>
      </c>
      <c r="F341" s="9" t="str">
        <f ca="1">IFERROR(__xludf.DUMMYFUNCTION("IFS(
  REGEXMATCH(LOWER(VLOOKUP(A341, Data1_Raw_Slack!A:B, 2, FALSE)), ""news|weather""), ""News and Weather"", REGEXMATCH(LOWER(VLOOKUP(A341, Data1_Raw_Slack!A:B, 2, FALSE)), ""sports|ufc|nba|nfl|mlb|soccer|sports fans""), ""Sports"",
  REGEXMATCH(LOWER("&amp;"VLOOKUP(A341, Data1_Raw_Slack!A:B, 2, FALSE)), ""fashion|style|clothing|apparel|shoes|accessories|beauty|cosmetics|fashionistas""), ""Fashion and Beauty"",
  REGEXMATCH(LOWER(VLOOKUP(A341, Data1_Raw_Slack!A:B, 2, FALSE)), ""food|cooking|recipe|restaurant|"&amp;"snack|grocery|foodies""), ""Food"",
  REGEXMATCH(LOWER(VLOOKUP(A341, Data1_Raw_Slack!A:B, 2, FALSE)), ""travel|vacation|airline|hotel|trip|flights|travelers""), ""Travel"",
  REGEXMATCH(LOWER(VLOOKUP(A341, Data1_Raw_Slack!A:B, 2, FALSE)), ""fitness|workou"&amp;"t|gym|exercise|yoga|wellness|fitness enthusiasts""), ""Fitness"",
  REGEXMATCH(LOWER(VLOOKUP(A341, Data1_Raw_Slack!A:B, 2, FALSE)), ""health|medical|pharmacy|mental health|doctor|health-conscious""), ""Health"",
  REGEXMATCH(LOWER(VLOOKUP(A341, Data1_Raw_"&amp;"Slack!A:B, 2, FALSE)), ""pets|dogs|cats|animals|pet care|pet lovers""), ""Pets"",
  REGEXMATCH(LOWER(VLOOKUP(A341, Data1_Raw_Slack!A:B, 2, FALSE)), ""games|gaming|game|xbox|playstation|nintendo|gamers""), ""Gaming"",
  REGEXMATCH(LOWER(VLOOKUP(A341, Data1"&amp;"_Raw_Slack!A:B, 2, FALSE)), ""entertainment|movies|tv|netflix|streaming|celebrity|movie lovers|tv fans|hobb|photo|art""), ""Entertainment"",
  REGEXMATCH(LOWER(VLOOKUP(A341, Data1_Raw_Slack!A:B, 2, FALSE)), ""lifestyle|home|interior|decor|living|lifestyle"&amp;" enthusiasts""), ""Lifestyle"",
  REGEXMATCH(LOWER(VLOOKUP(A341, Data1_Raw_Slack!A:B, 2, FALSE)), ""financial|finance|investing|stocks|retirement|banking|credit|debt|loans|savings|personal finance|insurance|econ|ecom|business|retail|occupation|sale|job|ma"&amp;"rketing""), ""Finance"",
  REGEXMATCH(LOWER(VLOOKUP(A341, Data1_Raw_Slack!A:B, 2, FALSE)), ""auto|automotive""), ""Auto"",
  REGEXMATCH(LOWER(VLOOKUP(A341, Data1_Raw_Slack!A:B, 2, FALSE)), ""parenting|moms|dads|kids|toddlers|baby|parent|children""), ""Par"&amp;"enting"",
  REGEXMATCH(LOWER(VLOOKUP(A341, Data1_Raw_Slack!A:B, 2, FALSE)), ""education|students|learning|school|teachers|college|university|academics""), ""Education"",
  REGEXMATCH(LOWER(VLOOKUP(A341, Data1_Raw_Slack!A:B, 2, FALSE)), ""age|gender|dem"&amp;"ographic|family|household""), ""Demographics"",
  REGEXMATCH(LOWER(VLOOKUP(A341, Data1_Raw_Slack!A:B, 2, FALSE)), ""mortgage|real estate""), ""Real Estate"",REGEXMATCH(LOWER(VLOOKUP(A341, Data1_Raw_Slack!A:B, 2, FALSE)), ""technology|tech|gadgets|smartpho"&amp;"ne|electro|apps|devices|computing|ai|robots|software|computer|internet|tele|mobile|tablet""), ""Technology"", REGEXMATCH(LOWER(VLOOKUP(A341, Data1_Raw_Slack!A:B, 2, FALSE)), ""entertainment|purchas|movies|tv|netflix|streaming|celebrity|movie lovers|tv fan"&amp;"s|media|hobb|photo|art|shop""), ""Entertainment"", REGEXMATCH(LOWER(VLOOKUP(A341, Data1_Raw_Slack!A:B, 2, FALSE)), ""law|government|""), ""Law and Government"",
  TRUE, ""Other""
)"),"Parenting")</f>
        <v>Parenting</v>
      </c>
      <c r="G341" s="9"/>
      <c r="H341" s="9" t="s">
        <v>32</v>
      </c>
      <c r="I341" s="9" t="s">
        <v>217</v>
      </c>
      <c r="J341" s="9" t="s">
        <v>80</v>
      </c>
      <c r="K341" s="9" t="s">
        <v>47</v>
      </c>
      <c r="L341" s="9" t="s">
        <v>48</v>
      </c>
      <c r="M341" s="10" t="s">
        <v>1333</v>
      </c>
      <c r="N341" s="9" t="str">
        <f ca="1">IFERROR(__xludf.DUMMYFUNCTION("REGEXEXTRACT(LOWER(M341), ""([a-z0-9\-]+)\.(?:co|net|org|io|gg)"")"),"yahoo")</f>
        <v>yahoo</v>
      </c>
      <c r="O341" s="9" t="s">
        <v>103</v>
      </c>
      <c r="P341" s="9" t="s">
        <v>39</v>
      </c>
      <c r="Q341" s="9">
        <v>26784</v>
      </c>
      <c r="R341" s="9">
        <v>85</v>
      </c>
      <c r="S341" s="9">
        <v>12708</v>
      </c>
      <c r="T341" s="9">
        <v>22261</v>
      </c>
      <c r="U341" s="9">
        <v>9</v>
      </c>
      <c r="V341" s="11">
        <v>6643.1616469999999</v>
      </c>
      <c r="W341" s="12">
        <f t="shared" si="7"/>
        <v>738.12907188888892</v>
      </c>
      <c r="X341" s="12">
        <f t="shared" si="8"/>
        <v>0.31735364396654719</v>
      </c>
      <c r="Y341" s="12">
        <f t="shared" si="9"/>
        <v>47.446236559139784</v>
      </c>
      <c r="Z341" s="12">
        <f t="shared" si="10"/>
        <v>522.75430020459555</v>
      </c>
      <c r="AA341" s="12">
        <f t="shared" si="11"/>
        <v>248.02724189814816</v>
      </c>
      <c r="AB341" s="12">
        <f t="shared" si="12"/>
        <v>78.154842905882347</v>
      </c>
      <c r="AC341" s="12">
        <f t="shared" si="13"/>
        <v>10.588235294117647</v>
      </c>
      <c r="AE341" s="13"/>
      <c r="AF341" s="13"/>
    </row>
    <row r="342" spans="1:32">
      <c r="A342" s="8" t="s">
        <v>1334</v>
      </c>
      <c r="B342" s="9" t="s">
        <v>41</v>
      </c>
      <c r="C342" s="9" t="s">
        <v>120</v>
      </c>
      <c r="D342" s="9" t="s">
        <v>1335</v>
      </c>
      <c r="E342" s="9"/>
      <c r="F342" s="9" t="str">
        <f ca="1">IFERROR(__xludf.DUMMYFUNCTION("IFS(
  REGEXMATCH(LOWER(VLOOKUP(A342, Data1_Raw_Slack!A:B, 2, FALSE)), ""news|weather""), ""News and Weather"", REGEXMATCH(LOWER(VLOOKUP(A342, Data1_Raw_Slack!A:B, 2, FALSE)), ""sports|ufc|nba|nfl|mlb|soccer|sports fans""), ""Sports"",
  REGEXMATCH(LOWER("&amp;"VLOOKUP(A342, Data1_Raw_Slack!A:B, 2, FALSE)), ""fashion|style|clothing|apparel|shoes|accessories|beauty|cosmetics|fashionistas""), ""Fashion and Beauty"",
  REGEXMATCH(LOWER(VLOOKUP(A342, Data1_Raw_Slack!A:B, 2, FALSE)), ""food|cooking|recipe|restaurant|"&amp;"snack|grocery|foodies""), ""Food"",
  REGEXMATCH(LOWER(VLOOKUP(A342, Data1_Raw_Slack!A:B, 2, FALSE)), ""travel|vacation|airline|hotel|trip|flights|travelers""), ""Travel"",
  REGEXMATCH(LOWER(VLOOKUP(A342, Data1_Raw_Slack!A:B, 2, FALSE)), ""fitness|workou"&amp;"t|gym|exercise|yoga|wellness|fitness enthusiasts""), ""Fitness"",
  REGEXMATCH(LOWER(VLOOKUP(A342, Data1_Raw_Slack!A:B, 2, FALSE)), ""health|medical|pharmacy|mental health|doctor|health-conscious""), ""Health"",
  REGEXMATCH(LOWER(VLOOKUP(A342, Data1_Raw_"&amp;"Slack!A:B, 2, FALSE)), ""pets|dogs|cats|animals|pet care|pet lovers""), ""Pets"",
  REGEXMATCH(LOWER(VLOOKUP(A342, Data1_Raw_Slack!A:B, 2, FALSE)), ""games|gaming|game|xbox|playstation|nintendo|gamers""), ""Gaming"",
  REGEXMATCH(LOWER(VLOOKUP(A342, Data1"&amp;"_Raw_Slack!A:B, 2, FALSE)), ""entertainment|movies|tv|netflix|streaming|celebrity|movie lovers|tv fans|hobb|photo|art""), ""Entertainment"",
  REGEXMATCH(LOWER(VLOOKUP(A342, Data1_Raw_Slack!A:B, 2, FALSE)), ""lifestyle|home|interior|decor|living|lifestyle"&amp;" enthusiasts""), ""Lifestyle"",
  REGEXMATCH(LOWER(VLOOKUP(A342, Data1_Raw_Slack!A:B, 2, FALSE)), ""financial|finance|investing|stocks|retirement|banking|credit|debt|loans|savings|personal finance|insurance|econ|ecom|business|retail|occupation|sale|job|ma"&amp;"rketing""), ""Finance"",
  REGEXMATCH(LOWER(VLOOKUP(A342, Data1_Raw_Slack!A:B, 2, FALSE)), ""auto|automotive""), ""Auto"",
  REGEXMATCH(LOWER(VLOOKUP(A342, Data1_Raw_Slack!A:B, 2, FALSE)), ""parenting|moms|dads|kids|toddlers|baby|parent|children""), ""Par"&amp;"enting"",
  REGEXMATCH(LOWER(VLOOKUP(A342, Data1_Raw_Slack!A:B, 2, FALSE)), ""education|students|learning|school|teachers|college|university|academics""), ""Education"",
  REGEXMATCH(LOWER(VLOOKUP(A342, Data1_Raw_Slack!A:B, 2, FALSE)), ""age|gender|dem"&amp;"ographic|family|household""), ""Demographics"",
  REGEXMATCH(LOWER(VLOOKUP(A342, Data1_Raw_Slack!A:B, 2, FALSE)), ""mortgage|real estate""), ""Real Estate"",REGEXMATCH(LOWER(VLOOKUP(A342, Data1_Raw_Slack!A:B, 2, FALSE)), ""technology|tech|gadgets|smartpho"&amp;"ne|electro|apps|devices|computing|ai|robots|software|computer|internet|tele|mobile|tablet""), ""Technology"", REGEXMATCH(LOWER(VLOOKUP(A342, Data1_Raw_Slack!A:B, 2, FALSE)), ""entertainment|purchas|movies|tv|netflix|streaming|celebrity|movie lovers|tv fan"&amp;"s|media|hobb|photo|art|shop""), ""Entertainment"", REGEXMATCH(LOWER(VLOOKUP(A342, Data1_Raw_Slack!A:B, 2, FALSE)), ""law|government|""), ""Law and Government"",
  TRUE, ""Other""
)"),"Auto")</f>
        <v>Auto</v>
      </c>
      <c r="G342" s="9" t="s">
        <v>122</v>
      </c>
      <c r="H342" s="9" t="s">
        <v>44</v>
      </c>
      <c r="I342" s="9" t="s">
        <v>1336</v>
      </c>
      <c r="J342" s="9" t="s">
        <v>34</v>
      </c>
      <c r="K342" s="9" t="s">
        <v>236</v>
      </c>
      <c r="L342" s="9" t="s">
        <v>82</v>
      </c>
      <c r="M342" s="10" t="s">
        <v>73</v>
      </c>
      <c r="N342" s="9" t="str">
        <f ca="1">IFERROR(__xludf.DUMMYFUNCTION("REGEXEXTRACT(LOWER(M342), ""([a-z0-9\-]+)\.(?:co|net|org|io|gg)"")"),"aol")</f>
        <v>aol</v>
      </c>
      <c r="O342" s="9" t="s">
        <v>103</v>
      </c>
      <c r="P342" s="9" t="s">
        <v>39</v>
      </c>
      <c r="Q342" s="9">
        <v>14083</v>
      </c>
      <c r="R342" s="9">
        <v>97</v>
      </c>
      <c r="S342" s="9">
        <v>9945</v>
      </c>
      <c r="T342" s="9">
        <v>12878</v>
      </c>
      <c r="U342" s="9">
        <v>11</v>
      </c>
      <c r="V342" s="11">
        <v>5979.67</v>
      </c>
      <c r="W342" s="12">
        <f t="shared" si="7"/>
        <v>543.60636363636365</v>
      </c>
      <c r="X342" s="12">
        <f t="shared" si="8"/>
        <v>0.68877369878576999</v>
      </c>
      <c r="Y342" s="12">
        <f t="shared" si="9"/>
        <v>70.617056024994667</v>
      </c>
      <c r="Z342" s="12">
        <f t="shared" si="10"/>
        <v>601.27400703871297</v>
      </c>
      <c r="AA342" s="12">
        <f t="shared" si="11"/>
        <v>424.60200241425832</v>
      </c>
      <c r="AB342" s="12">
        <f t="shared" si="12"/>
        <v>61.646082474226802</v>
      </c>
      <c r="AC342" s="12">
        <f t="shared" si="13"/>
        <v>11.340206185567011</v>
      </c>
      <c r="AE342" s="13"/>
      <c r="AF342" s="13"/>
    </row>
    <row r="343" spans="1:32">
      <c r="A343" s="8" t="s">
        <v>1337</v>
      </c>
      <c r="B343" s="9" t="s">
        <v>41</v>
      </c>
      <c r="C343" s="9" t="s">
        <v>145</v>
      </c>
      <c r="D343" s="9" t="s">
        <v>1338</v>
      </c>
      <c r="E343" s="9"/>
      <c r="F343" s="9" t="str">
        <f ca="1">IFERROR(__xludf.DUMMYFUNCTION("IFS(
  REGEXMATCH(LOWER(VLOOKUP(A343, Data1_Raw_Slack!A:B, 2, FALSE)), ""news|weather""), ""News and Weather"", REGEXMATCH(LOWER(VLOOKUP(A343, Data1_Raw_Slack!A:B, 2, FALSE)), ""sports|ufc|nba|nfl|mlb|soccer|sports fans""), ""Sports"",
  REGEXMATCH(LOWER("&amp;"VLOOKUP(A343, Data1_Raw_Slack!A:B, 2, FALSE)), ""fashion|style|clothing|apparel|shoes|accessories|beauty|cosmetics|fashionistas""), ""Fashion and Beauty"",
  REGEXMATCH(LOWER(VLOOKUP(A343, Data1_Raw_Slack!A:B, 2, FALSE)), ""food|cooking|recipe|restaurant|"&amp;"snack|grocery|foodies""), ""Food"",
  REGEXMATCH(LOWER(VLOOKUP(A343, Data1_Raw_Slack!A:B, 2, FALSE)), ""travel|vacation|airline|hotel|trip|flights|travelers""), ""Travel"",
  REGEXMATCH(LOWER(VLOOKUP(A343, Data1_Raw_Slack!A:B, 2, FALSE)), ""fitness|workou"&amp;"t|gym|exercise|yoga|wellness|fitness enthusiasts""), ""Fitness"",
  REGEXMATCH(LOWER(VLOOKUP(A343, Data1_Raw_Slack!A:B, 2, FALSE)), ""health|medical|pharmacy|mental health|doctor|health-conscious""), ""Health"",
  REGEXMATCH(LOWER(VLOOKUP(A343, Data1_Raw_"&amp;"Slack!A:B, 2, FALSE)), ""pets|dogs|cats|animals|pet care|pet lovers""), ""Pets"",
  REGEXMATCH(LOWER(VLOOKUP(A343, Data1_Raw_Slack!A:B, 2, FALSE)), ""games|gaming|game|xbox|playstation|nintendo|gamers""), ""Gaming"",
  REGEXMATCH(LOWER(VLOOKUP(A343, Data1"&amp;"_Raw_Slack!A:B, 2, FALSE)), ""entertainment|movies|tv|netflix|streaming|celebrity|movie lovers|tv fans|hobb|photo|art""), ""Entertainment"",
  REGEXMATCH(LOWER(VLOOKUP(A343, Data1_Raw_Slack!A:B, 2, FALSE)), ""lifestyle|home|interior|decor|living|lifestyle"&amp;" enthusiasts""), ""Lifestyle"",
  REGEXMATCH(LOWER(VLOOKUP(A343, Data1_Raw_Slack!A:B, 2, FALSE)), ""financial|finance|investing|stocks|retirement|banking|credit|debt|loans|savings|personal finance|insurance|econ|ecom|business|retail|occupation|sale|job|ma"&amp;"rketing""), ""Finance"",
  REGEXMATCH(LOWER(VLOOKUP(A343, Data1_Raw_Slack!A:B, 2, FALSE)), ""auto|automotive""), ""Auto"",
  REGEXMATCH(LOWER(VLOOKUP(A343, Data1_Raw_Slack!A:B, 2, FALSE)), ""parenting|moms|dads|kids|toddlers|baby|parent|children""), ""Par"&amp;"enting"",
  REGEXMATCH(LOWER(VLOOKUP(A343, Data1_Raw_Slack!A:B, 2, FALSE)), ""education|students|learning|school|teachers|college|university|academics""), ""Education"",
  REGEXMATCH(LOWER(VLOOKUP(A343, Data1_Raw_Slack!A:B, 2, FALSE)), ""age|gender|dem"&amp;"ographic|family|household""), ""Demographics"",
  REGEXMATCH(LOWER(VLOOKUP(A343, Data1_Raw_Slack!A:B, 2, FALSE)), ""mortgage|real estate""), ""Real Estate"",REGEXMATCH(LOWER(VLOOKUP(A343, Data1_Raw_Slack!A:B, 2, FALSE)), ""technology|tech|gadgets|smartpho"&amp;"ne|electro|apps|devices|computing|ai|robots|software|computer|internet|tele|mobile|tablet""), ""Technology"", REGEXMATCH(LOWER(VLOOKUP(A343, Data1_Raw_Slack!A:B, 2, FALSE)), ""entertainment|purchas|movies|tv|netflix|streaming|celebrity|movie lovers|tv fan"&amp;"s|media|hobb|photo|art|shop""), ""Entertainment"", REGEXMATCH(LOWER(VLOOKUP(A343, Data1_Raw_Slack!A:B, 2, FALSE)), ""law|government|""), ""Law and Government"",
  TRUE, ""Other""
)"),"News and Weather")</f>
        <v>News and Weather</v>
      </c>
      <c r="G343" s="9" t="s">
        <v>145</v>
      </c>
      <c r="H343" s="9" t="s">
        <v>32</v>
      </c>
      <c r="I343" s="9" t="s">
        <v>1339</v>
      </c>
      <c r="J343" s="9" t="s">
        <v>80</v>
      </c>
      <c r="K343" s="9" t="s">
        <v>176</v>
      </c>
      <c r="L343" s="9" t="s">
        <v>36</v>
      </c>
      <c r="M343" s="10" t="s">
        <v>295</v>
      </c>
      <c r="N343" s="9" t="str">
        <f ca="1">IFERROR(__xludf.DUMMYFUNCTION("REGEXEXTRACT(LOWER(M343), ""([a-z0-9\-]+)\.(?:co|net|org|io|gg)"")"),"yahoo")</f>
        <v>yahoo</v>
      </c>
      <c r="O343" s="9" t="s">
        <v>157</v>
      </c>
      <c r="P343" s="9" t="s">
        <v>39</v>
      </c>
      <c r="Q343" s="9">
        <v>44505</v>
      </c>
      <c r="R343" s="9">
        <v>125</v>
      </c>
      <c r="S343" s="9">
        <v>18993</v>
      </c>
      <c r="T343" s="9">
        <v>39522</v>
      </c>
      <c r="U343" s="9">
        <v>16</v>
      </c>
      <c r="V343" s="11">
        <v>6766.4753680000003</v>
      </c>
      <c r="W343" s="12">
        <f t="shared" si="7"/>
        <v>422.90471050000002</v>
      </c>
      <c r="X343" s="12">
        <f t="shared" si="8"/>
        <v>0.28086731827884509</v>
      </c>
      <c r="Y343" s="12">
        <f t="shared" si="9"/>
        <v>42.676103808560832</v>
      </c>
      <c r="Z343" s="12">
        <f t="shared" si="10"/>
        <v>356.26153677670726</v>
      </c>
      <c r="AA343" s="12">
        <f t="shared" si="11"/>
        <v>152.03854326480172</v>
      </c>
      <c r="AB343" s="12">
        <f t="shared" si="12"/>
        <v>54.131802944</v>
      </c>
      <c r="AC343" s="12">
        <f t="shared" si="13"/>
        <v>12.8</v>
      </c>
      <c r="AE343" s="13"/>
      <c r="AF343" s="13"/>
    </row>
    <row r="344" spans="1:32">
      <c r="A344" s="8" t="s">
        <v>1340</v>
      </c>
      <c r="B344" s="9" t="s">
        <v>41</v>
      </c>
      <c r="C344" s="9" t="s">
        <v>1069</v>
      </c>
      <c r="D344" s="9" t="s">
        <v>53</v>
      </c>
      <c r="E344" s="9" t="s">
        <v>761</v>
      </c>
      <c r="F344" s="9" t="str">
        <f ca="1">IFERROR(__xludf.DUMMYFUNCTION("IFS(
  REGEXMATCH(LOWER(VLOOKUP(A344, Data1_Raw_Slack!A:B, 2, FALSE)), ""news|weather""), ""News and Weather"", REGEXMATCH(LOWER(VLOOKUP(A344, Data1_Raw_Slack!A:B, 2, FALSE)), ""sports|ufc|nba|nfl|mlb|soccer|sports fans""), ""Sports"",
  REGEXMATCH(LOWER("&amp;"VLOOKUP(A344, Data1_Raw_Slack!A:B, 2, FALSE)), ""fashion|style|clothing|apparel|shoes|accessories|beauty|cosmetics|fashionistas""), ""Fashion and Beauty"",
  REGEXMATCH(LOWER(VLOOKUP(A344, Data1_Raw_Slack!A:B, 2, FALSE)), ""food|cooking|recipe|restaurant|"&amp;"snack|grocery|foodies""), ""Food"",
  REGEXMATCH(LOWER(VLOOKUP(A344, Data1_Raw_Slack!A:B, 2, FALSE)), ""travel|vacation|airline|hotel|trip|flights|travelers""), ""Travel"",
  REGEXMATCH(LOWER(VLOOKUP(A344, Data1_Raw_Slack!A:B, 2, FALSE)), ""fitness|workou"&amp;"t|gym|exercise|yoga|wellness|fitness enthusiasts""), ""Fitness"",
  REGEXMATCH(LOWER(VLOOKUP(A344, Data1_Raw_Slack!A:B, 2, FALSE)), ""health|medical|pharmacy|mental health|doctor|health-conscious""), ""Health"",
  REGEXMATCH(LOWER(VLOOKUP(A344, Data1_Raw_"&amp;"Slack!A:B, 2, FALSE)), ""pets|dogs|cats|animals|pet care|pet lovers""), ""Pets"",
  REGEXMATCH(LOWER(VLOOKUP(A344, Data1_Raw_Slack!A:B, 2, FALSE)), ""games|gaming|game|xbox|playstation|nintendo|gamers""), ""Gaming"",
  REGEXMATCH(LOWER(VLOOKUP(A344, Data1"&amp;"_Raw_Slack!A:B, 2, FALSE)), ""entertainment|movies|tv|netflix|streaming|celebrity|movie lovers|tv fans|hobb|photo|art""), ""Entertainment"",
  REGEXMATCH(LOWER(VLOOKUP(A344, Data1_Raw_Slack!A:B, 2, FALSE)), ""lifestyle|home|interior|decor|living|lifestyle"&amp;" enthusiasts""), ""Lifestyle"",
  REGEXMATCH(LOWER(VLOOKUP(A344, Data1_Raw_Slack!A:B, 2, FALSE)), ""financial|finance|investing|stocks|retirement|banking|credit|debt|loans|savings|personal finance|insurance|econ|ecom|business|retail|occupation|sale|job|ma"&amp;"rketing""), ""Finance"",
  REGEXMATCH(LOWER(VLOOKUP(A344, Data1_Raw_Slack!A:B, 2, FALSE)), ""auto|automotive""), ""Auto"",
  REGEXMATCH(LOWER(VLOOKUP(A344, Data1_Raw_Slack!A:B, 2, FALSE)), ""parenting|moms|dads|kids|toddlers|baby|parent|children""), ""Par"&amp;"enting"",
  REGEXMATCH(LOWER(VLOOKUP(A344, Data1_Raw_Slack!A:B, 2, FALSE)), ""education|students|learning|school|teachers|college|university|academics""), ""Education"",
  REGEXMATCH(LOWER(VLOOKUP(A344, Data1_Raw_Slack!A:B, 2, FALSE)), ""age|gender|dem"&amp;"ographic|family|household""), ""Demographics"",
  REGEXMATCH(LOWER(VLOOKUP(A344, Data1_Raw_Slack!A:B, 2, FALSE)), ""mortgage|real estate""), ""Real Estate"",REGEXMATCH(LOWER(VLOOKUP(A344, Data1_Raw_Slack!A:B, 2, FALSE)), ""technology|tech|gadgets|smartpho"&amp;"ne|electro|apps|devices|computing|ai|robots|software|computer|internet|tele|mobile|tablet""), ""Technology"", REGEXMATCH(LOWER(VLOOKUP(A344, Data1_Raw_Slack!A:B, 2, FALSE)), ""entertainment|purchas|movies|tv|netflix|streaming|celebrity|movie lovers|tv fan"&amp;"s|media|hobb|photo|art|shop""), ""Entertainment"", REGEXMATCH(LOWER(VLOOKUP(A344, Data1_Raw_Slack!A:B, 2, FALSE)), ""law|government|""), ""Law and Government"",
  TRUE, ""Other""
)"),"Finance")</f>
        <v>Finance</v>
      </c>
      <c r="G344" s="9" t="s">
        <v>127</v>
      </c>
      <c r="H344" s="9" t="s">
        <v>32</v>
      </c>
      <c r="I344" s="9" t="s">
        <v>1320</v>
      </c>
      <c r="J344" s="9" t="s">
        <v>46</v>
      </c>
      <c r="K344" s="9" t="s">
        <v>137</v>
      </c>
      <c r="L344" s="9" t="s">
        <v>72</v>
      </c>
      <c r="M344" s="10" t="s">
        <v>130</v>
      </c>
      <c r="N344" s="9" t="str">
        <f ca="1">IFERROR(__xludf.DUMMYFUNCTION("REGEXEXTRACT(LOWER(M344), ""([a-z0-9\-]+)\.(?:co|net|org|io|gg)"")"),"weather")</f>
        <v>weather</v>
      </c>
      <c r="O344" s="9" t="s">
        <v>74</v>
      </c>
      <c r="P344" s="9" t="s">
        <v>39</v>
      </c>
      <c r="Q344" s="9">
        <v>42884</v>
      </c>
      <c r="R344" s="9">
        <v>104</v>
      </c>
      <c r="S344" s="9">
        <v>4345</v>
      </c>
      <c r="T344" s="9">
        <v>25153</v>
      </c>
      <c r="U344" s="9">
        <v>9</v>
      </c>
      <c r="V344" s="11">
        <v>6322.1526549999999</v>
      </c>
      <c r="W344" s="12">
        <f t="shared" si="7"/>
        <v>702.46140611111105</v>
      </c>
      <c r="X344" s="12">
        <f t="shared" si="8"/>
        <v>0.24251469079376925</v>
      </c>
      <c r="Y344" s="12">
        <f t="shared" si="9"/>
        <v>10.131983956720456</v>
      </c>
      <c r="Z344" s="12">
        <f t="shared" si="10"/>
        <v>1455.0408872266974</v>
      </c>
      <c r="AA344" s="12">
        <f t="shared" si="11"/>
        <v>147.42450925753195</v>
      </c>
      <c r="AB344" s="12">
        <f t="shared" si="12"/>
        <v>60.789929375</v>
      </c>
      <c r="AC344" s="12">
        <f t="shared" si="13"/>
        <v>8.6538461538461533</v>
      </c>
      <c r="AE344" s="13"/>
      <c r="AF344" s="13"/>
    </row>
    <row r="345" spans="1:32">
      <c r="A345" s="8" t="s">
        <v>1341</v>
      </c>
      <c r="B345" s="9" t="s">
        <v>1342</v>
      </c>
      <c r="C345" s="9"/>
      <c r="D345" s="9"/>
      <c r="E345" s="9"/>
      <c r="F345" s="9" t="str">
        <f ca="1">IFERROR(__xludf.DUMMYFUNCTION("IFS(
  REGEXMATCH(LOWER(VLOOKUP(A345, Data1_Raw_Slack!A:B, 2, FALSE)), ""news|weather""), ""News and Weather"", REGEXMATCH(LOWER(VLOOKUP(A345, Data1_Raw_Slack!A:B, 2, FALSE)), ""sports|ufc|nba|nfl|mlb|soccer|sports fans""), ""Sports"",
  REGEXMATCH(LOWER("&amp;"VLOOKUP(A345, Data1_Raw_Slack!A:B, 2, FALSE)), ""fashion|style|clothing|apparel|shoes|accessories|beauty|cosmetics|fashionistas""), ""Fashion and Beauty"",
  REGEXMATCH(LOWER(VLOOKUP(A345, Data1_Raw_Slack!A:B, 2, FALSE)), ""food|cooking|recipe|restaurant|"&amp;"snack|grocery|foodies""), ""Food"",
  REGEXMATCH(LOWER(VLOOKUP(A345, Data1_Raw_Slack!A:B, 2, FALSE)), ""travel|vacation|airline|hotel|trip|flights|travelers""), ""Travel"",
  REGEXMATCH(LOWER(VLOOKUP(A345, Data1_Raw_Slack!A:B, 2, FALSE)), ""fitness|workou"&amp;"t|gym|exercise|yoga|wellness|fitness enthusiasts""), ""Fitness"",
  REGEXMATCH(LOWER(VLOOKUP(A345, Data1_Raw_Slack!A:B, 2, FALSE)), ""health|medical|pharmacy|mental health|doctor|health-conscious""), ""Health"",
  REGEXMATCH(LOWER(VLOOKUP(A345, Data1_Raw_"&amp;"Slack!A:B, 2, FALSE)), ""pets|dogs|cats|animals|pet care|pet lovers""), ""Pets"",
  REGEXMATCH(LOWER(VLOOKUP(A345, Data1_Raw_Slack!A:B, 2, FALSE)), ""games|gaming|game|xbox|playstation|nintendo|gamers""), ""Gaming"",
  REGEXMATCH(LOWER(VLOOKUP(A345, Data1"&amp;"_Raw_Slack!A:B, 2, FALSE)), ""entertainment|movies|tv|netflix|streaming|celebrity|movie lovers|tv fans|hobb|photo|art""), ""Entertainment"",
  REGEXMATCH(LOWER(VLOOKUP(A345, Data1_Raw_Slack!A:B, 2, FALSE)), ""lifestyle|home|interior|decor|living|lifestyle"&amp;" enthusiasts""), ""Lifestyle"",
  REGEXMATCH(LOWER(VLOOKUP(A345, Data1_Raw_Slack!A:B, 2, FALSE)), ""financial|finance|investing|stocks|retirement|banking|credit|debt|loans|savings|personal finance|insurance|econ|ecom|business|retail|occupation|sale|job|ma"&amp;"rketing""), ""Finance"",
  REGEXMATCH(LOWER(VLOOKUP(A345, Data1_Raw_Slack!A:B, 2, FALSE)), ""auto|automotive""), ""Auto"",
  REGEXMATCH(LOWER(VLOOKUP(A345, Data1_Raw_Slack!A:B, 2, FALSE)), ""parenting|moms|dads|kids|toddlers|baby|parent|children""), ""Par"&amp;"enting"",
  REGEXMATCH(LOWER(VLOOKUP(A345, Data1_Raw_Slack!A:B, 2, FALSE)), ""education|students|learning|school|teachers|college|university|academics""), ""Education"",
  REGEXMATCH(LOWER(VLOOKUP(A345, Data1_Raw_Slack!A:B, 2, FALSE)), ""age|gender|dem"&amp;"ographic|family|household""), ""Demographics"",
  REGEXMATCH(LOWER(VLOOKUP(A345, Data1_Raw_Slack!A:B, 2, FALSE)), ""mortgage|real estate""), ""Real Estate"",REGEXMATCH(LOWER(VLOOKUP(A345, Data1_Raw_Slack!A:B, 2, FALSE)), ""technology|tech|gadgets|smartpho"&amp;"ne|electro|apps|devices|computing|ai|robots|software|computer|internet|tele|mobile|tablet""), ""Technology"", REGEXMATCH(LOWER(VLOOKUP(A345, Data1_Raw_Slack!A:B, 2, FALSE)), ""entertainment|purchas|movies|tv|netflix|streaming|celebrity|movie lovers|tv fan"&amp;"s|media|hobb|photo|art|shop""), ""Entertainment"", REGEXMATCH(LOWER(VLOOKUP(A345, Data1_Raw_Slack!A:B, 2, FALSE)), ""law|government|""), ""Law and Government"",
  TRUE, ""Other""
)"),"Entertainment")</f>
        <v>Entertainment</v>
      </c>
      <c r="G345" s="9"/>
      <c r="H345" s="9" t="s">
        <v>44</v>
      </c>
      <c r="I345" s="9" t="s">
        <v>1343</v>
      </c>
      <c r="J345" s="9" t="s">
        <v>62</v>
      </c>
      <c r="K345" s="9" t="s">
        <v>35</v>
      </c>
      <c r="L345" s="9" t="s">
        <v>36</v>
      </c>
      <c r="M345" s="10" t="s">
        <v>1003</v>
      </c>
      <c r="N345" s="9" t="str">
        <f ca="1">IFERROR(__xludf.DUMMYFUNCTION("REGEXEXTRACT(LOWER(M345), ""([a-z0-9\-]+)\.(?:co|net|org|io|gg)"")"),"wikihow")</f>
        <v>wikihow</v>
      </c>
      <c r="O345" s="9" t="s">
        <v>50</v>
      </c>
      <c r="P345" s="9" t="s">
        <v>75</v>
      </c>
      <c r="Q345" s="9">
        <v>16142</v>
      </c>
      <c r="R345" s="9">
        <v>30</v>
      </c>
      <c r="S345" s="9">
        <v>7064</v>
      </c>
      <c r="T345" s="9">
        <v>15433</v>
      </c>
      <c r="U345" s="9">
        <v>5</v>
      </c>
      <c r="V345" s="11">
        <v>2209.6509569999998</v>
      </c>
      <c r="W345" s="12">
        <f t="shared" si="7"/>
        <v>441.93019139999996</v>
      </c>
      <c r="X345" s="12">
        <f t="shared" si="8"/>
        <v>0.18585057613678604</v>
      </c>
      <c r="Y345" s="12">
        <f t="shared" si="9"/>
        <v>43.761615661008548</v>
      </c>
      <c r="Z345" s="12">
        <f t="shared" si="10"/>
        <v>312.80449561155149</v>
      </c>
      <c r="AA345" s="12">
        <f t="shared" si="11"/>
        <v>136.88830113988351</v>
      </c>
      <c r="AB345" s="12">
        <f t="shared" si="12"/>
        <v>73.655031899999997</v>
      </c>
      <c r="AC345" s="12">
        <f t="shared" si="13"/>
        <v>16.666666666666664</v>
      </c>
      <c r="AE345" s="13"/>
      <c r="AF345" s="13"/>
    </row>
    <row r="346" spans="1:32">
      <c r="A346" s="8" t="s">
        <v>1344</v>
      </c>
      <c r="B346" s="9" t="s">
        <v>52</v>
      </c>
      <c r="C346" s="9" t="s">
        <v>224</v>
      </c>
      <c r="D346" s="9" t="s">
        <v>1345</v>
      </c>
      <c r="E346" s="9"/>
      <c r="F346" s="9" t="str">
        <f ca="1">IFERROR(__xludf.DUMMYFUNCTION("IFS(
  REGEXMATCH(LOWER(VLOOKUP(A346, Data1_Raw_Slack!A:B, 2, FALSE)), ""news|weather""), ""News and Weather"", REGEXMATCH(LOWER(VLOOKUP(A346, Data1_Raw_Slack!A:B, 2, FALSE)), ""sports|ufc|nba|nfl|mlb|soccer|sports fans""), ""Sports"",
  REGEXMATCH(LOWER("&amp;"VLOOKUP(A346, Data1_Raw_Slack!A:B, 2, FALSE)), ""fashion|style|clothing|apparel|shoes|accessories|beauty|cosmetics|fashionistas""), ""Fashion and Beauty"",
  REGEXMATCH(LOWER(VLOOKUP(A346, Data1_Raw_Slack!A:B, 2, FALSE)), ""food|cooking|recipe|restaurant|"&amp;"snack|grocery|foodies""), ""Food"",
  REGEXMATCH(LOWER(VLOOKUP(A346, Data1_Raw_Slack!A:B, 2, FALSE)), ""travel|vacation|airline|hotel|trip|flights|travelers""), ""Travel"",
  REGEXMATCH(LOWER(VLOOKUP(A346, Data1_Raw_Slack!A:B, 2, FALSE)), ""fitness|workou"&amp;"t|gym|exercise|yoga|wellness|fitness enthusiasts""), ""Fitness"",
  REGEXMATCH(LOWER(VLOOKUP(A346, Data1_Raw_Slack!A:B, 2, FALSE)), ""health|medical|pharmacy|mental health|doctor|health-conscious""), ""Health"",
  REGEXMATCH(LOWER(VLOOKUP(A346, Data1_Raw_"&amp;"Slack!A:B, 2, FALSE)), ""pets|dogs|cats|animals|pet care|pet lovers""), ""Pets"",
  REGEXMATCH(LOWER(VLOOKUP(A346, Data1_Raw_Slack!A:B, 2, FALSE)), ""games|gaming|game|xbox|playstation|nintendo|gamers""), ""Gaming"",
  REGEXMATCH(LOWER(VLOOKUP(A346, Data1"&amp;"_Raw_Slack!A:B, 2, FALSE)), ""entertainment|movies|tv|netflix|streaming|celebrity|movie lovers|tv fans|hobb|photo|art""), ""Entertainment"",
  REGEXMATCH(LOWER(VLOOKUP(A346, Data1_Raw_Slack!A:B, 2, FALSE)), ""lifestyle|home|interior|decor|living|lifestyle"&amp;" enthusiasts""), ""Lifestyle"",
  REGEXMATCH(LOWER(VLOOKUP(A346, Data1_Raw_Slack!A:B, 2, FALSE)), ""financial|finance|investing|stocks|retirement|banking|credit|debt|loans|savings|personal finance|insurance|econ|ecom|business|retail|occupation|sale|job|ma"&amp;"rketing""), ""Finance"",
  REGEXMATCH(LOWER(VLOOKUP(A346, Data1_Raw_Slack!A:B, 2, FALSE)), ""auto|automotive""), ""Auto"",
  REGEXMATCH(LOWER(VLOOKUP(A346, Data1_Raw_Slack!A:B, 2, FALSE)), ""parenting|moms|dads|kids|toddlers|baby|parent|children""), ""Par"&amp;"enting"",
  REGEXMATCH(LOWER(VLOOKUP(A346, Data1_Raw_Slack!A:B, 2, FALSE)), ""education|students|learning|school|teachers|college|university|academics""), ""Education"",
  REGEXMATCH(LOWER(VLOOKUP(A346, Data1_Raw_Slack!A:B, 2, FALSE)), ""age|gender|dem"&amp;"ographic|family|household""), ""Demographics"",
  REGEXMATCH(LOWER(VLOOKUP(A346, Data1_Raw_Slack!A:B, 2, FALSE)), ""mortgage|real estate""), ""Real Estate"",REGEXMATCH(LOWER(VLOOKUP(A346, Data1_Raw_Slack!A:B, 2, FALSE)), ""technology|tech|gadgets|smartpho"&amp;"ne|electro|apps|devices|computing|ai|robots|software|computer|internet|tele|mobile|tablet""), ""Technology"", REGEXMATCH(LOWER(VLOOKUP(A346, Data1_Raw_Slack!A:B, 2, FALSE)), ""entertainment|purchas|movies|tv|netflix|streaming|celebrity|movie lovers|tv fan"&amp;"s|media|hobb|photo|art|shop""), ""Entertainment"", REGEXMATCH(LOWER(VLOOKUP(A346, Data1_Raw_Slack!A:B, 2, FALSE)), ""law|government|""), ""Law and Government"",
  TRUE, ""Other""
)"),"Lifestyle")</f>
        <v>Lifestyle</v>
      </c>
      <c r="G346" s="9" t="s">
        <v>127</v>
      </c>
      <c r="H346" s="9" t="s">
        <v>44</v>
      </c>
      <c r="I346" s="9" t="s">
        <v>250</v>
      </c>
      <c r="J346" s="9" t="s">
        <v>80</v>
      </c>
      <c r="K346" s="9" t="s">
        <v>142</v>
      </c>
      <c r="L346" s="9" t="s">
        <v>72</v>
      </c>
      <c r="M346" s="10" t="s">
        <v>300</v>
      </c>
      <c r="N346" s="9" t="str">
        <f ca="1">IFERROR(__xludf.DUMMYFUNCTION("REGEXEXTRACT(LOWER(M346), ""([a-z0-9\-]+)\.(?:co|net|org|io|gg)"")"),"the-sun")</f>
        <v>the-sun</v>
      </c>
      <c r="O346" s="9" t="s">
        <v>50</v>
      </c>
      <c r="P346" s="9" t="s">
        <v>39</v>
      </c>
      <c r="Q346" s="9">
        <v>14799</v>
      </c>
      <c r="R346" s="9">
        <v>59</v>
      </c>
      <c r="S346" s="9">
        <v>1403</v>
      </c>
      <c r="T346" s="9">
        <v>13410</v>
      </c>
      <c r="U346" s="9">
        <v>9</v>
      </c>
      <c r="V346" s="11">
        <v>1693.7604349999999</v>
      </c>
      <c r="W346" s="12">
        <f t="shared" si="7"/>
        <v>188.19560388888888</v>
      </c>
      <c r="X346" s="12">
        <f t="shared" si="8"/>
        <v>0.39867558618825599</v>
      </c>
      <c r="Y346" s="12">
        <f t="shared" si="9"/>
        <v>9.4803702952902213</v>
      </c>
      <c r="Z346" s="12">
        <f t="shared" si="10"/>
        <v>1207.2419351389879</v>
      </c>
      <c r="AA346" s="12">
        <f t="shared" si="11"/>
        <v>114.45100581120346</v>
      </c>
      <c r="AB346" s="12">
        <f t="shared" si="12"/>
        <v>28.707803983050844</v>
      </c>
      <c r="AC346" s="12">
        <f t="shared" si="13"/>
        <v>15.254237288135593</v>
      </c>
      <c r="AE346" s="13"/>
      <c r="AF346" s="13"/>
    </row>
    <row r="347" spans="1:32">
      <c r="A347" s="8" t="s">
        <v>1346</v>
      </c>
      <c r="B347" s="9" t="s">
        <v>41</v>
      </c>
      <c r="C347" s="9" t="s">
        <v>120</v>
      </c>
      <c r="D347" s="9" t="s">
        <v>1106</v>
      </c>
      <c r="E347" s="9"/>
      <c r="F347" s="9" t="str">
        <f ca="1">IFERROR(__xludf.DUMMYFUNCTION("IFS(
  REGEXMATCH(LOWER(VLOOKUP(A347, Data1_Raw_Slack!A:B, 2, FALSE)), ""news|weather""), ""News and Weather"", REGEXMATCH(LOWER(VLOOKUP(A347, Data1_Raw_Slack!A:B, 2, FALSE)), ""sports|ufc|nba|nfl|mlb|soccer|sports fans""), ""Sports"",
  REGEXMATCH(LOWER("&amp;"VLOOKUP(A347, Data1_Raw_Slack!A:B, 2, FALSE)), ""fashion|style|clothing|apparel|shoes|accessories|beauty|cosmetics|fashionistas""), ""Fashion and Beauty"",
  REGEXMATCH(LOWER(VLOOKUP(A347, Data1_Raw_Slack!A:B, 2, FALSE)), ""food|cooking|recipe|restaurant|"&amp;"snack|grocery|foodies""), ""Food"",
  REGEXMATCH(LOWER(VLOOKUP(A347, Data1_Raw_Slack!A:B, 2, FALSE)), ""travel|vacation|airline|hotel|trip|flights|travelers""), ""Travel"",
  REGEXMATCH(LOWER(VLOOKUP(A347, Data1_Raw_Slack!A:B, 2, FALSE)), ""fitness|workou"&amp;"t|gym|exercise|yoga|wellness|fitness enthusiasts""), ""Fitness"",
  REGEXMATCH(LOWER(VLOOKUP(A347, Data1_Raw_Slack!A:B, 2, FALSE)), ""health|medical|pharmacy|mental health|doctor|health-conscious""), ""Health"",
  REGEXMATCH(LOWER(VLOOKUP(A347, Data1_Raw_"&amp;"Slack!A:B, 2, FALSE)), ""pets|dogs|cats|animals|pet care|pet lovers""), ""Pets"",
  REGEXMATCH(LOWER(VLOOKUP(A347, Data1_Raw_Slack!A:B, 2, FALSE)), ""games|gaming|game|xbox|playstation|nintendo|gamers""), ""Gaming"",
  REGEXMATCH(LOWER(VLOOKUP(A347, Data1"&amp;"_Raw_Slack!A:B, 2, FALSE)), ""entertainment|movies|tv|netflix|streaming|celebrity|movie lovers|tv fans|hobb|photo|art""), ""Entertainment"",
  REGEXMATCH(LOWER(VLOOKUP(A347, Data1_Raw_Slack!A:B, 2, FALSE)), ""lifestyle|home|interior|decor|living|lifestyle"&amp;" enthusiasts""), ""Lifestyle"",
  REGEXMATCH(LOWER(VLOOKUP(A347, Data1_Raw_Slack!A:B, 2, FALSE)), ""financial|finance|investing|stocks|retirement|banking|credit|debt|loans|savings|personal finance|insurance|econ|ecom|business|retail|occupation|sale|job|ma"&amp;"rketing""), ""Finance"",
  REGEXMATCH(LOWER(VLOOKUP(A347, Data1_Raw_Slack!A:B, 2, FALSE)), ""auto|automotive""), ""Auto"",
  REGEXMATCH(LOWER(VLOOKUP(A347, Data1_Raw_Slack!A:B, 2, FALSE)), ""parenting|moms|dads|kids|toddlers|baby|parent|children""), ""Par"&amp;"enting"",
  REGEXMATCH(LOWER(VLOOKUP(A347, Data1_Raw_Slack!A:B, 2, FALSE)), ""education|students|learning|school|teachers|college|university|academics""), ""Education"",
  REGEXMATCH(LOWER(VLOOKUP(A347, Data1_Raw_Slack!A:B, 2, FALSE)), ""age|gender|dem"&amp;"ographic|family|household""), ""Demographics"",
  REGEXMATCH(LOWER(VLOOKUP(A347, Data1_Raw_Slack!A:B, 2, FALSE)), ""mortgage|real estate""), ""Real Estate"",REGEXMATCH(LOWER(VLOOKUP(A347, Data1_Raw_Slack!A:B, 2, FALSE)), ""technology|tech|gadgets|smartpho"&amp;"ne|electro|apps|devices|computing|ai|robots|software|computer|internet|tele|mobile|tablet""), ""Technology"", REGEXMATCH(LOWER(VLOOKUP(A347, Data1_Raw_Slack!A:B, 2, FALSE)), ""entertainment|purchas|movies|tv|netflix|streaming|celebrity|movie lovers|tv fan"&amp;"s|media|hobb|photo|art|shop""), ""Entertainment"", REGEXMATCH(LOWER(VLOOKUP(A347, Data1_Raw_Slack!A:B, 2, FALSE)), ""law|government|""), ""Law and Government"",
  TRUE, ""Other""
)"),"Auto")</f>
        <v>Auto</v>
      </c>
      <c r="G347" s="9" t="s">
        <v>122</v>
      </c>
      <c r="H347" s="9" t="s">
        <v>123</v>
      </c>
      <c r="I347" s="9" t="s">
        <v>487</v>
      </c>
      <c r="J347" s="9" t="s">
        <v>34</v>
      </c>
      <c r="K347" s="9" t="s">
        <v>71</v>
      </c>
      <c r="L347" s="9" t="s">
        <v>72</v>
      </c>
      <c r="M347" s="10" t="s">
        <v>58</v>
      </c>
      <c r="N347" s="9" t="str">
        <f ca="1">IFERROR(__xludf.DUMMYFUNCTION("REGEXEXTRACT(LOWER(M347), ""([a-z0-9\-]+)\.(?:co|net|org|io|gg)"")"),"forbes")</f>
        <v>forbes</v>
      </c>
      <c r="O347" s="9" t="s">
        <v>118</v>
      </c>
      <c r="P347" s="9" t="s">
        <v>39</v>
      </c>
      <c r="Q347" s="9">
        <v>88022</v>
      </c>
      <c r="R347" s="9">
        <v>370</v>
      </c>
      <c r="S347" s="9">
        <v>45972</v>
      </c>
      <c r="T347" s="9">
        <v>83922</v>
      </c>
      <c r="U347" s="9">
        <v>11</v>
      </c>
      <c r="V347" s="11">
        <v>5669.1447600000001</v>
      </c>
      <c r="W347" s="12">
        <f t="shared" si="7"/>
        <v>515.37679636363634</v>
      </c>
      <c r="X347" s="12">
        <f t="shared" si="8"/>
        <v>0.42034945809002294</v>
      </c>
      <c r="Y347" s="12">
        <f t="shared" si="9"/>
        <v>52.227852127877114</v>
      </c>
      <c r="Z347" s="12">
        <f t="shared" si="10"/>
        <v>123.31734012007308</v>
      </c>
      <c r="AA347" s="12">
        <f t="shared" si="11"/>
        <v>64.405998045943065</v>
      </c>
      <c r="AB347" s="12">
        <f t="shared" si="12"/>
        <v>15.322012864864865</v>
      </c>
      <c r="AC347" s="12">
        <f t="shared" si="13"/>
        <v>2.9729729729729732</v>
      </c>
      <c r="AE347" s="13"/>
      <c r="AF347" s="13"/>
    </row>
    <row r="348" spans="1:32">
      <c r="A348" s="8" t="s">
        <v>1347</v>
      </c>
      <c r="B348" s="9" t="s">
        <v>92</v>
      </c>
      <c r="C348" s="9" t="s">
        <v>178</v>
      </c>
      <c r="D348" s="9" t="s">
        <v>154</v>
      </c>
      <c r="E348" s="9" t="s">
        <v>1348</v>
      </c>
      <c r="F348" s="9" t="str">
        <f ca="1">IFERROR(__xludf.DUMMYFUNCTION("IFS(
  REGEXMATCH(LOWER(VLOOKUP(A348, Data1_Raw_Slack!A:B, 2, FALSE)), ""news|weather""), ""News and Weather"", REGEXMATCH(LOWER(VLOOKUP(A348, Data1_Raw_Slack!A:B, 2, FALSE)), ""sports|ufc|nba|nfl|mlb|soccer|sports fans""), ""Sports"",
  REGEXMATCH(LOWER("&amp;"VLOOKUP(A348, Data1_Raw_Slack!A:B, 2, FALSE)), ""fashion|style|clothing|apparel|shoes|accessories|beauty|cosmetics|fashionistas""), ""Fashion and Beauty"",
  REGEXMATCH(LOWER(VLOOKUP(A348, Data1_Raw_Slack!A:B, 2, FALSE)), ""food|cooking|recipe|restaurant|"&amp;"snack|grocery|foodies""), ""Food"",
  REGEXMATCH(LOWER(VLOOKUP(A348, Data1_Raw_Slack!A:B, 2, FALSE)), ""travel|vacation|airline|hotel|trip|flights|travelers""), ""Travel"",
  REGEXMATCH(LOWER(VLOOKUP(A348, Data1_Raw_Slack!A:B, 2, FALSE)), ""fitness|workou"&amp;"t|gym|exercise|yoga|wellness|fitness enthusiasts""), ""Fitness"",
  REGEXMATCH(LOWER(VLOOKUP(A348, Data1_Raw_Slack!A:B, 2, FALSE)), ""health|medical|pharmacy|mental health|doctor|health-conscious""), ""Health"",
  REGEXMATCH(LOWER(VLOOKUP(A348, Data1_Raw_"&amp;"Slack!A:B, 2, FALSE)), ""pets|dogs|cats|animals|pet care|pet lovers""), ""Pets"",
  REGEXMATCH(LOWER(VLOOKUP(A348, Data1_Raw_Slack!A:B, 2, FALSE)), ""games|gaming|game|xbox|playstation|nintendo|gamers""), ""Gaming"",
  REGEXMATCH(LOWER(VLOOKUP(A348, Data1"&amp;"_Raw_Slack!A:B, 2, FALSE)), ""entertainment|movies|tv|netflix|streaming|celebrity|movie lovers|tv fans|hobb|photo|art""), ""Entertainment"",
  REGEXMATCH(LOWER(VLOOKUP(A348, Data1_Raw_Slack!A:B, 2, FALSE)), ""lifestyle|home|interior|decor|living|lifestyle"&amp;" enthusiasts""), ""Lifestyle"",
  REGEXMATCH(LOWER(VLOOKUP(A348, Data1_Raw_Slack!A:B, 2, FALSE)), ""financial|finance|investing|stocks|retirement|banking|credit|debt|loans|savings|personal finance|insurance|econ|ecom|business|retail|occupation|sale|job|ma"&amp;"rketing""), ""Finance"",
  REGEXMATCH(LOWER(VLOOKUP(A348, Data1_Raw_Slack!A:B, 2, FALSE)), ""auto|automotive""), ""Auto"",
  REGEXMATCH(LOWER(VLOOKUP(A348, Data1_Raw_Slack!A:B, 2, FALSE)), ""parenting|moms|dads|kids|toddlers|baby|parent|children""), ""Par"&amp;"enting"",
  REGEXMATCH(LOWER(VLOOKUP(A348, Data1_Raw_Slack!A:B, 2, FALSE)), ""education|students|learning|school|teachers|college|university|academics""), ""Education"",
  REGEXMATCH(LOWER(VLOOKUP(A348, Data1_Raw_Slack!A:B, 2, FALSE)), ""age|gender|dem"&amp;"ographic|family|household""), ""Demographics"",
  REGEXMATCH(LOWER(VLOOKUP(A348, Data1_Raw_Slack!A:B, 2, FALSE)), ""mortgage|real estate""), ""Real Estate"",REGEXMATCH(LOWER(VLOOKUP(A348, Data1_Raw_Slack!A:B, 2, FALSE)), ""technology|tech|gadgets|smartpho"&amp;"ne|electro|apps|devices|computing|ai|robots|software|computer|internet|tele|mobile|tablet""), ""Technology"", REGEXMATCH(LOWER(VLOOKUP(A348, Data1_Raw_Slack!A:B, 2, FALSE)), ""entertainment|purchas|movies|tv|netflix|streaming|celebrity|movie lovers|tv fan"&amp;"s|media|hobb|photo|art|shop""), ""Entertainment"", REGEXMATCH(LOWER(VLOOKUP(A348, Data1_Raw_Slack!A:B, 2, FALSE)), ""law|government|""), ""Law and Government"",
  TRUE, ""Other""
)"),"Sports")</f>
        <v>Sports</v>
      </c>
      <c r="G348" s="9" t="s">
        <v>154</v>
      </c>
      <c r="H348" s="9" t="s">
        <v>44</v>
      </c>
      <c r="I348" s="9" t="s">
        <v>973</v>
      </c>
      <c r="J348" s="9" t="s">
        <v>62</v>
      </c>
      <c r="K348" s="9" t="s">
        <v>236</v>
      </c>
      <c r="L348" s="9" t="s">
        <v>82</v>
      </c>
      <c r="M348" s="10" t="s">
        <v>1349</v>
      </c>
      <c r="N348" s="9" t="str">
        <f ca="1">IFERROR(__xludf.DUMMYFUNCTION("REGEXEXTRACT(LOWER(M348), ""([a-z0-9\-]+)\.(?:co|net|org|io|gg)"")"),"fandomwire")</f>
        <v>fandomwire</v>
      </c>
      <c r="O348" s="9" t="s">
        <v>50</v>
      </c>
      <c r="P348" s="9" t="s">
        <v>75</v>
      </c>
      <c r="Q348" s="9">
        <v>65238</v>
      </c>
      <c r="R348" s="9">
        <v>240</v>
      </c>
      <c r="S348" s="9">
        <v>23741</v>
      </c>
      <c r="T348" s="9">
        <v>59893</v>
      </c>
      <c r="U348" s="9">
        <v>15</v>
      </c>
      <c r="V348" s="11">
        <v>3132.519209</v>
      </c>
      <c r="W348" s="12">
        <f t="shared" si="7"/>
        <v>208.83461393333334</v>
      </c>
      <c r="X348" s="12">
        <f t="shared" si="8"/>
        <v>0.36788374873539958</v>
      </c>
      <c r="Y348" s="12">
        <f t="shared" si="9"/>
        <v>36.391366994696348</v>
      </c>
      <c r="Z348" s="12">
        <f t="shared" si="10"/>
        <v>131.9455460595594</v>
      </c>
      <c r="AA348" s="12">
        <f t="shared" si="11"/>
        <v>48.016787899690364</v>
      </c>
      <c r="AB348" s="12">
        <f t="shared" si="12"/>
        <v>13.052163370833334</v>
      </c>
      <c r="AC348" s="12">
        <f t="shared" si="13"/>
        <v>6.25</v>
      </c>
      <c r="AE348" s="13"/>
      <c r="AF348" s="13"/>
    </row>
    <row r="349" spans="1:32">
      <c r="A349" s="8" t="s">
        <v>1350</v>
      </c>
      <c r="B349" s="9" t="s">
        <v>498</v>
      </c>
      <c r="C349" s="9" t="s">
        <v>1351</v>
      </c>
      <c r="D349" s="9" t="s">
        <v>1351</v>
      </c>
      <c r="E349" s="9"/>
      <c r="F349" s="9" t="str">
        <f ca="1">IFERROR(__xludf.DUMMYFUNCTION("IFS(
  REGEXMATCH(LOWER(VLOOKUP(A349, Data1_Raw_Slack!A:B, 2, FALSE)), ""news|weather""), ""News and Weather"", REGEXMATCH(LOWER(VLOOKUP(A349, Data1_Raw_Slack!A:B, 2, FALSE)), ""sports|ufc|nba|nfl|mlb|soccer|sports fans""), ""Sports"",
  REGEXMATCH(LOWER("&amp;"VLOOKUP(A349, Data1_Raw_Slack!A:B, 2, FALSE)), ""fashion|style|clothing|apparel|shoes|accessories|beauty|cosmetics|fashionistas""), ""Fashion and Beauty"",
  REGEXMATCH(LOWER(VLOOKUP(A349, Data1_Raw_Slack!A:B, 2, FALSE)), ""food|cooking|recipe|restaurant|"&amp;"snack|grocery|foodies""), ""Food"",
  REGEXMATCH(LOWER(VLOOKUP(A349, Data1_Raw_Slack!A:B, 2, FALSE)), ""travel|vacation|airline|hotel|trip|flights|travelers""), ""Travel"",
  REGEXMATCH(LOWER(VLOOKUP(A349, Data1_Raw_Slack!A:B, 2, FALSE)), ""fitness|workou"&amp;"t|gym|exercise|yoga|wellness|fitness enthusiasts""), ""Fitness"",
  REGEXMATCH(LOWER(VLOOKUP(A349, Data1_Raw_Slack!A:B, 2, FALSE)), ""health|medical|pharmacy|mental health|doctor|health-conscious""), ""Health"",
  REGEXMATCH(LOWER(VLOOKUP(A349, Data1_Raw_"&amp;"Slack!A:B, 2, FALSE)), ""pets|dogs|cats|animals|pet care|pet lovers""), ""Pets"",
  REGEXMATCH(LOWER(VLOOKUP(A349, Data1_Raw_Slack!A:B, 2, FALSE)), ""games|gaming|game|xbox|playstation|nintendo|gamers""), ""Gaming"",
  REGEXMATCH(LOWER(VLOOKUP(A349, Data1"&amp;"_Raw_Slack!A:B, 2, FALSE)), ""entertainment|movies|tv|netflix|streaming|celebrity|movie lovers|tv fans|hobb|photo|art""), ""Entertainment"",
  REGEXMATCH(LOWER(VLOOKUP(A349, Data1_Raw_Slack!A:B, 2, FALSE)), ""lifestyle|home|interior|decor|living|lifestyle"&amp;" enthusiasts""), ""Lifestyle"",
  REGEXMATCH(LOWER(VLOOKUP(A349, Data1_Raw_Slack!A:B, 2, FALSE)), ""financial|finance|investing|stocks|retirement|banking|credit|debt|loans|savings|personal finance|insurance|econ|ecom|business|retail|occupation|sale|job|ma"&amp;"rketing""), ""Finance"",
  REGEXMATCH(LOWER(VLOOKUP(A349, Data1_Raw_Slack!A:B, 2, FALSE)), ""auto|automotive""), ""Auto"",
  REGEXMATCH(LOWER(VLOOKUP(A349, Data1_Raw_Slack!A:B, 2, FALSE)), ""parenting|moms|dads|kids|toddlers|baby|parent|children""), ""Par"&amp;"enting"",
  REGEXMATCH(LOWER(VLOOKUP(A349, Data1_Raw_Slack!A:B, 2, FALSE)), ""education|students|learning|school|teachers|college|university|academics""), ""Education"",
  REGEXMATCH(LOWER(VLOOKUP(A349, Data1_Raw_Slack!A:B, 2, FALSE)), ""age|gender|dem"&amp;"ographic|family|household""), ""Demographics"",
  REGEXMATCH(LOWER(VLOOKUP(A349, Data1_Raw_Slack!A:B, 2, FALSE)), ""mortgage|real estate""), ""Real Estate"",REGEXMATCH(LOWER(VLOOKUP(A349, Data1_Raw_Slack!A:B, 2, FALSE)), ""technology|tech|gadgets|smartpho"&amp;"ne|electro|apps|devices|computing|ai|robots|software|computer|internet|tele|mobile|tablet""), ""Technology"", REGEXMATCH(LOWER(VLOOKUP(A349, Data1_Raw_Slack!A:B, 2, FALSE)), ""entertainment|purchas|movies|tv|netflix|streaming|celebrity|movie lovers|tv fan"&amp;"s|media|hobb|photo|art|shop""), ""Entertainment"", REGEXMATCH(LOWER(VLOOKUP(A349, Data1_Raw_Slack!A:B, 2, FALSE)), ""law|government|""), ""Law and Government"",
  TRUE, ""Other""
)"),"Entertainment")</f>
        <v>Entertainment</v>
      </c>
      <c r="G349" s="9"/>
      <c r="H349" s="9" t="s">
        <v>44</v>
      </c>
      <c r="I349" s="9" t="s">
        <v>116</v>
      </c>
      <c r="J349" s="9" t="s">
        <v>46</v>
      </c>
      <c r="K349" s="9" t="s">
        <v>274</v>
      </c>
      <c r="L349" s="9" t="s">
        <v>48</v>
      </c>
      <c r="M349" s="10" t="s">
        <v>1352</v>
      </c>
      <c r="N349" s="9" t="str">
        <f ca="1">IFERROR(__xludf.DUMMYFUNCTION("REGEXEXTRACT(LOWER(M349), ""([a-z0-9\-]+)\.(?:co|net|org|io|gg)"")"),"sciencealert")</f>
        <v>sciencealert</v>
      </c>
      <c r="O349" s="9" t="s">
        <v>103</v>
      </c>
      <c r="P349" s="9" t="s">
        <v>39</v>
      </c>
      <c r="Q349" s="9">
        <v>13347</v>
      </c>
      <c r="R349" s="9">
        <v>80</v>
      </c>
      <c r="S349" s="9">
        <v>8357</v>
      </c>
      <c r="T349" s="9">
        <v>11461</v>
      </c>
      <c r="U349" s="9">
        <v>10</v>
      </c>
      <c r="V349" s="11">
        <v>1543.6614199999999</v>
      </c>
      <c r="W349" s="12">
        <f t="shared" si="7"/>
        <v>154.366142</v>
      </c>
      <c r="X349" s="12">
        <f t="shared" si="8"/>
        <v>0.59938562972952725</v>
      </c>
      <c r="Y349" s="12">
        <f t="shared" si="9"/>
        <v>62.61332134562074</v>
      </c>
      <c r="Z349" s="12">
        <f t="shared" si="10"/>
        <v>184.71478042359698</v>
      </c>
      <c r="AA349" s="12">
        <f t="shared" si="11"/>
        <v>115.65605903948452</v>
      </c>
      <c r="AB349" s="12">
        <f t="shared" si="12"/>
        <v>19.29576775</v>
      </c>
      <c r="AC349" s="12">
        <f t="shared" si="13"/>
        <v>12.5</v>
      </c>
      <c r="AE349" s="13"/>
      <c r="AF349" s="13"/>
    </row>
    <row r="350" spans="1:32">
      <c r="A350" s="8" t="s">
        <v>1353</v>
      </c>
      <c r="B350" s="9" t="s">
        <v>874</v>
      </c>
      <c r="C350" s="9" t="s">
        <v>122</v>
      </c>
      <c r="D350" s="9" t="s">
        <v>1247</v>
      </c>
      <c r="E350" s="9" t="s">
        <v>1354</v>
      </c>
      <c r="F350" s="9" t="str">
        <f ca="1">IFERROR(__xludf.DUMMYFUNCTION("IFS(
  REGEXMATCH(LOWER(VLOOKUP(A350, Data1_Raw_Slack!A:B, 2, FALSE)), ""news|weather""), ""News and Weather"", REGEXMATCH(LOWER(VLOOKUP(A350, Data1_Raw_Slack!A:B, 2, FALSE)), ""sports|ufc|nba|nfl|mlb|soccer|sports fans""), ""Sports"",
  REGEXMATCH(LOWER("&amp;"VLOOKUP(A350, Data1_Raw_Slack!A:B, 2, FALSE)), ""fashion|style|clothing|apparel|shoes|accessories|beauty|cosmetics|fashionistas""), ""Fashion and Beauty"",
  REGEXMATCH(LOWER(VLOOKUP(A350, Data1_Raw_Slack!A:B, 2, FALSE)), ""food|cooking|recipe|restaurant|"&amp;"snack|grocery|foodies""), ""Food"",
  REGEXMATCH(LOWER(VLOOKUP(A350, Data1_Raw_Slack!A:B, 2, FALSE)), ""travel|vacation|airline|hotel|trip|flights|travelers""), ""Travel"",
  REGEXMATCH(LOWER(VLOOKUP(A350, Data1_Raw_Slack!A:B, 2, FALSE)), ""fitness|workou"&amp;"t|gym|exercise|yoga|wellness|fitness enthusiasts""), ""Fitness"",
  REGEXMATCH(LOWER(VLOOKUP(A350, Data1_Raw_Slack!A:B, 2, FALSE)), ""health|medical|pharmacy|mental health|doctor|health-conscious""), ""Health"",
  REGEXMATCH(LOWER(VLOOKUP(A350, Data1_Raw_"&amp;"Slack!A:B, 2, FALSE)), ""pets|dogs|cats|animals|pet care|pet lovers""), ""Pets"",
  REGEXMATCH(LOWER(VLOOKUP(A350, Data1_Raw_Slack!A:B, 2, FALSE)), ""games|gaming|game|xbox|playstation|nintendo|gamers""), ""Gaming"",
  REGEXMATCH(LOWER(VLOOKUP(A350, Data1"&amp;"_Raw_Slack!A:B, 2, FALSE)), ""entertainment|movies|tv|netflix|streaming|celebrity|movie lovers|tv fans|hobb|photo|art""), ""Entertainment"",
  REGEXMATCH(LOWER(VLOOKUP(A350, Data1_Raw_Slack!A:B, 2, FALSE)), ""lifestyle|home|interior|decor|living|lifestyle"&amp;" enthusiasts""), ""Lifestyle"",
  REGEXMATCH(LOWER(VLOOKUP(A350, Data1_Raw_Slack!A:B, 2, FALSE)), ""financial|finance|investing|stocks|retirement|banking|credit|debt|loans|savings|personal finance|insurance|econ|ecom|business|retail|occupation|sale|job|ma"&amp;"rketing""), ""Finance"",
  REGEXMATCH(LOWER(VLOOKUP(A350, Data1_Raw_Slack!A:B, 2, FALSE)), ""auto|automotive""), ""Auto"",
  REGEXMATCH(LOWER(VLOOKUP(A350, Data1_Raw_Slack!A:B, 2, FALSE)), ""parenting|moms|dads|kids|toddlers|baby|parent|children""), ""Par"&amp;"enting"",
  REGEXMATCH(LOWER(VLOOKUP(A350, Data1_Raw_Slack!A:B, 2, FALSE)), ""education|students|learning|school|teachers|college|university|academics""), ""Education"",
  REGEXMATCH(LOWER(VLOOKUP(A350, Data1_Raw_Slack!A:B, 2, FALSE)), ""age|gender|dem"&amp;"ographic|family|household""), ""Demographics"",
  REGEXMATCH(LOWER(VLOOKUP(A350, Data1_Raw_Slack!A:B, 2, FALSE)), ""mortgage|real estate""), ""Real Estate"",REGEXMATCH(LOWER(VLOOKUP(A350, Data1_Raw_Slack!A:B, 2, FALSE)), ""technology|tech|gadgets|smartpho"&amp;"ne|electro|apps|devices|computing|ai|robots|software|computer|internet|tele|mobile|tablet""), ""Technology"", REGEXMATCH(LOWER(VLOOKUP(A350, Data1_Raw_Slack!A:B, 2, FALSE)), ""entertainment|purchas|movies|tv|netflix|streaming|celebrity|movie lovers|tv fan"&amp;"s|media|hobb|photo|art|shop""), ""Entertainment"", REGEXMATCH(LOWER(VLOOKUP(A350, Data1_Raw_Slack!A:B, 2, FALSE)), ""law|government|""), ""Law and Government"",
  TRUE, ""Other""
)"),"Auto")</f>
        <v>Auto</v>
      </c>
      <c r="G350" s="9" t="s">
        <v>122</v>
      </c>
      <c r="H350" s="9" t="s">
        <v>32</v>
      </c>
      <c r="I350" s="9" t="s">
        <v>1285</v>
      </c>
      <c r="J350" s="9" t="s">
        <v>46</v>
      </c>
      <c r="K350" s="9" t="s">
        <v>236</v>
      </c>
      <c r="L350" s="9" t="s">
        <v>82</v>
      </c>
      <c r="M350" s="10" t="s">
        <v>112</v>
      </c>
      <c r="N350" s="9" t="str">
        <f ca="1">IFERROR(__xludf.DUMMYFUNCTION("REGEXEXTRACT(LOWER(M350), ""([a-z0-9\-]+)\.(?:co|net|org|io|gg)"")"),"ebay")</f>
        <v>ebay</v>
      </c>
      <c r="O350" s="9" t="s">
        <v>50</v>
      </c>
      <c r="P350" s="9" t="s">
        <v>39</v>
      </c>
      <c r="Q350" s="9">
        <v>102884</v>
      </c>
      <c r="R350" s="9">
        <v>299</v>
      </c>
      <c r="S350" s="9">
        <v>42841</v>
      </c>
      <c r="T350" s="9">
        <v>96539</v>
      </c>
      <c r="U350" s="9">
        <v>6</v>
      </c>
      <c r="V350" s="11">
        <v>2015.4483310000001</v>
      </c>
      <c r="W350" s="12">
        <f t="shared" si="7"/>
        <v>335.90805516666666</v>
      </c>
      <c r="X350" s="12">
        <f t="shared" si="8"/>
        <v>0.29061856070914815</v>
      </c>
      <c r="Y350" s="12">
        <f t="shared" si="9"/>
        <v>41.64009952956728</v>
      </c>
      <c r="Z350" s="12">
        <f t="shared" si="10"/>
        <v>47.044847949394274</v>
      </c>
      <c r="AA350" s="12">
        <f t="shared" si="11"/>
        <v>19.589521509661367</v>
      </c>
      <c r="AB350" s="12">
        <f t="shared" si="12"/>
        <v>6.7406298695652174</v>
      </c>
      <c r="AC350" s="12">
        <f t="shared" si="13"/>
        <v>2.0066889632107023</v>
      </c>
      <c r="AE350" s="13"/>
      <c r="AF350" s="13"/>
    </row>
    <row r="351" spans="1:32">
      <c r="A351" s="8" t="s">
        <v>1355</v>
      </c>
      <c r="B351" s="9" t="s">
        <v>41</v>
      </c>
      <c r="C351" s="9" t="s">
        <v>120</v>
      </c>
      <c r="D351" s="9" t="s">
        <v>1356</v>
      </c>
      <c r="E351" s="9"/>
      <c r="F351" s="9" t="str">
        <f ca="1">IFERROR(__xludf.DUMMYFUNCTION("IFS(
  REGEXMATCH(LOWER(VLOOKUP(A351, Data1_Raw_Slack!A:B, 2, FALSE)), ""news|weather""), ""News and Weather"", REGEXMATCH(LOWER(VLOOKUP(A351, Data1_Raw_Slack!A:B, 2, FALSE)), ""sports|ufc|nba|nfl|mlb|soccer|sports fans""), ""Sports"",
  REGEXMATCH(LOWER("&amp;"VLOOKUP(A351, Data1_Raw_Slack!A:B, 2, FALSE)), ""fashion|style|clothing|apparel|shoes|accessories|beauty|cosmetics|fashionistas""), ""Fashion and Beauty"",
  REGEXMATCH(LOWER(VLOOKUP(A351, Data1_Raw_Slack!A:B, 2, FALSE)), ""food|cooking|recipe|restaurant|"&amp;"snack|grocery|foodies""), ""Food"",
  REGEXMATCH(LOWER(VLOOKUP(A351, Data1_Raw_Slack!A:B, 2, FALSE)), ""travel|vacation|airline|hotel|trip|flights|travelers""), ""Travel"",
  REGEXMATCH(LOWER(VLOOKUP(A351, Data1_Raw_Slack!A:B, 2, FALSE)), ""fitness|workou"&amp;"t|gym|exercise|yoga|wellness|fitness enthusiasts""), ""Fitness"",
  REGEXMATCH(LOWER(VLOOKUP(A351, Data1_Raw_Slack!A:B, 2, FALSE)), ""health|medical|pharmacy|mental health|doctor|health-conscious""), ""Health"",
  REGEXMATCH(LOWER(VLOOKUP(A351, Data1_Raw_"&amp;"Slack!A:B, 2, FALSE)), ""pets|dogs|cats|animals|pet care|pet lovers""), ""Pets"",
  REGEXMATCH(LOWER(VLOOKUP(A351, Data1_Raw_Slack!A:B, 2, FALSE)), ""games|gaming|game|xbox|playstation|nintendo|gamers""), ""Gaming"",
  REGEXMATCH(LOWER(VLOOKUP(A351, Data1"&amp;"_Raw_Slack!A:B, 2, FALSE)), ""entertainment|movies|tv|netflix|streaming|celebrity|movie lovers|tv fans|hobb|photo|art""), ""Entertainment"",
  REGEXMATCH(LOWER(VLOOKUP(A351, Data1_Raw_Slack!A:B, 2, FALSE)), ""lifestyle|home|interior|decor|living|lifestyle"&amp;" enthusiasts""), ""Lifestyle"",
  REGEXMATCH(LOWER(VLOOKUP(A351, Data1_Raw_Slack!A:B, 2, FALSE)), ""financial|finance|investing|stocks|retirement|banking|credit|debt|loans|savings|personal finance|insurance|econ|ecom|business|retail|occupation|sale|job|ma"&amp;"rketing""), ""Finance"",
  REGEXMATCH(LOWER(VLOOKUP(A351, Data1_Raw_Slack!A:B, 2, FALSE)), ""auto|automotive""), ""Auto"",
  REGEXMATCH(LOWER(VLOOKUP(A351, Data1_Raw_Slack!A:B, 2, FALSE)), ""parenting|moms|dads|kids|toddlers|baby|parent|children""), ""Par"&amp;"enting"",
  REGEXMATCH(LOWER(VLOOKUP(A351, Data1_Raw_Slack!A:B, 2, FALSE)), ""education|students|learning|school|teachers|college|university|academics""), ""Education"",
  REGEXMATCH(LOWER(VLOOKUP(A351, Data1_Raw_Slack!A:B, 2, FALSE)), ""age|gender|dem"&amp;"ographic|family|household""), ""Demographics"",
  REGEXMATCH(LOWER(VLOOKUP(A351, Data1_Raw_Slack!A:B, 2, FALSE)), ""mortgage|real estate""), ""Real Estate"",REGEXMATCH(LOWER(VLOOKUP(A351, Data1_Raw_Slack!A:B, 2, FALSE)), ""technology|tech|gadgets|smartpho"&amp;"ne|electro|apps|devices|computing|ai|robots|software|computer|internet|tele|mobile|tablet""), ""Technology"", REGEXMATCH(LOWER(VLOOKUP(A351, Data1_Raw_Slack!A:B, 2, FALSE)), ""entertainment|purchas|movies|tv|netflix|streaming|celebrity|movie lovers|tv fan"&amp;"s|media|hobb|photo|art|shop""), ""Entertainment"", REGEXMATCH(LOWER(VLOOKUP(A351, Data1_Raw_Slack!A:B, 2, FALSE)), ""law|government|""), ""Law and Government"",
  TRUE, ""Other""
)"),"Auto")</f>
        <v>Auto</v>
      </c>
      <c r="G351" s="9" t="s">
        <v>122</v>
      </c>
      <c r="H351" s="9" t="s">
        <v>44</v>
      </c>
      <c r="I351" s="9" t="s">
        <v>1357</v>
      </c>
      <c r="J351" s="9" t="s">
        <v>80</v>
      </c>
      <c r="K351" s="9" t="s">
        <v>236</v>
      </c>
      <c r="L351" s="9" t="s">
        <v>82</v>
      </c>
      <c r="M351" s="10" t="s">
        <v>1358</v>
      </c>
      <c r="N351" s="9" t="str">
        <f ca="1">IFERROR(__xludf.DUMMYFUNCTION("REGEXEXTRACT(LOWER(M351), ""([a-z0-9\-]+)\.(?:co|net|org|io|gg)"")"),"sportpirate")</f>
        <v>sportpirate</v>
      </c>
      <c r="O351" s="9" t="s">
        <v>186</v>
      </c>
      <c r="P351" s="9" t="s">
        <v>75</v>
      </c>
      <c r="Q351" s="9">
        <v>17075</v>
      </c>
      <c r="R351" s="9">
        <v>44</v>
      </c>
      <c r="S351" s="9">
        <v>5508</v>
      </c>
      <c r="T351" s="9">
        <v>11539</v>
      </c>
      <c r="U351" s="9">
        <v>10</v>
      </c>
      <c r="V351" s="11">
        <v>5086.0899600000002</v>
      </c>
      <c r="W351" s="12">
        <f t="shared" si="7"/>
        <v>508.60899600000005</v>
      </c>
      <c r="X351" s="12">
        <f t="shared" si="8"/>
        <v>0.25768667642752563</v>
      </c>
      <c r="Y351" s="12">
        <f t="shared" si="9"/>
        <v>32.257686676427525</v>
      </c>
      <c r="Z351" s="12">
        <f t="shared" si="10"/>
        <v>923.40050108932473</v>
      </c>
      <c r="AA351" s="12">
        <f t="shared" si="11"/>
        <v>297.8676404099561</v>
      </c>
      <c r="AB351" s="12">
        <f t="shared" si="12"/>
        <v>115.59295363636365</v>
      </c>
      <c r="AC351" s="12">
        <f t="shared" si="13"/>
        <v>22.727272727272727</v>
      </c>
      <c r="AE351" s="13"/>
      <c r="AF351" s="13"/>
    </row>
    <row r="352" spans="1:32">
      <c r="A352" s="8" t="s">
        <v>1359</v>
      </c>
      <c r="B352" s="9" t="s">
        <v>41</v>
      </c>
      <c r="C352" s="9" t="s">
        <v>154</v>
      </c>
      <c r="D352" s="9" t="s">
        <v>414</v>
      </c>
      <c r="E352" s="9"/>
      <c r="F352" s="9" t="str">
        <f ca="1">IFERROR(__xludf.DUMMYFUNCTION("IFS(
  REGEXMATCH(LOWER(VLOOKUP(A352, Data1_Raw_Slack!A:B, 2, FALSE)), ""news|weather""), ""News and Weather"", REGEXMATCH(LOWER(VLOOKUP(A352, Data1_Raw_Slack!A:B, 2, FALSE)), ""sports|ufc|nba|nfl|mlb|soccer|sports fans""), ""Sports"",
  REGEXMATCH(LOWER("&amp;"VLOOKUP(A352, Data1_Raw_Slack!A:B, 2, FALSE)), ""fashion|style|clothing|apparel|shoes|accessories|beauty|cosmetics|fashionistas""), ""Fashion and Beauty"",
  REGEXMATCH(LOWER(VLOOKUP(A352, Data1_Raw_Slack!A:B, 2, FALSE)), ""food|cooking|recipe|restaurant|"&amp;"snack|grocery|foodies""), ""Food"",
  REGEXMATCH(LOWER(VLOOKUP(A352, Data1_Raw_Slack!A:B, 2, FALSE)), ""travel|vacation|airline|hotel|trip|flights|travelers""), ""Travel"",
  REGEXMATCH(LOWER(VLOOKUP(A352, Data1_Raw_Slack!A:B, 2, FALSE)), ""fitness|workou"&amp;"t|gym|exercise|yoga|wellness|fitness enthusiasts""), ""Fitness"",
  REGEXMATCH(LOWER(VLOOKUP(A352, Data1_Raw_Slack!A:B, 2, FALSE)), ""health|medical|pharmacy|mental health|doctor|health-conscious""), ""Health"",
  REGEXMATCH(LOWER(VLOOKUP(A352, Data1_Raw_"&amp;"Slack!A:B, 2, FALSE)), ""pets|dogs|cats|animals|pet care|pet lovers""), ""Pets"",
  REGEXMATCH(LOWER(VLOOKUP(A352, Data1_Raw_Slack!A:B, 2, FALSE)), ""games|gaming|game|xbox|playstation|nintendo|gamers""), ""Gaming"",
  REGEXMATCH(LOWER(VLOOKUP(A352, Data1"&amp;"_Raw_Slack!A:B, 2, FALSE)), ""entertainment|movies|tv|netflix|streaming|celebrity|movie lovers|tv fans|hobb|photo|art""), ""Entertainment"",
  REGEXMATCH(LOWER(VLOOKUP(A352, Data1_Raw_Slack!A:B, 2, FALSE)), ""lifestyle|home|interior|decor|living|lifestyle"&amp;" enthusiasts""), ""Lifestyle"",
  REGEXMATCH(LOWER(VLOOKUP(A352, Data1_Raw_Slack!A:B, 2, FALSE)), ""financial|finance|investing|stocks|retirement|banking|credit|debt|loans|savings|personal finance|insurance|econ|ecom|business|retail|occupation|sale|job|ma"&amp;"rketing""), ""Finance"",
  REGEXMATCH(LOWER(VLOOKUP(A352, Data1_Raw_Slack!A:B, 2, FALSE)), ""auto|automotive""), ""Auto"",
  REGEXMATCH(LOWER(VLOOKUP(A352, Data1_Raw_Slack!A:B, 2, FALSE)), ""parenting|moms|dads|kids|toddlers|baby|parent|children""), ""Par"&amp;"enting"",
  REGEXMATCH(LOWER(VLOOKUP(A352, Data1_Raw_Slack!A:B, 2, FALSE)), ""education|students|learning|school|teachers|college|university|academics""), ""Education"",
  REGEXMATCH(LOWER(VLOOKUP(A352, Data1_Raw_Slack!A:B, 2, FALSE)), ""age|gender|dem"&amp;"ographic|family|household""), ""Demographics"",
  REGEXMATCH(LOWER(VLOOKUP(A352, Data1_Raw_Slack!A:B, 2, FALSE)), ""mortgage|real estate""), ""Real Estate"",REGEXMATCH(LOWER(VLOOKUP(A352, Data1_Raw_Slack!A:B, 2, FALSE)), ""technology|tech|gadgets|smartpho"&amp;"ne|electro|apps|devices|computing|ai|robots|software|computer|internet|tele|mobile|tablet""), ""Technology"", REGEXMATCH(LOWER(VLOOKUP(A352, Data1_Raw_Slack!A:B, 2, FALSE)), ""entertainment|purchas|movies|tv|netflix|streaming|celebrity|movie lovers|tv fan"&amp;"s|media|hobb|photo|art|shop""), ""Entertainment"", REGEXMATCH(LOWER(VLOOKUP(A352, Data1_Raw_Slack!A:B, 2, FALSE)), ""law|government|""), ""Law and Government"",
  TRUE, ""Other""
)"),"Sports")</f>
        <v>Sports</v>
      </c>
      <c r="G352" s="9" t="s">
        <v>154</v>
      </c>
      <c r="H352" s="9" t="s">
        <v>32</v>
      </c>
      <c r="I352" s="9" t="s">
        <v>263</v>
      </c>
      <c r="J352" s="9" t="s">
        <v>34</v>
      </c>
      <c r="K352" s="9" t="s">
        <v>35</v>
      </c>
      <c r="L352" s="9" t="s">
        <v>36</v>
      </c>
      <c r="M352" s="10" t="s">
        <v>1272</v>
      </c>
      <c r="N352" s="9" t="str">
        <f ca="1">IFERROR(__xludf.DUMMYFUNCTION("REGEXEXTRACT(LOWER(M352), ""([a-z0-9\-]+)\.(?:co|net|org|io|gg)"")"),"calculator")</f>
        <v>calculator</v>
      </c>
      <c r="O352" s="9" t="s">
        <v>50</v>
      </c>
      <c r="P352" s="9" t="s">
        <v>39</v>
      </c>
      <c r="Q352" s="9">
        <v>18633</v>
      </c>
      <c r="R352" s="9">
        <v>60</v>
      </c>
      <c r="S352" s="9">
        <v>9424</v>
      </c>
      <c r="T352" s="9">
        <v>18087</v>
      </c>
      <c r="U352" s="9">
        <v>15</v>
      </c>
      <c r="V352" s="11">
        <v>6785.0632930000002</v>
      </c>
      <c r="W352" s="12">
        <f t="shared" si="7"/>
        <v>452.33755286666667</v>
      </c>
      <c r="X352" s="12">
        <f t="shared" si="8"/>
        <v>0.32200933827080985</v>
      </c>
      <c r="Y352" s="12">
        <f t="shared" si="9"/>
        <v>50.576933397735203</v>
      </c>
      <c r="Z352" s="12">
        <f t="shared" si="10"/>
        <v>719.97700477504247</v>
      </c>
      <c r="AA352" s="12">
        <f t="shared" si="11"/>
        <v>364.14229018408201</v>
      </c>
      <c r="AB352" s="12">
        <f t="shared" si="12"/>
        <v>113.08438821666667</v>
      </c>
      <c r="AC352" s="12">
        <f t="shared" si="13"/>
        <v>25</v>
      </c>
      <c r="AE352" s="13"/>
      <c r="AF352" s="13"/>
    </row>
    <row r="353" spans="1:32">
      <c r="A353" s="8" t="s">
        <v>1360</v>
      </c>
      <c r="B353" s="9" t="s">
        <v>498</v>
      </c>
      <c r="C353" s="9" t="s">
        <v>85</v>
      </c>
      <c r="D353" s="9" t="s">
        <v>1361</v>
      </c>
      <c r="E353" s="9"/>
      <c r="F353" s="9" t="str">
        <f ca="1">IFERROR(__xludf.DUMMYFUNCTION("IFS(
  REGEXMATCH(LOWER(VLOOKUP(A353, Data1_Raw_Slack!A:B, 2, FALSE)), ""news|weather""), ""News and Weather"", REGEXMATCH(LOWER(VLOOKUP(A353, Data1_Raw_Slack!A:B, 2, FALSE)), ""sports|ufc|nba|nfl|mlb|soccer|sports fans""), ""Sports"",
  REGEXMATCH(LOWER("&amp;"VLOOKUP(A353, Data1_Raw_Slack!A:B, 2, FALSE)), ""fashion|style|clothing|apparel|shoes|accessories|beauty|cosmetics|fashionistas""), ""Fashion and Beauty"",
  REGEXMATCH(LOWER(VLOOKUP(A353, Data1_Raw_Slack!A:B, 2, FALSE)), ""food|cooking|recipe|restaurant|"&amp;"snack|grocery|foodies""), ""Food"",
  REGEXMATCH(LOWER(VLOOKUP(A353, Data1_Raw_Slack!A:B, 2, FALSE)), ""travel|vacation|airline|hotel|trip|flights|travelers""), ""Travel"",
  REGEXMATCH(LOWER(VLOOKUP(A353, Data1_Raw_Slack!A:B, 2, FALSE)), ""fitness|workou"&amp;"t|gym|exercise|yoga|wellness|fitness enthusiasts""), ""Fitness"",
  REGEXMATCH(LOWER(VLOOKUP(A353, Data1_Raw_Slack!A:B, 2, FALSE)), ""health|medical|pharmacy|mental health|doctor|health-conscious""), ""Health"",
  REGEXMATCH(LOWER(VLOOKUP(A353, Data1_Raw_"&amp;"Slack!A:B, 2, FALSE)), ""pets|dogs|cats|animals|pet care|pet lovers""), ""Pets"",
  REGEXMATCH(LOWER(VLOOKUP(A353, Data1_Raw_Slack!A:B, 2, FALSE)), ""games|gaming|game|xbox|playstation|nintendo|gamers""), ""Gaming"",
  REGEXMATCH(LOWER(VLOOKUP(A353, Data1"&amp;"_Raw_Slack!A:B, 2, FALSE)), ""entertainment|movies|tv|netflix|streaming|celebrity|movie lovers|tv fans|hobb|photo|art""), ""Entertainment"",
  REGEXMATCH(LOWER(VLOOKUP(A353, Data1_Raw_Slack!A:B, 2, FALSE)), ""lifestyle|home|interior|decor|living|lifestyle"&amp;" enthusiasts""), ""Lifestyle"",
  REGEXMATCH(LOWER(VLOOKUP(A353, Data1_Raw_Slack!A:B, 2, FALSE)), ""financial|finance|investing|stocks|retirement|banking|credit|debt|loans|savings|personal finance|insurance|econ|ecom|business|retail|occupation|sale|job|ma"&amp;"rketing""), ""Finance"",
  REGEXMATCH(LOWER(VLOOKUP(A353, Data1_Raw_Slack!A:B, 2, FALSE)), ""auto|automotive""), ""Auto"",
  REGEXMATCH(LOWER(VLOOKUP(A353, Data1_Raw_Slack!A:B, 2, FALSE)), ""parenting|moms|dads|kids|toddlers|baby|parent|children""), ""Par"&amp;"enting"",
  REGEXMATCH(LOWER(VLOOKUP(A353, Data1_Raw_Slack!A:B, 2, FALSE)), ""education|students|learning|school|teachers|college|university|academics""), ""Education"",
  REGEXMATCH(LOWER(VLOOKUP(A353, Data1_Raw_Slack!A:B, 2, FALSE)), ""age|gender|dem"&amp;"ographic|family|household""), ""Demographics"",
  REGEXMATCH(LOWER(VLOOKUP(A353, Data1_Raw_Slack!A:B, 2, FALSE)), ""mortgage|real estate""), ""Real Estate"",REGEXMATCH(LOWER(VLOOKUP(A353, Data1_Raw_Slack!A:B, 2, FALSE)), ""technology|tech|gadgets|smartpho"&amp;"ne|electro|apps|devices|computing|ai|robots|software|computer|internet|tele|mobile|tablet""), ""Technology"", REGEXMATCH(LOWER(VLOOKUP(A353, Data1_Raw_Slack!A:B, 2, FALSE)), ""entertainment|purchas|movies|tv|netflix|streaming|celebrity|movie lovers|tv fan"&amp;"s|media|hobb|photo|art|shop""), ""Entertainment"", REGEXMATCH(LOWER(VLOOKUP(A353, Data1_Raw_Slack!A:B, 2, FALSE)), ""law|government|""), ""Law and Government"",
  TRUE, ""Other""
)"),"Travel")</f>
        <v>Travel</v>
      </c>
      <c r="G353" s="9" t="s">
        <v>85</v>
      </c>
      <c r="H353" s="9" t="s">
        <v>44</v>
      </c>
      <c r="I353" s="9" t="s">
        <v>977</v>
      </c>
      <c r="J353" s="9" t="s">
        <v>62</v>
      </c>
      <c r="K353" s="9" t="s">
        <v>88</v>
      </c>
      <c r="L353" s="9" t="s">
        <v>89</v>
      </c>
      <c r="M353" s="10" t="s">
        <v>1362</v>
      </c>
      <c r="N353" s="9" t="str">
        <f ca="1">IFERROR(__xludf.DUMMYFUNCTION("REGEXEXTRACT(LOWER(M353), ""([a-z0-9\-]+)\.(?:co|net|org|io|gg)"")"),"#N/A")</f>
        <v>#N/A</v>
      </c>
      <c r="O353" s="9" t="s">
        <v>50</v>
      </c>
      <c r="P353" s="9" t="s">
        <v>39</v>
      </c>
      <c r="Q353" s="9">
        <v>13464</v>
      </c>
      <c r="R353" s="9">
        <v>84</v>
      </c>
      <c r="S353" s="9">
        <v>1698</v>
      </c>
      <c r="T353" s="9">
        <v>11234</v>
      </c>
      <c r="U353" s="9">
        <v>1</v>
      </c>
      <c r="V353" s="11">
        <v>1466.285104</v>
      </c>
      <c r="W353" s="12">
        <f t="shared" si="7"/>
        <v>1466.285104</v>
      </c>
      <c r="X353" s="12">
        <f t="shared" si="8"/>
        <v>0.62388591800356508</v>
      </c>
      <c r="Y353" s="12">
        <f t="shared" si="9"/>
        <v>12.611408199643495</v>
      </c>
      <c r="Z353" s="12">
        <f t="shared" si="10"/>
        <v>863.53657479387516</v>
      </c>
      <c r="AA353" s="12">
        <f t="shared" si="11"/>
        <v>108.90412240047534</v>
      </c>
      <c r="AB353" s="12">
        <f t="shared" si="12"/>
        <v>17.455775047619049</v>
      </c>
      <c r="AC353" s="12">
        <f t="shared" si="13"/>
        <v>1.1904761904761905</v>
      </c>
      <c r="AE353" s="13"/>
      <c r="AF353" s="13"/>
    </row>
    <row r="354" spans="1:32">
      <c r="A354" s="8" t="s">
        <v>1363</v>
      </c>
      <c r="B354" s="9" t="s">
        <v>41</v>
      </c>
      <c r="C354" s="9" t="s">
        <v>120</v>
      </c>
      <c r="D354" s="9" t="s">
        <v>1364</v>
      </c>
      <c r="E354" s="9"/>
      <c r="F354" s="9" t="str">
        <f ca="1">IFERROR(__xludf.DUMMYFUNCTION("IFS(
  REGEXMATCH(LOWER(VLOOKUP(A354, Data1_Raw_Slack!A:B, 2, FALSE)), ""news|weather""), ""News and Weather"", REGEXMATCH(LOWER(VLOOKUP(A354, Data1_Raw_Slack!A:B, 2, FALSE)), ""sports|ufc|nba|nfl|mlb|soccer|sports fans""), ""Sports"",
  REGEXMATCH(LOWER("&amp;"VLOOKUP(A354, Data1_Raw_Slack!A:B, 2, FALSE)), ""fashion|style|clothing|apparel|shoes|accessories|beauty|cosmetics|fashionistas""), ""Fashion and Beauty"",
  REGEXMATCH(LOWER(VLOOKUP(A354, Data1_Raw_Slack!A:B, 2, FALSE)), ""food|cooking|recipe|restaurant|"&amp;"snack|grocery|foodies""), ""Food"",
  REGEXMATCH(LOWER(VLOOKUP(A354, Data1_Raw_Slack!A:B, 2, FALSE)), ""travel|vacation|airline|hotel|trip|flights|travelers""), ""Travel"",
  REGEXMATCH(LOWER(VLOOKUP(A354, Data1_Raw_Slack!A:B, 2, FALSE)), ""fitness|workou"&amp;"t|gym|exercise|yoga|wellness|fitness enthusiasts""), ""Fitness"",
  REGEXMATCH(LOWER(VLOOKUP(A354, Data1_Raw_Slack!A:B, 2, FALSE)), ""health|medical|pharmacy|mental health|doctor|health-conscious""), ""Health"",
  REGEXMATCH(LOWER(VLOOKUP(A354, Data1_Raw_"&amp;"Slack!A:B, 2, FALSE)), ""pets|dogs|cats|animals|pet care|pet lovers""), ""Pets"",
  REGEXMATCH(LOWER(VLOOKUP(A354, Data1_Raw_Slack!A:B, 2, FALSE)), ""games|gaming|game|xbox|playstation|nintendo|gamers""), ""Gaming"",
  REGEXMATCH(LOWER(VLOOKUP(A354, Data1"&amp;"_Raw_Slack!A:B, 2, FALSE)), ""entertainment|movies|tv|netflix|streaming|celebrity|movie lovers|tv fans|hobb|photo|art""), ""Entertainment"",
  REGEXMATCH(LOWER(VLOOKUP(A354, Data1_Raw_Slack!A:B, 2, FALSE)), ""lifestyle|home|interior|decor|living|lifestyle"&amp;" enthusiasts""), ""Lifestyle"",
  REGEXMATCH(LOWER(VLOOKUP(A354, Data1_Raw_Slack!A:B, 2, FALSE)), ""financial|finance|investing|stocks|retirement|banking|credit|debt|loans|savings|personal finance|insurance|econ|ecom|business|retail|occupation|sale|job|ma"&amp;"rketing""), ""Finance"",
  REGEXMATCH(LOWER(VLOOKUP(A354, Data1_Raw_Slack!A:B, 2, FALSE)), ""auto|automotive""), ""Auto"",
  REGEXMATCH(LOWER(VLOOKUP(A354, Data1_Raw_Slack!A:B, 2, FALSE)), ""parenting|moms|dads|kids|toddlers|baby|parent|children""), ""Par"&amp;"enting"",
  REGEXMATCH(LOWER(VLOOKUP(A354, Data1_Raw_Slack!A:B, 2, FALSE)), ""education|students|learning|school|teachers|college|university|academics""), ""Education"",
  REGEXMATCH(LOWER(VLOOKUP(A354, Data1_Raw_Slack!A:B, 2, FALSE)), ""age|gender|dem"&amp;"ographic|family|household""), ""Demographics"",
  REGEXMATCH(LOWER(VLOOKUP(A354, Data1_Raw_Slack!A:B, 2, FALSE)), ""mortgage|real estate""), ""Real Estate"",REGEXMATCH(LOWER(VLOOKUP(A354, Data1_Raw_Slack!A:B, 2, FALSE)), ""technology|tech|gadgets|smartpho"&amp;"ne|electro|apps|devices|computing|ai|robots|software|computer|internet|tele|mobile|tablet""), ""Technology"", REGEXMATCH(LOWER(VLOOKUP(A354, Data1_Raw_Slack!A:B, 2, FALSE)), ""entertainment|purchas|movies|tv|netflix|streaming|celebrity|movie lovers|tv fan"&amp;"s|media|hobb|photo|art|shop""), ""Entertainment"", REGEXMATCH(LOWER(VLOOKUP(A354, Data1_Raw_Slack!A:B, 2, FALSE)), ""law|government|""), ""Law and Government"",
  TRUE, ""Other""
)"),"Auto")</f>
        <v>Auto</v>
      </c>
      <c r="G354" s="9" t="s">
        <v>122</v>
      </c>
      <c r="H354" s="9" t="s">
        <v>32</v>
      </c>
      <c r="I354" s="9" t="s">
        <v>1365</v>
      </c>
      <c r="J354" s="9" t="s">
        <v>80</v>
      </c>
      <c r="K354" s="9" t="s">
        <v>56</v>
      </c>
      <c r="L354" s="9" t="s">
        <v>57</v>
      </c>
      <c r="M354" s="10" t="s">
        <v>102</v>
      </c>
      <c r="N354" s="9" t="str">
        <f ca="1">IFERROR(__xludf.DUMMYFUNCTION("REGEXEXTRACT(LOWER(M354), ""([a-z0-9\-]+)\.(?:co|net|org|io|gg)"")"),"cbsnews")</f>
        <v>cbsnews</v>
      </c>
      <c r="O354" s="9" t="s">
        <v>118</v>
      </c>
      <c r="P354" s="9" t="s">
        <v>39</v>
      </c>
      <c r="Q354" s="9">
        <v>134847</v>
      </c>
      <c r="R354" s="9">
        <v>450</v>
      </c>
      <c r="S354" s="9">
        <v>104268</v>
      </c>
      <c r="T354" s="9">
        <v>128470</v>
      </c>
      <c r="U354" s="9">
        <v>125</v>
      </c>
      <c r="V354" s="11">
        <v>6040.5955780000004</v>
      </c>
      <c r="W354" s="12">
        <f t="shared" si="7"/>
        <v>48.324764624000004</v>
      </c>
      <c r="X354" s="12">
        <f t="shared" si="8"/>
        <v>0.33371153974504442</v>
      </c>
      <c r="Y354" s="12">
        <f t="shared" si="9"/>
        <v>77.323188502525085</v>
      </c>
      <c r="Z354" s="12">
        <f t="shared" si="10"/>
        <v>57.933359976215144</v>
      </c>
      <c r="AA354" s="12">
        <f t="shared" si="11"/>
        <v>44.795921140255253</v>
      </c>
      <c r="AB354" s="12">
        <f t="shared" si="12"/>
        <v>13.42354572888889</v>
      </c>
      <c r="AC354" s="12">
        <f t="shared" si="13"/>
        <v>27.777777777777779</v>
      </c>
      <c r="AE354" s="13"/>
      <c r="AF354" s="13"/>
    </row>
    <row r="355" spans="1:32">
      <c r="A355" s="8" t="s">
        <v>1366</v>
      </c>
      <c r="B355" s="9" t="s">
        <v>41</v>
      </c>
      <c r="C355" s="9" t="s">
        <v>120</v>
      </c>
      <c r="D355" s="9" t="s">
        <v>1367</v>
      </c>
      <c r="E355" s="9"/>
      <c r="F355" s="9" t="str">
        <f ca="1">IFERROR(__xludf.DUMMYFUNCTION("IFS(
  REGEXMATCH(LOWER(VLOOKUP(A355, Data1_Raw_Slack!A:B, 2, FALSE)), ""news|weather""), ""News and Weather"", REGEXMATCH(LOWER(VLOOKUP(A355, Data1_Raw_Slack!A:B, 2, FALSE)), ""sports|ufc|nba|nfl|mlb|soccer|sports fans""), ""Sports"",
  REGEXMATCH(LOWER("&amp;"VLOOKUP(A355, Data1_Raw_Slack!A:B, 2, FALSE)), ""fashion|style|clothing|apparel|shoes|accessories|beauty|cosmetics|fashionistas""), ""Fashion and Beauty"",
  REGEXMATCH(LOWER(VLOOKUP(A355, Data1_Raw_Slack!A:B, 2, FALSE)), ""food|cooking|recipe|restaurant|"&amp;"snack|grocery|foodies""), ""Food"",
  REGEXMATCH(LOWER(VLOOKUP(A355, Data1_Raw_Slack!A:B, 2, FALSE)), ""travel|vacation|airline|hotel|trip|flights|travelers""), ""Travel"",
  REGEXMATCH(LOWER(VLOOKUP(A355, Data1_Raw_Slack!A:B, 2, FALSE)), ""fitness|workou"&amp;"t|gym|exercise|yoga|wellness|fitness enthusiasts""), ""Fitness"",
  REGEXMATCH(LOWER(VLOOKUP(A355, Data1_Raw_Slack!A:B, 2, FALSE)), ""health|medical|pharmacy|mental health|doctor|health-conscious""), ""Health"",
  REGEXMATCH(LOWER(VLOOKUP(A355, Data1_Raw_"&amp;"Slack!A:B, 2, FALSE)), ""pets|dogs|cats|animals|pet care|pet lovers""), ""Pets"",
  REGEXMATCH(LOWER(VLOOKUP(A355, Data1_Raw_Slack!A:B, 2, FALSE)), ""games|gaming|game|xbox|playstation|nintendo|gamers""), ""Gaming"",
  REGEXMATCH(LOWER(VLOOKUP(A355, Data1"&amp;"_Raw_Slack!A:B, 2, FALSE)), ""entertainment|movies|tv|netflix|streaming|celebrity|movie lovers|tv fans|hobb|photo|art""), ""Entertainment"",
  REGEXMATCH(LOWER(VLOOKUP(A355, Data1_Raw_Slack!A:B, 2, FALSE)), ""lifestyle|home|interior|decor|living|lifestyle"&amp;" enthusiasts""), ""Lifestyle"",
  REGEXMATCH(LOWER(VLOOKUP(A355, Data1_Raw_Slack!A:B, 2, FALSE)), ""financial|finance|investing|stocks|retirement|banking|credit|debt|loans|savings|personal finance|insurance|econ|ecom|business|retail|occupation|sale|job|ma"&amp;"rketing""), ""Finance"",
  REGEXMATCH(LOWER(VLOOKUP(A355, Data1_Raw_Slack!A:B, 2, FALSE)), ""auto|automotive""), ""Auto"",
  REGEXMATCH(LOWER(VLOOKUP(A355, Data1_Raw_Slack!A:B, 2, FALSE)), ""parenting|moms|dads|kids|toddlers|baby|parent|children""), ""Par"&amp;"enting"",
  REGEXMATCH(LOWER(VLOOKUP(A355, Data1_Raw_Slack!A:B, 2, FALSE)), ""education|students|learning|school|teachers|college|university|academics""), ""Education"",
  REGEXMATCH(LOWER(VLOOKUP(A355, Data1_Raw_Slack!A:B, 2, FALSE)), ""age|gender|dem"&amp;"ographic|family|household""), ""Demographics"",
  REGEXMATCH(LOWER(VLOOKUP(A355, Data1_Raw_Slack!A:B, 2, FALSE)), ""mortgage|real estate""), ""Real Estate"",REGEXMATCH(LOWER(VLOOKUP(A355, Data1_Raw_Slack!A:B, 2, FALSE)), ""technology|tech|gadgets|smartpho"&amp;"ne|electro|apps|devices|computing|ai|robots|software|computer|internet|tele|mobile|tablet""), ""Technology"", REGEXMATCH(LOWER(VLOOKUP(A355, Data1_Raw_Slack!A:B, 2, FALSE)), ""entertainment|purchas|movies|tv|netflix|streaming|celebrity|movie lovers|tv fan"&amp;"s|media|hobb|photo|art|shop""), ""Entertainment"", REGEXMATCH(LOWER(VLOOKUP(A355, Data1_Raw_Slack!A:B, 2, FALSE)), ""law|government|""), ""Law and Government"",
  TRUE, ""Other""
)"),"Auto")</f>
        <v>Auto</v>
      </c>
      <c r="G355" s="9" t="s">
        <v>122</v>
      </c>
      <c r="H355" s="9" t="s">
        <v>32</v>
      </c>
      <c r="I355" s="9" t="s">
        <v>1368</v>
      </c>
      <c r="J355" s="9" t="s">
        <v>62</v>
      </c>
      <c r="K355" s="9" t="s">
        <v>227</v>
      </c>
      <c r="L355" s="9" t="s">
        <v>228</v>
      </c>
      <c r="M355" s="10" t="s">
        <v>1168</v>
      </c>
      <c r="N355" s="9" t="str">
        <f ca="1">IFERROR(__xludf.DUMMYFUNCTION("REGEXEXTRACT(LOWER(M355), ""([a-z0-9\-]+)\.(?:co|net|org|io|gg)"")"),"geeksforgeeks")</f>
        <v>geeksforgeeks</v>
      </c>
      <c r="O355" s="9" t="s">
        <v>50</v>
      </c>
      <c r="P355" s="9" t="s">
        <v>39</v>
      </c>
      <c r="Q355" s="9">
        <v>109709</v>
      </c>
      <c r="R355" s="9">
        <v>278</v>
      </c>
      <c r="S355" s="9">
        <v>3064</v>
      </c>
      <c r="T355" s="9">
        <v>15428</v>
      </c>
      <c r="U355" s="9">
        <v>20</v>
      </c>
      <c r="V355" s="11">
        <v>5409.0839550000001</v>
      </c>
      <c r="W355" s="12">
        <f t="shared" si="7"/>
        <v>270.45419774999999</v>
      </c>
      <c r="X355" s="12">
        <f t="shared" si="8"/>
        <v>0.2533976246251447</v>
      </c>
      <c r="Y355" s="12">
        <f t="shared" si="9"/>
        <v>2.79284288435771</v>
      </c>
      <c r="Z355" s="12">
        <f t="shared" si="10"/>
        <v>1765.3668260443865</v>
      </c>
      <c r="AA355" s="12">
        <f t="shared" si="11"/>
        <v>49.303921783992195</v>
      </c>
      <c r="AB355" s="12">
        <f t="shared" si="12"/>
        <v>19.457136528776978</v>
      </c>
      <c r="AC355" s="12">
        <f t="shared" si="13"/>
        <v>7.1942446043165464</v>
      </c>
      <c r="AE355" s="13"/>
      <c r="AF355" s="13"/>
    </row>
    <row r="356" spans="1:32">
      <c r="A356" s="8" t="s">
        <v>1369</v>
      </c>
      <c r="B356" s="9" t="s">
        <v>41</v>
      </c>
      <c r="C356" s="9" t="s">
        <v>214</v>
      </c>
      <c r="D356" s="9" t="s">
        <v>1175</v>
      </c>
      <c r="E356" s="9" t="s">
        <v>1370</v>
      </c>
      <c r="F356" s="9" t="str">
        <f ca="1">IFERROR(__xludf.DUMMYFUNCTION("IFS(
  REGEXMATCH(LOWER(VLOOKUP(A356, Data1_Raw_Slack!A:B, 2, FALSE)), ""news|weather""), ""News and Weather"", REGEXMATCH(LOWER(VLOOKUP(A356, Data1_Raw_Slack!A:B, 2, FALSE)), ""sports|ufc|nba|nfl|mlb|soccer|sports fans""), ""Sports"",
  REGEXMATCH(LOWER("&amp;"VLOOKUP(A356, Data1_Raw_Slack!A:B, 2, FALSE)), ""fashion|style|clothing|apparel|shoes|accessories|beauty|cosmetics|fashionistas""), ""Fashion and Beauty"",
  REGEXMATCH(LOWER(VLOOKUP(A356, Data1_Raw_Slack!A:B, 2, FALSE)), ""food|cooking|recipe|restaurant|"&amp;"snack|grocery|foodies""), ""Food"",
  REGEXMATCH(LOWER(VLOOKUP(A356, Data1_Raw_Slack!A:B, 2, FALSE)), ""travel|vacation|airline|hotel|trip|flights|travelers""), ""Travel"",
  REGEXMATCH(LOWER(VLOOKUP(A356, Data1_Raw_Slack!A:B, 2, FALSE)), ""fitness|workou"&amp;"t|gym|exercise|yoga|wellness|fitness enthusiasts""), ""Fitness"",
  REGEXMATCH(LOWER(VLOOKUP(A356, Data1_Raw_Slack!A:B, 2, FALSE)), ""health|medical|pharmacy|mental health|doctor|health-conscious""), ""Health"",
  REGEXMATCH(LOWER(VLOOKUP(A356, Data1_Raw_"&amp;"Slack!A:B, 2, FALSE)), ""pets|dogs|cats|animals|pet care|pet lovers""), ""Pets"",
  REGEXMATCH(LOWER(VLOOKUP(A356, Data1_Raw_Slack!A:B, 2, FALSE)), ""games|gaming|game|xbox|playstation|nintendo|gamers""), ""Gaming"",
  REGEXMATCH(LOWER(VLOOKUP(A356, Data1"&amp;"_Raw_Slack!A:B, 2, FALSE)), ""entertainment|movies|tv|netflix|streaming|celebrity|movie lovers|tv fans|hobb|photo|art""), ""Entertainment"",
  REGEXMATCH(LOWER(VLOOKUP(A356, Data1_Raw_Slack!A:B, 2, FALSE)), ""lifestyle|home|interior|decor|living|lifestyle"&amp;" enthusiasts""), ""Lifestyle"",
  REGEXMATCH(LOWER(VLOOKUP(A356, Data1_Raw_Slack!A:B, 2, FALSE)), ""financial|finance|investing|stocks|retirement|banking|credit|debt|loans|savings|personal finance|insurance|econ|ecom|business|retail|occupation|sale|job|ma"&amp;"rketing""), ""Finance"",
  REGEXMATCH(LOWER(VLOOKUP(A356, Data1_Raw_Slack!A:B, 2, FALSE)), ""auto|automotive""), ""Auto"",
  REGEXMATCH(LOWER(VLOOKUP(A356, Data1_Raw_Slack!A:B, 2, FALSE)), ""parenting|moms|dads|kids|toddlers|baby|parent|children""), ""Par"&amp;"enting"",
  REGEXMATCH(LOWER(VLOOKUP(A356, Data1_Raw_Slack!A:B, 2, FALSE)), ""education|students|learning|school|teachers|college|university|academics""), ""Education"",
  REGEXMATCH(LOWER(VLOOKUP(A356, Data1_Raw_Slack!A:B, 2, FALSE)), ""age|gender|dem"&amp;"ographic|family|household""), ""Demographics"",
  REGEXMATCH(LOWER(VLOOKUP(A356, Data1_Raw_Slack!A:B, 2, FALSE)), ""mortgage|real estate""), ""Real Estate"",REGEXMATCH(LOWER(VLOOKUP(A356, Data1_Raw_Slack!A:B, 2, FALSE)), ""technology|tech|gadgets|smartpho"&amp;"ne|electro|apps|devices|computing|ai|robots|software|computer|internet|tele|mobile|tablet""), ""Technology"", REGEXMATCH(LOWER(VLOOKUP(A356, Data1_Raw_Slack!A:B, 2, FALSE)), ""entertainment|purchas|movies|tv|netflix|streaming|celebrity|movie lovers|tv fan"&amp;"s|media|hobb|photo|art|shop""), ""Entertainment"", REGEXMATCH(LOWER(VLOOKUP(A356, Data1_Raw_Slack!A:B, 2, FALSE)), ""law|government|""), ""Law and Government"",
  TRUE, ""Other""
)"),"Demographics")</f>
        <v>Demographics</v>
      </c>
      <c r="G356" s="9"/>
      <c r="H356" s="9" t="s">
        <v>32</v>
      </c>
      <c r="I356" s="9" t="s">
        <v>1371</v>
      </c>
      <c r="J356" s="9" t="s">
        <v>46</v>
      </c>
      <c r="K356" s="9" t="s">
        <v>88</v>
      </c>
      <c r="L356" s="9" t="s">
        <v>89</v>
      </c>
      <c r="M356" s="10" t="s">
        <v>398</v>
      </c>
      <c r="N356" s="9" t="str">
        <f ca="1">IFERROR(__xludf.DUMMYFUNCTION("REGEXEXTRACT(LOWER(M356), ""([a-z0-9\-]+)\.(?:co|net|org|io|gg)"")"),"kbb")</f>
        <v>kbb</v>
      </c>
      <c r="O356" s="9" t="s">
        <v>50</v>
      </c>
      <c r="P356" s="9" t="s">
        <v>39</v>
      </c>
      <c r="Q356" s="9">
        <v>48947</v>
      </c>
      <c r="R356" s="9">
        <v>230</v>
      </c>
      <c r="S356" s="9">
        <v>32089</v>
      </c>
      <c r="T356" s="9">
        <v>45597</v>
      </c>
      <c r="U356" s="9">
        <v>21</v>
      </c>
      <c r="V356" s="11">
        <v>5702.2902649999996</v>
      </c>
      <c r="W356" s="12">
        <f t="shared" si="7"/>
        <v>271.53763166666664</v>
      </c>
      <c r="X356" s="12">
        <f t="shared" si="8"/>
        <v>0.4698960099699675</v>
      </c>
      <c r="Y356" s="12">
        <f t="shared" si="9"/>
        <v>65.558665495331681</v>
      </c>
      <c r="Z356" s="12">
        <f t="shared" si="10"/>
        <v>177.70233615880832</v>
      </c>
      <c r="AA356" s="12">
        <f t="shared" si="11"/>
        <v>116.49928013974298</v>
      </c>
      <c r="AB356" s="12">
        <f t="shared" si="12"/>
        <v>24.792566369565215</v>
      </c>
      <c r="AC356" s="12">
        <f t="shared" si="13"/>
        <v>9.1304347826086953</v>
      </c>
      <c r="AE356" s="13"/>
      <c r="AF356" s="13"/>
    </row>
    <row r="357" spans="1:32">
      <c r="A357" s="8" t="s">
        <v>1372</v>
      </c>
      <c r="B357" s="9" t="s">
        <v>198</v>
      </c>
      <c r="C357" s="9" t="s">
        <v>1373</v>
      </c>
      <c r="D357" s="9"/>
      <c r="E357" s="9"/>
      <c r="F357" s="9" t="str">
        <f ca="1">IFERROR(__xludf.DUMMYFUNCTION("IFS(
  REGEXMATCH(LOWER(VLOOKUP(A357, Data1_Raw_Slack!A:B, 2, FALSE)), ""news|weather""), ""News and Weather"", REGEXMATCH(LOWER(VLOOKUP(A357, Data1_Raw_Slack!A:B, 2, FALSE)), ""sports|ufc|nba|nfl|mlb|soccer|sports fans""), ""Sports"",
  REGEXMATCH(LOWER("&amp;"VLOOKUP(A357, Data1_Raw_Slack!A:B, 2, FALSE)), ""fashion|style|clothing|apparel|shoes|accessories|beauty|cosmetics|fashionistas""), ""Fashion and Beauty"",
  REGEXMATCH(LOWER(VLOOKUP(A357, Data1_Raw_Slack!A:B, 2, FALSE)), ""food|cooking|recipe|restaurant|"&amp;"snack|grocery|foodies""), ""Food"",
  REGEXMATCH(LOWER(VLOOKUP(A357, Data1_Raw_Slack!A:B, 2, FALSE)), ""travel|vacation|airline|hotel|trip|flights|travelers""), ""Travel"",
  REGEXMATCH(LOWER(VLOOKUP(A357, Data1_Raw_Slack!A:B, 2, FALSE)), ""fitness|workou"&amp;"t|gym|exercise|yoga|wellness|fitness enthusiasts""), ""Fitness"",
  REGEXMATCH(LOWER(VLOOKUP(A357, Data1_Raw_Slack!A:B, 2, FALSE)), ""health|medical|pharmacy|mental health|doctor|health-conscious""), ""Health"",
  REGEXMATCH(LOWER(VLOOKUP(A357, Data1_Raw_"&amp;"Slack!A:B, 2, FALSE)), ""pets|dogs|cats|animals|pet care|pet lovers""), ""Pets"",
  REGEXMATCH(LOWER(VLOOKUP(A357, Data1_Raw_Slack!A:B, 2, FALSE)), ""games|gaming|game|xbox|playstation|nintendo|gamers""), ""Gaming"",
  REGEXMATCH(LOWER(VLOOKUP(A357, Data1"&amp;"_Raw_Slack!A:B, 2, FALSE)), ""entertainment|movies|tv|netflix|streaming|celebrity|movie lovers|tv fans|hobb|photo|art""), ""Entertainment"",
  REGEXMATCH(LOWER(VLOOKUP(A357, Data1_Raw_Slack!A:B, 2, FALSE)), ""lifestyle|home|interior|decor|living|lifestyle"&amp;" enthusiasts""), ""Lifestyle"",
  REGEXMATCH(LOWER(VLOOKUP(A357, Data1_Raw_Slack!A:B, 2, FALSE)), ""financial|finance|investing|stocks|retirement|banking|credit|debt|loans|savings|personal finance|insurance|econ|ecom|business|retail|occupation|sale|job|ma"&amp;"rketing""), ""Finance"",
  REGEXMATCH(LOWER(VLOOKUP(A357, Data1_Raw_Slack!A:B, 2, FALSE)), ""auto|automotive""), ""Auto"",
  REGEXMATCH(LOWER(VLOOKUP(A357, Data1_Raw_Slack!A:B, 2, FALSE)), ""parenting|moms|dads|kids|toddlers|baby|parent|children""), ""Par"&amp;"enting"",
  REGEXMATCH(LOWER(VLOOKUP(A357, Data1_Raw_Slack!A:B, 2, FALSE)), ""education|students|learning|school|teachers|college|university|academics""), ""Education"",
  REGEXMATCH(LOWER(VLOOKUP(A357, Data1_Raw_Slack!A:B, 2, FALSE)), ""age|gender|dem"&amp;"ographic|family|household""), ""Demographics"",
  REGEXMATCH(LOWER(VLOOKUP(A357, Data1_Raw_Slack!A:B, 2, FALSE)), ""mortgage|real estate""), ""Real Estate"",REGEXMATCH(LOWER(VLOOKUP(A357, Data1_Raw_Slack!A:B, 2, FALSE)), ""technology|tech|gadgets|smartpho"&amp;"ne|electro|apps|devices|computing|ai|robots|software|computer|internet|tele|mobile|tablet""), ""Technology"", REGEXMATCH(LOWER(VLOOKUP(A357, Data1_Raw_Slack!A:B, 2, FALSE)), ""entertainment|purchas|movies|tv|netflix|streaming|celebrity|movie lovers|tv fan"&amp;"s|media|hobb|photo|art|shop""), ""Entertainment"", REGEXMATCH(LOWER(VLOOKUP(A357, Data1_Raw_Slack!A:B, 2, FALSE)), ""law|government|""), ""Law and Government"",
  TRUE, ""Other""
)"),"Entertainment")</f>
        <v>Entertainment</v>
      </c>
      <c r="G357" s="9"/>
      <c r="H357" s="9" t="s">
        <v>32</v>
      </c>
      <c r="I357" s="9" t="s">
        <v>1374</v>
      </c>
      <c r="J357" s="9" t="s">
        <v>46</v>
      </c>
      <c r="K357" s="9" t="s">
        <v>274</v>
      </c>
      <c r="L357" s="9" t="s">
        <v>48</v>
      </c>
      <c r="M357" s="10" t="s">
        <v>372</v>
      </c>
      <c r="N357" s="9" t="str">
        <f ca="1">IFERROR(__xludf.DUMMYFUNCTION("REGEXEXTRACT(LOWER(M357), ""([a-z0-9\-]+)\.(?:co|net|org|io|gg)"")"),"accuweather")</f>
        <v>accuweather</v>
      </c>
      <c r="O357" s="9" t="s">
        <v>157</v>
      </c>
      <c r="P357" s="9" t="s">
        <v>39</v>
      </c>
      <c r="Q357" s="9">
        <v>49936</v>
      </c>
      <c r="R357" s="9">
        <v>126</v>
      </c>
      <c r="S357" s="9">
        <v>25461</v>
      </c>
      <c r="T357" s="9">
        <v>44751</v>
      </c>
      <c r="U357" s="9">
        <v>13</v>
      </c>
      <c r="V357" s="11">
        <v>2025.7840189999999</v>
      </c>
      <c r="W357" s="12">
        <f t="shared" si="7"/>
        <v>155.82953992307691</v>
      </c>
      <c r="X357" s="12">
        <f t="shared" si="8"/>
        <v>0.25232297340595961</v>
      </c>
      <c r="Y357" s="12">
        <f t="shared" si="9"/>
        <v>50.987263697532846</v>
      </c>
      <c r="Z357" s="12">
        <f t="shared" si="10"/>
        <v>79.564196967911712</v>
      </c>
      <c r="AA357" s="12">
        <f t="shared" si="11"/>
        <v>40.56760691685357</v>
      </c>
      <c r="AB357" s="12">
        <f t="shared" si="12"/>
        <v>16.077650944444443</v>
      </c>
      <c r="AC357" s="12">
        <f t="shared" si="13"/>
        <v>10.317460317460316</v>
      </c>
      <c r="AE357" s="13"/>
      <c r="AF357" s="13"/>
    </row>
    <row r="358" spans="1:32">
      <c r="A358" s="8" t="s">
        <v>1375</v>
      </c>
      <c r="B358" s="9" t="s">
        <v>41</v>
      </c>
      <c r="C358" s="9" t="s">
        <v>127</v>
      </c>
      <c r="D358" s="9" t="s">
        <v>1131</v>
      </c>
      <c r="E358" s="9" t="s">
        <v>1376</v>
      </c>
      <c r="F358" s="9" t="str">
        <f ca="1">IFERROR(__xludf.DUMMYFUNCTION("IFS(
  REGEXMATCH(LOWER(VLOOKUP(A358, Data1_Raw_Slack!A:B, 2, FALSE)), ""news|weather""), ""News and Weather"", REGEXMATCH(LOWER(VLOOKUP(A358, Data1_Raw_Slack!A:B, 2, FALSE)), ""sports|ufc|nba|nfl|mlb|soccer|sports fans""), ""Sports"",
  REGEXMATCH(LOWER("&amp;"VLOOKUP(A358, Data1_Raw_Slack!A:B, 2, FALSE)), ""fashion|style|clothing|apparel|shoes|accessories|beauty|cosmetics|fashionistas""), ""Fashion and Beauty"",
  REGEXMATCH(LOWER(VLOOKUP(A358, Data1_Raw_Slack!A:B, 2, FALSE)), ""food|cooking|recipe|restaurant|"&amp;"snack|grocery|foodies""), ""Food"",
  REGEXMATCH(LOWER(VLOOKUP(A358, Data1_Raw_Slack!A:B, 2, FALSE)), ""travel|vacation|airline|hotel|trip|flights|travelers""), ""Travel"",
  REGEXMATCH(LOWER(VLOOKUP(A358, Data1_Raw_Slack!A:B, 2, FALSE)), ""fitness|workou"&amp;"t|gym|exercise|yoga|wellness|fitness enthusiasts""), ""Fitness"",
  REGEXMATCH(LOWER(VLOOKUP(A358, Data1_Raw_Slack!A:B, 2, FALSE)), ""health|medical|pharmacy|mental health|doctor|health-conscious""), ""Health"",
  REGEXMATCH(LOWER(VLOOKUP(A358, Data1_Raw_"&amp;"Slack!A:B, 2, FALSE)), ""pets|dogs|cats|animals|pet care|pet lovers""), ""Pets"",
  REGEXMATCH(LOWER(VLOOKUP(A358, Data1_Raw_Slack!A:B, 2, FALSE)), ""games|gaming|game|xbox|playstation|nintendo|gamers""), ""Gaming"",
  REGEXMATCH(LOWER(VLOOKUP(A358, Data1"&amp;"_Raw_Slack!A:B, 2, FALSE)), ""entertainment|movies|tv|netflix|streaming|celebrity|movie lovers|tv fans|hobb|photo|art""), ""Entertainment"",
  REGEXMATCH(LOWER(VLOOKUP(A358, Data1_Raw_Slack!A:B, 2, FALSE)), ""lifestyle|home|interior|decor|living|lifestyle"&amp;" enthusiasts""), ""Lifestyle"",
  REGEXMATCH(LOWER(VLOOKUP(A358, Data1_Raw_Slack!A:B, 2, FALSE)), ""financial|finance|investing|stocks|retirement|banking|credit|debt|loans|savings|personal finance|insurance|econ|ecom|business|retail|occupation|sale|job|ma"&amp;"rketing""), ""Finance"",
  REGEXMATCH(LOWER(VLOOKUP(A358, Data1_Raw_Slack!A:B, 2, FALSE)), ""auto|automotive""), ""Auto"",
  REGEXMATCH(LOWER(VLOOKUP(A358, Data1_Raw_Slack!A:B, 2, FALSE)), ""parenting|moms|dads|kids|toddlers|baby|parent|children""), ""Par"&amp;"enting"",
  REGEXMATCH(LOWER(VLOOKUP(A358, Data1_Raw_Slack!A:B, 2, FALSE)), ""education|students|learning|school|teachers|college|university|academics""), ""Education"",
  REGEXMATCH(LOWER(VLOOKUP(A358, Data1_Raw_Slack!A:B, 2, FALSE)), ""age|gender|dem"&amp;"ographic|family|household""), ""Demographics"",
  REGEXMATCH(LOWER(VLOOKUP(A358, Data1_Raw_Slack!A:B, 2, FALSE)), ""mortgage|real estate""), ""Real Estate"",REGEXMATCH(LOWER(VLOOKUP(A358, Data1_Raw_Slack!A:B, 2, FALSE)), ""technology|tech|gadgets|smartpho"&amp;"ne|electro|apps|devices|computing|ai|robots|software|computer|internet|tele|mobile|tablet""), ""Technology"", REGEXMATCH(LOWER(VLOOKUP(A358, Data1_Raw_Slack!A:B, 2, FALSE)), ""entertainment|purchas|movies|tv|netflix|streaming|celebrity|movie lovers|tv fan"&amp;"s|media|hobb|photo|art|shop""), ""Entertainment"", REGEXMATCH(LOWER(VLOOKUP(A358, Data1_Raw_Slack!A:B, 2, FALSE)), ""law|government|""), ""Law and Government"",
  TRUE, ""Other""
)"),"Finance")</f>
        <v>Finance</v>
      </c>
      <c r="G358" s="9" t="s">
        <v>127</v>
      </c>
      <c r="H358" s="9" t="s">
        <v>32</v>
      </c>
      <c r="I358" s="9" t="s">
        <v>814</v>
      </c>
      <c r="J358" s="9" t="s">
        <v>46</v>
      </c>
      <c r="K358" s="9" t="s">
        <v>35</v>
      </c>
      <c r="L358" s="9" t="s">
        <v>36</v>
      </c>
      <c r="M358" s="10" t="s">
        <v>90</v>
      </c>
      <c r="N358" s="9" t="str">
        <f ca="1">IFERROR(__xludf.DUMMYFUNCTION("REGEXEXTRACT(LOWER(M358), ""([a-z0-9\-]+)\.(?:co|net|org|io|gg)"")"),"live")</f>
        <v>live</v>
      </c>
      <c r="O358" s="9" t="s">
        <v>109</v>
      </c>
      <c r="P358" s="9" t="s">
        <v>39</v>
      </c>
      <c r="Q358" s="9">
        <v>183230</v>
      </c>
      <c r="R358" s="9">
        <v>666</v>
      </c>
      <c r="S358" s="9">
        <v>155260</v>
      </c>
      <c r="T358" s="9">
        <v>169583</v>
      </c>
      <c r="U358" s="9">
        <v>34</v>
      </c>
      <c r="V358" s="11">
        <v>7863.469709</v>
      </c>
      <c r="W358" s="12">
        <f t="shared" si="7"/>
        <v>231.27852085294117</v>
      </c>
      <c r="X358" s="12">
        <f t="shared" si="8"/>
        <v>0.36347759646346123</v>
      </c>
      <c r="Y358" s="12">
        <f t="shared" si="9"/>
        <v>84.735032472848332</v>
      </c>
      <c r="Z358" s="12">
        <f t="shared" si="10"/>
        <v>50.647106202499039</v>
      </c>
      <c r="AA358" s="12">
        <f t="shared" si="11"/>
        <v>42.915841887245534</v>
      </c>
      <c r="AB358" s="12">
        <f t="shared" si="12"/>
        <v>11.807011575075075</v>
      </c>
      <c r="AC358" s="12">
        <f t="shared" si="13"/>
        <v>5.1051051051051051</v>
      </c>
      <c r="AE358" s="13"/>
      <c r="AF358" s="13"/>
    </row>
    <row r="359" spans="1:32">
      <c r="A359" s="8" t="s">
        <v>1377</v>
      </c>
      <c r="B359" s="9" t="s">
        <v>290</v>
      </c>
      <c r="C359" s="9" t="s">
        <v>291</v>
      </c>
      <c r="D359" s="9" t="s">
        <v>1378</v>
      </c>
      <c r="E359" s="9"/>
      <c r="F359" s="9" t="str">
        <f ca="1">IFERROR(__xludf.DUMMYFUNCTION("IFS(
  REGEXMATCH(LOWER(VLOOKUP(A359, Data1_Raw_Slack!A:B, 2, FALSE)), ""news|weather""), ""News and Weather"", REGEXMATCH(LOWER(VLOOKUP(A359, Data1_Raw_Slack!A:B, 2, FALSE)), ""sports|ufc|nba|nfl|mlb|soccer|sports fans""), ""Sports"",
  REGEXMATCH(LOWER("&amp;"VLOOKUP(A359, Data1_Raw_Slack!A:B, 2, FALSE)), ""fashion|style|clothing|apparel|shoes|accessories|beauty|cosmetics|fashionistas""), ""Fashion and Beauty"",
  REGEXMATCH(LOWER(VLOOKUP(A359, Data1_Raw_Slack!A:B, 2, FALSE)), ""food|cooking|recipe|restaurant|"&amp;"snack|grocery|foodies""), ""Food"",
  REGEXMATCH(LOWER(VLOOKUP(A359, Data1_Raw_Slack!A:B, 2, FALSE)), ""travel|vacation|airline|hotel|trip|flights|travelers""), ""Travel"",
  REGEXMATCH(LOWER(VLOOKUP(A359, Data1_Raw_Slack!A:B, 2, FALSE)), ""fitness|workou"&amp;"t|gym|exercise|yoga|wellness|fitness enthusiasts""), ""Fitness"",
  REGEXMATCH(LOWER(VLOOKUP(A359, Data1_Raw_Slack!A:B, 2, FALSE)), ""health|medical|pharmacy|mental health|doctor|health-conscious""), ""Health"",
  REGEXMATCH(LOWER(VLOOKUP(A359, Data1_Raw_"&amp;"Slack!A:B, 2, FALSE)), ""pets|dogs|cats|animals|pet care|pet lovers""), ""Pets"",
  REGEXMATCH(LOWER(VLOOKUP(A359, Data1_Raw_Slack!A:B, 2, FALSE)), ""games|gaming|game|xbox|playstation|nintendo|gamers""), ""Gaming"",
  REGEXMATCH(LOWER(VLOOKUP(A359, Data1"&amp;"_Raw_Slack!A:B, 2, FALSE)), ""entertainment|movies|tv|netflix|streaming|celebrity|movie lovers|tv fans|hobb|photo|art""), ""Entertainment"",
  REGEXMATCH(LOWER(VLOOKUP(A359, Data1_Raw_Slack!A:B, 2, FALSE)), ""lifestyle|home|interior|decor|living|lifestyle"&amp;" enthusiasts""), ""Lifestyle"",
  REGEXMATCH(LOWER(VLOOKUP(A359, Data1_Raw_Slack!A:B, 2, FALSE)), ""financial|finance|investing|stocks|retirement|banking|credit|debt|loans|savings|personal finance|insurance|econ|ecom|business|retail|occupation|sale|job|ma"&amp;"rketing""), ""Finance"",
  REGEXMATCH(LOWER(VLOOKUP(A359, Data1_Raw_Slack!A:B, 2, FALSE)), ""auto|automotive""), ""Auto"",
  REGEXMATCH(LOWER(VLOOKUP(A359, Data1_Raw_Slack!A:B, 2, FALSE)), ""parenting|moms|dads|kids|toddlers|baby|parent|children""), ""Par"&amp;"enting"",
  REGEXMATCH(LOWER(VLOOKUP(A359, Data1_Raw_Slack!A:B, 2, FALSE)), ""education|students|learning|school|teachers|college|university|academics""), ""Education"",
  REGEXMATCH(LOWER(VLOOKUP(A359, Data1_Raw_Slack!A:B, 2, FALSE)), ""age|gender|dem"&amp;"ographic|family|household""), ""Demographics"",
  REGEXMATCH(LOWER(VLOOKUP(A359, Data1_Raw_Slack!A:B, 2, FALSE)), ""mortgage|real estate""), ""Real Estate"",REGEXMATCH(LOWER(VLOOKUP(A359, Data1_Raw_Slack!A:B, 2, FALSE)), ""technology|tech|gadgets|smartpho"&amp;"ne|electro|apps|devices|computing|ai|robots|software|computer|internet|tele|mobile|tablet""), ""Technology"", REGEXMATCH(LOWER(VLOOKUP(A359, Data1_Raw_Slack!A:B, 2, FALSE)), ""entertainment|purchas|movies|tv|netflix|streaming|celebrity|movie lovers|tv fan"&amp;"s|media|hobb|photo|art|shop""), ""Entertainment"", REGEXMATCH(LOWER(VLOOKUP(A359, Data1_Raw_Slack!A:B, 2, FALSE)), ""law|government|""), ""Law and Government"",
  TRUE, ""Other""
)"),"Entertainment")</f>
        <v>Entertainment</v>
      </c>
      <c r="G359" s="9" t="s">
        <v>135</v>
      </c>
      <c r="H359" s="9" t="s">
        <v>44</v>
      </c>
      <c r="I359" s="9" t="s">
        <v>1139</v>
      </c>
      <c r="J359" s="9" t="s">
        <v>62</v>
      </c>
      <c r="K359" s="9" t="s">
        <v>170</v>
      </c>
      <c r="L359" s="9" t="s">
        <v>72</v>
      </c>
      <c r="M359" s="10" t="s">
        <v>112</v>
      </c>
      <c r="N359" s="9" t="str">
        <f ca="1">IFERROR(__xludf.DUMMYFUNCTION("REGEXEXTRACT(LOWER(M359), ""([a-z0-9\-]+)\.(?:co|net|org|io|gg)"")"),"ebay")</f>
        <v>ebay</v>
      </c>
      <c r="O359" s="9" t="s">
        <v>103</v>
      </c>
      <c r="P359" s="9" t="s">
        <v>75</v>
      </c>
      <c r="Q359" s="9">
        <v>74436</v>
      </c>
      <c r="R359" s="9">
        <v>175</v>
      </c>
      <c r="S359" s="9">
        <v>30158</v>
      </c>
      <c r="T359" s="9">
        <v>69150</v>
      </c>
      <c r="U359" s="9">
        <v>21</v>
      </c>
      <c r="V359" s="11">
        <v>1558.5491380000001</v>
      </c>
      <c r="W359" s="12">
        <f t="shared" si="7"/>
        <v>74.216625619047619</v>
      </c>
      <c r="X359" s="12">
        <f t="shared" si="8"/>
        <v>0.23510129507227687</v>
      </c>
      <c r="Y359" s="12">
        <f t="shared" si="9"/>
        <v>40.51534203879843</v>
      </c>
      <c r="Z359" s="12">
        <f t="shared" si="10"/>
        <v>51.679459446912929</v>
      </c>
      <c r="AA359" s="12">
        <f t="shared" si="11"/>
        <v>20.938109758718902</v>
      </c>
      <c r="AB359" s="12">
        <f t="shared" si="12"/>
        <v>8.9059950742857144</v>
      </c>
      <c r="AC359" s="12">
        <f t="shared" si="13"/>
        <v>12</v>
      </c>
      <c r="AE359" s="13"/>
      <c r="AF359" s="13"/>
    </row>
    <row r="360" spans="1:32">
      <c r="A360" s="8" t="s">
        <v>1379</v>
      </c>
      <c r="B360" s="9" t="s">
        <v>290</v>
      </c>
      <c r="C360" s="9" t="s">
        <v>291</v>
      </c>
      <c r="D360" s="9" t="s">
        <v>292</v>
      </c>
      <c r="E360" s="9" t="s">
        <v>1380</v>
      </c>
      <c r="F360" s="9" t="str">
        <f ca="1">IFERROR(__xludf.DUMMYFUNCTION("IFS(
  REGEXMATCH(LOWER(VLOOKUP(A360, Data1_Raw_Slack!A:B, 2, FALSE)), ""news|weather""), ""News and Weather"", REGEXMATCH(LOWER(VLOOKUP(A360, Data1_Raw_Slack!A:B, 2, FALSE)), ""sports|ufc|nba|nfl|mlb|soccer|sports fans""), ""Sports"",
  REGEXMATCH(LOWER("&amp;"VLOOKUP(A360, Data1_Raw_Slack!A:B, 2, FALSE)), ""fashion|style|clothing|apparel|shoes|accessories|beauty|cosmetics|fashionistas""), ""Fashion and Beauty"",
  REGEXMATCH(LOWER(VLOOKUP(A360, Data1_Raw_Slack!A:B, 2, FALSE)), ""food|cooking|recipe|restaurant|"&amp;"snack|grocery|foodies""), ""Food"",
  REGEXMATCH(LOWER(VLOOKUP(A360, Data1_Raw_Slack!A:B, 2, FALSE)), ""travel|vacation|airline|hotel|trip|flights|travelers""), ""Travel"",
  REGEXMATCH(LOWER(VLOOKUP(A360, Data1_Raw_Slack!A:B, 2, FALSE)), ""fitness|workou"&amp;"t|gym|exercise|yoga|wellness|fitness enthusiasts""), ""Fitness"",
  REGEXMATCH(LOWER(VLOOKUP(A360, Data1_Raw_Slack!A:B, 2, FALSE)), ""health|medical|pharmacy|mental health|doctor|health-conscious""), ""Health"",
  REGEXMATCH(LOWER(VLOOKUP(A360, Data1_Raw_"&amp;"Slack!A:B, 2, FALSE)), ""pets|dogs|cats|animals|pet care|pet lovers""), ""Pets"",
  REGEXMATCH(LOWER(VLOOKUP(A360, Data1_Raw_Slack!A:B, 2, FALSE)), ""games|gaming|game|xbox|playstation|nintendo|gamers""), ""Gaming"",
  REGEXMATCH(LOWER(VLOOKUP(A360, Data1"&amp;"_Raw_Slack!A:B, 2, FALSE)), ""entertainment|movies|tv|netflix|streaming|celebrity|movie lovers|tv fans|hobb|photo|art""), ""Entertainment"",
  REGEXMATCH(LOWER(VLOOKUP(A360, Data1_Raw_Slack!A:B, 2, FALSE)), ""lifestyle|home|interior|decor|living|lifestyle"&amp;" enthusiasts""), ""Lifestyle"",
  REGEXMATCH(LOWER(VLOOKUP(A360, Data1_Raw_Slack!A:B, 2, FALSE)), ""financial|finance|investing|stocks|retirement|banking|credit|debt|loans|savings|personal finance|insurance|econ|ecom|business|retail|occupation|sale|job|ma"&amp;"rketing""), ""Finance"",
  REGEXMATCH(LOWER(VLOOKUP(A360, Data1_Raw_Slack!A:B, 2, FALSE)), ""auto|automotive""), ""Auto"",
  REGEXMATCH(LOWER(VLOOKUP(A360, Data1_Raw_Slack!A:B, 2, FALSE)), ""parenting|moms|dads|kids|toddlers|baby|parent|children""), ""Par"&amp;"enting"",
  REGEXMATCH(LOWER(VLOOKUP(A360, Data1_Raw_Slack!A:B, 2, FALSE)), ""education|students|learning|school|teachers|college|university|academics""), ""Education"",
  REGEXMATCH(LOWER(VLOOKUP(A360, Data1_Raw_Slack!A:B, 2, FALSE)), ""age|gender|dem"&amp;"ographic|family|household""), ""Demographics"",
  REGEXMATCH(LOWER(VLOOKUP(A360, Data1_Raw_Slack!A:B, 2, FALSE)), ""mortgage|real estate""), ""Real Estate"",REGEXMATCH(LOWER(VLOOKUP(A360, Data1_Raw_Slack!A:B, 2, FALSE)), ""technology|tech|gadgets|smartpho"&amp;"ne|electro|apps|devices|computing|ai|robots|software|computer|internet|tele|mobile|tablet""), ""Technology"", REGEXMATCH(LOWER(VLOOKUP(A360, Data1_Raw_Slack!A:B, 2, FALSE)), ""entertainment|purchas|movies|tv|netflix|streaming|celebrity|movie lovers|tv fan"&amp;"s|media|hobb|photo|art|shop""), ""Entertainment"", REGEXMATCH(LOWER(VLOOKUP(A360, Data1_Raw_Slack!A:B, 2, FALSE)), ""law|government|""), ""Law and Government"",
  TRUE, ""Other""
)"),"Entertainment")</f>
        <v>Entertainment</v>
      </c>
      <c r="G360" s="9" t="s">
        <v>135</v>
      </c>
      <c r="H360" s="9" t="s">
        <v>32</v>
      </c>
      <c r="I360" s="9" t="s">
        <v>180</v>
      </c>
      <c r="J360" s="9" t="s">
        <v>34</v>
      </c>
      <c r="K360" s="9" t="s">
        <v>170</v>
      </c>
      <c r="L360" s="9" t="s">
        <v>72</v>
      </c>
      <c r="M360" s="10" t="s">
        <v>439</v>
      </c>
      <c r="N360" s="9" t="str">
        <f ca="1">IFERROR(__xludf.DUMMYFUNCTION("REGEXEXTRACT(LOWER(M360), ""([a-z0-9\-]+)\.(?:co|net|org|io|gg)"")"),"people")</f>
        <v>people</v>
      </c>
      <c r="O360" s="9" t="s">
        <v>725</v>
      </c>
      <c r="P360" s="9" t="s">
        <v>39</v>
      </c>
      <c r="Q360" s="9">
        <v>22175</v>
      </c>
      <c r="R360" s="9">
        <v>140</v>
      </c>
      <c r="S360" s="9">
        <v>14910</v>
      </c>
      <c r="T360" s="9">
        <v>20074</v>
      </c>
      <c r="U360" s="9">
        <v>6</v>
      </c>
      <c r="V360" s="11">
        <v>1909.2774830000001</v>
      </c>
      <c r="W360" s="12">
        <f t="shared" si="7"/>
        <v>318.21291383333335</v>
      </c>
      <c r="X360" s="12">
        <f t="shared" si="8"/>
        <v>0.6313416009019166</v>
      </c>
      <c r="Y360" s="12">
        <f t="shared" si="9"/>
        <v>67.237880496054117</v>
      </c>
      <c r="Z360" s="12">
        <f t="shared" si="10"/>
        <v>128.0534864520456</v>
      </c>
      <c r="AA360" s="12">
        <f t="shared" si="11"/>
        <v>86.100450191657274</v>
      </c>
      <c r="AB360" s="12">
        <f t="shared" si="12"/>
        <v>13.637696307142857</v>
      </c>
      <c r="AC360" s="12">
        <f t="shared" si="13"/>
        <v>4.2857142857142856</v>
      </c>
      <c r="AE360" s="13"/>
      <c r="AF360" s="13"/>
    </row>
    <row r="361" spans="1:32">
      <c r="A361" s="8" t="s">
        <v>1381</v>
      </c>
      <c r="B361" s="9" t="s">
        <v>41</v>
      </c>
      <c r="C361" s="9" t="s">
        <v>214</v>
      </c>
      <c r="D361" s="9" t="s">
        <v>215</v>
      </c>
      <c r="E361" s="9" t="s">
        <v>1382</v>
      </c>
      <c r="F361" s="9" t="str">
        <f ca="1">IFERROR(__xludf.DUMMYFUNCTION("IFS(
  REGEXMATCH(LOWER(VLOOKUP(A361, Data1_Raw_Slack!A:B, 2, FALSE)), ""news|weather""), ""News and Weather"", REGEXMATCH(LOWER(VLOOKUP(A361, Data1_Raw_Slack!A:B, 2, FALSE)), ""sports|ufc|nba|nfl|mlb|soccer|sports fans""), ""Sports"",
  REGEXMATCH(LOWER("&amp;"VLOOKUP(A361, Data1_Raw_Slack!A:B, 2, FALSE)), ""fashion|style|clothing|apparel|shoes|accessories|beauty|cosmetics|fashionistas""), ""Fashion and Beauty"",
  REGEXMATCH(LOWER(VLOOKUP(A361, Data1_Raw_Slack!A:B, 2, FALSE)), ""food|cooking|recipe|restaurant|"&amp;"snack|grocery|foodies""), ""Food"",
  REGEXMATCH(LOWER(VLOOKUP(A361, Data1_Raw_Slack!A:B, 2, FALSE)), ""travel|vacation|airline|hotel|trip|flights|travelers""), ""Travel"",
  REGEXMATCH(LOWER(VLOOKUP(A361, Data1_Raw_Slack!A:B, 2, FALSE)), ""fitness|workou"&amp;"t|gym|exercise|yoga|wellness|fitness enthusiasts""), ""Fitness"",
  REGEXMATCH(LOWER(VLOOKUP(A361, Data1_Raw_Slack!A:B, 2, FALSE)), ""health|medical|pharmacy|mental health|doctor|health-conscious""), ""Health"",
  REGEXMATCH(LOWER(VLOOKUP(A361, Data1_Raw_"&amp;"Slack!A:B, 2, FALSE)), ""pets|dogs|cats|animals|pet care|pet lovers""), ""Pets"",
  REGEXMATCH(LOWER(VLOOKUP(A361, Data1_Raw_Slack!A:B, 2, FALSE)), ""games|gaming|game|xbox|playstation|nintendo|gamers""), ""Gaming"",
  REGEXMATCH(LOWER(VLOOKUP(A361, Data1"&amp;"_Raw_Slack!A:B, 2, FALSE)), ""entertainment|movies|tv|netflix|streaming|celebrity|movie lovers|tv fans|hobb|photo|art""), ""Entertainment"",
  REGEXMATCH(LOWER(VLOOKUP(A361, Data1_Raw_Slack!A:B, 2, FALSE)), ""lifestyle|home|interior|decor|living|lifestyle"&amp;" enthusiasts""), ""Lifestyle"",
  REGEXMATCH(LOWER(VLOOKUP(A361, Data1_Raw_Slack!A:B, 2, FALSE)), ""financial|finance|investing|stocks|retirement|banking|credit|debt|loans|savings|personal finance|insurance|econ|ecom|business|retail|occupation|sale|job|ma"&amp;"rketing""), ""Finance"",
  REGEXMATCH(LOWER(VLOOKUP(A361, Data1_Raw_Slack!A:B, 2, FALSE)), ""auto|automotive""), ""Auto"",
  REGEXMATCH(LOWER(VLOOKUP(A361, Data1_Raw_Slack!A:B, 2, FALSE)), ""parenting|moms|dads|kids|toddlers|baby|parent|children""), ""Par"&amp;"enting"",
  REGEXMATCH(LOWER(VLOOKUP(A361, Data1_Raw_Slack!A:B, 2, FALSE)), ""education|students|learning|school|teachers|college|university|academics""), ""Education"",
  REGEXMATCH(LOWER(VLOOKUP(A361, Data1_Raw_Slack!A:B, 2, FALSE)), ""age|gender|dem"&amp;"ographic|family|household""), ""Demographics"",
  REGEXMATCH(LOWER(VLOOKUP(A361, Data1_Raw_Slack!A:B, 2, FALSE)), ""mortgage|real estate""), ""Real Estate"",REGEXMATCH(LOWER(VLOOKUP(A361, Data1_Raw_Slack!A:B, 2, FALSE)), ""technology|tech|gadgets|smartpho"&amp;"ne|electro|apps|devices|computing|ai|robots|software|computer|internet|tele|mobile|tablet""), ""Technology"", REGEXMATCH(LOWER(VLOOKUP(A361, Data1_Raw_Slack!A:B, 2, FALSE)), ""entertainment|purchas|movies|tv|netflix|streaming|celebrity|movie lovers|tv fan"&amp;"s|media|hobb|photo|art|shop""), ""Entertainment"", REGEXMATCH(LOWER(VLOOKUP(A361, Data1_Raw_Slack!A:B, 2, FALSE)), ""law|government|""), ""Law and Government"",
  TRUE, ""Other""
)"),"Demographics")</f>
        <v>Demographics</v>
      </c>
      <c r="G361" s="9"/>
      <c r="H361" s="9" t="s">
        <v>32</v>
      </c>
      <c r="I361" s="9" t="s">
        <v>1383</v>
      </c>
      <c r="J361" s="9" t="s">
        <v>80</v>
      </c>
      <c r="K361" s="9" t="s">
        <v>236</v>
      </c>
      <c r="L361" s="9" t="s">
        <v>82</v>
      </c>
      <c r="M361" s="10" t="s">
        <v>222</v>
      </c>
      <c r="N361" s="9" t="str">
        <f ca="1">IFERROR(__xludf.DUMMYFUNCTION("REGEXEXTRACT(LOWER(M361), ""([a-z0-9\-]+)\.(?:co|net|org|io|gg)"")"),"usatoday")</f>
        <v>usatoday</v>
      </c>
      <c r="O361" s="9" t="s">
        <v>157</v>
      </c>
      <c r="P361" s="9" t="s">
        <v>39</v>
      </c>
      <c r="Q361" s="9">
        <v>47016</v>
      </c>
      <c r="R361" s="9">
        <v>199</v>
      </c>
      <c r="S361" s="9">
        <v>12210</v>
      </c>
      <c r="T361" s="9">
        <v>38039</v>
      </c>
      <c r="U361" s="9">
        <v>13</v>
      </c>
      <c r="V361" s="11">
        <v>5974.8750799999998</v>
      </c>
      <c r="W361" s="12">
        <f t="shared" si="7"/>
        <v>459.60577538461536</v>
      </c>
      <c r="X361" s="12">
        <f t="shared" si="8"/>
        <v>0.42326016675174405</v>
      </c>
      <c r="Y361" s="12">
        <f t="shared" si="9"/>
        <v>25.969882593159777</v>
      </c>
      <c r="Z361" s="12">
        <f t="shared" si="10"/>
        <v>489.34275839475839</v>
      </c>
      <c r="AA361" s="12">
        <f t="shared" si="11"/>
        <v>127.08173983324825</v>
      </c>
      <c r="AB361" s="12">
        <f t="shared" si="12"/>
        <v>30.024497889447236</v>
      </c>
      <c r="AC361" s="12">
        <f t="shared" si="13"/>
        <v>6.5326633165829149</v>
      </c>
      <c r="AE361" s="13"/>
      <c r="AF361" s="13"/>
    </row>
    <row r="362" spans="1:32">
      <c r="A362" s="8" t="s">
        <v>1384</v>
      </c>
      <c r="B362" s="9" t="s">
        <v>290</v>
      </c>
      <c r="C362" s="9" t="s">
        <v>291</v>
      </c>
      <c r="D362" s="9" t="s">
        <v>1385</v>
      </c>
      <c r="E362" s="9"/>
      <c r="F362" s="9" t="str">
        <f ca="1">IFERROR(__xludf.DUMMYFUNCTION("IFS(
  REGEXMATCH(LOWER(VLOOKUP(A362, Data1_Raw_Slack!A:B, 2, FALSE)), ""news|weather""), ""News and Weather"", REGEXMATCH(LOWER(VLOOKUP(A362, Data1_Raw_Slack!A:B, 2, FALSE)), ""sports|ufc|nba|nfl|mlb|soccer|sports fans""), ""Sports"",
  REGEXMATCH(LOWER("&amp;"VLOOKUP(A362, Data1_Raw_Slack!A:B, 2, FALSE)), ""fashion|style|clothing|apparel|shoes|accessories|beauty|cosmetics|fashionistas""), ""Fashion and Beauty"",
  REGEXMATCH(LOWER(VLOOKUP(A362, Data1_Raw_Slack!A:B, 2, FALSE)), ""food|cooking|recipe|restaurant|"&amp;"snack|grocery|foodies""), ""Food"",
  REGEXMATCH(LOWER(VLOOKUP(A362, Data1_Raw_Slack!A:B, 2, FALSE)), ""travel|vacation|airline|hotel|trip|flights|travelers""), ""Travel"",
  REGEXMATCH(LOWER(VLOOKUP(A362, Data1_Raw_Slack!A:B, 2, FALSE)), ""fitness|workou"&amp;"t|gym|exercise|yoga|wellness|fitness enthusiasts""), ""Fitness"",
  REGEXMATCH(LOWER(VLOOKUP(A362, Data1_Raw_Slack!A:B, 2, FALSE)), ""health|medical|pharmacy|mental health|doctor|health-conscious""), ""Health"",
  REGEXMATCH(LOWER(VLOOKUP(A362, Data1_Raw_"&amp;"Slack!A:B, 2, FALSE)), ""pets|dogs|cats|animals|pet care|pet lovers""), ""Pets"",
  REGEXMATCH(LOWER(VLOOKUP(A362, Data1_Raw_Slack!A:B, 2, FALSE)), ""games|gaming|game|xbox|playstation|nintendo|gamers""), ""Gaming"",
  REGEXMATCH(LOWER(VLOOKUP(A362, Data1"&amp;"_Raw_Slack!A:B, 2, FALSE)), ""entertainment|movies|tv|netflix|streaming|celebrity|movie lovers|tv fans|hobb|photo|art""), ""Entertainment"",
  REGEXMATCH(LOWER(VLOOKUP(A362, Data1_Raw_Slack!A:B, 2, FALSE)), ""lifestyle|home|interior|decor|living|lifestyle"&amp;" enthusiasts""), ""Lifestyle"",
  REGEXMATCH(LOWER(VLOOKUP(A362, Data1_Raw_Slack!A:B, 2, FALSE)), ""financial|finance|investing|stocks|retirement|banking|credit|debt|loans|savings|personal finance|insurance|econ|ecom|business|retail|occupation|sale|job|ma"&amp;"rketing""), ""Finance"",
  REGEXMATCH(LOWER(VLOOKUP(A362, Data1_Raw_Slack!A:B, 2, FALSE)), ""auto|automotive""), ""Auto"",
  REGEXMATCH(LOWER(VLOOKUP(A362, Data1_Raw_Slack!A:B, 2, FALSE)), ""parenting|moms|dads|kids|toddlers|baby|parent|children""), ""Par"&amp;"enting"",
  REGEXMATCH(LOWER(VLOOKUP(A362, Data1_Raw_Slack!A:B, 2, FALSE)), ""education|students|learning|school|teachers|college|university|academics""), ""Education"",
  REGEXMATCH(LOWER(VLOOKUP(A362, Data1_Raw_Slack!A:B, 2, FALSE)), ""age|gender|dem"&amp;"ographic|family|household""), ""Demographics"",
  REGEXMATCH(LOWER(VLOOKUP(A362, Data1_Raw_Slack!A:B, 2, FALSE)), ""mortgage|real estate""), ""Real Estate"",REGEXMATCH(LOWER(VLOOKUP(A362, Data1_Raw_Slack!A:B, 2, FALSE)), ""technology|tech|gadgets|smartpho"&amp;"ne|electro|apps|devices|computing|ai|robots|software|computer|internet|tele|mobile|tablet""), ""Technology"", REGEXMATCH(LOWER(VLOOKUP(A362, Data1_Raw_Slack!A:B, 2, FALSE)), ""entertainment|purchas|movies|tv|netflix|streaming|celebrity|movie lovers|tv fan"&amp;"s|media|hobb|photo|art|shop""), ""Entertainment"", REGEXMATCH(LOWER(VLOOKUP(A362, Data1_Raw_Slack!A:B, 2, FALSE)), ""law|government|""), ""Law and Government"",
  TRUE, ""Other""
)"),"Entertainment")</f>
        <v>Entertainment</v>
      </c>
      <c r="G362" s="9" t="s">
        <v>135</v>
      </c>
      <c r="H362" s="9" t="s">
        <v>123</v>
      </c>
      <c r="I362" s="9" t="s">
        <v>999</v>
      </c>
      <c r="J362" s="9" t="s">
        <v>80</v>
      </c>
      <c r="K362" s="9" t="s">
        <v>148</v>
      </c>
      <c r="L362" s="9" t="s">
        <v>89</v>
      </c>
      <c r="M362" s="10" t="s">
        <v>555</v>
      </c>
      <c r="N362" s="9" t="str">
        <f ca="1">IFERROR(__xludf.DUMMYFUNCTION("REGEXEXTRACT(LOWER(M362), ""([a-z0-9\-]+)\.(?:co|net|org|io|gg)"")"),"jdpower")</f>
        <v>jdpower</v>
      </c>
      <c r="O362" s="9" t="s">
        <v>50</v>
      </c>
      <c r="P362" s="9" t="s">
        <v>39</v>
      </c>
      <c r="Q362" s="9">
        <v>9178</v>
      </c>
      <c r="R362" s="9">
        <v>25</v>
      </c>
      <c r="S362" s="9">
        <v>4644</v>
      </c>
      <c r="T362" s="9">
        <v>8462</v>
      </c>
      <c r="U362" s="9">
        <v>2</v>
      </c>
      <c r="V362" s="11">
        <v>1503.205183</v>
      </c>
      <c r="W362" s="12">
        <f t="shared" si="7"/>
        <v>751.60259150000002</v>
      </c>
      <c r="X362" s="12">
        <f t="shared" si="8"/>
        <v>0.27239049901939422</v>
      </c>
      <c r="Y362" s="12">
        <f t="shared" si="9"/>
        <v>50.599259097842662</v>
      </c>
      <c r="Z362" s="12">
        <f t="shared" si="10"/>
        <v>323.6875932385874</v>
      </c>
      <c r="AA362" s="12">
        <f t="shared" si="11"/>
        <v>163.78352397036392</v>
      </c>
      <c r="AB362" s="12">
        <f t="shared" si="12"/>
        <v>60.128207320000001</v>
      </c>
      <c r="AC362" s="12">
        <f t="shared" si="13"/>
        <v>8</v>
      </c>
      <c r="AE362" s="13"/>
      <c r="AF362" s="13"/>
    </row>
    <row r="363" spans="1:32">
      <c r="A363" s="8" t="s">
        <v>1386</v>
      </c>
      <c r="B363" s="9" t="s">
        <v>41</v>
      </c>
      <c r="C363" s="9" t="s">
        <v>105</v>
      </c>
      <c r="D363" s="9" t="s">
        <v>530</v>
      </c>
      <c r="E363" s="9" t="s">
        <v>1387</v>
      </c>
      <c r="F363" s="9" t="str">
        <f ca="1">IFERROR(__xludf.DUMMYFUNCTION("IFS(
  REGEXMATCH(LOWER(VLOOKUP(A363, Data1_Raw_Slack!A:B, 2, FALSE)), ""news|weather""), ""News and Weather"", REGEXMATCH(LOWER(VLOOKUP(A363, Data1_Raw_Slack!A:B, 2, FALSE)), ""sports|ufc|nba|nfl|mlb|soccer|sports fans""), ""Sports"",
  REGEXMATCH(LOWER("&amp;"VLOOKUP(A363, Data1_Raw_Slack!A:B, 2, FALSE)), ""fashion|style|clothing|apparel|shoes|accessories|beauty|cosmetics|fashionistas""), ""Fashion and Beauty"",
  REGEXMATCH(LOWER(VLOOKUP(A363, Data1_Raw_Slack!A:B, 2, FALSE)), ""food|cooking|recipe|restaurant|"&amp;"snack|grocery|foodies""), ""Food"",
  REGEXMATCH(LOWER(VLOOKUP(A363, Data1_Raw_Slack!A:B, 2, FALSE)), ""travel|vacation|airline|hotel|trip|flights|travelers""), ""Travel"",
  REGEXMATCH(LOWER(VLOOKUP(A363, Data1_Raw_Slack!A:B, 2, FALSE)), ""fitness|workou"&amp;"t|gym|exercise|yoga|wellness|fitness enthusiasts""), ""Fitness"",
  REGEXMATCH(LOWER(VLOOKUP(A363, Data1_Raw_Slack!A:B, 2, FALSE)), ""health|medical|pharmacy|mental health|doctor|health-conscious""), ""Health"",
  REGEXMATCH(LOWER(VLOOKUP(A363, Data1_Raw_"&amp;"Slack!A:B, 2, FALSE)), ""pets|dogs|cats|animals|pet care|pet lovers""), ""Pets"",
  REGEXMATCH(LOWER(VLOOKUP(A363, Data1_Raw_Slack!A:B, 2, FALSE)), ""games|gaming|game|xbox|playstation|nintendo|gamers""), ""Gaming"",
  REGEXMATCH(LOWER(VLOOKUP(A363, Data1"&amp;"_Raw_Slack!A:B, 2, FALSE)), ""entertainment|movies|tv|netflix|streaming|celebrity|movie lovers|tv fans|hobb|photo|art""), ""Entertainment"",
  REGEXMATCH(LOWER(VLOOKUP(A363, Data1_Raw_Slack!A:B, 2, FALSE)), ""lifestyle|home|interior|decor|living|lifestyle"&amp;" enthusiasts""), ""Lifestyle"",
  REGEXMATCH(LOWER(VLOOKUP(A363, Data1_Raw_Slack!A:B, 2, FALSE)), ""financial|finance|investing|stocks|retirement|banking|credit|debt|loans|savings|personal finance|insurance|econ|ecom|business|retail|occupation|sale|job|ma"&amp;"rketing""), ""Finance"",
  REGEXMATCH(LOWER(VLOOKUP(A363, Data1_Raw_Slack!A:B, 2, FALSE)), ""auto|automotive""), ""Auto"",
  REGEXMATCH(LOWER(VLOOKUP(A363, Data1_Raw_Slack!A:B, 2, FALSE)), ""parenting|moms|dads|kids|toddlers|baby|parent|children""), ""Par"&amp;"enting"",
  REGEXMATCH(LOWER(VLOOKUP(A363, Data1_Raw_Slack!A:B, 2, FALSE)), ""education|students|learning|school|teachers|college|university|academics""), ""Education"",
  REGEXMATCH(LOWER(VLOOKUP(A363, Data1_Raw_Slack!A:B, 2, FALSE)), ""age|gender|dem"&amp;"ographic|family|household""), ""Demographics"",
  REGEXMATCH(LOWER(VLOOKUP(A363, Data1_Raw_Slack!A:B, 2, FALSE)), ""mortgage|real estate""), ""Real Estate"",REGEXMATCH(LOWER(VLOOKUP(A363, Data1_Raw_Slack!A:B, 2, FALSE)), ""technology|tech|gadgets|smartpho"&amp;"ne|electro|apps|devices|computing|ai|robots|software|computer|internet|tele|mobile|tablet""), ""Technology"", REGEXMATCH(LOWER(VLOOKUP(A363, Data1_Raw_Slack!A:B, 2, FALSE)), ""entertainment|purchas|movies|tv|netflix|streaming|celebrity|movie lovers|tv fan"&amp;"s|media|hobb|photo|art|shop""), ""Entertainment"", REGEXMATCH(LOWER(VLOOKUP(A363, Data1_Raw_Slack!A:B, 2, FALSE)), ""law|government|""), ""Law and Government"",
  TRUE, ""Other""
)"),"Fashion and Beauty")</f>
        <v>Fashion and Beauty</v>
      </c>
      <c r="G363" s="9" t="s">
        <v>530</v>
      </c>
      <c r="H363" s="9" t="s">
        <v>44</v>
      </c>
      <c r="I363" s="9" t="s">
        <v>1388</v>
      </c>
      <c r="J363" s="9" t="s">
        <v>62</v>
      </c>
      <c r="K363" s="9" t="s">
        <v>71</v>
      </c>
      <c r="L363" s="9" t="s">
        <v>72</v>
      </c>
      <c r="M363" s="10" t="s">
        <v>1257</v>
      </c>
      <c r="N363" s="9" t="str">
        <f ca="1">IFERROR(__xludf.DUMMYFUNCTION("REGEXEXTRACT(LOWER(M363), ""([a-z0-9\-]+)\.(?:co|net|org|io|gg)"")"),"pandora")</f>
        <v>pandora</v>
      </c>
      <c r="O363" s="9" t="s">
        <v>131</v>
      </c>
      <c r="P363" s="9" t="s">
        <v>39</v>
      </c>
      <c r="Q363" s="9">
        <v>57168</v>
      </c>
      <c r="R363" s="9">
        <v>160</v>
      </c>
      <c r="S363" s="9">
        <v>43261</v>
      </c>
      <c r="T363" s="9">
        <v>55261</v>
      </c>
      <c r="U363" s="9">
        <v>12</v>
      </c>
      <c r="V363" s="11">
        <v>5841.1513599999998</v>
      </c>
      <c r="W363" s="12">
        <f t="shared" si="7"/>
        <v>486.76261333333332</v>
      </c>
      <c r="X363" s="12">
        <f t="shared" si="8"/>
        <v>0.27987685418415897</v>
      </c>
      <c r="Y363" s="12">
        <f t="shared" si="9"/>
        <v>75.673453680380632</v>
      </c>
      <c r="Z363" s="12">
        <f t="shared" si="10"/>
        <v>135.02118212708905</v>
      </c>
      <c r="AA363" s="12">
        <f t="shared" si="11"/>
        <v>102.17519171564511</v>
      </c>
      <c r="AB363" s="12">
        <f t="shared" si="12"/>
        <v>36.507196</v>
      </c>
      <c r="AC363" s="12">
        <f t="shared" si="13"/>
        <v>7.5</v>
      </c>
      <c r="AE363" s="13"/>
      <c r="AF363" s="13"/>
    </row>
    <row r="364" spans="1:32">
      <c r="A364" s="8" t="s">
        <v>1389</v>
      </c>
      <c r="B364" s="9" t="s">
        <v>41</v>
      </c>
      <c r="C364" s="9" t="s">
        <v>162</v>
      </c>
      <c r="D364" s="9" t="s">
        <v>163</v>
      </c>
      <c r="E364" s="9" t="s">
        <v>1390</v>
      </c>
      <c r="F364" s="9" t="str">
        <f ca="1">IFERROR(__xludf.DUMMYFUNCTION("IFS(
  REGEXMATCH(LOWER(VLOOKUP(A364, Data1_Raw_Slack!A:B, 2, FALSE)), ""news|weather""), ""News and Weather"", REGEXMATCH(LOWER(VLOOKUP(A364, Data1_Raw_Slack!A:B, 2, FALSE)), ""sports|ufc|nba|nfl|mlb|soccer|sports fans""), ""Sports"",
  REGEXMATCH(LOWER("&amp;"VLOOKUP(A364, Data1_Raw_Slack!A:B, 2, FALSE)), ""fashion|style|clothing|apparel|shoes|accessories|beauty|cosmetics|fashionistas""), ""Fashion and Beauty"",
  REGEXMATCH(LOWER(VLOOKUP(A364, Data1_Raw_Slack!A:B, 2, FALSE)), ""food|cooking|recipe|restaurant|"&amp;"snack|grocery|foodies""), ""Food"",
  REGEXMATCH(LOWER(VLOOKUP(A364, Data1_Raw_Slack!A:B, 2, FALSE)), ""travel|vacation|airline|hotel|trip|flights|travelers""), ""Travel"",
  REGEXMATCH(LOWER(VLOOKUP(A364, Data1_Raw_Slack!A:B, 2, FALSE)), ""fitness|workou"&amp;"t|gym|exercise|yoga|wellness|fitness enthusiasts""), ""Fitness"",
  REGEXMATCH(LOWER(VLOOKUP(A364, Data1_Raw_Slack!A:B, 2, FALSE)), ""health|medical|pharmacy|mental health|doctor|health-conscious""), ""Health"",
  REGEXMATCH(LOWER(VLOOKUP(A364, Data1_Raw_"&amp;"Slack!A:B, 2, FALSE)), ""pets|dogs|cats|animals|pet care|pet lovers""), ""Pets"",
  REGEXMATCH(LOWER(VLOOKUP(A364, Data1_Raw_Slack!A:B, 2, FALSE)), ""games|gaming|game|xbox|playstation|nintendo|gamers""), ""Gaming"",
  REGEXMATCH(LOWER(VLOOKUP(A364, Data1"&amp;"_Raw_Slack!A:B, 2, FALSE)), ""entertainment|movies|tv|netflix|streaming|celebrity|movie lovers|tv fans|hobb|photo|art""), ""Entertainment"",
  REGEXMATCH(LOWER(VLOOKUP(A364, Data1_Raw_Slack!A:B, 2, FALSE)), ""lifestyle|home|interior|decor|living|lifestyle"&amp;" enthusiasts""), ""Lifestyle"",
  REGEXMATCH(LOWER(VLOOKUP(A364, Data1_Raw_Slack!A:B, 2, FALSE)), ""financial|finance|investing|stocks|retirement|banking|credit|debt|loans|savings|personal finance|insurance|econ|ecom|business|retail|occupation|sale|job|ma"&amp;"rketing""), ""Finance"",
  REGEXMATCH(LOWER(VLOOKUP(A364, Data1_Raw_Slack!A:B, 2, FALSE)), ""auto|automotive""), ""Auto"",
  REGEXMATCH(LOWER(VLOOKUP(A364, Data1_Raw_Slack!A:B, 2, FALSE)), ""parenting|moms|dads|kids|toddlers|baby|parent|children""), ""Par"&amp;"enting"",
  REGEXMATCH(LOWER(VLOOKUP(A364, Data1_Raw_Slack!A:B, 2, FALSE)), ""education|students|learning|school|teachers|college|university|academics""), ""Education"",
  REGEXMATCH(LOWER(VLOOKUP(A364, Data1_Raw_Slack!A:B, 2, FALSE)), ""age|gender|dem"&amp;"ographic|family|household""), ""Demographics"",
  REGEXMATCH(LOWER(VLOOKUP(A364, Data1_Raw_Slack!A:B, 2, FALSE)), ""mortgage|real estate""), ""Real Estate"",REGEXMATCH(LOWER(VLOOKUP(A364, Data1_Raw_Slack!A:B, 2, FALSE)), ""technology|tech|gadgets|smartpho"&amp;"ne|electro|apps|devices|computing|ai|robots|software|computer|internet|tele|mobile|tablet""), ""Technology"", REGEXMATCH(LOWER(VLOOKUP(A364, Data1_Raw_Slack!A:B, 2, FALSE)), ""entertainment|purchas|movies|tv|netflix|streaming|celebrity|movie lovers|tv fan"&amp;"s|media|hobb|photo|art|shop""), ""Entertainment"", REGEXMATCH(LOWER(VLOOKUP(A364, Data1_Raw_Slack!A:B, 2, FALSE)), ""law|government|""), ""Law and Government"",
  TRUE, ""Other""
)"),"Auto")</f>
        <v>Auto</v>
      </c>
      <c r="G364" s="9" t="s">
        <v>122</v>
      </c>
      <c r="H364" s="9" t="s">
        <v>32</v>
      </c>
      <c r="I364" s="9" t="s">
        <v>817</v>
      </c>
      <c r="J364" s="9" t="s">
        <v>34</v>
      </c>
      <c r="K364" s="9" t="s">
        <v>148</v>
      </c>
      <c r="L364" s="9" t="s">
        <v>89</v>
      </c>
      <c r="M364" s="10" t="s">
        <v>1087</v>
      </c>
      <c r="N364" s="9" t="str">
        <f ca="1">IFERROR(__xludf.DUMMYFUNCTION("REGEXEXTRACT(LOWER(M364), ""([a-z0-9\-]+)\.(?:co|net|org|io|gg)"")"),"cnn")</f>
        <v>cnn</v>
      </c>
      <c r="O364" s="9" t="s">
        <v>74</v>
      </c>
      <c r="P364" s="9" t="s">
        <v>39</v>
      </c>
      <c r="Q364" s="9">
        <v>9060</v>
      </c>
      <c r="R364" s="9">
        <v>30</v>
      </c>
      <c r="S364" s="9">
        <v>5190</v>
      </c>
      <c r="T364" s="9">
        <v>8621</v>
      </c>
      <c r="U364" s="9">
        <v>14</v>
      </c>
      <c r="V364" s="11">
        <v>4934.8515630000002</v>
      </c>
      <c r="W364" s="12">
        <f t="shared" si="7"/>
        <v>352.48939735714288</v>
      </c>
      <c r="X364" s="12">
        <f t="shared" si="8"/>
        <v>0.33112582781456956</v>
      </c>
      <c r="Y364" s="12">
        <f t="shared" si="9"/>
        <v>57.284768211920536</v>
      </c>
      <c r="Z364" s="12">
        <f t="shared" si="10"/>
        <v>950.83845144508678</v>
      </c>
      <c r="AA364" s="12">
        <f t="shared" si="11"/>
        <v>544.68560298013244</v>
      </c>
      <c r="AB364" s="12">
        <f t="shared" si="12"/>
        <v>164.49505210000001</v>
      </c>
      <c r="AC364" s="12">
        <f t="shared" si="13"/>
        <v>46.666666666666664</v>
      </c>
      <c r="AE364" s="13"/>
      <c r="AF364" s="13"/>
    </row>
    <row r="365" spans="1:32">
      <c r="A365" s="8" t="s">
        <v>1391</v>
      </c>
      <c r="B365" s="9" t="s">
        <v>874</v>
      </c>
      <c r="C365" s="9" t="s">
        <v>122</v>
      </c>
      <c r="D365" s="9" t="s">
        <v>1242</v>
      </c>
      <c r="E365" s="9" t="s">
        <v>1392</v>
      </c>
      <c r="F365" s="9" t="str">
        <f ca="1">IFERROR(__xludf.DUMMYFUNCTION("IFS(
  REGEXMATCH(LOWER(VLOOKUP(A365, Data1_Raw_Slack!A:B, 2, FALSE)), ""news|weather""), ""News and Weather"", REGEXMATCH(LOWER(VLOOKUP(A365, Data1_Raw_Slack!A:B, 2, FALSE)), ""sports|ufc|nba|nfl|mlb|soccer|sports fans""), ""Sports"",
  REGEXMATCH(LOWER("&amp;"VLOOKUP(A365, Data1_Raw_Slack!A:B, 2, FALSE)), ""fashion|style|clothing|apparel|shoes|accessories|beauty|cosmetics|fashionistas""), ""Fashion and Beauty"",
  REGEXMATCH(LOWER(VLOOKUP(A365, Data1_Raw_Slack!A:B, 2, FALSE)), ""food|cooking|recipe|restaurant|"&amp;"snack|grocery|foodies""), ""Food"",
  REGEXMATCH(LOWER(VLOOKUP(A365, Data1_Raw_Slack!A:B, 2, FALSE)), ""travel|vacation|airline|hotel|trip|flights|travelers""), ""Travel"",
  REGEXMATCH(LOWER(VLOOKUP(A365, Data1_Raw_Slack!A:B, 2, FALSE)), ""fitness|workou"&amp;"t|gym|exercise|yoga|wellness|fitness enthusiasts""), ""Fitness"",
  REGEXMATCH(LOWER(VLOOKUP(A365, Data1_Raw_Slack!A:B, 2, FALSE)), ""health|medical|pharmacy|mental health|doctor|health-conscious""), ""Health"",
  REGEXMATCH(LOWER(VLOOKUP(A365, Data1_Raw_"&amp;"Slack!A:B, 2, FALSE)), ""pets|dogs|cats|animals|pet care|pet lovers""), ""Pets"",
  REGEXMATCH(LOWER(VLOOKUP(A365, Data1_Raw_Slack!A:B, 2, FALSE)), ""games|gaming|game|xbox|playstation|nintendo|gamers""), ""Gaming"",
  REGEXMATCH(LOWER(VLOOKUP(A365, Data1"&amp;"_Raw_Slack!A:B, 2, FALSE)), ""entertainment|movies|tv|netflix|streaming|celebrity|movie lovers|tv fans|hobb|photo|art""), ""Entertainment"",
  REGEXMATCH(LOWER(VLOOKUP(A365, Data1_Raw_Slack!A:B, 2, FALSE)), ""lifestyle|home|interior|decor|living|lifestyle"&amp;" enthusiasts""), ""Lifestyle"",
  REGEXMATCH(LOWER(VLOOKUP(A365, Data1_Raw_Slack!A:B, 2, FALSE)), ""financial|finance|investing|stocks|retirement|banking|credit|debt|loans|savings|personal finance|insurance|econ|ecom|business|retail|occupation|sale|job|ma"&amp;"rketing""), ""Finance"",
  REGEXMATCH(LOWER(VLOOKUP(A365, Data1_Raw_Slack!A:B, 2, FALSE)), ""auto|automotive""), ""Auto"",
  REGEXMATCH(LOWER(VLOOKUP(A365, Data1_Raw_Slack!A:B, 2, FALSE)), ""parenting|moms|dads|kids|toddlers|baby|parent|children""), ""Par"&amp;"enting"",
  REGEXMATCH(LOWER(VLOOKUP(A365, Data1_Raw_Slack!A:B, 2, FALSE)), ""education|students|learning|school|teachers|college|university|academics""), ""Education"",
  REGEXMATCH(LOWER(VLOOKUP(A365, Data1_Raw_Slack!A:B, 2, FALSE)), ""age|gender|dem"&amp;"ographic|family|household""), ""Demographics"",
  REGEXMATCH(LOWER(VLOOKUP(A365, Data1_Raw_Slack!A:B, 2, FALSE)), ""mortgage|real estate""), ""Real Estate"",REGEXMATCH(LOWER(VLOOKUP(A365, Data1_Raw_Slack!A:B, 2, FALSE)), ""technology|tech|gadgets|smartpho"&amp;"ne|electro|apps|devices|computing|ai|robots|software|computer|internet|tele|mobile|tablet""), ""Technology"", REGEXMATCH(LOWER(VLOOKUP(A365, Data1_Raw_Slack!A:B, 2, FALSE)), ""entertainment|purchas|movies|tv|netflix|streaming|celebrity|movie lovers|tv fan"&amp;"s|media|hobb|photo|art|shop""), ""Entertainment"", REGEXMATCH(LOWER(VLOOKUP(A365, Data1_Raw_Slack!A:B, 2, FALSE)), ""law|government|""), ""Law and Government"",
  TRUE, ""Other""
)"),"Auto")</f>
        <v>Auto</v>
      </c>
      <c r="G365" s="9" t="s">
        <v>122</v>
      </c>
      <c r="H365" s="9" t="s">
        <v>32</v>
      </c>
      <c r="I365" s="9" t="s">
        <v>583</v>
      </c>
      <c r="J365" s="9" t="s">
        <v>80</v>
      </c>
      <c r="K365" s="9" t="s">
        <v>142</v>
      </c>
      <c r="L365" s="9" t="s">
        <v>72</v>
      </c>
      <c r="M365" s="10" t="s">
        <v>1393</v>
      </c>
      <c r="N365" s="9" t="str">
        <f ca="1">IFERROR(__xludf.DUMMYFUNCTION("REGEXEXTRACT(LOWER(M365), ""([a-z0-9\-]+)\.(?:co|net|org|io|gg)"")"),"billboard")</f>
        <v>billboard</v>
      </c>
      <c r="O365" s="9" t="s">
        <v>50</v>
      </c>
      <c r="P365" s="9" t="s">
        <v>39</v>
      </c>
      <c r="Q365" s="9">
        <v>11325</v>
      </c>
      <c r="R365" s="9">
        <v>88</v>
      </c>
      <c r="S365" s="9">
        <v>6186</v>
      </c>
      <c r="T365" s="9">
        <v>10612</v>
      </c>
      <c r="U365" s="9">
        <v>2</v>
      </c>
      <c r="V365" s="11">
        <v>1573.2540899999999</v>
      </c>
      <c r="W365" s="12">
        <f t="shared" si="7"/>
        <v>786.62704499999995</v>
      </c>
      <c r="X365" s="12">
        <f t="shared" si="8"/>
        <v>0.77704194260485648</v>
      </c>
      <c r="Y365" s="12">
        <f t="shared" si="9"/>
        <v>54.622516556291387</v>
      </c>
      <c r="Z365" s="12">
        <f t="shared" si="10"/>
        <v>254.32494180407372</v>
      </c>
      <c r="AA365" s="12">
        <f t="shared" si="11"/>
        <v>138.9186834437086</v>
      </c>
      <c r="AB365" s="12">
        <f t="shared" si="12"/>
        <v>17.877887386363636</v>
      </c>
      <c r="AC365" s="12">
        <f t="shared" si="13"/>
        <v>2.2727272727272729</v>
      </c>
      <c r="AE365" s="13"/>
      <c r="AF365" s="13"/>
    </row>
    <row r="366" spans="1:32">
      <c r="A366" s="8" t="s">
        <v>1394</v>
      </c>
      <c r="B366" s="9" t="s">
        <v>41</v>
      </c>
      <c r="C366" s="9" t="s">
        <v>120</v>
      </c>
      <c r="D366" s="9" t="s">
        <v>1395</v>
      </c>
      <c r="E366" s="9"/>
      <c r="F366" s="9" t="str">
        <f ca="1">IFERROR(__xludf.DUMMYFUNCTION("IFS(
  REGEXMATCH(LOWER(VLOOKUP(A366, Data1_Raw_Slack!A:B, 2, FALSE)), ""news|weather""), ""News and Weather"", REGEXMATCH(LOWER(VLOOKUP(A366, Data1_Raw_Slack!A:B, 2, FALSE)), ""sports|ufc|nba|nfl|mlb|soccer|sports fans""), ""Sports"",
  REGEXMATCH(LOWER("&amp;"VLOOKUP(A366, Data1_Raw_Slack!A:B, 2, FALSE)), ""fashion|style|clothing|apparel|shoes|accessories|beauty|cosmetics|fashionistas""), ""Fashion and Beauty"",
  REGEXMATCH(LOWER(VLOOKUP(A366, Data1_Raw_Slack!A:B, 2, FALSE)), ""food|cooking|recipe|restaurant|"&amp;"snack|grocery|foodies""), ""Food"",
  REGEXMATCH(LOWER(VLOOKUP(A366, Data1_Raw_Slack!A:B, 2, FALSE)), ""travel|vacation|airline|hotel|trip|flights|travelers""), ""Travel"",
  REGEXMATCH(LOWER(VLOOKUP(A366, Data1_Raw_Slack!A:B, 2, FALSE)), ""fitness|workou"&amp;"t|gym|exercise|yoga|wellness|fitness enthusiasts""), ""Fitness"",
  REGEXMATCH(LOWER(VLOOKUP(A366, Data1_Raw_Slack!A:B, 2, FALSE)), ""health|medical|pharmacy|mental health|doctor|health-conscious""), ""Health"",
  REGEXMATCH(LOWER(VLOOKUP(A366, Data1_Raw_"&amp;"Slack!A:B, 2, FALSE)), ""pets|dogs|cats|animals|pet care|pet lovers""), ""Pets"",
  REGEXMATCH(LOWER(VLOOKUP(A366, Data1_Raw_Slack!A:B, 2, FALSE)), ""games|gaming|game|xbox|playstation|nintendo|gamers""), ""Gaming"",
  REGEXMATCH(LOWER(VLOOKUP(A366, Data1"&amp;"_Raw_Slack!A:B, 2, FALSE)), ""entertainment|movies|tv|netflix|streaming|celebrity|movie lovers|tv fans|hobb|photo|art""), ""Entertainment"",
  REGEXMATCH(LOWER(VLOOKUP(A366, Data1_Raw_Slack!A:B, 2, FALSE)), ""lifestyle|home|interior|decor|living|lifestyle"&amp;" enthusiasts""), ""Lifestyle"",
  REGEXMATCH(LOWER(VLOOKUP(A366, Data1_Raw_Slack!A:B, 2, FALSE)), ""financial|finance|investing|stocks|retirement|banking|credit|debt|loans|savings|personal finance|insurance|econ|ecom|business|retail|occupation|sale|job|ma"&amp;"rketing""), ""Finance"",
  REGEXMATCH(LOWER(VLOOKUP(A366, Data1_Raw_Slack!A:B, 2, FALSE)), ""auto|automotive""), ""Auto"",
  REGEXMATCH(LOWER(VLOOKUP(A366, Data1_Raw_Slack!A:B, 2, FALSE)), ""parenting|moms|dads|kids|toddlers|baby|parent|children""), ""Par"&amp;"enting"",
  REGEXMATCH(LOWER(VLOOKUP(A366, Data1_Raw_Slack!A:B, 2, FALSE)), ""education|students|learning|school|teachers|college|university|academics""), ""Education"",
  REGEXMATCH(LOWER(VLOOKUP(A366, Data1_Raw_Slack!A:B, 2, FALSE)), ""age|gender|dem"&amp;"ographic|family|household""), ""Demographics"",
  REGEXMATCH(LOWER(VLOOKUP(A366, Data1_Raw_Slack!A:B, 2, FALSE)), ""mortgage|real estate""), ""Real Estate"",REGEXMATCH(LOWER(VLOOKUP(A366, Data1_Raw_Slack!A:B, 2, FALSE)), ""technology|tech|gadgets|smartpho"&amp;"ne|electro|apps|devices|computing|ai|robots|software|computer|internet|tele|mobile|tablet""), ""Technology"", REGEXMATCH(LOWER(VLOOKUP(A366, Data1_Raw_Slack!A:B, 2, FALSE)), ""entertainment|purchas|movies|tv|netflix|streaming|celebrity|movie lovers|tv fan"&amp;"s|media|hobb|photo|art|shop""), ""Entertainment"", REGEXMATCH(LOWER(VLOOKUP(A366, Data1_Raw_Slack!A:B, 2, FALSE)), ""law|government|""), ""Law and Government"",
  TRUE, ""Other""
)"),"Auto")</f>
        <v>Auto</v>
      </c>
      <c r="G366" s="9" t="s">
        <v>122</v>
      </c>
      <c r="H366" s="9" t="s">
        <v>32</v>
      </c>
      <c r="I366" s="9" t="s">
        <v>1396</v>
      </c>
      <c r="J366" s="9" t="s">
        <v>62</v>
      </c>
      <c r="K366" s="9" t="s">
        <v>88</v>
      </c>
      <c r="L366" s="9" t="s">
        <v>89</v>
      </c>
      <c r="M366" s="10" t="s">
        <v>229</v>
      </c>
      <c r="N366" s="9" t="str">
        <f ca="1">IFERROR(__xludf.DUMMYFUNCTION("REGEXEXTRACT(LOWER(M366), ""([a-z0-9\-]+)\.(?:co|net|org|io|gg)"")"),"msn")</f>
        <v>msn</v>
      </c>
      <c r="O366" s="9" t="s">
        <v>74</v>
      </c>
      <c r="P366" s="9" t="s">
        <v>39</v>
      </c>
      <c r="Q366" s="9">
        <v>1601933</v>
      </c>
      <c r="R366" s="9">
        <v>4265</v>
      </c>
      <c r="S366" s="9">
        <v>1135085</v>
      </c>
      <c r="T366" s="9">
        <v>1487426</v>
      </c>
      <c r="U366" s="9">
        <v>29</v>
      </c>
      <c r="V366" s="11">
        <v>6785.7097899999999</v>
      </c>
      <c r="W366" s="12">
        <f t="shared" si="7"/>
        <v>233.98999275862067</v>
      </c>
      <c r="X366" s="12">
        <f t="shared" si="8"/>
        <v>0.26624084777578089</v>
      </c>
      <c r="Y366" s="12">
        <f t="shared" si="9"/>
        <v>70.857208135421388</v>
      </c>
      <c r="Z366" s="12">
        <f t="shared" si="10"/>
        <v>5.9781512309650813</v>
      </c>
      <c r="AA366" s="12">
        <f t="shared" si="11"/>
        <v>4.235951060375184</v>
      </c>
      <c r="AB366" s="12">
        <f t="shared" si="12"/>
        <v>1.5910222250879249</v>
      </c>
      <c r="AC366" s="12">
        <f t="shared" si="13"/>
        <v>0.6799531066822978</v>
      </c>
      <c r="AE366" s="13"/>
      <c r="AF366" s="13"/>
    </row>
    <row r="367" spans="1:32">
      <c r="A367" s="8" t="s">
        <v>1397</v>
      </c>
      <c r="B367" s="9" t="s">
        <v>41</v>
      </c>
      <c r="C367" s="9" t="s">
        <v>120</v>
      </c>
      <c r="D367" s="9" t="s">
        <v>1398</v>
      </c>
      <c r="E367" s="9"/>
      <c r="F367" s="9" t="str">
        <f ca="1">IFERROR(__xludf.DUMMYFUNCTION("IFS(
  REGEXMATCH(LOWER(VLOOKUP(A367, Data1_Raw_Slack!A:B, 2, FALSE)), ""news|weather""), ""News and Weather"", REGEXMATCH(LOWER(VLOOKUP(A367, Data1_Raw_Slack!A:B, 2, FALSE)), ""sports|ufc|nba|nfl|mlb|soccer|sports fans""), ""Sports"",
  REGEXMATCH(LOWER("&amp;"VLOOKUP(A367, Data1_Raw_Slack!A:B, 2, FALSE)), ""fashion|style|clothing|apparel|shoes|accessories|beauty|cosmetics|fashionistas""), ""Fashion and Beauty"",
  REGEXMATCH(LOWER(VLOOKUP(A367, Data1_Raw_Slack!A:B, 2, FALSE)), ""food|cooking|recipe|restaurant|"&amp;"snack|grocery|foodies""), ""Food"",
  REGEXMATCH(LOWER(VLOOKUP(A367, Data1_Raw_Slack!A:B, 2, FALSE)), ""travel|vacation|airline|hotel|trip|flights|travelers""), ""Travel"",
  REGEXMATCH(LOWER(VLOOKUP(A367, Data1_Raw_Slack!A:B, 2, FALSE)), ""fitness|workou"&amp;"t|gym|exercise|yoga|wellness|fitness enthusiasts""), ""Fitness"",
  REGEXMATCH(LOWER(VLOOKUP(A367, Data1_Raw_Slack!A:B, 2, FALSE)), ""health|medical|pharmacy|mental health|doctor|health-conscious""), ""Health"",
  REGEXMATCH(LOWER(VLOOKUP(A367, Data1_Raw_"&amp;"Slack!A:B, 2, FALSE)), ""pets|dogs|cats|animals|pet care|pet lovers""), ""Pets"",
  REGEXMATCH(LOWER(VLOOKUP(A367, Data1_Raw_Slack!A:B, 2, FALSE)), ""games|gaming|game|xbox|playstation|nintendo|gamers""), ""Gaming"",
  REGEXMATCH(LOWER(VLOOKUP(A367, Data1"&amp;"_Raw_Slack!A:B, 2, FALSE)), ""entertainment|movies|tv|netflix|streaming|celebrity|movie lovers|tv fans|hobb|photo|art""), ""Entertainment"",
  REGEXMATCH(LOWER(VLOOKUP(A367, Data1_Raw_Slack!A:B, 2, FALSE)), ""lifestyle|home|interior|decor|living|lifestyle"&amp;" enthusiasts""), ""Lifestyle"",
  REGEXMATCH(LOWER(VLOOKUP(A367, Data1_Raw_Slack!A:B, 2, FALSE)), ""financial|finance|investing|stocks|retirement|banking|credit|debt|loans|savings|personal finance|insurance|econ|ecom|business|retail|occupation|sale|job|ma"&amp;"rketing""), ""Finance"",
  REGEXMATCH(LOWER(VLOOKUP(A367, Data1_Raw_Slack!A:B, 2, FALSE)), ""auto|automotive""), ""Auto"",
  REGEXMATCH(LOWER(VLOOKUP(A367, Data1_Raw_Slack!A:B, 2, FALSE)), ""parenting|moms|dads|kids|toddlers|baby|parent|children""), ""Par"&amp;"enting"",
  REGEXMATCH(LOWER(VLOOKUP(A367, Data1_Raw_Slack!A:B, 2, FALSE)), ""education|students|learning|school|teachers|college|university|academics""), ""Education"",
  REGEXMATCH(LOWER(VLOOKUP(A367, Data1_Raw_Slack!A:B, 2, FALSE)), ""age|gender|dem"&amp;"ographic|family|household""), ""Demographics"",
  REGEXMATCH(LOWER(VLOOKUP(A367, Data1_Raw_Slack!A:B, 2, FALSE)), ""mortgage|real estate""), ""Real Estate"",REGEXMATCH(LOWER(VLOOKUP(A367, Data1_Raw_Slack!A:B, 2, FALSE)), ""technology|tech|gadgets|smartpho"&amp;"ne|electro|apps|devices|computing|ai|robots|software|computer|internet|tele|mobile|tablet""), ""Technology"", REGEXMATCH(LOWER(VLOOKUP(A367, Data1_Raw_Slack!A:B, 2, FALSE)), ""entertainment|purchas|movies|tv|netflix|streaming|celebrity|movie lovers|tv fan"&amp;"s|media|hobb|photo|art|shop""), ""Entertainment"", REGEXMATCH(LOWER(VLOOKUP(A367, Data1_Raw_Slack!A:B, 2, FALSE)), ""law|government|""), ""Law and Government"",
  TRUE, ""Other""
)"),"Auto")</f>
        <v>Auto</v>
      </c>
      <c r="G367" s="9" t="s">
        <v>122</v>
      </c>
      <c r="H367" s="9" t="s">
        <v>32</v>
      </c>
      <c r="I367" s="9" t="s">
        <v>147</v>
      </c>
      <c r="J367" s="9" t="s">
        <v>80</v>
      </c>
      <c r="K367" s="9" t="s">
        <v>47</v>
      </c>
      <c r="L367" s="9" t="s">
        <v>48</v>
      </c>
      <c r="M367" s="10" t="s">
        <v>1152</v>
      </c>
      <c r="N367" s="9" t="str">
        <f ca="1">IFERROR(__xludf.DUMMYFUNCTION("REGEXEXTRACT(LOWER(M367), ""([a-z0-9\-]+)\.(?:co|net|org|io|gg)"")"),"signupgenius")</f>
        <v>signupgenius</v>
      </c>
      <c r="O367" s="9" t="s">
        <v>74</v>
      </c>
      <c r="P367" s="9" t="s">
        <v>39</v>
      </c>
      <c r="Q367" s="9">
        <v>24100</v>
      </c>
      <c r="R367" s="9">
        <v>110</v>
      </c>
      <c r="S367" s="9">
        <v>11355</v>
      </c>
      <c r="T367" s="9">
        <v>21740</v>
      </c>
      <c r="U367" s="9">
        <v>5</v>
      </c>
      <c r="V367" s="11">
        <v>5912.2609750000001</v>
      </c>
      <c r="W367" s="12">
        <f t="shared" si="7"/>
        <v>1182.4521950000001</v>
      </c>
      <c r="X367" s="12">
        <f t="shared" si="8"/>
        <v>0.45643153526970959</v>
      </c>
      <c r="Y367" s="12">
        <f t="shared" si="9"/>
        <v>47.116182572614107</v>
      </c>
      <c r="Z367" s="12">
        <f t="shared" si="10"/>
        <v>520.67467855570237</v>
      </c>
      <c r="AA367" s="12">
        <f t="shared" si="11"/>
        <v>245.32203215767638</v>
      </c>
      <c r="AB367" s="12">
        <f t="shared" si="12"/>
        <v>53.747827045454549</v>
      </c>
      <c r="AC367" s="12">
        <f t="shared" si="13"/>
        <v>4.5454545454545459</v>
      </c>
      <c r="AE367" s="13"/>
      <c r="AF367" s="13"/>
    </row>
    <row r="368" spans="1:32">
      <c r="A368" s="8" t="s">
        <v>1399</v>
      </c>
      <c r="B368" s="9" t="s">
        <v>66</v>
      </c>
      <c r="C368" s="9" t="s">
        <v>388</v>
      </c>
      <c r="D368" s="9" t="s">
        <v>1400</v>
      </c>
      <c r="E368" s="9"/>
      <c r="F368" s="9" t="str">
        <f ca="1">IFERROR(__xludf.DUMMYFUNCTION("IFS(
  REGEXMATCH(LOWER(VLOOKUP(A368, Data1_Raw_Slack!A:B, 2, FALSE)), ""news|weather""), ""News and Weather"", REGEXMATCH(LOWER(VLOOKUP(A368, Data1_Raw_Slack!A:B, 2, FALSE)), ""sports|ufc|nba|nfl|mlb|soccer|sports fans""), ""Sports"",
  REGEXMATCH(LOWER("&amp;"VLOOKUP(A368, Data1_Raw_Slack!A:B, 2, FALSE)), ""fashion|style|clothing|apparel|shoes|accessories|beauty|cosmetics|fashionistas""), ""Fashion and Beauty"",
  REGEXMATCH(LOWER(VLOOKUP(A368, Data1_Raw_Slack!A:B, 2, FALSE)), ""food|cooking|recipe|restaurant|"&amp;"snack|grocery|foodies""), ""Food"",
  REGEXMATCH(LOWER(VLOOKUP(A368, Data1_Raw_Slack!A:B, 2, FALSE)), ""travel|vacation|airline|hotel|trip|flights|travelers""), ""Travel"",
  REGEXMATCH(LOWER(VLOOKUP(A368, Data1_Raw_Slack!A:B, 2, FALSE)), ""fitness|workou"&amp;"t|gym|exercise|yoga|wellness|fitness enthusiasts""), ""Fitness"",
  REGEXMATCH(LOWER(VLOOKUP(A368, Data1_Raw_Slack!A:B, 2, FALSE)), ""health|medical|pharmacy|mental health|doctor|health-conscious""), ""Health"",
  REGEXMATCH(LOWER(VLOOKUP(A368, Data1_Raw_"&amp;"Slack!A:B, 2, FALSE)), ""pets|dogs|cats|animals|pet care|pet lovers""), ""Pets"",
  REGEXMATCH(LOWER(VLOOKUP(A368, Data1_Raw_Slack!A:B, 2, FALSE)), ""games|gaming|game|xbox|playstation|nintendo|gamers""), ""Gaming"",
  REGEXMATCH(LOWER(VLOOKUP(A368, Data1"&amp;"_Raw_Slack!A:B, 2, FALSE)), ""entertainment|movies|tv|netflix|streaming|celebrity|movie lovers|tv fans|hobb|photo|art""), ""Entertainment"",
  REGEXMATCH(LOWER(VLOOKUP(A368, Data1_Raw_Slack!A:B, 2, FALSE)), ""lifestyle|home|interior|decor|living|lifestyle"&amp;" enthusiasts""), ""Lifestyle"",
  REGEXMATCH(LOWER(VLOOKUP(A368, Data1_Raw_Slack!A:B, 2, FALSE)), ""financial|finance|investing|stocks|retirement|banking|credit|debt|loans|savings|personal finance|insurance|econ|ecom|business|retail|occupation|sale|job|ma"&amp;"rketing""), ""Finance"",
  REGEXMATCH(LOWER(VLOOKUP(A368, Data1_Raw_Slack!A:B, 2, FALSE)), ""auto|automotive""), ""Auto"",
  REGEXMATCH(LOWER(VLOOKUP(A368, Data1_Raw_Slack!A:B, 2, FALSE)), ""parenting|moms|dads|kids|toddlers|baby|parent|children""), ""Par"&amp;"enting"",
  REGEXMATCH(LOWER(VLOOKUP(A368, Data1_Raw_Slack!A:B, 2, FALSE)), ""education|students|learning|school|teachers|college|university|academics""), ""Education"",
  REGEXMATCH(LOWER(VLOOKUP(A368, Data1_Raw_Slack!A:B, 2, FALSE)), ""age|gender|dem"&amp;"ographic|family|household""), ""Demographics"",
  REGEXMATCH(LOWER(VLOOKUP(A368, Data1_Raw_Slack!A:B, 2, FALSE)), ""mortgage|real estate""), ""Real Estate"",REGEXMATCH(LOWER(VLOOKUP(A368, Data1_Raw_Slack!A:B, 2, FALSE)), ""technology|tech|gadgets|smartpho"&amp;"ne|electro|apps|devices|computing|ai|robots|software|computer|internet|tele|mobile|tablet""), ""Technology"", REGEXMATCH(LOWER(VLOOKUP(A368, Data1_Raw_Slack!A:B, 2, FALSE)), ""entertainment|purchas|movies|tv|netflix|streaming|celebrity|movie lovers|tv fan"&amp;"s|media|hobb|photo|art|shop""), ""Entertainment"", REGEXMATCH(LOWER(VLOOKUP(A368, Data1_Raw_Slack!A:B, 2, FALSE)), ""law|government|""), ""Law and Government"",
  TRUE, ""Other""
)"),"Fashion and Beauty")</f>
        <v>Fashion and Beauty</v>
      </c>
      <c r="G368" s="9"/>
      <c r="H368" s="9" t="s">
        <v>32</v>
      </c>
      <c r="I368" s="9" t="s">
        <v>1038</v>
      </c>
      <c r="J368" s="9" t="s">
        <v>80</v>
      </c>
      <c r="K368" s="9" t="s">
        <v>88</v>
      </c>
      <c r="L368" s="9" t="s">
        <v>89</v>
      </c>
      <c r="M368" s="10" t="s">
        <v>73</v>
      </c>
      <c r="N368" s="9" t="str">
        <f ca="1">IFERROR(__xludf.DUMMYFUNCTION("REGEXEXTRACT(LOWER(M368), ""([a-z0-9\-]+)\.(?:co|net|org|io|gg)"")"),"aol")</f>
        <v>aol</v>
      </c>
      <c r="O368" s="9" t="s">
        <v>103</v>
      </c>
      <c r="P368" s="9" t="s">
        <v>39</v>
      </c>
      <c r="Q368" s="9">
        <v>186702</v>
      </c>
      <c r="R368" s="9">
        <v>370</v>
      </c>
      <c r="S368" s="9">
        <v>132038</v>
      </c>
      <c r="T368" s="9">
        <v>167406</v>
      </c>
      <c r="U368" s="9">
        <v>4</v>
      </c>
      <c r="V368" s="11">
        <v>1568.7360200000001</v>
      </c>
      <c r="W368" s="12">
        <f t="shared" si="7"/>
        <v>392.18400500000001</v>
      </c>
      <c r="X368" s="12">
        <f t="shared" si="8"/>
        <v>0.19817677368212444</v>
      </c>
      <c r="Y368" s="12">
        <f t="shared" si="9"/>
        <v>70.721256333622563</v>
      </c>
      <c r="Z368" s="12">
        <f t="shared" si="10"/>
        <v>11.880943516260471</v>
      </c>
      <c r="AA368" s="12">
        <f t="shared" si="11"/>
        <v>8.4023525189874775</v>
      </c>
      <c r="AB368" s="12">
        <f t="shared" si="12"/>
        <v>4.2398270810810814</v>
      </c>
      <c r="AC368" s="12">
        <f t="shared" si="13"/>
        <v>1.0810810810810811</v>
      </c>
      <c r="AE368" s="13"/>
      <c r="AF368" s="13"/>
    </row>
    <row r="369" spans="1:32">
      <c r="A369" s="8" t="s">
        <v>1401</v>
      </c>
      <c r="B369" s="9" t="s">
        <v>67</v>
      </c>
      <c r="C369" s="9" t="s">
        <v>1402</v>
      </c>
      <c r="D369" s="9" t="s">
        <v>1403</v>
      </c>
      <c r="E369" s="9"/>
      <c r="F369" s="9" t="str">
        <f ca="1">IFERROR(__xludf.DUMMYFUNCTION("IFS(
  REGEXMATCH(LOWER(VLOOKUP(A369, Data1_Raw_Slack!A:B, 2, FALSE)), ""news|weather""), ""News and Weather"", REGEXMATCH(LOWER(VLOOKUP(A369, Data1_Raw_Slack!A:B, 2, FALSE)), ""sports|ufc|nba|nfl|mlb|soccer|sports fans""), ""Sports"",
  REGEXMATCH(LOWER("&amp;"VLOOKUP(A369, Data1_Raw_Slack!A:B, 2, FALSE)), ""fashion|style|clothing|apparel|shoes|accessories|beauty|cosmetics|fashionistas""), ""Fashion and Beauty"",
  REGEXMATCH(LOWER(VLOOKUP(A369, Data1_Raw_Slack!A:B, 2, FALSE)), ""food|cooking|recipe|restaurant|"&amp;"snack|grocery|foodies""), ""Food"",
  REGEXMATCH(LOWER(VLOOKUP(A369, Data1_Raw_Slack!A:B, 2, FALSE)), ""travel|vacation|airline|hotel|trip|flights|travelers""), ""Travel"",
  REGEXMATCH(LOWER(VLOOKUP(A369, Data1_Raw_Slack!A:B, 2, FALSE)), ""fitness|workou"&amp;"t|gym|exercise|yoga|wellness|fitness enthusiasts""), ""Fitness"",
  REGEXMATCH(LOWER(VLOOKUP(A369, Data1_Raw_Slack!A:B, 2, FALSE)), ""health|medical|pharmacy|mental health|doctor|health-conscious""), ""Health"",
  REGEXMATCH(LOWER(VLOOKUP(A369, Data1_Raw_"&amp;"Slack!A:B, 2, FALSE)), ""pets|dogs|cats|animals|pet care|pet lovers""), ""Pets"",
  REGEXMATCH(LOWER(VLOOKUP(A369, Data1_Raw_Slack!A:B, 2, FALSE)), ""games|gaming|game|xbox|playstation|nintendo|gamers""), ""Gaming"",
  REGEXMATCH(LOWER(VLOOKUP(A369, Data1"&amp;"_Raw_Slack!A:B, 2, FALSE)), ""entertainment|movies|tv|netflix|streaming|celebrity|movie lovers|tv fans|hobb|photo|art""), ""Entertainment"",
  REGEXMATCH(LOWER(VLOOKUP(A369, Data1_Raw_Slack!A:B, 2, FALSE)), ""lifestyle|home|interior|decor|living|lifestyle"&amp;" enthusiasts""), ""Lifestyle"",
  REGEXMATCH(LOWER(VLOOKUP(A369, Data1_Raw_Slack!A:B, 2, FALSE)), ""financial|finance|investing|stocks|retirement|banking|credit|debt|loans|savings|personal finance|insurance|econ|ecom|business|retail|occupation|sale|job|ma"&amp;"rketing""), ""Finance"",
  REGEXMATCH(LOWER(VLOOKUP(A369, Data1_Raw_Slack!A:B, 2, FALSE)), ""auto|automotive""), ""Auto"",
  REGEXMATCH(LOWER(VLOOKUP(A369, Data1_Raw_Slack!A:B, 2, FALSE)), ""parenting|moms|dads|kids|toddlers|baby|parent|children""), ""Par"&amp;"enting"",
  REGEXMATCH(LOWER(VLOOKUP(A369, Data1_Raw_Slack!A:B, 2, FALSE)), ""education|students|learning|school|teachers|college|university|academics""), ""Education"",
  REGEXMATCH(LOWER(VLOOKUP(A369, Data1_Raw_Slack!A:B, 2, FALSE)), ""age|gender|dem"&amp;"ographic|family|household""), ""Demographics"",
  REGEXMATCH(LOWER(VLOOKUP(A369, Data1_Raw_Slack!A:B, 2, FALSE)), ""mortgage|real estate""), ""Real Estate"",REGEXMATCH(LOWER(VLOOKUP(A369, Data1_Raw_Slack!A:B, 2, FALSE)), ""technology|tech|gadgets|smartpho"&amp;"ne|electro|apps|devices|computing|ai|robots|software|computer|internet|tele|mobile|tablet""), ""Technology"", REGEXMATCH(LOWER(VLOOKUP(A369, Data1_Raw_Slack!A:B, 2, FALSE)), ""entertainment|purchas|movies|tv|netflix|streaming|celebrity|movie lovers|tv fan"&amp;"s|media|hobb|photo|art|shop""), ""Entertainment"", REGEXMATCH(LOWER(VLOOKUP(A369, Data1_Raw_Slack!A:B, 2, FALSE)), ""law|government|""), ""Law and Government"",
  TRUE, ""Other""
)"),"Gaming")</f>
        <v>Gaming</v>
      </c>
      <c r="G369" s="9" t="s">
        <v>69</v>
      </c>
      <c r="H369" s="9" t="s">
        <v>44</v>
      </c>
      <c r="I369" s="9" t="s">
        <v>1404</v>
      </c>
      <c r="J369" s="9" t="s">
        <v>46</v>
      </c>
      <c r="K369" s="9" t="s">
        <v>88</v>
      </c>
      <c r="L369" s="9" t="s">
        <v>89</v>
      </c>
      <c r="M369" s="10" t="s">
        <v>1405</v>
      </c>
      <c r="N369" s="9" t="str">
        <f ca="1">IFERROR(__xludf.DUMMYFUNCTION("REGEXEXTRACT(LOWER(M369), ""([a-z0-9\-]+)\.(?:co|net|org|io|gg)"")"),"moneyppl")</f>
        <v>moneyppl</v>
      </c>
      <c r="O369" s="9" t="s">
        <v>109</v>
      </c>
      <c r="P369" s="9" t="s">
        <v>75</v>
      </c>
      <c r="Q369" s="9">
        <v>37076</v>
      </c>
      <c r="R369" s="9">
        <v>113</v>
      </c>
      <c r="S369" s="9">
        <v>9246</v>
      </c>
      <c r="T369" s="9">
        <v>22565</v>
      </c>
      <c r="U369" s="9">
        <v>12</v>
      </c>
      <c r="V369" s="11">
        <v>1487.9960779999999</v>
      </c>
      <c r="W369" s="12">
        <f t="shared" si="7"/>
        <v>123.99967316666665</v>
      </c>
      <c r="X369" s="12">
        <f t="shared" si="8"/>
        <v>0.30477937210055023</v>
      </c>
      <c r="Y369" s="12">
        <f t="shared" si="9"/>
        <v>24.937965260545905</v>
      </c>
      <c r="Z369" s="12">
        <f t="shared" si="10"/>
        <v>160.93403396063161</v>
      </c>
      <c r="AA369" s="12">
        <f t="shared" si="11"/>
        <v>40.133673481497461</v>
      </c>
      <c r="AB369" s="12">
        <f t="shared" si="12"/>
        <v>13.168106884955751</v>
      </c>
      <c r="AC369" s="12">
        <f t="shared" si="13"/>
        <v>10.619469026548673</v>
      </c>
      <c r="AE369" s="13"/>
      <c r="AF369" s="13"/>
    </row>
    <row r="370" spans="1:32">
      <c r="A370" s="8" t="s">
        <v>1406</v>
      </c>
      <c r="B370" s="9" t="s">
        <v>144</v>
      </c>
      <c r="C370" s="9" t="s">
        <v>658</v>
      </c>
      <c r="D370" s="9"/>
      <c r="E370" s="9"/>
      <c r="F370" s="9" t="str">
        <f ca="1">IFERROR(__xludf.DUMMYFUNCTION("IFS(
  REGEXMATCH(LOWER(VLOOKUP(A370, Data1_Raw_Slack!A:B, 2, FALSE)), ""news|weather""), ""News and Weather"", REGEXMATCH(LOWER(VLOOKUP(A370, Data1_Raw_Slack!A:B, 2, FALSE)), ""sports|ufc|nba|nfl|mlb|soccer|sports fans""), ""Sports"",
  REGEXMATCH(LOWER("&amp;"VLOOKUP(A370, Data1_Raw_Slack!A:B, 2, FALSE)), ""fashion|style|clothing|apparel|shoes|accessories|beauty|cosmetics|fashionistas""), ""Fashion and Beauty"",
  REGEXMATCH(LOWER(VLOOKUP(A370, Data1_Raw_Slack!A:B, 2, FALSE)), ""food|cooking|recipe|restaurant|"&amp;"snack|grocery|foodies""), ""Food"",
  REGEXMATCH(LOWER(VLOOKUP(A370, Data1_Raw_Slack!A:B, 2, FALSE)), ""travel|vacation|airline|hotel|trip|flights|travelers""), ""Travel"",
  REGEXMATCH(LOWER(VLOOKUP(A370, Data1_Raw_Slack!A:B, 2, FALSE)), ""fitness|workou"&amp;"t|gym|exercise|yoga|wellness|fitness enthusiasts""), ""Fitness"",
  REGEXMATCH(LOWER(VLOOKUP(A370, Data1_Raw_Slack!A:B, 2, FALSE)), ""health|medical|pharmacy|mental health|doctor|health-conscious""), ""Health"",
  REGEXMATCH(LOWER(VLOOKUP(A370, Data1_Raw_"&amp;"Slack!A:B, 2, FALSE)), ""pets|dogs|cats|animals|pet care|pet lovers""), ""Pets"",
  REGEXMATCH(LOWER(VLOOKUP(A370, Data1_Raw_Slack!A:B, 2, FALSE)), ""games|gaming|game|xbox|playstation|nintendo|gamers""), ""Gaming"",
  REGEXMATCH(LOWER(VLOOKUP(A370, Data1"&amp;"_Raw_Slack!A:B, 2, FALSE)), ""entertainment|movies|tv|netflix|streaming|celebrity|movie lovers|tv fans|hobb|photo|art""), ""Entertainment"",
  REGEXMATCH(LOWER(VLOOKUP(A370, Data1_Raw_Slack!A:B, 2, FALSE)), ""lifestyle|home|interior|decor|living|lifestyle"&amp;" enthusiasts""), ""Lifestyle"",
  REGEXMATCH(LOWER(VLOOKUP(A370, Data1_Raw_Slack!A:B, 2, FALSE)), ""financial|finance|investing|stocks|retirement|banking|credit|debt|loans|savings|personal finance|insurance|econ|ecom|business|retail|occupation|sale|job|ma"&amp;"rketing""), ""Finance"",
  REGEXMATCH(LOWER(VLOOKUP(A370, Data1_Raw_Slack!A:B, 2, FALSE)), ""auto|automotive""), ""Auto"",
  REGEXMATCH(LOWER(VLOOKUP(A370, Data1_Raw_Slack!A:B, 2, FALSE)), ""parenting|moms|dads|kids|toddlers|baby|parent|children""), ""Par"&amp;"enting"",
  REGEXMATCH(LOWER(VLOOKUP(A370, Data1_Raw_Slack!A:B, 2, FALSE)), ""education|students|learning|school|teachers|college|university|academics""), ""Education"",
  REGEXMATCH(LOWER(VLOOKUP(A370, Data1_Raw_Slack!A:B, 2, FALSE)), ""age|gender|dem"&amp;"ographic|family|household""), ""Demographics"",
  REGEXMATCH(LOWER(VLOOKUP(A370, Data1_Raw_Slack!A:B, 2, FALSE)), ""mortgage|real estate""), ""Real Estate"",REGEXMATCH(LOWER(VLOOKUP(A370, Data1_Raw_Slack!A:B, 2, FALSE)), ""technology|tech|gadgets|smartpho"&amp;"ne|electro|apps|devices|computing|ai|robots|software|computer|internet|tele|mobile|tablet""), ""Technology"", REGEXMATCH(LOWER(VLOOKUP(A370, Data1_Raw_Slack!A:B, 2, FALSE)), ""entertainment|purchas|movies|tv|netflix|streaming|celebrity|movie lovers|tv fan"&amp;"s|media|hobb|photo|art|shop""), ""Entertainment"", REGEXMATCH(LOWER(VLOOKUP(A370, Data1_Raw_Slack!A:B, 2, FALSE)), ""law|government|""), ""Law and Government"",
  TRUE, ""Other""
)"),"Education")</f>
        <v>Education</v>
      </c>
      <c r="G370" s="9"/>
      <c r="H370" s="9" t="s">
        <v>32</v>
      </c>
      <c r="I370" s="9" t="s">
        <v>1407</v>
      </c>
      <c r="J370" s="9" t="s">
        <v>46</v>
      </c>
      <c r="K370" s="9" t="s">
        <v>142</v>
      </c>
      <c r="L370" s="9" t="s">
        <v>72</v>
      </c>
      <c r="M370" s="10" t="s">
        <v>1408</v>
      </c>
      <c r="N370" s="9" t="str">
        <f ca="1">IFERROR(__xludf.DUMMYFUNCTION("REGEXEXTRACT(LOWER(M370), ""([a-z0-9\-]+)\.(?:co|net|org|io|gg)"")"),"politico")</f>
        <v>politico</v>
      </c>
      <c r="O370" s="9" t="s">
        <v>103</v>
      </c>
      <c r="P370" s="9" t="s">
        <v>39</v>
      </c>
      <c r="Q370" s="9">
        <v>20165</v>
      </c>
      <c r="R370" s="9">
        <v>60</v>
      </c>
      <c r="S370" s="9">
        <v>6601</v>
      </c>
      <c r="T370" s="9">
        <v>18909</v>
      </c>
      <c r="U370" s="9">
        <v>10</v>
      </c>
      <c r="V370" s="11">
        <v>1743.0786869999999</v>
      </c>
      <c r="W370" s="12">
        <f t="shared" si="7"/>
        <v>174.3078687</v>
      </c>
      <c r="X370" s="12">
        <f t="shared" si="8"/>
        <v>0.29754525167369206</v>
      </c>
      <c r="Y370" s="12">
        <f t="shared" si="9"/>
        <v>32.734936771634018</v>
      </c>
      <c r="Z370" s="12">
        <f t="shared" si="10"/>
        <v>264.06282184517499</v>
      </c>
      <c r="AA370" s="12">
        <f t="shared" si="11"/>
        <v>86.440797768410619</v>
      </c>
      <c r="AB370" s="12">
        <f t="shared" si="12"/>
        <v>29.05131145</v>
      </c>
      <c r="AC370" s="12">
        <f t="shared" si="13"/>
        <v>16.666666666666664</v>
      </c>
      <c r="AE370" s="13"/>
      <c r="AF370" s="13"/>
    </row>
    <row r="371" spans="1:32">
      <c r="A371" s="8" t="s">
        <v>1409</v>
      </c>
      <c r="B371" s="9" t="s">
        <v>41</v>
      </c>
      <c r="C371" s="9" t="s">
        <v>542</v>
      </c>
      <c r="D371" s="9" t="s">
        <v>1410</v>
      </c>
      <c r="E371" s="9"/>
      <c r="F371" s="9" t="str">
        <f ca="1">IFERROR(__xludf.DUMMYFUNCTION("IFS(
  REGEXMATCH(LOWER(VLOOKUP(A371, Data1_Raw_Slack!A:B, 2, FALSE)), ""news|weather""), ""News and Weather"", REGEXMATCH(LOWER(VLOOKUP(A371, Data1_Raw_Slack!A:B, 2, FALSE)), ""sports|ufc|nba|nfl|mlb|soccer|sports fans""), ""Sports"",
  REGEXMATCH(LOWER("&amp;"VLOOKUP(A371, Data1_Raw_Slack!A:B, 2, FALSE)), ""fashion|style|clothing|apparel|shoes|accessories|beauty|cosmetics|fashionistas""), ""Fashion and Beauty"",
  REGEXMATCH(LOWER(VLOOKUP(A371, Data1_Raw_Slack!A:B, 2, FALSE)), ""food|cooking|recipe|restaurant|"&amp;"snack|grocery|foodies""), ""Food"",
  REGEXMATCH(LOWER(VLOOKUP(A371, Data1_Raw_Slack!A:B, 2, FALSE)), ""travel|vacation|airline|hotel|trip|flights|travelers""), ""Travel"",
  REGEXMATCH(LOWER(VLOOKUP(A371, Data1_Raw_Slack!A:B, 2, FALSE)), ""fitness|workou"&amp;"t|gym|exercise|yoga|wellness|fitness enthusiasts""), ""Fitness"",
  REGEXMATCH(LOWER(VLOOKUP(A371, Data1_Raw_Slack!A:B, 2, FALSE)), ""health|medical|pharmacy|mental health|doctor|health-conscious""), ""Health"",
  REGEXMATCH(LOWER(VLOOKUP(A371, Data1_Raw_"&amp;"Slack!A:B, 2, FALSE)), ""pets|dogs|cats|animals|pet care|pet lovers""), ""Pets"",
  REGEXMATCH(LOWER(VLOOKUP(A371, Data1_Raw_Slack!A:B, 2, FALSE)), ""games|gaming|game|xbox|playstation|nintendo|gamers""), ""Gaming"",
  REGEXMATCH(LOWER(VLOOKUP(A371, Data1"&amp;"_Raw_Slack!A:B, 2, FALSE)), ""entertainment|movies|tv|netflix|streaming|celebrity|movie lovers|tv fans|hobb|photo|art""), ""Entertainment"",
  REGEXMATCH(LOWER(VLOOKUP(A371, Data1_Raw_Slack!A:B, 2, FALSE)), ""lifestyle|home|interior|decor|living|lifestyle"&amp;" enthusiasts""), ""Lifestyle"",
  REGEXMATCH(LOWER(VLOOKUP(A371, Data1_Raw_Slack!A:B, 2, FALSE)), ""financial|finance|investing|stocks|retirement|banking|credit|debt|loans|savings|personal finance|insurance|econ|ecom|business|retail|occupation|sale|job|ma"&amp;"rketing""), ""Finance"",
  REGEXMATCH(LOWER(VLOOKUP(A371, Data1_Raw_Slack!A:B, 2, FALSE)), ""auto|automotive""), ""Auto"",
  REGEXMATCH(LOWER(VLOOKUP(A371, Data1_Raw_Slack!A:B, 2, FALSE)), ""parenting|moms|dads|kids|toddlers|baby|parent|children""), ""Par"&amp;"enting"",
  REGEXMATCH(LOWER(VLOOKUP(A371, Data1_Raw_Slack!A:B, 2, FALSE)), ""education|students|learning|school|teachers|college|university|academics""), ""Education"",
  REGEXMATCH(LOWER(VLOOKUP(A371, Data1_Raw_Slack!A:B, 2, FALSE)), ""age|gender|dem"&amp;"ographic|family|household""), ""Demographics"",
  REGEXMATCH(LOWER(VLOOKUP(A371, Data1_Raw_Slack!A:B, 2, FALSE)), ""mortgage|real estate""), ""Real Estate"",REGEXMATCH(LOWER(VLOOKUP(A371, Data1_Raw_Slack!A:B, 2, FALSE)), ""technology|tech|gadgets|smartpho"&amp;"ne|electro|apps|devices|computing|ai|robots|software|computer|internet|tele|mobile|tablet""), ""Technology"", REGEXMATCH(LOWER(VLOOKUP(A371, Data1_Raw_Slack!A:B, 2, FALSE)), ""entertainment|purchas|movies|tv|netflix|streaming|celebrity|movie lovers|tv fan"&amp;"s|media|hobb|photo|art|shop""), ""Entertainment"", REGEXMATCH(LOWER(VLOOKUP(A371, Data1_Raw_Slack!A:B, 2, FALSE)), ""law|government|""), ""Law and Government"",
  TRUE, ""Other""
)"),"Entertainment")</f>
        <v>Entertainment</v>
      </c>
      <c r="G371" s="9"/>
      <c r="H371" s="9" t="s">
        <v>123</v>
      </c>
      <c r="I371" s="9" t="s">
        <v>1411</v>
      </c>
      <c r="J371" s="9" t="s">
        <v>80</v>
      </c>
      <c r="K371" s="9" t="s">
        <v>236</v>
      </c>
      <c r="L371" s="9" t="s">
        <v>82</v>
      </c>
      <c r="M371" s="10" t="s">
        <v>130</v>
      </c>
      <c r="N371" s="9" t="str">
        <f ca="1">IFERROR(__xludf.DUMMYFUNCTION("REGEXEXTRACT(LOWER(M371), ""([a-z0-9\-]+)\.(?:co|net|org|io|gg)"")"),"weather")</f>
        <v>weather</v>
      </c>
      <c r="O371" s="9" t="s">
        <v>50</v>
      </c>
      <c r="P371" s="9" t="s">
        <v>39</v>
      </c>
      <c r="Q371" s="9">
        <v>207823</v>
      </c>
      <c r="R371" s="9">
        <v>600</v>
      </c>
      <c r="S371" s="9">
        <v>33602</v>
      </c>
      <c r="T371" s="9">
        <v>167814</v>
      </c>
      <c r="U371" s="9">
        <v>13</v>
      </c>
      <c r="V371" s="11">
        <v>6048.9556110000003</v>
      </c>
      <c r="W371" s="12">
        <f t="shared" si="7"/>
        <v>465.30427776923079</v>
      </c>
      <c r="X371" s="12">
        <f t="shared" si="8"/>
        <v>0.2887072171992513</v>
      </c>
      <c r="Y371" s="12">
        <f t="shared" si="9"/>
        <v>16.168566520548737</v>
      </c>
      <c r="Z371" s="12">
        <f t="shared" si="10"/>
        <v>180.0177254627701</v>
      </c>
      <c r="AA371" s="12">
        <f t="shared" si="11"/>
        <v>29.10628569022678</v>
      </c>
      <c r="AB371" s="12">
        <f t="shared" si="12"/>
        <v>10.081592685</v>
      </c>
      <c r="AC371" s="12">
        <f t="shared" si="13"/>
        <v>2.166666666666667</v>
      </c>
      <c r="AE371" s="13"/>
      <c r="AF371" s="13"/>
    </row>
    <row r="372" spans="1:32">
      <c r="A372" s="8" t="s">
        <v>1412</v>
      </c>
      <c r="B372" s="9" t="s">
        <v>498</v>
      </c>
      <c r="C372" s="9" t="s">
        <v>863</v>
      </c>
      <c r="D372" s="9" t="s">
        <v>1413</v>
      </c>
      <c r="E372" s="9"/>
      <c r="F372" s="9" t="str">
        <f ca="1">IFERROR(__xludf.DUMMYFUNCTION("IFS(
  REGEXMATCH(LOWER(VLOOKUP(A372, Data1_Raw_Slack!A:B, 2, FALSE)), ""news|weather""), ""News and Weather"", REGEXMATCH(LOWER(VLOOKUP(A372, Data1_Raw_Slack!A:B, 2, FALSE)), ""sports|ufc|nba|nfl|mlb|soccer|sports fans""), ""Sports"",
  REGEXMATCH(LOWER("&amp;"VLOOKUP(A372, Data1_Raw_Slack!A:B, 2, FALSE)), ""fashion|style|clothing|apparel|shoes|accessories|beauty|cosmetics|fashionistas""), ""Fashion and Beauty"",
  REGEXMATCH(LOWER(VLOOKUP(A372, Data1_Raw_Slack!A:B, 2, FALSE)), ""food|cooking|recipe|restaurant|"&amp;"snack|grocery|foodies""), ""Food"",
  REGEXMATCH(LOWER(VLOOKUP(A372, Data1_Raw_Slack!A:B, 2, FALSE)), ""travel|vacation|airline|hotel|trip|flights|travelers""), ""Travel"",
  REGEXMATCH(LOWER(VLOOKUP(A372, Data1_Raw_Slack!A:B, 2, FALSE)), ""fitness|workou"&amp;"t|gym|exercise|yoga|wellness|fitness enthusiasts""), ""Fitness"",
  REGEXMATCH(LOWER(VLOOKUP(A372, Data1_Raw_Slack!A:B, 2, FALSE)), ""health|medical|pharmacy|mental health|doctor|health-conscious""), ""Health"",
  REGEXMATCH(LOWER(VLOOKUP(A372, Data1_Raw_"&amp;"Slack!A:B, 2, FALSE)), ""pets|dogs|cats|animals|pet care|pet lovers""), ""Pets"",
  REGEXMATCH(LOWER(VLOOKUP(A372, Data1_Raw_Slack!A:B, 2, FALSE)), ""games|gaming|game|xbox|playstation|nintendo|gamers""), ""Gaming"",
  REGEXMATCH(LOWER(VLOOKUP(A372, Data1"&amp;"_Raw_Slack!A:B, 2, FALSE)), ""entertainment|movies|tv|netflix|streaming|celebrity|movie lovers|tv fans|hobb|photo|art""), ""Entertainment"",
  REGEXMATCH(LOWER(VLOOKUP(A372, Data1_Raw_Slack!A:B, 2, FALSE)), ""lifestyle|home|interior|decor|living|lifestyle"&amp;" enthusiasts""), ""Lifestyle"",
  REGEXMATCH(LOWER(VLOOKUP(A372, Data1_Raw_Slack!A:B, 2, FALSE)), ""financial|finance|investing|stocks|retirement|banking|credit|debt|loans|savings|personal finance|insurance|econ|ecom|business|retail|occupation|sale|job|ma"&amp;"rketing""), ""Finance"",
  REGEXMATCH(LOWER(VLOOKUP(A372, Data1_Raw_Slack!A:B, 2, FALSE)), ""auto|automotive""), ""Auto"",
  REGEXMATCH(LOWER(VLOOKUP(A372, Data1_Raw_Slack!A:B, 2, FALSE)), ""parenting|moms|dads|kids|toddlers|baby|parent|children""), ""Par"&amp;"enting"",
  REGEXMATCH(LOWER(VLOOKUP(A372, Data1_Raw_Slack!A:B, 2, FALSE)), ""education|students|learning|school|teachers|college|university|academics""), ""Education"",
  REGEXMATCH(LOWER(VLOOKUP(A372, Data1_Raw_Slack!A:B, 2, FALSE)), ""age|gender|dem"&amp;"ographic|family|household""), ""Demographics"",
  REGEXMATCH(LOWER(VLOOKUP(A372, Data1_Raw_Slack!A:B, 2, FALSE)), ""mortgage|real estate""), ""Real Estate"",REGEXMATCH(LOWER(VLOOKUP(A372, Data1_Raw_Slack!A:B, 2, FALSE)), ""technology|tech|gadgets|smartpho"&amp;"ne|electro|apps|devices|computing|ai|robots|software|computer|internet|tele|mobile|tablet""), ""Technology"", REGEXMATCH(LOWER(VLOOKUP(A372, Data1_Raw_Slack!A:B, 2, FALSE)), ""entertainment|purchas|movies|tv|netflix|streaming|celebrity|movie lovers|tv fan"&amp;"s|media|hobb|photo|art|shop""), ""Entertainment"", REGEXMATCH(LOWER(VLOOKUP(A372, Data1_Raw_Slack!A:B, 2, FALSE)), ""law|government|""), ""Law and Government"",
  TRUE, ""Other""
)"),"Fashion and Beauty")</f>
        <v>Fashion and Beauty</v>
      </c>
      <c r="G372" s="9" t="s">
        <v>865</v>
      </c>
      <c r="H372" s="9" t="s">
        <v>32</v>
      </c>
      <c r="I372" s="9" t="s">
        <v>1414</v>
      </c>
      <c r="J372" s="9" t="s">
        <v>46</v>
      </c>
      <c r="K372" s="9" t="s">
        <v>176</v>
      </c>
      <c r="L372" s="9" t="s">
        <v>36</v>
      </c>
      <c r="M372" s="10" t="s">
        <v>1415</v>
      </c>
      <c r="N372" s="9" t="str">
        <f ca="1">IFERROR(__xludf.DUMMYFUNCTION("REGEXEXTRACT(LOWER(M372), ""([a-z0-9\-]+)\.(?:co|net|org|io|gg)"")"),"lensvid")</f>
        <v>lensvid</v>
      </c>
      <c r="O372" s="9" t="s">
        <v>725</v>
      </c>
      <c r="P372" s="9" t="s">
        <v>39</v>
      </c>
      <c r="Q372" s="9">
        <v>9014</v>
      </c>
      <c r="R372" s="9">
        <v>26</v>
      </c>
      <c r="S372" s="9">
        <v>5054</v>
      </c>
      <c r="T372" s="9">
        <v>7227</v>
      </c>
      <c r="U372" s="9">
        <v>4</v>
      </c>
      <c r="V372" s="11">
        <v>1539.60069</v>
      </c>
      <c r="W372" s="12">
        <f t="shared" si="7"/>
        <v>384.9001725</v>
      </c>
      <c r="X372" s="12">
        <f t="shared" si="8"/>
        <v>0.28844020412691368</v>
      </c>
      <c r="Y372" s="12">
        <f t="shared" si="9"/>
        <v>56.068338140670072</v>
      </c>
      <c r="Z372" s="12">
        <f t="shared" si="10"/>
        <v>304.63013256826275</v>
      </c>
      <c r="AA372" s="12">
        <f t="shared" si="11"/>
        <v>170.80105280674508</v>
      </c>
      <c r="AB372" s="12">
        <f t="shared" si="12"/>
        <v>59.215411153846155</v>
      </c>
      <c r="AC372" s="12">
        <f t="shared" si="13"/>
        <v>15.384615384615385</v>
      </c>
      <c r="AE372" s="13"/>
      <c r="AF372" s="13"/>
    </row>
    <row r="373" spans="1:32">
      <c r="A373" s="8" t="s">
        <v>1416</v>
      </c>
      <c r="B373" s="9" t="s">
        <v>874</v>
      </c>
      <c r="C373" s="9" t="s">
        <v>122</v>
      </c>
      <c r="D373" s="9" t="s">
        <v>1417</v>
      </c>
      <c r="E373" s="9" t="s">
        <v>1418</v>
      </c>
      <c r="F373" s="9" t="str">
        <f ca="1">IFERROR(__xludf.DUMMYFUNCTION("IFS(
  REGEXMATCH(LOWER(VLOOKUP(A373, Data1_Raw_Slack!A:B, 2, FALSE)), ""news|weather""), ""News and Weather"", REGEXMATCH(LOWER(VLOOKUP(A373, Data1_Raw_Slack!A:B, 2, FALSE)), ""sports|ufc|nba|nfl|mlb|soccer|sports fans""), ""Sports"",
  REGEXMATCH(LOWER("&amp;"VLOOKUP(A373, Data1_Raw_Slack!A:B, 2, FALSE)), ""fashion|style|clothing|apparel|shoes|accessories|beauty|cosmetics|fashionistas""), ""Fashion and Beauty"",
  REGEXMATCH(LOWER(VLOOKUP(A373, Data1_Raw_Slack!A:B, 2, FALSE)), ""food|cooking|recipe|restaurant|"&amp;"snack|grocery|foodies""), ""Food"",
  REGEXMATCH(LOWER(VLOOKUP(A373, Data1_Raw_Slack!A:B, 2, FALSE)), ""travel|vacation|airline|hotel|trip|flights|travelers""), ""Travel"",
  REGEXMATCH(LOWER(VLOOKUP(A373, Data1_Raw_Slack!A:B, 2, FALSE)), ""fitness|workou"&amp;"t|gym|exercise|yoga|wellness|fitness enthusiasts""), ""Fitness"",
  REGEXMATCH(LOWER(VLOOKUP(A373, Data1_Raw_Slack!A:B, 2, FALSE)), ""health|medical|pharmacy|mental health|doctor|health-conscious""), ""Health"",
  REGEXMATCH(LOWER(VLOOKUP(A373, Data1_Raw_"&amp;"Slack!A:B, 2, FALSE)), ""pets|dogs|cats|animals|pet care|pet lovers""), ""Pets"",
  REGEXMATCH(LOWER(VLOOKUP(A373, Data1_Raw_Slack!A:B, 2, FALSE)), ""games|gaming|game|xbox|playstation|nintendo|gamers""), ""Gaming"",
  REGEXMATCH(LOWER(VLOOKUP(A373, Data1"&amp;"_Raw_Slack!A:B, 2, FALSE)), ""entertainment|movies|tv|netflix|streaming|celebrity|movie lovers|tv fans|hobb|photo|art""), ""Entertainment"",
  REGEXMATCH(LOWER(VLOOKUP(A373, Data1_Raw_Slack!A:B, 2, FALSE)), ""lifestyle|home|interior|decor|living|lifestyle"&amp;" enthusiasts""), ""Lifestyle"",
  REGEXMATCH(LOWER(VLOOKUP(A373, Data1_Raw_Slack!A:B, 2, FALSE)), ""financial|finance|investing|stocks|retirement|banking|credit|debt|loans|savings|personal finance|insurance|econ|ecom|business|retail|occupation|sale|job|ma"&amp;"rketing""), ""Finance"",
  REGEXMATCH(LOWER(VLOOKUP(A373, Data1_Raw_Slack!A:B, 2, FALSE)), ""auto|automotive""), ""Auto"",
  REGEXMATCH(LOWER(VLOOKUP(A373, Data1_Raw_Slack!A:B, 2, FALSE)), ""parenting|moms|dads|kids|toddlers|baby|parent|children""), ""Par"&amp;"enting"",
  REGEXMATCH(LOWER(VLOOKUP(A373, Data1_Raw_Slack!A:B, 2, FALSE)), ""education|students|learning|school|teachers|college|university|academics""), ""Education"",
  REGEXMATCH(LOWER(VLOOKUP(A373, Data1_Raw_Slack!A:B, 2, FALSE)), ""age|gender|dem"&amp;"ographic|family|household""), ""Demographics"",
  REGEXMATCH(LOWER(VLOOKUP(A373, Data1_Raw_Slack!A:B, 2, FALSE)), ""mortgage|real estate""), ""Real Estate"",REGEXMATCH(LOWER(VLOOKUP(A373, Data1_Raw_Slack!A:B, 2, FALSE)), ""technology|tech|gadgets|smartpho"&amp;"ne|electro|apps|devices|computing|ai|robots|software|computer|internet|tele|mobile|tablet""), ""Technology"", REGEXMATCH(LOWER(VLOOKUP(A373, Data1_Raw_Slack!A:B, 2, FALSE)), ""entertainment|purchas|movies|tv|netflix|streaming|celebrity|movie lovers|tv fan"&amp;"s|media|hobb|photo|art|shop""), ""Entertainment"", REGEXMATCH(LOWER(VLOOKUP(A373, Data1_Raw_Slack!A:B, 2, FALSE)), ""law|government|""), ""Law and Government"",
  TRUE, ""Other""
)"),"Auto")</f>
        <v>Auto</v>
      </c>
      <c r="G373" s="9" t="s">
        <v>122</v>
      </c>
      <c r="H373" s="9" t="s">
        <v>32</v>
      </c>
      <c r="I373" s="9" t="s">
        <v>1419</v>
      </c>
      <c r="J373" s="9" t="s">
        <v>80</v>
      </c>
      <c r="K373" s="9" t="s">
        <v>88</v>
      </c>
      <c r="L373" s="9" t="s">
        <v>89</v>
      </c>
      <c r="M373" s="10" t="s">
        <v>1420</v>
      </c>
      <c r="N373" s="9" t="str">
        <f ca="1">IFERROR(__xludf.DUMMYFUNCTION("REGEXEXTRACT(LOWER(M373), ""([a-z0-9\-]+)\.(?:co|net|org|io|gg)"")"),"therighthairstyles")</f>
        <v>therighthairstyles</v>
      </c>
      <c r="O373" s="9" t="s">
        <v>186</v>
      </c>
      <c r="P373" s="9" t="s">
        <v>39</v>
      </c>
      <c r="Q373" s="9">
        <v>9157</v>
      </c>
      <c r="R373" s="9">
        <v>60</v>
      </c>
      <c r="S373" s="9">
        <v>4520</v>
      </c>
      <c r="T373" s="9">
        <v>8037</v>
      </c>
      <c r="U373" s="9">
        <v>2</v>
      </c>
      <c r="V373" s="11">
        <v>1449.1778039999999</v>
      </c>
      <c r="W373" s="12">
        <f t="shared" si="7"/>
        <v>724.58890199999996</v>
      </c>
      <c r="X373" s="12">
        <f t="shared" si="8"/>
        <v>0.65523643114557173</v>
      </c>
      <c r="Y373" s="12">
        <f t="shared" si="9"/>
        <v>49.361144479633069</v>
      </c>
      <c r="Z373" s="12">
        <f t="shared" si="10"/>
        <v>320.61455840707964</v>
      </c>
      <c r="AA373" s="12">
        <f t="shared" si="11"/>
        <v>158.25901539805611</v>
      </c>
      <c r="AB373" s="12">
        <f t="shared" si="12"/>
        <v>24.152963399999997</v>
      </c>
      <c r="AC373" s="12">
        <f t="shared" si="13"/>
        <v>3.3333333333333335</v>
      </c>
      <c r="AE373" s="13"/>
      <c r="AF373" s="13"/>
    </row>
    <row r="374" spans="1:32">
      <c r="A374" s="8" t="s">
        <v>1421</v>
      </c>
      <c r="B374" s="9" t="s">
        <v>41</v>
      </c>
      <c r="C374" s="9" t="s">
        <v>127</v>
      </c>
      <c r="D374" s="9" t="s">
        <v>53</v>
      </c>
      <c r="E374" s="9" t="s">
        <v>1422</v>
      </c>
      <c r="F374" s="9" t="str">
        <f ca="1">IFERROR(__xludf.DUMMYFUNCTION("IFS(
  REGEXMATCH(LOWER(VLOOKUP(A374, Data1_Raw_Slack!A:B, 2, FALSE)), ""news|weather""), ""News and Weather"", REGEXMATCH(LOWER(VLOOKUP(A374, Data1_Raw_Slack!A:B, 2, FALSE)), ""sports|ufc|nba|nfl|mlb|soccer|sports fans""), ""Sports"",
  REGEXMATCH(LOWER("&amp;"VLOOKUP(A374, Data1_Raw_Slack!A:B, 2, FALSE)), ""fashion|style|clothing|apparel|shoes|accessories|beauty|cosmetics|fashionistas""), ""Fashion and Beauty"",
  REGEXMATCH(LOWER(VLOOKUP(A374, Data1_Raw_Slack!A:B, 2, FALSE)), ""food|cooking|recipe|restaurant|"&amp;"snack|grocery|foodies""), ""Food"",
  REGEXMATCH(LOWER(VLOOKUP(A374, Data1_Raw_Slack!A:B, 2, FALSE)), ""travel|vacation|airline|hotel|trip|flights|travelers""), ""Travel"",
  REGEXMATCH(LOWER(VLOOKUP(A374, Data1_Raw_Slack!A:B, 2, FALSE)), ""fitness|workou"&amp;"t|gym|exercise|yoga|wellness|fitness enthusiasts""), ""Fitness"",
  REGEXMATCH(LOWER(VLOOKUP(A374, Data1_Raw_Slack!A:B, 2, FALSE)), ""health|medical|pharmacy|mental health|doctor|health-conscious""), ""Health"",
  REGEXMATCH(LOWER(VLOOKUP(A374, Data1_Raw_"&amp;"Slack!A:B, 2, FALSE)), ""pets|dogs|cats|animals|pet care|pet lovers""), ""Pets"",
  REGEXMATCH(LOWER(VLOOKUP(A374, Data1_Raw_Slack!A:B, 2, FALSE)), ""games|gaming|game|xbox|playstation|nintendo|gamers""), ""Gaming"",
  REGEXMATCH(LOWER(VLOOKUP(A374, Data1"&amp;"_Raw_Slack!A:B, 2, FALSE)), ""entertainment|movies|tv|netflix|streaming|celebrity|movie lovers|tv fans|hobb|photo|art""), ""Entertainment"",
  REGEXMATCH(LOWER(VLOOKUP(A374, Data1_Raw_Slack!A:B, 2, FALSE)), ""lifestyle|home|interior|decor|living|lifestyle"&amp;" enthusiasts""), ""Lifestyle"",
  REGEXMATCH(LOWER(VLOOKUP(A374, Data1_Raw_Slack!A:B, 2, FALSE)), ""financial|finance|investing|stocks|retirement|banking|credit|debt|loans|savings|personal finance|insurance|econ|ecom|business|retail|occupation|sale|job|ma"&amp;"rketing""), ""Finance"",
  REGEXMATCH(LOWER(VLOOKUP(A374, Data1_Raw_Slack!A:B, 2, FALSE)), ""auto|automotive""), ""Auto"",
  REGEXMATCH(LOWER(VLOOKUP(A374, Data1_Raw_Slack!A:B, 2, FALSE)), ""parenting|moms|dads|kids|toddlers|baby|parent|children""), ""Par"&amp;"enting"",
  REGEXMATCH(LOWER(VLOOKUP(A374, Data1_Raw_Slack!A:B, 2, FALSE)), ""education|students|learning|school|teachers|college|university|academics""), ""Education"",
  REGEXMATCH(LOWER(VLOOKUP(A374, Data1_Raw_Slack!A:B, 2, FALSE)), ""age|gender|dem"&amp;"ographic|family|household""), ""Demographics"",
  REGEXMATCH(LOWER(VLOOKUP(A374, Data1_Raw_Slack!A:B, 2, FALSE)), ""mortgage|real estate""), ""Real Estate"",REGEXMATCH(LOWER(VLOOKUP(A374, Data1_Raw_Slack!A:B, 2, FALSE)), ""technology|tech|gadgets|smartpho"&amp;"ne|electro|apps|devices|computing|ai|robots|software|computer|internet|tele|mobile|tablet""), ""Technology"", REGEXMATCH(LOWER(VLOOKUP(A374, Data1_Raw_Slack!A:B, 2, FALSE)), ""entertainment|purchas|movies|tv|netflix|streaming|celebrity|movie lovers|tv fan"&amp;"s|media|hobb|photo|art|shop""), ""Entertainment"", REGEXMATCH(LOWER(VLOOKUP(A374, Data1_Raw_Slack!A:B, 2, FALSE)), ""law|government|""), ""Law and Government"",
  TRUE, ""Other""
)"),"Lifestyle")</f>
        <v>Lifestyle</v>
      </c>
      <c r="G374" s="9" t="s">
        <v>127</v>
      </c>
      <c r="H374" s="9" t="s">
        <v>44</v>
      </c>
      <c r="I374" s="9" t="s">
        <v>1323</v>
      </c>
      <c r="J374" s="9" t="s">
        <v>46</v>
      </c>
      <c r="K374" s="9" t="s">
        <v>71</v>
      </c>
      <c r="L374" s="9" t="s">
        <v>72</v>
      </c>
      <c r="M374" s="10" t="s">
        <v>284</v>
      </c>
      <c r="N374" s="9" t="str">
        <f ca="1">IFERROR(__xludf.DUMMYFUNCTION("REGEXEXTRACT(LOWER(M374), ""([a-z0-9\-]+)\.(?:co|net|org|io|gg)"")"),"bbc")</f>
        <v>bbc</v>
      </c>
      <c r="O374" s="9" t="s">
        <v>50</v>
      </c>
      <c r="P374" s="9" t="s">
        <v>39</v>
      </c>
      <c r="Q374" s="9">
        <v>53464</v>
      </c>
      <c r="R374" s="9">
        <v>212</v>
      </c>
      <c r="S374" s="9">
        <v>22151</v>
      </c>
      <c r="T374" s="9">
        <v>49058</v>
      </c>
      <c r="U374" s="9">
        <v>9</v>
      </c>
      <c r="V374" s="11">
        <v>5741.0980449999997</v>
      </c>
      <c r="W374" s="12">
        <f t="shared" si="7"/>
        <v>637.89978277777777</v>
      </c>
      <c r="X374" s="12">
        <f t="shared" si="8"/>
        <v>0.39652850516235222</v>
      </c>
      <c r="Y374" s="12">
        <f t="shared" si="9"/>
        <v>41.431617537034263</v>
      </c>
      <c r="Z374" s="12">
        <f t="shared" si="10"/>
        <v>259.18008419484443</v>
      </c>
      <c r="AA374" s="12">
        <f t="shared" si="11"/>
        <v>107.38250121577136</v>
      </c>
      <c r="AB374" s="12">
        <f t="shared" si="12"/>
        <v>27.080651155660377</v>
      </c>
      <c r="AC374" s="12">
        <f t="shared" si="13"/>
        <v>4.2452830188679247</v>
      </c>
      <c r="AE374" s="13"/>
      <c r="AF374" s="13"/>
    </row>
    <row r="375" spans="1:32">
      <c r="A375" s="8" t="s">
        <v>1423</v>
      </c>
      <c r="B375" s="9" t="s">
        <v>41</v>
      </c>
      <c r="C375" s="9" t="s">
        <v>154</v>
      </c>
      <c r="D375" s="9" t="s">
        <v>152</v>
      </c>
      <c r="E375" s="9" t="s">
        <v>460</v>
      </c>
      <c r="F375" s="9" t="str">
        <f ca="1">IFERROR(__xludf.DUMMYFUNCTION("IFS(
  REGEXMATCH(LOWER(VLOOKUP(A375, Data1_Raw_Slack!A:B, 2, FALSE)), ""news|weather""), ""News and Weather"", REGEXMATCH(LOWER(VLOOKUP(A375, Data1_Raw_Slack!A:B, 2, FALSE)), ""sports|ufc|nba|nfl|mlb|soccer|sports fans""), ""Sports"",
  REGEXMATCH(LOWER("&amp;"VLOOKUP(A375, Data1_Raw_Slack!A:B, 2, FALSE)), ""fashion|style|clothing|apparel|shoes|accessories|beauty|cosmetics|fashionistas""), ""Fashion and Beauty"",
  REGEXMATCH(LOWER(VLOOKUP(A375, Data1_Raw_Slack!A:B, 2, FALSE)), ""food|cooking|recipe|restaurant|"&amp;"snack|grocery|foodies""), ""Food"",
  REGEXMATCH(LOWER(VLOOKUP(A375, Data1_Raw_Slack!A:B, 2, FALSE)), ""travel|vacation|airline|hotel|trip|flights|travelers""), ""Travel"",
  REGEXMATCH(LOWER(VLOOKUP(A375, Data1_Raw_Slack!A:B, 2, FALSE)), ""fitness|workou"&amp;"t|gym|exercise|yoga|wellness|fitness enthusiasts""), ""Fitness"",
  REGEXMATCH(LOWER(VLOOKUP(A375, Data1_Raw_Slack!A:B, 2, FALSE)), ""health|medical|pharmacy|mental health|doctor|health-conscious""), ""Health"",
  REGEXMATCH(LOWER(VLOOKUP(A375, Data1_Raw_"&amp;"Slack!A:B, 2, FALSE)), ""pets|dogs|cats|animals|pet care|pet lovers""), ""Pets"",
  REGEXMATCH(LOWER(VLOOKUP(A375, Data1_Raw_Slack!A:B, 2, FALSE)), ""games|gaming|game|xbox|playstation|nintendo|gamers""), ""Gaming"",
  REGEXMATCH(LOWER(VLOOKUP(A375, Data1"&amp;"_Raw_Slack!A:B, 2, FALSE)), ""entertainment|movies|tv|netflix|streaming|celebrity|movie lovers|tv fans|hobb|photo|art""), ""Entertainment"",
  REGEXMATCH(LOWER(VLOOKUP(A375, Data1_Raw_Slack!A:B, 2, FALSE)), ""lifestyle|home|interior|decor|living|lifestyle"&amp;" enthusiasts""), ""Lifestyle"",
  REGEXMATCH(LOWER(VLOOKUP(A375, Data1_Raw_Slack!A:B, 2, FALSE)), ""financial|finance|investing|stocks|retirement|banking|credit|debt|loans|savings|personal finance|insurance|econ|ecom|business|retail|occupation|sale|job|ma"&amp;"rketing""), ""Finance"",
  REGEXMATCH(LOWER(VLOOKUP(A375, Data1_Raw_Slack!A:B, 2, FALSE)), ""auto|automotive""), ""Auto"",
  REGEXMATCH(LOWER(VLOOKUP(A375, Data1_Raw_Slack!A:B, 2, FALSE)), ""parenting|moms|dads|kids|toddlers|baby|parent|children""), ""Par"&amp;"enting"",
  REGEXMATCH(LOWER(VLOOKUP(A375, Data1_Raw_Slack!A:B, 2, FALSE)), ""education|students|learning|school|teachers|college|university|academics""), ""Education"",
  REGEXMATCH(LOWER(VLOOKUP(A375, Data1_Raw_Slack!A:B, 2, FALSE)), ""age|gender|dem"&amp;"ographic|family|household""), ""Demographics"",
  REGEXMATCH(LOWER(VLOOKUP(A375, Data1_Raw_Slack!A:B, 2, FALSE)), ""mortgage|real estate""), ""Real Estate"",REGEXMATCH(LOWER(VLOOKUP(A375, Data1_Raw_Slack!A:B, 2, FALSE)), ""technology|tech|gadgets|smartpho"&amp;"ne|electro|apps|devices|computing|ai|robots|software|computer|internet|tele|mobile|tablet""), ""Technology"", REGEXMATCH(LOWER(VLOOKUP(A375, Data1_Raw_Slack!A:B, 2, FALSE)), ""entertainment|purchas|movies|tv|netflix|streaming|celebrity|movie lovers|tv fan"&amp;"s|media|hobb|photo|art|shop""), ""Entertainment"", REGEXMATCH(LOWER(VLOOKUP(A375, Data1_Raw_Slack!A:B, 2, FALSE)), ""law|government|""), ""Law and Government"",
  TRUE, ""Other""
)"),"Sports")</f>
        <v>Sports</v>
      </c>
      <c r="G375" s="9" t="s">
        <v>154</v>
      </c>
      <c r="H375" s="9" t="s">
        <v>44</v>
      </c>
      <c r="I375" s="9" t="s">
        <v>79</v>
      </c>
      <c r="J375" s="9" t="s">
        <v>46</v>
      </c>
      <c r="K375" s="9" t="s">
        <v>56</v>
      </c>
      <c r="L375" s="9" t="s">
        <v>57</v>
      </c>
      <c r="M375" s="10" t="s">
        <v>156</v>
      </c>
      <c r="N375" s="9" t="str">
        <f ca="1">IFERROR(__xludf.DUMMYFUNCTION("REGEXEXTRACT(LOWER(M375), ""([a-z0-9\-]+)\.(?:co|net|org|io|gg)"")"),"aol")</f>
        <v>aol</v>
      </c>
      <c r="O375" s="9" t="s">
        <v>74</v>
      </c>
      <c r="P375" s="9" t="s">
        <v>75</v>
      </c>
      <c r="Q375" s="9">
        <v>19379</v>
      </c>
      <c r="R375" s="9">
        <v>49</v>
      </c>
      <c r="S375" s="9">
        <v>12168</v>
      </c>
      <c r="T375" s="9">
        <v>16616</v>
      </c>
      <c r="U375" s="9">
        <v>97</v>
      </c>
      <c r="V375" s="11">
        <v>7294.1000009999998</v>
      </c>
      <c r="W375" s="12">
        <f t="shared" si="7"/>
        <v>75.196907226804115</v>
      </c>
      <c r="X375" s="12">
        <f t="shared" si="8"/>
        <v>0.25285102430465972</v>
      </c>
      <c r="Y375" s="12">
        <f t="shared" si="9"/>
        <v>62.789617627328553</v>
      </c>
      <c r="Z375" s="12">
        <f t="shared" si="10"/>
        <v>599.44937549309668</v>
      </c>
      <c r="AA375" s="12">
        <f t="shared" si="11"/>
        <v>376.39197074152429</v>
      </c>
      <c r="AB375" s="12">
        <f t="shared" si="12"/>
        <v>148.85918369387755</v>
      </c>
      <c r="AC375" s="12">
        <f t="shared" si="13"/>
        <v>197.9591836734694</v>
      </c>
      <c r="AE375" s="13"/>
      <c r="AF375" s="13"/>
    </row>
    <row r="376" spans="1:32">
      <c r="A376" s="8" t="s">
        <v>1424</v>
      </c>
      <c r="B376" s="9" t="s">
        <v>41</v>
      </c>
      <c r="C376" s="9" t="s">
        <v>214</v>
      </c>
      <c r="D376" s="9" t="s">
        <v>215</v>
      </c>
      <c r="E376" s="9" t="s">
        <v>1425</v>
      </c>
      <c r="F376" s="9" t="str">
        <f ca="1">IFERROR(__xludf.DUMMYFUNCTION("IFS(
  REGEXMATCH(LOWER(VLOOKUP(A376, Data1_Raw_Slack!A:B, 2, FALSE)), ""news|weather""), ""News and Weather"", REGEXMATCH(LOWER(VLOOKUP(A376, Data1_Raw_Slack!A:B, 2, FALSE)), ""sports|ufc|nba|nfl|mlb|soccer|sports fans""), ""Sports"",
  REGEXMATCH(LOWER("&amp;"VLOOKUP(A376, Data1_Raw_Slack!A:B, 2, FALSE)), ""fashion|style|clothing|apparel|shoes|accessories|beauty|cosmetics|fashionistas""), ""Fashion and Beauty"",
  REGEXMATCH(LOWER(VLOOKUP(A376, Data1_Raw_Slack!A:B, 2, FALSE)), ""food|cooking|recipe|restaurant|"&amp;"snack|grocery|foodies""), ""Food"",
  REGEXMATCH(LOWER(VLOOKUP(A376, Data1_Raw_Slack!A:B, 2, FALSE)), ""travel|vacation|airline|hotel|trip|flights|travelers""), ""Travel"",
  REGEXMATCH(LOWER(VLOOKUP(A376, Data1_Raw_Slack!A:B, 2, FALSE)), ""fitness|workou"&amp;"t|gym|exercise|yoga|wellness|fitness enthusiasts""), ""Fitness"",
  REGEXMATCH(LOWER(VLOOKUP(A376, Data1_Raw_Slack!A:B, 2, FALSE)), ""health|medical|pharmacy|mental health|doctor|health-conscious""), ""Health"",
  REGEXMATCH(LOWER(VLOOKUP(A376, Data1_Raw_"&amp;"Slack!A:B, 2, FALSE)), ""pets|dogs|cats|animals|pet care|pet lovers""), ""Pets"",
  REGEXMATCH(LOWER(VLOOKUP(A376, Data1_Raw_Slack!A:B, 2, FALSE)), ""games|gaming|game|xbox|playstation|nintendo|gamers""), ""Gaming"",
  REGEXMATCH(LOWER(VLOOKUP(A376, Data1"&amp;"_Raw_Slack!A:B, 2, FALSE)), ""entertainment|movies|tv|netflix|streaming|celebrity|movie lovers|tv fans|hobb|photo|art""), ""Entertainment"",
  REGEXMATCH(LOWER(VLOOKUP(A376, Data1_Raw_Slack!A:B, 2, FALSE)), ""lifestyle|home|interior|decor|living|lifestyle"&amp;" enthusiasts""), ""Lifestyle"",
  REGEXMATCH(LOWER(VLOOKUP(A376, Data1_Raw_Slack!A:B, 2, FALSE)), ""financial|finance|investing|stocks|retirement|banking|credit|debt|loans|savings|personal finance|insurance|econ|ecom|business|retail|occupation|sale|job|ma"&amp;"rketing""), ""Finance"",
  REGEXMATCH(LOWER(VLOOKUP(A376, Data1_Raw_Slack!A:B, 2, FALSE)), ""auto|automotive""), ""Auto"",
  REGEXMATCH(LOWER(VLOOKUP(A376, Data1_Raw_Slack!A:B, 2, FALSE)), ""parenting|moms|dads|kids|toddlers|baby|parent|children""), ""Par"&amp;"enting"",
  REGEXMATCH(LOWER(VLOOKUP(A376, Data1_Raw_Slack!A:B, 2, FALSE)), ""education|students|learning|school|teachers|college|university|academics""), ""Education"",
  REGEXMATCH(LOWER(VLOOKUP(A376, Data1_Raw_Slack!A:B, 2, FALSE)), ""age|gender|dem"&amp;"ographic|family|household""), ""Demographics"",
  REGEXMATCH(LOWER(VLOOKUP(A376, Data1_Raw_Slack!A:B, 2, FALSE)), ""mortgage|real estate""), ""Real Estate"",REGEXMATCH(LOWER(VLOOKUP(A376, Data1_Raw_Slack!A:B, 2, FALSE)), ""technology|tech|gadgets|smartpho"&amp;"ne|electro|apps|devices|computing|ai|robots|software|computer|internet|tele|mobile|tablet""), ""Technology"", REGEXMATCH(LOWER(VLOOKUP(A376, Data1_Raw_Slack!A:B, 2, FALSE)), ""entertainment|purchas|movies|tv|netflix|streaming|celebrity|movie lovers|tv fan"&amp;"s|media|hobb|photo|art|shop""), ""Entertainment"", REGEXMATCH(LOWER(VLOOKUP(A376, Data1_Raw_Slack!A:B, 2, FALSE)), ""law|government|""), ""Law and Government"",
  TRUE, ""Other""
)"),"Demographics")</f>
        <v>Demographics</v>
      </c>
      <c r="G376" s="9"/>
      <c r="H376" s="9" t="s">
        <v>44</v>
      </c>
      <c r="I376" s="9" t="s">
        <v>1426</v>
      </c>
      <c r="J376" s="9" t="s">
        <v>80</v>
      </c>
      <c r="K376" s="9" t="s">
        <v>148</v>
      </c>
      <c r="L376" s="9" t="s">
        <v>89</v>
      </c>
      <c r="M376" s="10" t="s">
        <v>1427</v>
      </c>
      <c r="N376" s="9" t="str">
        <f ca="1">IFERROR(__xludf.DUMMYFUNCTION("REGEXEXTRACT(LOWER(M376), ""([a-z0-9\-]+)\.(?:co|net|org|io|gg)"")"),"go")</f>
        <v>go</v>
      </c>
      <c r="O376" s="9" t="s">
        <v>50</v>
      </c>
      <c r="P376" s="9" t="s">
        <v>64</v>
      </c>
      <c r="Q376" s="9">
        <v>10524</v>
      </c>
      <c r="R376" s="9">
        <v>55</v>
      </c>
      <c r="S376" s="9">
        <v>7601</v>
      </c>
      <c r="T376" s="9">
        <v>10242</v>
      </c>
      <c r="U376" s="9">
        <v>11</v>
      </c>
      <c r="V376" s="11">
        <v>6136.1339019999996</v>
      </c>
      <c r="W376" s="12">
        <f t="shared" si="7"/>
        <v>557.83035472727272</v>
      </c>
      <c r="X376" s="12">
        <f t="shared" si="8"/>
        <v>0.5226149752945648</v>
      </c>
      <c r="Y376" s="12">
        <f t="shared" si="9"/>
        <v>72.225389585708854</v>
      </c>
      <c r="Z376" s="12">
        <f t="shared" si="10"/>
        <v>807.27981870806468</v>
      </c>
      <c r="AA376" s="12">
        <f t="shared" si="11"/>
        <v>583.06099410870377</v>
      </c>
      <c r="AB376" s="12">
        <f t="shared" si="12"/>
        <v>111.56607094545454</v>
      </c>
      <c r="AC376" s="12">
        <f t="shared" si="13"/>
        <v>20</v>
      </c>
      <c r="AE376" s="13"/>
      <c r="AF376" s="13"/>
    </row>
    <row r="377" spans="1:32">
      <c r="A377" s="8" t="s">
        <v>1428</v>
      </c>
      <c r="B377" s="9" t="s">
        <v>144</v>
      </c>
      <c r="C377" s="9" t="s">
        <v>1429</v>
      </c>
      <c r="D377" s="9" t="s">
        <v>1430</v>
      </c>
      <c r="E377" s="9"/>
      <c r="F377" s="9" t="str">
        <f ca="1">IFERROR(__xludf.DUMMYFUNCTION("IFS(
  REGEXMATCH(LOWER(VLOOKUP(A377, Data1_Raw_Slack!A:B, 2, FALSE)), ""news|weather""), ""News and Weather"", REGEXMATCH(LOWER(VLOOKUP(A377, Data1_Raw_Slack!A:B, 2, FALSE)), ""sports|ufc|nba|nfl|mlb|soccer|sports fans""), ""Sports"",
  REGEXMATCH(LOWER("&amp;"VLOOKUP(A377, Data1_Raw_Slack!A:B, 2, FALSE)), ""fashion|style|clothing|apparel|shoes|accessories|beauty|cosmetics|fashionistas""), ""Fashion and Beauty"",
  REGEXMATCH(LOWER(VLOOKUP(A377, Data1_Raw_Slack!A:B, 2, FALSE)), ""food|cooking|recipe|restaurant|"&amp;"snack|grocery|foodies""), ""Food"",
  REGEXMATCH(LOWER(VLOOKUP(A377, Data1_Raw_Slack!A:B, 2, FALSE)), ""travel|vacation|airline|hotel|trip|flights|travelers""), ""Travel"",
  REGEXMATCH(LOWER(VLOOKUP(A377, Data1_Raw_Slack!A:B, 2, FALSE)), ""fitness|workou"&amp;"t|gym|exercise|yoga|wellness|fitness enthusiasts""), ""Fitness"",
  REGEXMATCH(LOWER(VLOOKUP(A377, Data1_Raw_Slack!A:B, 2, FALSE)), ""health|medical|pharmacy|mental health|doctor|health-conscious""), ""Health"",
  REGEXMATCH(LOWER(VLOOKUP(A377, Data1_Raw_"&amp;"Slack!A:B, 2, FALSE)), ""pets|dogs|cats|animals|pet care|pet lovers""), ""Pets"",
  REGEXMATCH(LOWER(VLOOKUP(A377, Data1_Raw_Slack!A:B, 2, FALSE)), ""games|gaming|game|xbox|playstation|nintendo|gamers""), ""Gaming"",
  REGEXMATCH(LOWER(VLOOKUP(A377, Data1"&amp;"_Raw_Slack!A:B, 2, FALSE)), ""entertainment|movies|tv|netflix|streaming|celebrity|movie lovers|tv fans|hobb|photo|art""), ""Entertainment"",
  REGEXMATCH(LOWER(VLOOKUP(A377, Data1_Raw_Slack!A:B, 2, FALSE)), ""lifestyle|home|interior|decor|living|lifestyle"&amp;" enthusiasts""), ""Lifestyle"",
  REGEXMATCH(LOWER(VLOOKUP(A377, Data1_Raw_Slack!A:B, 2, FALSE)), ""financial|finance|investing|stocks|retirement|banking|credit|debt|loans|savings|personal finance|insurance|econ|ecom|business|retail|occupation|sale|job|ma"&amp;"rketing""), ""Finance"",
  REGEXMATCH(LOWER(VLOOKUP(A377, Data1_Raw_Slack!A:B, 2, FALSE)), ""auto|automotive""), ""Auto"",
  REGEXMATCH(LOWER(VLOOKUP(A377, Data1_Raw_Slack!A:B, 2, FALSE)), ""parenting|moms|dads|kids|toddlers|baby|parent|children""), ""Par"&amp;"enting"",
  REGEXMATCH(LOWER(VLOOKUP(A377, Data1_Raw_Slack!A:B, 2, FALSE)), ""education|students|learning|school|teachers|college|university|academics""), ""Education"",
  REGEXMATCH(LOWER(VLOOKUP(A377, Data1_Raw_Slack!A:B, 2, FALSE)), ""age|gender|dem"&amp;"ographic|family|household""), ""Demographics"",
  REGEXMATCH(LOWER(VLOOKUP(A377, Data1_Raw_Slack!A:B, 2, FALSE)), ""mortgage|real estate""), ""Real Estate"",REGEXMATCH(LOWER(VLOOKUP(A377, Data1_Raw_Slack!A:B, 2, FALSE)), ""technology|tech|gadgets|smartpho"&amp;"ne|electro|apps|devices|computing|ai|robots|software|computer|internet|tele|mobile|tablet""), ""Technology"", REGEXMATCH(LOWER(VLOOKUP(A377, Data1_Raw_Slack!A:B, 2, FALSE)), ""entertainment|purchas|movies|tv|netflix|streaming|celebrity|movie lovers|tv fan"&amp;"s|media|hobb|photo|art|shop""), ""Entertainment"", REGEXMATCH(LOWER(VLOOKUP(A377, Data1_Raw_Slack!A:B, 2, FALSE)), ""law|government|""), ""Law and Government"",
  TRUE, ""Other""
)"),"Entertainment")</f>
        <v>Entertainment</v>
      </c>
      <c r="G377" s="9" t="s">
        <v>69</v>
      </c>
      <c r="H377" s="9" t="s">
        <v>44</v>
      </c>
      <c r="I377" s="9" t="s">
        <v>1431</v>
      </c>
      <c r="J377" s="9" t="s">
        <v>80</v>
      </c>
      <c r="K377" s="9" t="s">
        <v>148</v>
      </c>
      <c r="L377" s="9" t="s">
        <v>89</v>
      </c>
      <c r="M377" s="10" t="s">
        <v>386</v>
      </c>
      <c r="N377" s="9" t="str">
        <f ca="1">IFERROR(__xludf.DUMMYFUNCTION("REGEXEXTRACT(LOWER(M377), ""([a-z0-9\-]+)\.(?:co|net|org|io|gg)"")"),"timeanddate")</f>
        <v>timeanddate</v>
      </c>
      <c r="O377" s="9" t="s">
        <v>131</v>
      </c>
      <c r="P377" s="9" t="s">
        <v>75</v>
      </c>
      <c r="Q377" s="9">
        <v>22934</v>
      </c>
      <c r="R377" s="9">
        <v>81</v>
      </c>
      <c r="S377" s="9">
        <v>18536</v>
      </c>
      <c r="T377" s="9">
        <v>21019</v>
      </c>
      <c r="U377" s="9">
        <v>5</v>
      </c>
      <c r="V377" s="11">
        <v>1711.1063380000001</v>
      </c>
      <c r="W377" s="12">
        <f t="shared" si="7"/>
        <v>342.22126760000003</v>
      </c>
      <c r="X377" s="12">
        <f t="shared" si="8"/>
        <v>0.35318740734280984</v>
      </c>
      <c r="Y377" s="12">
        <f t="shared" si="9"/>
        <v>80.823231882794104</v>
      </c>
      <c r="Z377" s="12">
        <f t="shared" si="10"/>
        <v>92.312599158394477</v>
      </c>
      <c r="AA377" s="12">
        <f t="shared" si="11"/>
        <v>74.610026074823409</v>
      </c>
      <c r="AB377" s="12">
        <f t="shared" si="12"/>
        <v>21.124769604938272</v>
      </c>
      <c r="AC377" s="12">
        <f t="shared" si="13"/>
        <v>6.1728395061728394</v>
      </c>
      <c r="AE377" s="13"/>
      <c r="AF377" s="13"/>
    </row>
    <row r="378" spans="1:32">
      <c r="A378" s="8" t="s">
        <v>1432</v>
      </c>
      <c r="B378" s="9" t="s">
        <v>41</v>
      </c>
      <c r="C378" s="9" t="s">
        <v>120</v>
      </c>
      <c r="D378" s="9" t="s">
        <v>1433</v>
      </c>
      <c r="E378" s="9"/>
      <c r="F378" s="9" t="str">
        <f ca="1">IFERROR(__xludf.DUMMYFUNCTION("IFS(
  REGEXMATCH(LOWER(VLOOKUP(A378, Data1_Raw_Slack!A:B, 2, FALSE)), ""news|weather""), ""News and Weather"", REGEXMATCH(LOWER(VLOOKUP(A378, Data1_Raw_Slack!A:B, 2, FALSE)), ""sports|ufc|nba|nfl|mlb|soccer|sports fans""), ""Sports"",
  REGEXMATCH(LOWER("&amp;"VLOOKUP(A378, Data1_Raw_Slack!A:B, 2, FALSE)), ""fashion|style|clothing|apparel|shoes|accessories|beauty|cosmetics|fashionistas""), ""Fashion and Beauty"",
  REGEXMATCH(LOWER(VLOOKUP(A378, Data1_Raw_Slack!A:B, 2, FALSE)), ""food|cooking|recipe|restaurant|"&amp;"snack|grocery|foodies""), ""Food"",
  REGEXMATCH(LOWER(VLOOKUP(A378, Data1_Raw_Slack!A:B, 2, FALSE)), ""travel|vacation|airline|hotel|trip|flights|travelers""), ""Travel"",
  REGEXMATCH(LOWER(VLOOKUP(A378, Data1_Raw_Slack!A:B, 2, FALSE)), ""fitness|workou"&amp;"t|gym|exercise|yoga|wellness|fitness enthusiasts""), ""Fitness"",
  REGEXMATCH(LOWER(VLOOKUP(A378, Data1_Raw_Slack!A:B, 2, FALSE)), ""health|medical|pharmacy|mental health|doctor|health-conscious""), ""Health"",
  REGEXMATCH(LOWER(VLOOKUP(A378, Data1_Raw_"&amp;"Slack!A:B, 2, FALSE)), ""pets|dogs|cats|animals|pet care|pet lovers""), ""Pets"",
  REGEXMATCH(LOWER(VLOOKUP(A378, Data1_Raw_Slack!A:B, 2, FALSE)), ""games|gaming|game|xbox|playstation|nintendo|gamers""), ""Gaming"",
  REGEXMATCH(LOWER(VLOOKUP(A378, Data1"&amp;"_Raw_Slack!A:B, 2, FALSE)), ""entertainment|movies|tv|netflix|streaming|celebrity|movie lovers|tv fans|hobb|photo|art""), ""Entertainment"",
  REGEXMATCH(LOWER(VLOOKUP(A378, Data1_Raw_Slack!A:B, 2, FALSE)), ""lifestyle|home|interior|decor|living|lifestyle"&amp;" enthusiasts""), ""Lifestyle"",
  REGEXMATCH(LOWER(VLOOKUP(A378, Data1_Raw_Slack!A:B, 2, FALSE)), ""financial|finance|investing|stocks|retirement|banking|credit|debt|loans|savings|personal finance|insurance|econ|ecom|business|retail|occupation|sale|job|ma"&amp;"rketing""), ""Finance"",
  REGEXMATCH(LOWER(VLOOKUP(A378, Data1_Raw_Slack!A:B, 2, FALSE)), ""auto|automotive""), ""Auto"",
  REGEXMATCH(LOWER(VLOOKUP(A378, Data1_Raw_Slack!A:B, 2, FALSE)), ""parenting|moms|dads|kids|toddlers|baby|parent|children""), ""Par"&amp;"enting"",
  REGEXMATCH(LOWER(VLOOKUP(A378, Data1_Raw_Slack!A:B, 2, FALSE)), ""education|students|learning|school|teachers|college|university|academics""), ""Education"",
  REGEXMATCH(LOWER(VLOOKUP(A378, Data1_Raw_Slack!A:B, 2, FALSE)), ""age|gender|dem"&amp;"ographic|family|household""), ""Demographics"",
  REGEXMATCH(LOWER(VLOOKUP(A378, Data1_Raw_Slack!A:B, 2, FALSE)), ""mortgage|real estate""), ""Real Estate"",REGEXMATCH(LOWER(VLOOKUP(A378, Data1_Raw_Slack!A:B, 2, FALSE)), ""technology|tech|gadgets|smartpho"&amp;"ne|electro|apps|devices|computing|ai|robots|software|computer|internet|tele|mobile|tablet""), ""Technology"", REGEXMATCH(LOWER(VLOOKUP(A378, Data1_Raw_Slack!A:B, 2, FALSE)), ""entertainment|purchas|movies|tv|netflix|streaming|celebrity|movie lovers|tv fan"&amp;"s|media|hobb|photo|art|shop""), ""Entertainment"", REGEXMATCH(LOWER(VLOOKUP(A378, Data1_Raw_Slack!A:B, 2, FALSE)), ""law|government|""), ""Law and Government"",
  TRUE, ""Other""
)"),"Auto")</f>
        <v>Auto</v>
      </c>
      <c r="G378" s="9" t="s">
        <v>122</v>
      </c>
      <c r="H378" s="9" t="s">
        <v>44</v>
      </c>
      <c r="I378" s="9" t="s">
        <v>1434</v>
      </c>
      <c r="J378" s="9" t="s">
        <v>62</v>
      </c>
      <c r="K378" s="9" t="s">
        <v>71</v>
      </c>
      <c r="L378" s="9" t="s">
        <v>72</v>
      </c>
      <c r="M378" s="10" t="s">
        <v>191</v>
      </c>
      <c r="N378" s="9" t="str">
        <f ca="1">IFERROR(__xludf.DUMMYFUNCTION("REGEXEXTRACT(LOWER(M378), ""([a-z0-9\-]+)\.(?:co|net|org|io|gg)"")"),"autotrader")</f>
        <v>autotrader</v>
      </c>
      <c r="O378" s="9" t="s">
        <v>103</v>
      </c>
      <c r="P378" s="9" t="s">
        <v>39</v>
      </c>
      <c r="Q378" s="9">
        <v>43057</v>
      </c>
      <c r="R378" s="9">
        <v>122</v>
      </c>
      <c r="S378" s="9">
        <v>23767</v>
      </c>
      <c r="T378" s="9">
        <v>41484</v>
      </c>
      <c r="U378" s="9">
        <v>7</v>
      </c>
      <c r="V378" s="11">
        <v>5884.9313940000002</v>
      </c>
      <c r="W378" s="12">
        <f t="shared" si="7"/>
        <v>840.70448485714292</v>
      </c>
      <c r="X378" s="12">
        <f t="shared" si="8"/>
        <v>0.28334533293076619</v>
      </c>
      <c r="Y378" s="12">
        <f t="shared" si="9"/>
        <v>55.198922358733768</v>
      </c>
      <c r="Z378" s="12">
        <f t="shared" si="10"/>
        <v>247.60934884503723</v>
      </c>
      <c r="AA378" s="12">
        <f t="shared" si="11"/>
        <v>136.67769222193837</v>
      </c>
      <c r="AB378" s="12">
        <f t="shared" si="12"/>
        <v>48.237142573770491</v>
      </c>
      <c r="AC378" s="12">
        <f t="shared" si="13"/>
        <v>5.7377049180327866</v>
      </c>
      <c r="AE378" s="13"/>
      <c r="AF378" s="13"/>
    </row>
    <row r="379" spans="1:32">
      <c r="A379" s="8" t="s">
        <v>1435</v>
      </c>
      <c r="B379" s="9" t="s">
        <v>41</v>
      </c>
      <c r="C379" s="9" t="s">
        <v>114</v>
      </c>
      <c r="D379" s="9" t="s">
        <v>1436</v>
      </c>
      <c r="E379" s="9"/>
      <c r="F379" s="9" t="str">
        <f ca="1">IFERROR(__xludf.DUMMYFUNCTION("IFS(
  REGEXMATCH(LOWER(VLOOKUP(A379, Data1_Raw_Slack!A:B, 2, FALSE)), ""news|weather""), ""News and Weather"", REGEXMATCH(LOWER(VLOOKUP(A379, Data1_Raw_Slack!A:B, 2, FALSE)), ""sports|ufc|nba|nfl|mlb|soccer|sports fans""), ""Sports"",
  REGEXMATCH(LOWER("&amp;"VLOOKUP(A379, Data1_Raw_Slack!A:B, 2, FALSE)), ""fashion|style|clothing|apparel|shoes|accessories|beauty|cosmetics|fashionistas""), ""Fashion and Beauty"",
  REGEXMATCH(LOWER(VLOOKUP(A379, Data1_Raw_Slack!A:B, 2, FALSE)), ""food|cooking|recipe|restaurant|"&amp;"snack|grocery|foodies""), ""Food"",
  REGEXMATCH(LOWER(VLOOKUP(A379, Data1_Raw_Slack!A:B, 2, FALSE)), ""travel|vacation|airline|hotel|trip|flights|travelers""), ""Travel"",
  REGEXMATCH(LOWER(VLOOKUP(A379, Data1_Raw_Slack!A:B, 2, FALSE)), ""fitness|workou"&amp;"t|gym|exercise|yoga|wellness|fitness enthusiasts""), ""Fitness"",
  REGEXMATCH(LOWER(VLOOKUP(A379, Data1_Raw_Slack!A:B, 2, FALSE)), ""health|medical|pharmacy|mental health|doctor|health-conscious""), ""Health"",
  REGEXMATCH(LOWER(VLOOKUP(A379, Data1_Raw_"&amp;"Slack!A:B, 2, FALSE)), ""pets|dogs|cats|animals|pet care|pet lovers""), ""Pets"",
  REGEXMATCH(LOWER(VLOOKUP(A379, Data1_Raw_Slack!A:B, 2, FALSE)), ""games|gaming|game|xbox|playstation|nintendo|gamers""), ""Gaming"",
  REGEXMATCH(LOWER(VLOOKUP(A379, Data1"&amp;"_Raw_Slack!A:B, 2, FALSE)), ""entertainment|movies|tv|netflix|streaming|celebrity|movie lovers|tv fans|hobb|photo|art""), ""Entertainment"",
  REGEXMATCH(LOWER(VLOOKUP(A379, Data1_Raw_Slack!A:B, 2, FALSE)), ""lifestyle|home|interior|decor|living|lifestyle"&amp;" enthusiasts""), ""Lifestyle"",
  REGEXMATCH(LOWER(VLOOKUP(A379, Data1_Raw_Slack!A:B, 2, FALSE)), ""financial|finance|investing|stocks|retirement|banking|credit|debt|loans|savings|personal finance|insurance|econ|ecom|business|retail|occupation|sale|job|ma"&amp;"rketing""), ""Finance"",
  REGEXMATCH(LOWER(VLOOKUP(A379, Data1_Raw_Slack!A:B, 2, FALSE)), ""auto|automotive""), ""Auto"",
  REGEXMATCH(LOWER(VLOOKUP(A379, Data1_Raw_Slack!A:B, 2, FALSE)), ""parenting|moms|dads|kids|toddlers|baby|parent|children""), ""Par"&amp;"enting"",
  REGEXMATCH(LOWER(VLOOKUP(A379, Data1_Raw_Slack!A:B, 2, FALSE)), ""education|students|learning|school|teachers|college|university|academics""), ""Education"",
  REGEXMATCH(LOWER(VLOOKUP(A379, Data1_Raw_Slack!A:B, 2, FALSE)), ""age|gender|dem"&amp;"ographic|family|household""), ""Demographics"",
  REGEXMATCH(LOWER(VLOOKUP(A379, Data1_Raw_Slack!A:B, 2, FALSE)), ""mortgage|real estate""), ""Real Estate"",REGEXMATCH(LOWER(VLOOKUP(A379, Data1_Raw_Slack!A:B, 2, FALSE)), ""technology|tech|gadgets|smartpho"&amp;"ne|electro|apps|devices|computing|ai|robots|software|computer|internet|tele|mobile|tablet""), ""Technology"", REGEXMATCH(LOWER(VLOOKUP(A379, Data1_Raw_Slack!A:B, 2, FALSE)), ""entertainment|purchas|movies|tv|netflix|streaming|celebrity|movie lovers|tv fan"&amp;"s|media|hobb|photo|art|shop""), ""Entertainment"", REGEXMATCH(LOWER(VLOOKUP(A379, Data1_Raw_Slack!A:B, 2, FALSE)), ""law|government|""), ""Law and Government"",
  TRUE, ""Other""
)"),"Lifestyle")</f>
        <v>Lifestyle</v>
      </c>
      <c r="G379" s="9"/>
      <c r="H379" s="9" t="s">
        <v>44</v>
      </c>
      <c r="I379" s="9" t="s">
        <v>1437</v>
      </c>
      <c r="J379" s="9" t="s">
        <v>80</v>
      </c>
      <c r="K379" s="9" t="s">
        <v>56</v>
      </c>
      <c r="L379" s="9" t="s">
        <v>57</v>
      </c>
      <c r="M379" s="10" t="s">
        <v>1438</v>
      </c>
      <c r="N379" s="9" t="str">
        <f ca="1">IFERROR(__xludf.DUMMYFUNCTION("REGEXEXTRACT(LOWER(M379), ""([a-z0-9\-]+)\.(?:co|net|org|io|gg)"")"),"topclassactions")</f>
        <v>topclassactions</v>
      </c>
      <c r="O379" s="9" t="s">
        <v>74</v>
      </c>
      <c r="P379" s="9" t="s">
        <v>39</v>
      </c>
      <c r="Q379" s="9">
        <v>9362</v>
      </c>
      <c r="R379" s="9">
        <v>39</v>
      </c>
      <c r="S379" s="9">
        <v>5202</v>
      </c>
      <c r="T379" s="9">
        <v>8928</v>
      </c>
      <c r="U379" s="9">
        <v>6</v>
      </c>
      <c r="V379" s="11">
        <v>7312.492757</v>
      </c>
      <c r="W379" s="12">
        <f t="shared" si="7"/>
        <v>1218.7487928333333</v>
      </c>
      <c r="X379" s="12">
        <f t="shared" si="8"/>
        <v>0.41657765434736171</v>
      </c>
      <c r="Y379" s="12">
        <f t="shared" si="9"/>
        <v>55.565050202948086</v>
      </c>
      <c r="Z379" s="12">
        <f t="shared" si="10"/>
        <v>1405.707950211457</v>
      </c>
      <c r="AA379" s="12">
        <f t="shared" si="11"/>
        <v>781.08232824182869</v>
      </c>
      <c r="AB379" s="12">
        <f t="shared" si="12"/>
        <v>187.49981428205129</v>
      </c>
      <c r="AC379" s="12">
        <f t="shared" si="13"/>
        <v>15.384615384615385</v>
      </c>
      <c r="AE379" s="13"/>
      <c r="AF379" s="13"/>
    </row>
    <row r="380" spans="1:32">
      <c r="A380" s="8" t="s">
        <v>1439</v>
      </c>
      <c r="B380" s="9" t="s">
        <v>92</v>
      </c>
      <c r="C380" s="9" t="s">
        <v>178</v>
      </c>
      <c r="D380" s="9" t="s">
        <v>154</v>
      </c>
      <c r="E380" s="9" t="s">
        <v>1440</v>
      </c>
      <c r="F380" s="9" t="str">
        <f ca="1">IFERROR(__xludf.DUMMYFUNCTION("IFS(
  REGEXMATCH(LOWER(VLOOKUP(A380, Data1_Raw_Slack!A:B, 2, FALSE)), ""news|weather""), ""News and Weather"", REGEXMATCH(LOWER(VLOOKUP(A380, Data1_Raw_Slack!A:B, 2, FALSE)), ""sports|ufc|nba|nfl|mlb|soccer|sports fans""), ""Sports"",
  REGEXMATCH(LOWER("&amp;"VLOOKUP(A380, Data1_Raw_Slack!A:B, 2, FALSE)), ""fashion|style|clothing|apparel|shoes|accessories|beauty|cosmetics|fashionistas""), ""Fashion and Beauty"",
  REGEXMATCH(LOWER(VLOOKUP(A380, Data1_Raw_Slack!A:B, 2, FALSE)), ""food|cooking|recipe|restaurant|"&amp;"snack|grocery|foodies""), ""Food"",
  REGEXMATCH(LOWER(VLOOKUP(A380, Data1_Raw_Slack!A:B, 2, FALSE)), ""travel|vacation|airline|hotel|trip|flights|travelers""), ""Travel"",
  REGEXMATCH(LOWER(VLOOKUP(A380, Data1_Raw_Slack!A:B, 2, FALSE)), ""fitness|workou"&amp;"t|gym|exercise|yoga|wellness|fitness enthusiasts""), ""Fitness"",
  REGEXMATCH(LOWER(VLOOKUP(A380, Data1_Raw_Slack!A:B, 2, FALSE)), ""health|medical|pharmacy|mental health|doctor|health-conscious""), ""Health"",
  REGEXMATCH(LOWER(VLOOKUP(A380, Data1_Raw_"&amp;"Slack!A:B, 2, FALSE)), ""pets|dogs|cats|animals|pet care|pet lovers""), ""Pets"",
  REGEXMATCH(LOWER(VLOOKUP(A380, Data1_Raw_Slack!A:B, 2, FALSE)), ""games|gaming|game|xbox|playstation|nintendo|gamers""), ""Gaming"",
  REGEXMATCH(LOWER(VLOOKUP(A380, Data1"&amp;"_Raw_Slack!A:B, 2, FALSE)), ""entertainment|movies|tv|netflix|streaming|celebrity|movie lovers|tv fans|hobb|photo|art""), ""Entertainment"",
  REGEXMATCH(LOWER(VLOOKUP(A380, Data1_Raw_Slack!A:B, 2, FALSE)), ""lifestyle|home|interior|decor|living|lifestyle"&amp;" enthusiasts""), ""Lifestyle"",
  REGEXMATCH(LOWER(VLOOKUP(A380, Data1_Raw_Slack!A:B, 2, FALSE)), ""financial|finance|investing|stocks|retirement|banking|credit|debt|loans|savings|personal finance|insurance|econ|ecom|business|retail|occupation|sale|job|ma"&amp;"rketing""), ""Finance"",
  REGEXMATCH(LOWER(VLOOKUP(A380, Data1_Raw_Slack!A:B, 2, FALSE)), ""auto|automotive""), ""Auto"",
  REGEXMATCH(LOWER(VLOOKUP(A380, Data1_Raw_Slack!A:B, 2, FALSE)), ""parenting|moms|dads|kids|toddlers|baby|parent|children""), ""Par"&amp;"enting"",
  REGEXMATCH(LOWER(VLOOKUP(A380, Data1_Raw_Slack!A:B, 2, FALSE)), ""education|students|learning|school|teachers|college|university|academics""), ""Education"",
  REGEXMATCH(LOWER(VLOOKUP(A380, Data1_Raw_Slack!A:B, 2, FALSE)), ""age|gender|dem"&amp;"ographic|family|household""), ""Demographics"",
  REGEXMATCH(LOWER(VLOOKUP(A380, Data1_Raw_Slack!A:B, 2, FALSE)), ""mortgage|real estate""), ""Real Estate"",REGEXMATCH(LOWER(VLOOKUP(A380, Data1_Raw_Slack!A:B, 2, FALSE)), ""technology|tech|gadgets|smartpho"&amp;"ne|electro|apps|devices|computing|ai|robots|software|computer|internet|tele|mobile|tablet""), ""Technology"", REGEXMATCH(LOWER(VLOOKUP(A380, Data1_Raw_Slack!A:B, 2, FALSE)), ""entertainment|purchas|movies|tv|netflix|streaming|celebrity|movie lovers|tv fan"&amp;"s|media|hobb|photo|art|shop""), ""Entertainment"", REGEXMATCH(LOWER(VLOOKUP(A380, Data1_Raw_Slack!A:B, 2, FALSE)), ""law|government|""), ""Law and Government"",
  TRUE, ""Other""
)"),"Sports")</f>
        <v>Sports</v>
      </c>
      <c r="G380" s="9"/>
      <c r="H380" s="9" t="s">
        <v>44</v>
      </c>
      <c r="I380" s="9" t="s">
        <v>1441</v>
      </c>
      <c r="J380" s="9" t="s">
        <v>34</v>
      </c>
      <c r="K380" s="9" t="s">
        <v>142</v>
      </c>
      <c r="L380" s="9" t="s">
        <v>72</v>
      </c>
      <c r="M380" s="10" t="s">
        <v>49</v>
      </c>
      <c r="N380" s="9" t="str">
        <f ca="1">IFERROR(__xludf.DUMMYFUNCTION("REGEXEXTRACT(LOWER(M380), ""([a-z0-9\-]+)\.(?:co|net|org|io|gg)"")"),"yahoo")</f>
        <v>yahoo</v>
      </c>
      <c r="O380" s="9" t="s">
        <v>50</v>
      </c>
      <c r="P380" s="9" t="s">
        <v>39</v>
      </c>
      <c r="Q380" s="9">
        <v>12988</v>
      </c>
      <c r="R380" s="9">
        <v>69</v>
      </c>
      <c r="S380" s="9">
        <v>6514</v>
      </c>
      <c r="T380" s="9">
        <v>9378</v>
      </c>
      <c r="U380" s="9">
        <v>4</v>
      </c>
      <c r="V380" s="11">
        <v>2236.485099</v>
      </c>
      <c r="W380" s="12">
        <f t="shared" si="7"/>
        <v>559.12127475</v>
      </c>
      <c r="X380" s="12">
        <f t="shared" si="8"/>
        <v>0.53125962426855555</v>
      </c>
      <c r="Y380" s="12">
        <f t="shared" si="9"/>
        <v>50.153988296889437</v>
      </c>
      <c r="Z380" s="12">
        <f t="shared" si="10"/>
        <v>343.33513954559407</v>
      </c>
      <c r="AA380" s="12">
        <f t="shared" si="11"/>
        <v>172.19626570680629</v>
      </c>
      <c r="AB380" s="12">
        <f t="shared" si="12"/>
        <v>32.412827521739132</v>
      </c>
      <c r="AC380" s="12">
        <f t="shared" si="13"/>
        <v>5.7971014492753623</v>
      </c>
      <c r="AE380" s="13"/>
      <c r="AF380" s="13"/>
    </row>
    <row r="381" spans="1:32">
      <c r="A381" s="8" t="s">
        <v>1442</v>
      </c>
      <c r="B381" s="9" t="s">
        <v>41</v>
      </c>
      <c r="C381" s="9" t="s">
        <v>253</v>
      </c>
      <c r="D381" s="9" t="s">
        <v>1443</v>
      </c>
      <c r="E381" s="9"/>
      <c r="F381" s="9" t="str">
        <f ca="1">IFERROR(__xludf.DUMMYFUNCTION("IFS(
  REGEXMATCH(LOWER(VLOOKUP(A381, Data1_Raw_Slack!A:B, 2, FALSE)), ""news|weather""), ""News and Weather"", REGEXMATCH(LOWER(VLOOKUP(A381, Data1_Raw_Slack!A:B, 2, FALSE)), ""sports|ufc|nba|nfl|mlb|soccer|sports fans""), ""Sports"",
  REGEXMATCH(LOWER("&amp;"VLOOKUP(A381, Data1_Raw_Slack!A:B, 2, FALSE)), ""fashion|style|clothing|apparel|shoes|accessories|beauty|cosmetics|fashionistas""), ""Fashion and Beauty"",
  REGEXMATCH(LOWER(VLOOKUP(A381, Data1_Raw_Slack!A:B, 2, FALSE)), ""food|cooking|recipe|restaurant|"&amp;"snack|grocery|foodies""), ""Food"",
  REGEXMATCH(LOWER(VLOOKUP(A381, Data1_Raw_Slack!A:B, 2, FALSE)), ""travel|vacation|airline|hotel|trip|flights|travelers""), ""Travel"",
  REGEXMATCH(LOWER(VLOOKUP(A381, Data1_Raw_Slack!A:B, 2, FALSE)), ""fitness|workou"&amp;"t|gym|exercise|yoga|wellness|fitness enthusiasts""), ""Fitness"",
  REGEXMATCH(LOWER(VLOOKUP(A381, Data1_Raw_Slack!A:B, 2, FALSE)), ""health|medical|pharmacy|mental health|doctor|health-conscious""), ""Health"",
  REGEXMATCH(LOWER(VLOOKUP(A381, Data1_Raw_"&amp;"Slack!A:B, 2, FALSE)), ""pets|dogs|cats|animals|pet care|pet lovers""), ""Pets"",
  REGEXMATCH(LOWER(VLOOKUP(A381, Data1_Raw_Slack!A:B, 2, FALSE)), ""games|gaming|game|xbox|playstation|nintendo|gamers""), ""Gaming"",
  REGEXMATCH(LOWER(VLOOKUP(A381, Data1"&amp;"_Raw_Slack!A:B, 2, FALSE)), ""entertainment|movies|tv|netflix|streaming|celebrity|movie lovers|tv fans|hobb|photo|art""), ""Entertainment"",
  REGEXMATCH(LOWER(VLOOKUP(A381, Data1_Raw_Slack!A:B, 2, FALSE)), ""lifestyle|home|interior|decor|living|lifestyle"&amp;" enthusiasts""), ""Lifestyle"",
  REGEXMATCH(LOWER(VLOOKUP(A381, Data1_Raw_Slack!A:B, 2, FALSE)), ""financial|finance|investing|stocks|retirement|banking|credit|debt|loans|savings|personal finance|insurance|econ|ecom|business|retail|occupation|sale|job|ma"&amp;"rketing""), ""Finance"",
  REGEXMATCH(LOWER(VLOOKUP(A381, Data1_Raw_Slack!A:B, 2, FALSE)), ""auto|automotive""), ""Auto"",
  REGEXMATCH(LOWER(VLOOKUP(A381, Data1_Raw_Slack!A:B, 2, FALSE)), ""parenting|moms|dads|kids|toddlers|baby|parent|children""), ""Par"&amp;"enting"",
  REGEXMATCH(LOWER(VLOOKUP(A381, Data1_Raw_Slack!A:B, 2, FALSE)), ""education|students|learning|school|teachers|college|university|academics""), ""Education"",
  REGEXMATCH(LOWER(VLOOKUP(A381, Data1_Raw_Slack!A:B, 2, FALSE)), ""age|gender|dem"&amp;"ographic|family|household""), ""Demographics"",
  REGEXMATCH(LOWER(VLOOKUP(A381, Data1_Raw_Slack!A:B, 2, FALSE)), ""mortgage|real estate""), ""Real Estate"",REGEXMATCH(LOWER(VLOOKUP(A381, Data1_Raw_Slack!A:B, 2, FALSE)), ""technology|tech|gadgets|smartpho"&amp;"ne|electro|apps|devices|computing|ai|robots|software|computer|internet|tele|mobile|tablet""), ""Technology"", REGEXMATCH(LOWER(VLOOKUP(A381, Data1_Raw_Slack!A:B, 2, FALSE)), ""entertainment|purchas|movies|tv|netflix|streaming|celebrity|movie lovers|tv fan"&amp;"s|media|hobb|photo|art|shop""), ""Entertainment"", REGEXMATCH(LOWER(VLOOKUP(A381, Data1_Raw_Slack!A:B, 2, FALSE)), ""law|government|""), ""Law and Government"",
  TRUE, ""Other""
)"),"Entertainment")</f>
        <v>Entertainment</v>
      </c>
      <c r="G381" s="9"/>
      <c r="H381" s="9" t="s">
        <v>32</v>
      </c>
      <c r="I381" s="9" t="s">
        <v>1444</v>
      </c>
      <c r="J381" s="9" t="s">
        <v>80</v>
      </c>
      <c r="K381" s="9" t="s">
        <v>71</v>
      </c>
      <c r="L381" s="9" t="s">
        <v>72</v>
      </c>
      <c r="M381" s="10" t="s">
        <v>1445</v>
      </c>
      <c r="N381" s="9" t="str">
        <f ca="1">IFERROR(__xludf.DUMMYFUNCTION("REGEXEXTRACT(LOWER(M381), ""([a-z0-9\-]+)\.(?:co|net|org|io|gg)"")"),"insider")</f>
        <v>insider</v>
      </c>
      <c r="O381" s="9" t="s">
        <v>50</v>
      </c>
      <c r="P381" s="9" t="s">
        <v>39</v>
      </c>
      <c r="Q381" s="9">
        <v>102905</v>
      </c>
      <c r="R381" s="9">
        <v>421</v>
      </c>
      <c r="S381" s="9">
        <v>45324</v>
      </c>
      <c r="T381" s="9">
        <v>99065</v>
      </c>
      <c r="U381" s="9">
        <v>1</v>
      </c>
      <c r="V381" s="11">
        <v>6407.5818280000003</v>
      </c>
      <c r="W381" s="12">
        <f t="shared" si="7"/>
        <v>6407.5818280000003</v>
      </c>
      <c r="X381" s="12">
        <f t="shared" si="8"/>
        <v>0.40911520334288903</v>
      </c>
      <c r="Y381" s="12">
        <f t="shared" si="9"/>
        <v>44.044507069627329</v>
      </c>
      <c r="Z381" s="12">
        <f t="shared" si="10"/>
        <v>141.37282296355133</v>
      </c>
      <c r="AA381" s="12">
        <f t="shared" si="11"/>
        <v>62.266963004713084</v>
      </c>
      <c r="AB381" s="12">
        <f t="shared" si="12"/>
        <v>15.219909330166271</v>
      </c>
      <c r="AC381" s="12">
        <f t="shared" si="13"/>
        <v>0.23752969121140144</v>
      </c>
      <c r="AE381" s="13"/>
      <c r="AF381" s="13"/>
    </row>
    <row r="382" spans="1:32">
      <c r="A382" s="8" t="s">
        <v>1446</v>
      </c>
      <c r="B382" s="9" t="s">
        <v>198</v>
      </c>
      <c r="C382" s="9" t="s">
        <v>1447</v>
      </c>
      <c r="D382" s="9" t="s">
        <v>1448</v>
      </c>
      <c r="E382" s="9"/>
      <c r="F382" s="9" t="str">
        <f ca="1">IFERROR(__xludf.DUMMYFUNCTION("IFS(
  REGEXMATCH(LOWER(VLOOKUP(A382, Data1_Raw_Slack!A:B, 2, FALSE)), ""news|weather""), ""News and Weather"", REGEXMATCH(LOWER(VLOOKUP(A382, Data1_Raw_Slack!A:B, 2, FALSE)), ""sports|ufc|nba|nfl|mlb|soccer|sports fans""), ""Sports"",
  REGEXMATCH(LOWER("&amp;"VLOOKUP(A382, Data1_Raw_Slack!A:B, 2, FALSE)), ""fashion|style|clothing|apparel|shoes|accessories|beauty|cosmetics|fashionistas""), ""Fashion and Beauty"",
  REGEXMATCH(LOWER(VLOOKUP(A382, Data1_Raw_Slack!A:B, 2, FALSE)), ""food|cooking|recipe|restaurant|"&amp;"snack|grocery|foodies""), ""Food"",
  REGEXMATCH(LOWER(VLOOKUP(A382, Data1_Raw_Slack!A:B, 2, FALSE)), ""travel|vacation|airline|hotel|trip|flights|travelers""), ""Travel"",
  REGEXMATCH(LOWER(VLOOKUP(A382, Data1_Raw_Slack!A:B, 2, FALSE)), ""fitness|workou"&amp;"t|gym|exercise|yoga|wellness|fitness enthusiasts""), ""Fitness"",
  REGEXMATCH(LOWER(VLOOKUP(A382, Data1_Raw_Slack!A:B, 2, FALSE)), ""health|medical|pharmacy|mental health|doctor|health-conscious""), ""Health"",
  REGEXMATCH(LOWER(VLOOKUP(A382, Data1_Raw_"&amp;"Slack!A:B, 2, FALSE)), ""pets|dogs|cats|animals|pet care|pet lovers""), ""Pets"",
  REGEXMATCH(LOWER(VLOOKUP(A382, Data1_Raw_Slack!A:B, 2, FALSE)), ""games|gaming|game|xbox|playstation|nintendo|gamers""), ""Gaming"",
  REGEXMATCH(LOWER(VLOOKUP(A382, Data1"&amp;"_Raw_Slack!A:B, 2, FALSE)), ""entertainment|movies|tv|netflix|streaming|celebrity|movie lovers|tv fans|hobb|photo|art""), ""Entertainment"",
  REGEXMATCH(LOWER(VLOOKUP(A382, Data1_Raw_Slack!A:B, 2, FALSE)), ""lifestyle|home|interior|decor|living|lifestyle"&amp;" enthusiasts""), ""Lifestyle"",
  REGEXMATCH(LOWER(VLOOKUP(A382, Data1_Raw_Slack!A:B, 2, FALSE)), ""financial|finance|investing|stocks|retirement|banking|credit|debt|loans|savings|personal finance|insurance|econ|ecom|business|retail|occupation|sale|job|ma"&amp;"rketing""), ""Finance"",
  REGEXMATCH(LOWER(VLOOKUP(A382, Data1_Raw_Slack!A:B, 2, FALSE)), ""auto|automotive""), ""Auto"",
  REGEXMATCH(LOWER(VLOOKUP(A382, Data1_Raw_Slack!A:B, 2, FALSE)), ""parenting|moms|dads|kids|toddlers|baby|parent|children""), ""Par"&amp;"enting"",
  REGEXMATCH(LOWER(VLOOKUP(A382, Data1_Raw_Slack!A:B, 2, FALSE)), ""education|students|learning|school|teachers|college|university|academics""), ""Education"",
  REGEXMATCH(LOWER(VLOOKUP(A382, Data1_Raw_Slack!A:B, 2, FALSE)), ""age|gender|dem"&amp;"ographic|family|household""), ""Demographics"",
  REGEXMATCH(LOWER(VLOOKUP(A382, Data1_Raw_Slack!A:B, 2, FALSE)), ""mortgage|real estate""), ""Real Estate"",REGEXMATCH(LOWER(VLOOKUP(A382, Data1_Raw_Slack!A:B, 2, FALSE)), ""technology|tech|gadgets|smartpho"&amp;"ne|electro|apps|devices|computing|ai|robots|software|computer|internet|tele|mobile|tablet""), ""Technology"", REGEXMATCH(LOWER(VLOOKUP(A382, Data1_Raw_Slack!A:B, 2, FALSE)), ""entertainment|purchas|movies|tv|netflix|streaming|celebrity|movie lovers|tv fan"&amp;"s|media|hobb|photo|art|shop""), ""Entertainment"", REGEXMATCH(LOWER(VLOOKUP(A382, Data1_Raw_Slack!A:B, 2, FALSE)), ""law|government|""), ""Law and Government"",
  TRUE, ""Other""
)"),"Technology")</f>
        <v>Technology</v>
      </c>
      <c r="G382" s="9" t="s">
        <v>135</v>
      </c>
      <c r="H382" s="9" t="s">
        <v>44</v>
      </c>
      <c r="I382" s="9" t="s">
        <v>1449</v>
      </c>
      <c r="J382" s="9" t="s">
        <v>80</v>
      </c>
      <c r="K382" s="9" t="s">
        <v>170</v>
      </c>
      <c r="L382" s="9" t="s">
        <v>72</v>
      </c>
      <c r="M382" s="10" t="s">
        <v>799</v>
      </c>
      <c r="N382" s="9" t="str">
        <f ca="1">IFERROR(__xludf.DUMMYFUNCTION("REGEXEXTRACT(LOWER(M382), ""([a-z0-9\-]+)\.(?:co|net|org|io|gg)"")"),"streetinsider")</f>
        <v>streetinsider</v>
      </c>
      <c r="O382" s="9" t="s">
        <v>50</v>
      </c>
      <c r="P382" s="9" t="s">
        <v>75</v>
      </c>
      <c r="Q382" s="9">
        <v>56737</v>
      </c>
      <c r="R382" s="9">
        <v>145</v>
      </c>
      <c r="S382" s="9">
        <v>41296</v>
      </c>
      <c r="T382" s="9">
        <v>53472</v>
      </c>
      <c r="U382" s="9">
        <v>5</v>
      </c>
      <c r="V382" s="11">
        <v>2028.370144</v>
      </c>
      <c r="W382" s="12">
        <f t="shared" si="7"/>
        <v>405.67402879999997</v>
      </c>
      <c r="X382" s="12">
        <f t="shared" si="8"/>
        <v>0.25556515148844672</v>
      </c>
      <c r="Y382" s="12">
        <f t="shared" si="9"/>
        <v>72.784955143909613</v>
      </c>
      <c r="Z382" s="12">
        <f t="shared" si="10"/>
        <v>49.11783572258814</v>
      </c>
      <c r="AA382" s="12">
        <f t="shared" si="11"/>
        <v>35.750394698344998</v>
      </c>
      <c r="AB382" s="12">
        <f t="shared" si="12"/>
        <v>13.988759613793103</v>
      </c>
      <c r="AC382" s="12">
        <f t="shared" si="13"/>
        <v>3.4482758620689653</v>
      </c>
      <c r="AE382" s="13"/>
      <c r="AF382" s="13"/>
    </row>
    <row r="383" spans="1:32">
      <c r="A383" s="8" t="s">
        <v>1450</v>
      </c>
      <c r="B383" s="9" t="s">
        <v>41</v>
      </c>
      <c r="C383" s="9" t="s">
        <v>85</v>
      </c>
      <c r="D383" s="9" t="s">
        <v>99</v>
      </c>
      <c r="E383" s="9" t="s">
        <v>1451</v>
      </c>
      <c r="F383" s="9" t="str">
        <f ca="1">IFERROR(__xludf.DUMMYFUNCTION("IFS(
  REGEXMATCH(LOWER(VLOOKUP(A383, Data1_Raw_Slack!A:B, 2, FALSE)), ""news|weather""), ""News and Weather"", REGEXMATCH(LOWER(VLOOKUP(A383, Data1_Raw_Slack!A:B, 2, FALSE)), ""sports|ufc|nba|nfl|mlb|soccer|sports fans""), ""Sports"",
  REGEXMATCH(LOWER("&amp;"VLOOKUP(A383, Data1_Raw_Slack!A:B, 2, FALSE)), ""fashion|style|clothing|apparel|shoes|accessories|beauty|cosmetics|fashionistas""), ""Fashion and Beauty"",
  REGEXMATCH(LOWER(VLOOKUP(A383, Data1_Raw_Slack!A:B, 2, FALSE)), ""food|cooking|recipe|restaurant|"&amp;"snack|grocery|foodies""), ""Food"",
  REGEXMATCH(LOWER(VLOOKUP(A383, Data1_Raw_Slack!A:B, 2, FALSE)), ""travel|vacation|airline|hotel|trip|flights|travelers""), ""Travel"",
  REGEXMATCH(LOWER(VLOOKUP(A383, Data1_Raw_Slack!A:B, 2, FALSE)), ""fitness|workou"&amp;"t|gym|exercise|yoga|wellness|fitness enthusiasts""), ""Fitness"",
  REGEXMATCH(LOWER(VLOOKUP(A383, Data1_Raw_Slack!A:B, 2, FALSE)), ""health|medical|pharmacy|mental health|doctor|health-conscious""), ""Health"",
  REGEXMATCH(LOWER(VLOOKUP(A383, Data1_Raw_"&amp;"Slack!A:B, 2, FALSE)), ""pets|dogs|cats|animals|pet care|pet lovers""), ""Pets"",
  REGEXMATCH(LOWER(VLOOKUP(A383, Data1_Raw_Slack!A:B, 2, FALSE)), ""games|gaming|game|xbox|playstation|nintendo|gamers""), ""Gaming"",
  REGEXMATCH(LOWER(VLOOKUP(A383, Data1"&amp;"_Raw_Slack!A:B, 2, FALSE)), ""entertainment|movies|tv|netflix|streaming|celebrity|movie lovers|tv fans|hobb|photo|art""), ""Entertainment"",
  REGEXMATCH(LOWER(VLOOKUP(A383, Data1_Raw_Slack!A:B, 2, FALSE)), ""lifestyle|home|interior|decor|living|lifestyle"&amp;" enthusiasts""), ""Lifestyle"",
  REGEXMATCH(LOWER(VLOOKUP(A383, Data1_Raw_Slack!A:B, 2, FALSE)), ""financial|finance|investing|stocks|retirement|banking|credit|debt|loans|savings|personal finance|insurance|econ|ecom|business|retail|occupation|sale|job|ma"&amp;"rketing""), ""Finance"",
  REGEXMATCH(LOWER(VLOOKUP(A383, Data1_Raw_Slack!A:B, 2, FALSE)), ""auto|automotive""), ""Auto"",
  REGEXMATCH(LOWER(VLOOKUP(A383, Data1_Raw_Slack!A:B, 2, FALSE)), ""parenting|moms|dads|kids|toddlers|baby|parent|children""), ""Par"&amp;"enting"",
  REGEXMATCH(LOWER(VLOOKUP(A383, Data1_Raw_Slack!A:B, 2, FALSE)), ""education|students|learning|school|teachers|college|university|academics""), ""Education"",
  REGEXMATCH(LOWER(VLOOKUP(A383, Data1_Raw_Slack!A:B, 2, FALSE)), ""age|gender|dem"&amp;"ographic|family|household""), ""Demographics"",
  REGEXMATCH(LOWER(VLOOKUP(A383, Data1_Raw_Slack!A:B, 2, FALSE)), ""mortgage|real estate""), ""Real Estate"",REGEXMATCH(LOWER(VLOOKUP(A383, Data1_Raw_Slack!A:B, 2, FALSE)), ""technology|tech|gadgets|smartpho"&amp;"ne|electro|apps|devices|computing|ai|robots|software|computer|internet|tele|mobile|tablet""), ""Technology"", REGEXMATCH(LOWER(VLOOKUP(A383, Data1_Raw_Slack!A:B, 2, FALSE)), ""entertainment|purchas|movies|tv|netflix|streaming|celebrity|movie lovers|tv fan"&amp;"s|media|hobb|photo|art|shop""), ""Entertainment"", REGEXMATCH(LOWER(VLOOKUP(A383, Data1_Raw_Slack!A:B, 2, FALSE)), ""law|government|""), ""Law and Government"",
  TRUE, ""Other""
)"),"Travel")</f>
        <v>Travel</v>
      </c>
      <c r="G383" s="9" t="s">
        <v>85</v>
      </c>
      <c r="H383" s="9" t="s">
        <v>32</v>
      </c>
      <c r="I383" s="9" t="s">
        <v>1452</v>
      </c>
      <c r="J383" s="9" t="s">
        <v>62</v>
      </c>
      <c r="K383" s="9" t="s">
        <v>236</v>
      </c>
      <c r="L383" s="9" t="s">
        <v>82</v>
      </c>
      <c r="M383" s="10" t="s">
        <v>430</v>
      </c>
      <c r="N383" s="9" t="str">
        <f ca="1">IFERROR(__xludf.DUMMYFUNCTION("REGEXEXTRACT(LOWER(M383), ""([a-z0-9\-]+)\.(?:co|net|org|io|gg)"")"),"biblegateway")</f>
        <v>biblegateway</v>
      </c>
      <c r="O383" s="9" t="s">
        <v>186</v>
      </c>
      <c r="P383" s="9" t="s">
        <v>39</v>
      </c>
      <c r="Q383" s="9">
        <v>106151</v>
      </c>
      <c r="R383" s="9">
        <v>299</v>
      </c>
      <c r="S383" s="9">
        <v>75304</v>
      </c>
      <c r="T383" s="9">
        <v>99311</v>
      </c>
      <c r="U383" s="9">
        <v>9</v>
      </c>
      <c r="V383" s="11">
        <v>6616.8806599999998</v>
      </c>
      <c r="W383" s="12">
        <f t="shared" si="7"/>
        <v>735.20896222222223</v>
      </c>
      <c r="X383" s="12">
        <f t="shared" si="8"/>
        <v>0.28167421880151861</v>
      </c>
      <c r="Y383" s="12">
        <f t="shared" si="9"/>
        <v>70.940452751269419</v>
      </c>
      <c r="Z383" s="12">
        <f t="shared" si="10"/>
        <v>87.868913470731954</v>
      </c>
      <c r="AA383" s="12">
        <f t="shared" si="11"/>
        <v>62.334605043758415</v>
      </c>
      <c r="AB383" s="12">
        <f t="shared" si="12"/>
        <v>22.130035652173913</v>
      </c>
      <c r="AC383" s="12">
        <f t="shared" si="13"/>
        <v>3.0100334448160537</v>
      </c>
      <c r="AE383" s="13"/>
      <c r="AF383" s="13"/>
    </row>
    <row r="384" spans="1:32">
      <c r="A384" s="8" t="s">
        <v>1453</v>
      </c>
      <c r="B384" s="9" t="s">
        <v>41</v>
      </c>
      <c r="C384" s="9" t="s">
        <v>214</v>
      </c>
      <c r="D384" s="9" t="s">
        <v>215</v>
      </c>
      <c r="E384" s="9" t="s">
        <v>1454</v>
      </c>
      <c r="F384" s="9" t="str">
        <f ca="1">IFERROR(__xludf.DUMMYFUNCTION("IFS(
  REGEXMATCH(LOWER(VLOOKUP(A384, Data1_Raw_Slack!A:B, 2, FALSE)), ""news|weather""), ""News and Weather"", REGEXMATCH(LOWER(VLOOKUP(A384, Data1_Raw_Slack!A:B, 2, FALSE)), ""sports|ufc|nba|nfl|mlb|soccer|sports fans""), ""Sports"",
  REGEXMATCH(LOWER("&amp;"VLOOKUP(A384, Data1_Raw_Slack!A:B, 2, FALSE)), ""fashion|style|clothing|apparel|shoes|accessories|beauty|cosmetics|fashionistas""), ""Fashion and Beauty"",
  REGEXMATCH(LOWER(VLOOKUP(A384, Data1_Raw_Slack!A:B, 2, FALSE)), ""food|cooking|recipe|restaurant|"&amp;"snack|grocery|foodies""), ""Food"",
  REGEXMATCH(LOWER(VLOOKUP(A384, Data1_Raw_Slack!A:B, 2, FALSE)), ""travel|vacation|airline|hotel|trip|flights|travelers""), ""Travel"",
  REGEXMATCH(LOWER(VLOOKUP(A384, Data1_Raw_Slack!A:B, 2, FALSE)), ""fitness|workou"&amp;"t|gym|exercise|yoga|wellness|fitness enthusiasts""), ""Fitness"",
  REGEXMATCH(LOWER(VLOOKUP(A384, Data1_Raw_Slack!A:B, 2, FALSE)), ""health|medical|pharmacy|mental health|doctor|health-conscious""), ""Health"",
  REGEXMATCH(LOWER(VLOOKUP(A384, Data1_Raw_"&amp;"Slack!A:B, 2, FALSE)), ""pets|dogs|cats|animals|pet care|pet lovers""), ""Pets"",
  REGEXMATCH(LOWER(VLOOKUP(A384, Data1_Raw_Slack!A:B, 2, FALSE)), ""games|gaming|game|xbox|playstation|nintendo|gamers""), ""Gaming"",
  REGEXMATCH(LOWER(VLOOKUP(A384, Data1"&amp;"_Raw_Slack!A:B, 2, FALSE)), ""entertainment|movies|tv|netflix|streaming|celebrity|movie lovers|tv fans|hobb|photo|art""), ""Entertainment"",
  REGEXMATCH(LOWER(VLOOKUP(A384, Data1_Raw_Slack!A:B, 2, FALSE)), ""lifestyle|home|interior|decor|living|lifestyle"&amp;" enthusiasts""), ""Lifestyle"",
  REGEXMATCH(LOWER(VLOOKUP(A384, Data1_Raw_Slack!A:B, 2, FALSE)), ""financial|finance|investing|stocks|retirement|banking|credit|debt|loans|savings|personal finance|insurance|econ|ecom|business|retail|occupation|sale|job|ma"&amp;"rketing""), ""Finance"",
  REGEXMATCH(LOWER(VLOOKUP(A384, Data1_Raw_Slack!A:B, 2, FALSE)), ""auto|automotive""), ""Auto"",
  REGEXMATCH(LOWER(VLOOKUP(A384, Data1_Raw_Slack!A:B, 2, FALSE)), ""parenting|moms|dads|kids|toddlers|baby|parent|children""), ""Par"&amp;"enting"",
  REGEXMATCH(LOWER(VLOOKUP(A384, Data1_Raw_Slack!A:B, 2, FALSE)), ""education|students|learning|school|teachers|college|university|academics""), ""Education"",
  REGEXMATCH(LOWER(VLOOKUP(A384, Data1_Raw_Slack!A:B, 2, FALSE)), ""age|gender|dem"&amp;"ographic|family|household""), ""Demographics"",
  REGEXMATCH(LOWER(VLOOKUP(A384, Data1_Raw_Slack!A:B, 2, FALSE)), ""mortgage|real estate""), ""Real Estate"",REGEXMATCH(LOWER(VLOOKUP(A384, Data1_Raw_Slack!A:B, 2, FALSE)), ""technology|tech|gadgets|smartpho"&amp;"ne|electro|apps|devices|computing|ai|robots|software|computer|internet|tele|mobile|tablet""), ""Technology"", REGEXMATCH(LOWER(VLOOKUP(A384, Data1_Raw_Slack!A:B, 2, FALSE)), ""entertainment|purchas|movies|tv|netflix|streaming|celebrity|movie lovers|tv fan"&amp;"s|media|hobb|photo|art|shop""), ""Entertainment"", REGEXMATCH(LOWER(VLOOKUP(A384, Data1_Raw_Slack!A:B, 2, FALSE)), ""law|government|""), ""Law and Government"",
  TRUE, ""Other""
)"),"Demographics")</f>
        <v>Demographics</v>
      </c>
      <c r="G384" s="9"/>
      <c r="H384" s="9" t="s">
        <v>44</v>
      </c>
      <c r="I384" s="9" t="s">
        <v>1455</v>
      </c>
      <c r="J384" s="9" t="s">
        <v>34</v>
      </c>
      <c r="K384" s="9" t="s">
        <v>170</v>
      </c>
      <c r="L384" s="9" t="s">
        <v>72</v>
      </c>
      <c r="M384" s="10" t="s">
        <v>1456</v>
      </c>
      <c r="N384" s="9" t="str">
        <f ca="1">IFERROR(__xludf.DUMMYFUNCTION("REGEXEXTRACT(LOWER(M384), ""([a-z0-9\-]+)\.(?:co|net|org|io|gg)"")"),"espn")</f>
        <v>espn</v>
      </c>
      <c r="O384" s="9" t="s">
        <v>74</v>
      </c>
      <c r="P384" s="9" t="s">
        <v>39</v>
      </c>
      <c r="Q384" s="9">
        <v>121991</v>
      </c>
      <c r="R384" s="9">
        <v>369</v>
      </c>
      <c r="S384" s="9">
        <v>43079</v>
      </c>
      <c r="T384" s="9">
        <v>99312</v>
      </c>
      <c r="U384" s="9">
        <v>4</v>
      </c>
      <c r="V384" s="11">
        <v>3993.2145850000002</v>
      </c>
      <c r="W384" s="12">
        <f t="shared" si="7"/>
        <v>998.30364625000004</v>
      </c>
      <c r="X384" s="12">
        <f t="shared" si="8"/>
        <v>0.30248133058996152</v>
      </c>
      <c r="Y384" s="12">
        <f t="shared" si="9"/>
        <v>35.313260814322369</v>
      </c>
      <c r="Z384" s="12">
        <f t="shared" si="10"/>
        <v>92.695155063952271</v>
      </c>
      <c r="AA384" s="12">
        <f t="shared" si="11"/>
        <v>32.733681869974014</v>
      </c>
      <c r="AB384" s="12">
        <f t="shared" si="12"/>
        <v>10.821719742547426</v>
      </c>
      <c r="AC384" s="12">
        <f t="shared" si="13"/>
        <v>1.084010840108401</v>
      </c>
      <c r="AE384" s="13"/>
      <c r="AF384" s="13"/>
    </row>
    <row r="385" spans="1:32">
      <c r="A385" s="8" t="s">
        <v>1457</v>
      </c>
      <c r="B385" s="9"/>
      <c r="C385" s="9" t="s">
        <v>325</v>
      </c>
      <c r="D385" s="9" t="s">
        <v>576</v>
      </c>
      <c r="E385" s="9" t="s">
        <v>1458</v>
      </c>
      <c r="F385" s="9" t="str">
        <f ca="1">IFERROR(__xludf.DUMMYFUNCTION("IFS(
  REGEXMATCH(LOWER(VLOOKUP(A385, Data1_Raw_Slack!A:B, 2, FALSE)), ""news|weather""), ""News and Weather"", REGEXMATCH(LOWER(VLOOKUP(A385, Data1_Raw_Slack!A:B, 2, FALSE)), ""sports|ufc|nba|nfl|mlb|soccer|sports fans""), ""Sports"",
  REGEXMATCH(LOWER("&amp;"VLOOKUP(A385, Data1_Raw_Slack!A:B, 2, FALSE)), ""fashion|style|clothing|apparel|shoes|accessories|beauty|cosmetics|fashionistas""), ""Fashion and Beauty"",
  REGEXMATCH(LOWER(VLOOKUP(A385, Data1_Raw_Slack!A:B, 2, FALSE)), ""food|cooking|recipe|restaurant|"&amp;"snack|grocery|foodies""), ""Food"",
  REGEXMATCH(LOWER(VLOOKUP(A385, Data1_Raw_Slack!A:B, 2, FALSE)), ""travel|vacation|airline|hotel|trip|flights|travelers""), ""Travel"",
  REGEXMATCH(LOWER(VLOOKUP(A385, Data1_Raw_Slack!A:B, 2, FALSE)), ""fitness|workou"&amp;"t|gym|exercise|yoga|wellness|fitness enthusiasts""), ""Fitness"",
  REGEXMATCH(LOWER(VLOOKUP(A385, Data1_Raw_Slack!A:B, 2, FALSE)), ""health|medical|pharmacy|mental health|doctor|health-conscious""), ""Health"",
  REGEXMATCH(LOWER(VLOOKUP(A385, Data1_Raw_"&amp;"Slack!A:B, 2, FALSE)), ""pets|dogs|cats|animals|pet care|pet lovers""), ""Pets"",
  REGEXMATCH(LOWER(VLOOKUP(A385, Data1_Raw_Slack!A:B, 2, FALSE)), ""games|gaming|game|xbox|playstation|nintendo|gamers""), ""Gaming"",
  REGEXMATCH(LOWER(VLOOKUP(A385, Data1"&amp;"_Raw_Slack!A:B, 2, FALSE)), ""entertainment|movies|tv|netflix|streaming|celebrity|movie lovers|tv fans|hobb|photo|art""), ""Entertainment"",
  REGEXMATCH(LOWER(VLOOKUP(A385, Data1_Raw_Slack!A:B, 2, FALSE)), ""lifestyle|home|interior|decor|living|lifestyle"&amp;" enthusiasts""), ""Lifestyle"",
  REGEXMATCH(LOWER(VLOOKUP(A385, Data1_Raw_Slack!A:B, 2, FALSE)), ""financial|finance|investing|stocks|retirement|banking|credit|debt|loans|savings|personal finance|insurance|econ|ecom|business|retail|occupation|sale|job|ma"&amp;"rketing""), ""Finance"",
  REGEXMATCH(LOWER(VLOOKUP(A385, Data1_Raw_Slack!A:B, 2, FALSE)), ""auto|automotive""), ""Auto"",
  REGEXMATCH(LOWER(VLOOKUP(A385, Data1_Raw_Slack!A:B, 2, FALSE)), ""parenting|moms|dads|kids|toddlers|baby|parent|children""), ""Par"&amp;"enting"",
  REGEXMATCH(LOWER(VLOOKUP(A385, Data1_Raw_Slack!A:B, 2, FALSE)), ""education|students|learning|school|teachers|college|university|academics""), ""Education"",
  REGEXMATCH(LOWER(VLOOKUP(A385, Data1_Raw_Slack!A:B, 2, FALSE)), ""age|gender|dem"&amp;"ographic|family|household""), ""Demographics"",
  REGEXMATCH(LOWER(VLOOKUP(A385, Data1_Raw_Slack!A:B, 2, FALSE)), ""mortgage|real estate""), ""Real Estate"",REGEXMATCH(LOWER(VLOOKUP(A385, Data1_Raw_Slack!A:B, 2, FALSE)), ""technology|tech|gadgets|smartpho"&amp;"ne|electro|apps|devices|computing|ai|robots|software|computer|internet|tele|mobile|tablet""), ""Technology"", REGEXMATCH(LOWER(VLOOKUP(A385, Data1_Raw_Slack!A:B, 2, FALSE)), ""entertainment|purchas|movies|tv|netflix|streaming|celebrity|movie lovers|tv fan"&amp;"s|media|hobb|photo|art|shop""), ""Entertainment"", REGEXMATCH(LOWER(VLOOKUP(A385, Data1_Raw_Slack!A:B, 2, FALSE)), ""law|government|""), ""Law and Government"",
  TRUE, ""Other""
)"),"Demographics")</f>
        <v>Demographics</v>
      </c>
      <c r="G385" s="9"/>
      <c r="H385" s="9" t="s">
        <v>32</v>
      </c>
      <c r="I385" s="9" t="s">
        <v>376</v>
      </c>
      <c r="J385" s="9" t="s">
        <v>46</v>
      </c>
      <c r="K385" s="9" t="s">
        <v>405</v>
      </c>
      <c r="L385" s="9" t="s">
        <v>72</v>
      </c>
      <c r="M385" s="10" t="s">
        <v>49</v>
      </c>
      <c r="N385" s="9" t="str">
        <f ca="1">IFERROR(__xludf.DUMMYFUNCTION("REGEXEXTRACT(LOWER(M385), ""([a-z0-9\-]+)\.(?:co|net|org|io|gg)"")"),"yahoo")</f>
        <v>yahoo</v>
      </c>
      <c r="O385" s="9" t="s">
        <v>50</v>
      </c>
      <c r="P385" s="9" t="s">
        <v>39</v>
      </c>
      <c r="Q385" s="9">
        <v>31003</v>
      </c>
      <c r="R385" s="9">
        <v>87</v>
      </c>
      <c r="S385" s="9">
        <v>12591</v>
      </c>
      <c r="T385" s="9">
        <v>22656</v>
      </c>
      <c r="U385" s="9">
        <v>8</v>
      </c>
      <c r="V385" s="11">
        <v>2294.0037779999998</v>
      </c>
      <c r="W385" s="12">
        <f t="shared" si="7"/>
        <v>286.75047224999997</v>
      </c>
      <c r="X385" s="12">
        <f t="shared" si="8"/>
        <v>0.28061800470922171</v>
      </c>
      <c r="Y385" s="12">
        <f t="shared" si="9"/>
        <v>40.612198819469086</v>
      </c>
      <c r="Z385" s="12">
        <f t="shared" si="10"/>
        <v>182.19393042649509</v>
      </c>
      <c r="AA385" s="12">
        <f t="shared" si="11"/>
        <v>73.992961261813377</v>
      </c>
      <c r="AB385" s="12">
        <f t="shared" si="12"/>
        <v>26.367859517241378</v>
      </c>
      <c r="AC385" s="12">
        <f t="shared" si="13"/>
        <v>9.1954022988505741</v>
      </c>
      <c r="AE385" s="13"/>
      <c r="AF385" s="13"/>
    </row>
    <row r="386" spans="1:32">
      <c r="A386" s="8" t="s">
        <v>1459</v>
      </c>
      <c r="B386" s="9" t="s">
        <v>41</v>
      </c>
      <c r="C386" s="9" t="s">
        <v>162</v>
      </c>
      <c r="D386" s="9" t="s">
        <v>163</v>
      </c>
      <c r="E386" s="9" t="s">
        <v>1460</v>
      </c>
      <c r="F386" s="9" t="str">
        <f ca="1">IFERROR(__xludf.DUMMYFUNCTION("IFS(
  REGEXMATCH(LOWER(VLOOKUP(A386, Data1_Raw_Slack!A:B, 2, FALSE)), ""news|weather""), ""News and Weather"", REGEXMATCH(LOWER(VLOOKUP(A386, Data1_Raw_Slack!A:B, 2, FALSE)), ""sports|ufc|nba|nfl|mlb|soccer|sports fans""), ""Sports"",
  REGEXMATCH(LOWER("&amp;"VLOOKUP(A386, Data1_Raw_Slack!A:B, 2, FALSE)), ""fashion|style|clothing|apparel|shoes|accessories|beauty|cosmetics|fashionistas""), ""Fashion and Beauty"",
  REGEXMATCH(LOWER(VLOOKUP(A386, Data1_Raw_Slack!A:B, 2, FALSE)), ""food|cooking|recipe|restaurant|"&amp;"snack|grocery|foodies""), ""Food"",
  REGEXMATCH(LOWER(VLOOKUP(A386, Data1_Raw_Slack!A:B, 2, FALSE)), ""travel|vacation|airline|hotel|trip|flights|travelers""), ""Travel"",
  REGEXMATCH(LOWER(VLOOKUP(A386, Data1_Raw_Slack!A:B, 2, FALSE)), ""fitness|workou"&amp;"t|gym|exercise|yoga|wellness|fitness enthusiasts""), ""Fitness"",
  REGEXMATCH(LOWER(VLOOKUP(A386, Data1_Raw_Slack!A:B, 2, FALSE)), ""health|medical|pharmacy|mental health|doctor|health-conscious""), ""Health"",
  REGEXMATCH(LOWER(VLOOKUP(A386, Data1_Raw_"&amp;"Slack!A:B, 2, FALSE)), ""pets|dogs|cats|animals|pet care|pet lovers""), ""Pets"",
  REGEXMATCH(LOWER(VLOOKUP(A386, Data1_Raw_Slack!A:B, 2, FALSE)), ""games|gaming|game|xbox|playstation|nintendo|gamers""), ""Gaming"",
  REGEXMATCH(LOWER(VLOOKUP(A386, Data1"&amp;"_Raw_Slack!A:B, 2, FALSE)), ""entertainment|movies|tv|netflix|streaming|celebrity|movie lovers|tv fans|hobb|photo|art""), ""Entertainment"",
  REGEXMATCH(LOWER(VLOOKUP(A386, Data1_Raw_Slack!A:B, 2, FALSE)), ""lifestyle|home|interior|decor|living|lifestyle"&amp;" enthusiasts""), ""Lifestyle"",
  REGEXMATCH(LOWER(VLOOKUP(A386, Data1_Raw_Slack!A:B, 2, FALSE)), ""financial|finance|investing|stocks|retirement|banking|credit|debt|loans|savings|personal finance|insurance|econ|ecom|business|retail|occupation|sale|job|ma"&amp;"rketing""), ""Finance"",
  REGEXMATCH(LOWER(VLOOKUP(A386, Data1_Raw_Slack!A:B, 2, FALSE)), ""auto|automotive""), ""Auto"",
  REGEXMATCH(LOWER(VLOOKUP(A386, Data1_Raw_Slack!A:B, 2, FALSE)), ""parenting|moms|dads|kids|toddlers|baby|parent|children""), ""Par"&amp;"enting"",
  REGEXMATCH(LOWER(VLOOKUP(A386, Data1_Raw_Slack!A:B, 2, FALSE)), ""education|students|learning|school|teachers|college|university|academics""), ""Education"",
  REGEXMATCH(LOWER(VLOOKUP(A386, Data1_Raw_Slack!A:B, 2, FALSE)), ""age|gender|dem"&amp;"ographic|family|household""), ""Demographics"",
  REGEXMATCH(LOWER(VLOOKUP(A386, Data1_Raw_Slack!A:B, 2, FALSE)), ""mortgage|real estate""), ""Real Estate"",REGEXMATCH(LOWER(VLOOKUP(A386, Data1_Raw_Slack!A:B, 2, FALSE)), ""technology|tech|gadgets|smartpho"&amp;"ne|electro|apps|devices|computing|ai|robots|software|computer|internet|tele|mobile|tablet""), ""Technology"", REGEXMATCH(LOWER(VLOOKUP(A386, Data1_Raw_Slack!A:B, 2, FALSE)), ""entertainment|purchas|movies|tv|netflix|streaming|celebrity|movie lovers|tv fan"&amp;"s|media|hobb|photo|art|shop""), ""Entertainment"", REGEXMATCH(LOWER(VLOOKUP(A386, Data1_Raw_Slack!A:B, 2, FALSE)), ""law|government|""), ""Law and Government"",
  TRUE, ""Other""
)"),"Auto")</f>
        <v>Auto</v>
      </c>
      <c r="G386" s="9" t="s">
        <v>122</v>
      </c>
      <c r="H386" s="9" t="s">
        <v>44</v>
      </c>
      <c r="I386" s="9" t="s">
        <v>1461</v>
      </c>
      <c r="J386" s="9" t="s">
        <v>80</v>
      </c>
      <c r="K386" s="9" t="s">
        <v>56</v>
      </c>
      <c r="L386" s="9" t="s">
        <v>57</v>
      </c>
      <c r="M386" s="10" t="s">
        <v>295</v>
      </c>
      <c r="N386" s="9" t="str">
        <f ca="1">IFERROR(__xludf.DUMMYFUNCTION("REGEXEXTRACT(LOWER(M386), ""([a-z0-9\-]+)\.(?:co|net|org|io|gg)"")"),"yahoo")</f>
        <v>yahoo</v>
      </c>
      <c r="O386" s="9" t="s">
        <v>50</v>
      </c>
      <c r="P386" s="9" t="s">
        <v>39</v>
      </c>
      <c r="Q386" s="9">
        <v>286998</v>
      </c>
      <c r="R386" s="9">
        <v>815</v>
      </c>
      <c r="S386" s="9">
        <v>61586</v>
      </c>
      <c r="T386" s="9">
        <v>247500</v>
      </c>
      <c r="U386" s="9">
        <v>13</v>
      </c>
      <c r="V386" s="11">
        <v>6395.5506240000004</v>
      </c>
      <c r="W386" s="12">
        <f t="shared" si="7"/>
        <v>491.96543261538466</v>
      </c>
      <c r="X386" s="12">
        <f t="shared" si="8"/>
        <v>0.28397410434915921</v>
      </c>
      <c r="Y386" s="12">
        <f t="shared" si="9"/>
        <v>21.458686123248246</v>
      </c>
      <c r="Z386" s="12">
        <f t="shared" si="10"/>
        <v>103.84747546520313</v>
      </c>
      <c r="AA386" s="12">
        <f t="shared" si="11"/>
        <v>22.284303806995172</v>
      </c>
      <c r="AB386" s="12">
        <f t="shared" si="12"/>
        <v>7.847301379141105</v>
      </c>
      <c r="AC386" s="12">
        <f t="shared" si="13"/>
        <v>1.5950920245398774</v>
      </c>
      <c r="AE386" s="13"/>
      <c r="AF386" s="13"/>
    </row>
    <row r="387" spans="1:32">
      <c r="A387" s="8" t="s">
        <v>1462</v>
      </c>
      <c r="B387" s="9" t="s">
        <v>41</v>
      </c>
      <c r="C387" s="9" t="s">
        <v>542</v>
      </c>
      <c r="D387" s="9" t="s">
        <v>1463</v>
      </c>
      <c r="E387" s="9"/>
      <c r="F387" s="9" t="str">
        <f ca="1">IFERROR(__xludf.DUMMYFUNCTION("IFS(
  REGEXMATCH(LOWER(VLOOKUP(A387, Data1_Raw_Slack!A:B, 2, FALSE)), ""news|weather""), ""News and Weather"", REGEXMATCH(LOWER(VLOOKUP(A387, Data1_Raw_Slack!A:B, 2, FALSE)), ""sports|ufc|nba|nfl|mlb|soccer|sports fans""), ""Sports"",
  REGEXMATCH(LOWER("&amp;"VLOOKUP(A387, Data1_Raw_Slack!A:B, 2, FALSE)), ""fashion|style|clothing|apparel|shoes|accessories|beauty|cosmetics|fashionistas""), ""Fashion and Beauty"",
  REGEXMATCH(LOWER(VLOOKUP(A387, Data1_Raw_Slack!A:B, 2, FALSE)), ""food|cooking|recipe|restaurant|"&amp;"snack|grocery|foodies""), ""Food"",
  REGEXMATCH(LOWER(VLOOKUP(A387, Data1_Raw_Slack!A:B, 2, FALSE)), ""travel|vacation|airline|hotel|trip|flights|travelers""), ""Travel"",
  REGEXMATCH(LOWER(VLOOKUP(A387, Data1_Raw_Slack!A:B, 2, FALSE)), ""fitness|workou"&amp;"t|gym|exercise|yoga|wellness|fitness enthusiasts""), ""Fitness"",
  REGEXMATCH(LOWER(VLOOKUP(A387, Data1_Raw_Slack!A:B, 2, FALSE)), ""health|medical|pharmacy|mental health|doctor|health-conscious""), ""Health"",
  REGEXMATCH(LOWER(VLOOKUP(A387, Data1_Raw_"&amp;"Slack!A:B, 2, FALSE)), ""pets|dogs|cats|animals|pet care|pet lovers""), ""Pets"",
  REGEXMATCH(LOWER(VLOOKUP(A387, Data1_Raw_Slack!A:B, 2, FALSE)), ""games|gaming|game|xbox|playstation|nintendo|gamers""), ""Gaming"",
  REGEXMATCH(LOWER(VLOOKUP(A387, Data1"&amp;"_Raw_Slack!A:B, 2, FALSE)), ""entertainment|movies|tv|netflix|streaming|celebrity|movie lovers|tv fans|hobb|photo|art""), ""Entertainment"",
  REGEXMATCH(LOWER(VLOOKUP(A387, Data1_Raw_Slack!A:B, 2, FALSE)), ""lifestyle|home|interior|decor|living|lifestyle"&amp;" enthusiasts""), ""Lifestyle"",
  REGEXMATCH(LOWER(VLOOKUP(A387, Data1_Raw_Slack!A:B, 2, FALSE)), ""financial|finance|investing|stocks|retirement|banking|credit|debt|loans|savings|personal finance|insurance|econ|ecom|business|retail|occupation|sale|job|ma"&amp;"rketing""), ""Finance"",
  REGEXMATCH(LOWER(VLOOKUP(A387, Data1_Raw_Slack!A:B, 2, FALSE)), ""auto|automotive""), ""Auto"",
  REGEXMATCH(LOWER(VLOOKUP(A387, Data1_Raw_Slack!A:B, 2, FALSE)), ""parenting|moms|dads|kids|toddlers|baby|parent|children""), ""Par"&amp;"enting"",
  REGEXMATCH(LOWER(VLOOKUP(A387, Data1_Raw_Slack!A:B, 2, FALSE)), ""education|students|learning|school|teachers|college|university|academics""), ""Education"",
  REGEXMATCH(LOWER(VLOOKUP(A387, Data1_Raw_Slack!A:B, 2, FALSE)), ""age|gender|dem"&amp;"ographic|family|household""), ""Demographics"",
  REGEXMATCH(LOWER(VLOOKUP(A387, Data1_Raw_Slack!A:B, 2, FALSE)), ""mortgage|real estate""), ""Real Estate"",REGEXMATCH(LOWER(VLOOKUP(A387, Data1_Raw_Slack!A:B, 2, FALSE)), ""technology|tech|gadgets|smartpho"&amp;"ne|electro|apps|devices|computing|ai|robots|software|computer|internet|tele|mobile|tablet""), ""Technology"", REGEXMATCH(LOWER(VLOOKUP(A387, Data1_Raw_Slack!A:B, 2, FALSE)), ""entertainment|purchas|movies|tv|netflix|streaming|celebrity|movie lovers|tv fan"&amp;"s|media|hobb|photo|art|shop""), ""Entertainment"", REGEXMATCH(LOWER(VLOOKUP(A387, Data1_Raw_Slack!A:B, 2, FALSE)), ""law|government|""), ""Law and Government"",
  TRUE, ""Other""
)"),"Entertainment")</f>
        <v>Entertainment</v>
      </c>
      <c r="G387" s="9"/>
      <c r="H387" s="9" t="s">
        <v>32</v>
      </c>
      <c r="I387" s="9" t="s">
        <v>147</v>
      </c>
      <c r="J387" s="9" t="s">
        <v>80</v>
      </c>
      <c r="K387" s="9" t="s">
        <v>274</v>
      </c>
      <c r="L387" s="9" t="s">
        <v>48</v>
      </c>
      <c r="M387" s="10" t="s">
        <v>218</v>
      </c>
      <c r="N387" s="9" t="str">
        <f ca="1">IFERROR(__xludf.DUMMYFUNCTION("REGEXEXTRACT(LOWER(M387), ""([a-z0-9\-]+)\.(?:co|net|org|io|gg)"")"),"yahoo")</f>
        <v>yahoo</v>
      </c>
      <c r="O387" s="9" t="s">
        <v>118</v>
      </c>
      <c r="P387" s="9" t="s">
        <v>39</v>
      </c>
      <c r="Q387" s="9">
        <v>41513</v>
      </c>
      <c r="R387" s="9">
        <v>113</v>
      </c>
      <c r="S387" s="9">
        <v>20872</v>
      </c>
      <c r="T387" s="9">
        <v>39250</v>
      </c>
      <c r="U387" s="9">
        <v>9</v>
      </c>
      <c r="V387" s="11">
        <v>6789.5334009999997</v>
      </c>
      <c r="W387" s="12">
        <f t="shared" si="7"/>
        <v>754.39260011111105</v>
      </c>
      <c r="X387" s="12">
        <f t="shared" si="8"/>
        <v>0.27220388793871797</v>
      </c>
      <c r="Y387" s="12">
        <f t="shared" si="9"/>
        <v>50.278226097848865</v>
      </c>
      <c r="Z387" s="12">
        <f t="shared" si="10"/>
        <v>325.29385784783437</v>
      </c>
      <c r="AA387" s="12">
        <f t="shared" si="11"/>
        <v>163.55198133114925</v>
      </c>
      <c r="AB387" s="12">
        <f t="shared" si="12"/>
        <v>60.084366380530973</v>
      </c>
      <c r="AC387" s="12">
        <f t="shared" si="13"/>
        <v>7.9646017699115044</v>
      </c>
      <c r="AE387" s="13"/>
      <c r="AF387" s="13"/>
    </row>
    <row r="388" spans="1:32">
      <c r="A388" s="8" t="s">
        <v>1464</v>
      </c>
      <c r="B388" s="9" t="s">
        <v>41</v>
      </c>
      <c r="C388" s="9" t="s">
        <v>661</v>
      </c>
      <c r="D388" s="9" t="s">
        <v>1465</v>
      </c>
      <c r="E388" s="9"/>
      <c r="F388" s="9" t="str">
        <f ca="1">IFERROR(__xludf.DUMMYFUNCTION("IFS(
  REGEXMATCH(LOWER(VLOOKUP(A388, Data1_Raw_Slack!A:B, 2, FALSE)), ""news|weather""), ""News and Weather"", REGEXMATCH(LOWER(VLOOKUP(A388, Data1_Raw_Slack!A:B, 2, FALSE)), ""sports|ufc|nba|nfl|mlb|soccer|sports fans""), ""Sports"",
  REGEXMATCH(LOWER("&amp;"VLOOKUP(A388, Data1_Raw_Slack!A:B, 2, FALSE)), ""fashion|style|clothing|apparel|shoes|accessories|beauty|cosmetics|fashionistas""), ""Fashion and Beauty"",
  REGEXMATCH(LOWER(VLOOKUP(A388, Data1_Raw_Slack!A:B, 2, FALSE)), ""food|cooking|recipe|restaurant|"&amp;"snack|grocery|foodies""), ""Food"",
  REGEXMATCH(LOWER(VLOOKUP(A388, Data1_Raw_Slack!A:B, 2, FALSE)), ""travel|vacation|airline|hotel|trip|flights|travelers""), ""Travel"",
  REGEXMATCH(LOWER(VLOOKUP(A388, Data1_Raw_Slack!A:B, 2, FALSE)), ""fitness|workou"&amp;"t|gym|exercise|yoga|wellness|fitness enthusiasts""), ""Fitness"",
  REGEXMATCH(LOWER(VLOOKUP(A388, Data1_Raw_Slack!A:B, 2, FALSE)), ""health|medical|pharmacy|mental health|doctor|health-conscious""), ""Health"",
  REGEXMATCH(LOWER(VLOOKUP(A388, Data1_Raw_"&amp;"Slack!A:B, 2, FALSE)), ""pets|dogs|cats|animals|pet care|pet lovers""), ""Pets"",
  REGEXMATCH(LOWER(VLOOKUP(A388, Data1_Raw_Slack!A:B, 2, FALSE)), ""games|gaming|game|xbox|playstation|nintendo|gamers""), ""Gaming"",
  REGEXMATCH(LOWER(VLOOKUP(A388, Data1"&amp;"_Raw_Slack!A:B, 2, FALSE)), ""entertainment|movies|tv|netflix|streaming|celebrity|movie lovers|tv fans|hobb|photo|art""), ""Entertainment"",
  REGEXMATCH(LOWER(VLOOKUP(A388, Data1_Raw_Slack!A:B, 2, FALSE)), ""lifestyle|home|interior|decor|living|lifestyle"&amp;" enthusiasts""), ""Lifestyle"",
  REGEXMATCH(LOWER(VLOOKUP(A388, Data1_Raw_Slack!A:B, 2, FALSE)), ""financial|finance|investing|stocks|retirement|banking|credit|debt|loans|savings|personal finance|insurance|econ|ecom|business|retail|occupation|sale|job|ma"&amp;"rketing""), ""Finance"",
  REGEXMATCH(LOWER(VLOOKUP(A388, Data1_Raw_Slack!A:B, 2, FALSE)), ""auto|automotive""), ""Auto"",
  REGEXMATCH(LOWER(VLOOKUP(A388, Data1_Raw_Slack!A:B, 2, FALSE)), ""parenting|moms|dads|kids|toddlers|baby|parent|children""), ""Par"&amp;"enting"",
  REGEXMATCH(LOWER(VLOOKUP(A388, Data1_Raw_Slack!A:B, 2, FALSE)), ""education|students|learning|school|teachers|college|university|academics""), ""Education"",
  REGEXMATCH(LOWER(VLOOKUP(A388, Data1_Raw_Slack!A:B, 2, FALSE)), ""age|gender|dem"&amp;"ographic|family|household""), ""Demographics"",
  REGEXMATCH(LOWER(VLOOKUP(A388, Data1_Raw_Slack!A:B, 2, FALSE)), ""mortgage|real estate""), ""Real Estate"",REGEXMATCH(LOWER(VLOOKUP(A388, Data1_Raw_Slack!A:B, 2, FALSE)), ""technology|tech|gadgets|smartpho"&amp;"ne|electro|apps|devices|computing|ai|robots|software|computer|internet|tele|mobile|tablet""), ""Technology"", REGEXMATCH(LOWER(VLOOKUP(A388, Data1_Raw_Slack!A:B, 2, FALSE)), ""entertainment|purchas|movies|tv|netflix|streaming|celebrity|movie lovers|tv fan"&amp;"s|media|hobb|photo|art|shop""), ""Entertainment"", REGEXMATCH(LOWER(VLOOKUP(A388, Data1_Raw_Slack!A:B, 2, FALSE)), ""law|government|""), ""Law and Government"",
  TRUE, ""Other""
)"),"Law and Government")</f>
        <v>Law and Government</v>
      </c>
      <c r="G388" s="9"/>
      <c r="H388" s="9" t="s">
        <v>32</v>
      </c>
      <c r="I388" s="9" t="s">
        <v>1466</v>
      </c>
      <c r="J388" s="9" t="s">
        <v>46</v>
      </c>
      <c r="K388" s="9" t="s">
        <v>88</v>
      </c>
      <c r="L388" s="9" t="s">
        <v>89</v>
      </c>
      <c r="M388" s="10" t="s">
        <v>112</v>
      </c>
      <c r="N388" s="9" t="str">
        <f ca="1">IFERROR(__xludf.DUMMYFUNCTION("REGEXEXTRACT(LOWER(M388), ""([a-z0-9\-]+)\.(?:co|net|org|io|gg)"")"),"ebay")</f>
        <v>ebay</v>
      </c>
      <c r="O388" s="9" t="s">
        <v>186</v>
      </c>
      <c r="P388" s="9" t="s">
        <v>39</v>
      </c>
      <c r="Q388" s="9">
        <v>39794</v>
      </c>
      <c r="R388" s="9">
        <v>101</v>
      </c>
      <c r="S388" s="9">
        <v>17539</v>
      </c>
      <c r="T388" s="9">
        <v>37664</v>
      </c>
      <c r="U388" s="9">
        <v>12</v>
      </c>
      <c r="V388" s="11">
        <v>5328.5245139999997</v>
      </c>
      <c r="W388" s="12">
        <f t="shared" si="7"/>
        <v>444.04370949999998</v>
      </c>
      <c r="X388" s="12">
        <f t="shared" si="8"/>
        <v>0.25380710659898476</v>
      </c>
      <c r="Y388" s="12">
        <f t="shared" si="9"/>
        <v>44.074483590491035</v>
      </c>
      <c r="Z388" s="12">
        <f t="shared" si="10"/>
        <v>303.8100526825931</v>
      </c>
      <c r="AA388" s="12">
        <f t="shared" si="11"/>
        <v>133.9027118158516</v>
      </c>
      <c r="AB388" s="12">
        <f t="shared" si="12"/>
        <v>52.75766845544554</v>
      </c>
      <c r="AC388" s="12">
        <f t="shared" si="13"/>
        <v>11.881188118811881</v>
      </c>
      <c r="AE388" s="13"/>
      <c r="AF388" s="13"/>
    </row>
    <row r="389" spans="1:32">
      <c r="A389" s="8" t="s">
        <v>1467</v>
      </c>
      <c r="B389" s="9" t="s">
        <v>41</v>
      </c>
      <c r="C389" s="9" t="s">
        <v>162</v>
      </c>
      <c r="D389" s="9" t="s">
        <v>914</v>
      </c>
      <c r="E389" s="9" t="s">
        <v>1468</v>
      </c>
      <c r="F389" s="9" t="str">
        <f ca="1">IFERROR(__xludf.DUMMYFUNCTION("IFS(
  REGEXMATCH(LOWER(VLOOKUP(A389, Data1_Raw_Slack!A:B, 2, FALSE)), ""news|weather""), ""News and Weather"", REGEXMATCH(LOWER(VLOOKUP(A389, Data1_Raw_Slack!A:B, 2, FALSE)), ""sports|ufc|nba|nfl|mlb|soccer|sports fans""), ""Sports"",
  REGEXMATCH(LOWER("&amp;"VLOOKUP(A389, Data1_Raw_Slack!A:B, 2, FALSE)), ""fashion|style|clothing|apparel|shoes|accessories|beauty|cosmetics|fashionistas""), ""Fashion and Beauty"",
  REGEXMATCH(LOWER(VLOOKUP(A389, Data1_Raw_Slack!A:B, 2, FALSE)), ""food|cooking|recipe|restaurant|"&amp;"snack|grocery|foodies""), ""Food"",
  REGEXMATCH(LOWER(VLOOKUP(A389, Data1_Raw_Slack!A:B, 2, FALSE)), ""travel|vacation|airline|hotel|trip|flights|travelers""), ""Travel"",
  REGEXMATCH(LOWER(VLOOKUP(A389, Data1_Raw_Slack!A:B, 2, FALSE)), ""fitness|workou"&amp;"t|gym|exercise|yoga|wellness|fitness enthusiasts""), ""Fitness"",
  REGEXMATCH(LOWER(VLOOKUP(A389, Data1_Raw_Slack!A:B, 2, FALSE)), ""health|medical|pharmacy|mental health|doctor|health-conscious""), ""Health"",
  REGEXMATCH(LOWER(VLOOKUP(A389, Data1_Raw_"&amp;"Slack!A:B, 2, FALSE)), ""pets|dogs|cats|animals|pet care|pet lovers""), ""Pets"",
  REGEXMATCH(LOWER(VLOOKUP(A389, Data1_Raw_Slack!A:B, 2, FALSE)), ""games|gaming|game|xbox|playstation|nintendo|gamers""), ""Gaming"",
  REGEXMATCH(LOWER(VLOOKUP(A389, Data1"&amp;"_Raw_Slack!A:B, 2, FALSE)), ""entertainment|movies|tv|netflix|streaming|celebrity|movie lovers|tv fans|hobb|photo|art""), ""Entertainment"",
  REGEXMATCH(LOWER(VLOOKUP(A389, Data1_Raw_Slack!A:B, 2, FALSE)), ""lifestyle|home|interior|decor|living|lifestyle"&amp;" enthusiasts""), ""Lifestyle"",
  REGEXMATCH(LOWER(VLOOKUP(A389, Data1_Raw_Slack!A:B, 2, FALSE)), ""financial|finance|investing|stocks|retirement|banking|credit|debt|loans|savings|personal finance|insurance|econ|ecom|business|retail|occupation|sale|job|ma"&amp;"rketing""), ""Finance"",
  REGEXMATCH(LOWER(VLOOKUP(A389, Data1_Raw_Slack!A:B, 2, FALSE)), ""auto|automotive""), ""Auto"",
  REGEXMATCH(LOWER(VLOOKUP(A389, Data1_Raw_Slack!A:B, 2, FALSE)), ""parenting|moms|dads|kids|toddlers|baby|parent|children""), ""Par"&amp;"enting"",
  REGEXMATCH(LOWER(VLOOKUP(A389, Data1_Raw_Slack!A:B, 2, FALSE)), ""education|students|learning|school|teachers|college|university|academics""), ""Education"",
  REGEXMATCH(LOWER(VLOOKUP(A389, Data1_Raw_Slack!A:B, 2, FALSE)), ""age|gender|dem"&amp;"ographic|family|household""), ""Demographics"",
  REGEXMATCH(LOWER(VLOOKUP(A389, Data1_Raw_Slack!A:B, 2, FALSE)), ""mortgage|real estate""), ""Real Estate"",REGEXMATCH(LOWER(VLOOKUP(A389, Data1_Raw_Slack!A:B, 2, FALSE)), ""technology|tech|gadgets|smartpho"&amp;"ne|electro|apps|devices|computing|ai|robots|software|computer|internet|tele|mobile|tablet""), ""Technology"", REGEXMATCH(LOWER(VLOOKUP(A389, Data1_Raw_Slack!A:B, 2, FALSE)), ""entertainment|purchas|movies|tv|netflix|streaming|celebrity|movie lovers|tv fan"&amp;"s|media|hobb|photo|art|shop""), ""Entertainment"", REGEXMATCH(LOWER(VLOOKUP(A389, Data1_Raw_Slack!A:B, 2, FALSE)), ""law|government|""), ""Law and Government"",
  TRUE, ""Other""
)"),"Auto")</f>
        <v>Auto</v>
      </c>
      <c r="G389" s="9" t="s">
        <v>122</v>
      </c>
      <c r="H389" s="9" t="s">
        <v>44</v>
      </c>
      <c r="I389" s="9" t="s">
        <v>1030</v>
      </c>
      <c r="J389" s="9" t="s">
        <v>62</v>
      </c>
      <c r="K389" s="9" t="s">
        <v>142</v>
      </c>
      <c r="L389" s="9" t="s">
        <v>72</v>
      </c>
      <c r="M389" s="10" t="s">
        <v>1469</v>
      </c>
      <c r="N389" s="9" t="str">
        <f ca="1">IFERROR(__xludf.DUMMYFUNCTION("REGEXEXTRACT(LOWER(M389), ""([a-z0-9\-]+)\.(?:co|net|org|io|gg)"")"),"ranker")</f>
        <v>ranker</v>
      </c>
      <c r="O389" s="9" t="s">
        <v>50</v>
      </c>
      <c r="P389" s="9" t="s">
        <v>39</v>
      </c>
      <c r="Q389" s="9">
        <v>8097</v>
      </c>
      <c r="R389" s="9">
        <v>20</v>
      </c>
      <c r="S389" s="9">
        <v>4942</v>
      </c>
      <c r="T389" s="9">
        <v>6868</v>
      </c>
      <c r="U389" s="9">
        <v>1</v>
      </c>
      <c r="V389" s="11">
        <v>6177.4645449999998</v>
      </c>
      <c r="W389" s="12">
        <f t="shared" si="7"/>
        <v>6177.4645449999998</v>
      </c>
      <c r="X389" s="12">
        <f t="shared" si="8"/>
        <v>0.24700506360380386</v>
      </c>
      <c r="Y389" s="12">
        <f t="shared" si="9"/>
        <v>61.034951216499934</v>
      </c>
      <c r="Z389" s="12">
        <f t="shared" si="10"/>
        <v>1249.9928257790366</v>
      </c>
      <c r="AA389" s="12">
        <f t="shared" si="11"/>
        <v>762.93251142398424</v>
      </c>
      <c r="AB389" s="12">
        <f t="shared" si="12"/>
        <v>308.87322725000001</v>
      </c>
      <c r="AC389" s="12">
        <f t="shared" si="13"/>
        <v>5</v>
      </c>
      <c r="AE389" s="13"/>
      <c r="AF389" s="13"/>
    </row>
    <row r="390" spans="1:32">
      <c r="A390" s="8" t="s">
        <v>1470</v>
      </c>
      <c r="B390" s="9" t="s">
        <v>41</v>
      </c>
      <c r="C390" s="9" t="s">
        <v>162</v>
      </c>
      <c r="D390" s="9" t="s">
        <v>1243</v>
      </c>
      <c r="E390" s="9"/>
      <c r="F390" s="9" t="str">
        <f ca="1">IFERROR(__xludf.DUMMYFUNCTION("IFS(
  REGEXMATCH(LOWER(VLOOKUP(A390, Data1_Raw_Slack!A:B, 2, FALSE)), ""news|weather""), ""News and Weather"", REGEXMATCH(LOWER(VLOOKUP(A390, Data1_Raw_Slack!A:B, 2, FALSE)), ""sports|ufc|nba|nfl|mlb|soccer|sports fans""), ""Sports"",
  REGEXMATCH(LOWER("&amp;"VLOOKUP(A390, Data1_Raw_Slack!A:B, 2, FALSE)), ""fashion|style|clothing|apparel|shoes|accessories|beauty|cosmetics|fashionistas""), ""Fashion and Beauty"",
  REGEXMATCH(LOWER(VLOOKUP(A390, Data1_Raw_Slack!A:B, 2, FALSE)), ""food|cooking|recipe|restaurant|"&amp;"snack|grocery|foodies""), ""Food"",
  REGEXMATCH(LOWER(VLOOKUP(A390, Data1_Raw_Slack!A:B, 2, FALSE)), ""travel|vacation|airline|hotel|trip|flights|travelers""), ""Travel"",
  REGEXMATCH(LOWER(VLOOKUP(A390, Data1_Raw_Slack!A:B, 2, FALSE)), ""fitness|workou"&amp;"t|gym|exercise|yoga|wellness|fitness enthusiasts""), ""Fitness"",
  REGEXMATCH(LOWER(VLOOKUP(A390, Data1_Raw_Slack!A:B, 2, FALSE)), ""health|medical|pharmacy|mental health|doctor|health-conscious""), ""Health"",
  REGEXMATCH(LOWER(VLOOKUP(A390, Data1_Raw_"&amp;"Slack!A:B, 2, FALSE)), ""pets|dogs|cats|animals|pet care|pet lovers""), ""Pets"",
  REGEXMATCH(LOWER(VLOOKUP(A390, Data1_Raw_Slack!A:B, 2, FALSE)), ""games|gaming|game|xbox|playstation|nintendo|gamers""), ""Gaming"",
  REGEXMATCH(LOWER(VLOOKUP(A390, Data1"&amp;"_Raw_Slack!A:B, 2, FALSE)), ""entertainment|movies|tv|netflix|streaming|celebrity|movie lovers|tv fans|hobb|photo|art""), ""Entertainment"",
  REGEXMATCH(LOWER(VLOOKUP(A390, Data1_Raw_Slack!A:B, 2, FALSE)), ""lifestyle|home|interior|decor|living|lifestyle"&amp;" enthusiasts""), ""Lifestyle"",
  REGEXMATCH(LOWER(VLOOKUP(A390, Data1_Raw_Slack!A:B, 2, FALSE)), ""financial|finance|investing|stocks|retirement|banking|credit|debt|loans|savings|personal finance|insurance|econ|ecom|business|retail|occupation|sale|job|ma"&amp;"rketing""), ""Finance"",
  REGEXMATCH(LOWER(VLOOKUP(A390, Data1_Raw_Slack!A:B, 2, FALSE)), ""auto|automotive""), ""Auto"",
  REGEXMATCH(LOWER(VLOOKUP(A390, Data1_Raw_Slack!A:B, 2, FALSE)), ""parenting|moms|dads|kids|toddlers|baby|parent|children""), ""Par"&amp;"enting"",
  REGEXMATCH(LOWER(VLOOKUP(A390, Data1_Raw_Slack!A:B, 2, FALSE)), ""education|students|learning|school|teachers|college|university|academics""), ""Education"",
  REGEXMATCH(LOWER(VLOOKUP(A390, Data1_Raw_Slack!A:B, 2, FALSE)), ""age|gender|dem"&amp;"ographic|family|household""), ""Demographics"",
  REGEXMATCH(LOWER(VLOOKUP(A390, Data1_Raw_Slack!A:B, 2, FALSE)), ""mortgage|real estate""), ""Real Estate"",REGEXMATCH(LOWER(VLOOKUP(A390, Data1_Raw_Slack!A:B, 2, FALSE)), ""technology|tech|gadgets|smartpho"&amp;"ne|electro|apps|devices|computing|ai|robots|software|computer|internet|tele|mobile|tablet""), ""Technology"", REGEXMATCH(LOWER(VLOOKUP(A390, Data1_Raw_Slack!A:B, 2, FALSE)), ""entertainment|purchas|movies|tv|netflix|streaming|celebrity|movie lovers|tv fan"&amp;"s|media|hobb|photo|art|shop""), ""Entertainment"", REGEXMATCH(LOWER(VLOOKUP(A390, Data1_Raw_Slack!A:B, 2, FALSE)), ""law|government|""), ""Law and Government"",
  TRUE, ""Other""
)"),"Auto")</f>
        <v>Auto</v>
      </c>
      <c r="G390" s="9" t="s">
        <v>122</v>
      </c>
      <c r="H390" s="9" t="s">
        <v>32</v>
      </c>
      <c r="I390" s="9" t="s">
        <v>1471</v>
      </c>
      <c r="J390" s="9" t="s">
        <v>34</v>
      </c>
      <c r="K390" s="9" t="s">
        <v>148</v>
      </c>
      <c r="L390" s="9" t="s">
        <v>89</v>
      </c>
      <c r="M390" s="10" t="s">
        <v>484</v>
      </c>
      <c r="N390" s="9" t="str">
        <f ca="1">IFERROR(__xludf.DUMMYFUNCTION("REGEXEXTRACT(LOWER(M390), ""([a-z0-9\-]+)\.(?:co|net|org|io|gg)"")"),"whatismyipaddress")</f>
        <v>whatismyipaddress</v>
      </c>
      <c r="O390" s="9" t="s">
        <v>50</v>
      </c>
      <c r="P390" s="9" t="s">
        <v>39</v>
      </c>
      <c r="Q390" s="9">
        <v>42830</v>
      </c>
      <c r="R390" s="9">
        <v>160</v>
      </c>
      <c r="S390" s="9">
        <v>24499</v>
      </c>
      <c r="T390" s="9">
        <v>34496</v>
      </c>
      <c r="U390" s="9">
        <v>5</v>
      </c>
      <c r="V390" s="11">
        <v>6261.5757240000003</v>
      </c>
      <c r="W390" s="12">
        <f t="shared" si="7"/>
        <v>1252.3151448000001</v>
      </c>
      <c r="X390" s="12">
        <f t="shared" si="8"/>
        <v>0.37356992762082653</v>
      </c>
      <c r="Y390" s="12">
        <f t="shared" si="9"/>
        <v>57.200560354891429</v>
      </c>
      <c r="Z390" s="12">
        <f t="shared" si="10"/>
        <v>255.58495138577086</v>
      </c>
      <c r="AA390" s="12">
        <f t="shared" si="11"/>
        <v>146.19602437543776</v>
      </c>
      <c r="AB390" s="12">
        <f t="shared" si="12"/>
        <v>39.134848275000003</v>
      </c>
      <c r="AC390" s="12">
        <f t="shared" si="13"/>
        <v>3.125</v>
      </c>
      <c r="AE390" s="13"/>
      <c r="AF390" s="13"/>
    </row>
    <row r="391" spans="1:32">
      <c r="A391" s="8" t="s">
        <v>1472</v>
      </c>
      <c r="B391" s="9"/>
      <c r="C391" s="9" t="s">
        <v>67</v>
      </c>
      <c r="D391" s="9"/>
      <c r="E391" s="9"/>
      <c r="F391" s="9" t="str">
        <f ca="1">IFERROR(__xludf.DUMMYFUNCTION("IFS(
  REGEXMATCH(LOWER(VLOOKUP(A391, Data1_Raw_Slack!A:B, 2, FALSE)), ""news|weather""), ""News and Weather"", REGEXMATCH(LOWER(VLOOKUP(A391, Data1_Raw_Slack!A:B, 2, FALSE)), ""sports|ufc|nba|nfl|mlb|soccer|sports fans""), ""Sports"",
  REGEXMATCH(LOWER("&amp;"VLOOKUP(A391, Data1_Raw_Slack!A:B, 2, FALSE)), ""fashion|style|clothing|apparel|shoes|accessories|beauty|cosmetics|fashionistas""), ""Fashion and Beauty"",
  REGEXMATCH(LOWER(VLOOKUP(A391, Data1_Raw_Slack!A:B, 2, FALSE)), ""food|cooking|recipe|restaurant|"&amp;"snack|grocery|foodies""), ""Food"",
  REGEXMATCH(LOWER(VLOOKUP(A391, Data1_Raw_Slack!A:B, 2, FALSE)), ""travel|vacation|airline|hotel|trip|flights|travelers""), ""Travel"",
  REGEXMATCH(LOWER(VLOOKUP(A391, Data1_Raw_Slack!A:B, 2, FALSE)), ""fitness|workou"&amp;"t|gym|exercise|yoga|wellness|fitness enthusiasts""), ""Fitness"",
  REGEXMATCH(LOWER(VLOOKUP(A391, Data1_Raw_Slack!A:B, 2, FALSE)), ""health|medical|pharmacy|mental health|doctor|health-conscious""), ""Health"",
  REGEXMATCH(LOWER(VLOOKUP(A391, Data1_Raw_"&amp;"Slack!A:B, 2, FALSE)), ""pets|dogs|cats|animals|pet care|pet lovers""), ""Pets"",
  REGEXMATCH(LOWER(VLOOKUP(A391, Data1_Raw_Slack!A:B, 2, FALSE)), ""games|gaming|game|xbox|playstation|nintendo|gamers""), ""Gaming"",
  REGEXMATCH(LOWER(VLOOKUP(A391, Data1"&amp;"_Raw_Slack!A:B, 2, FALSE)), ""entertainment|movies|tv|netflix|streaming|celebrity|movie lovers|tv fans|hobb|photo|art""), ""Entertainment"",
  REGEXMATCH(LOWER(VLOOKUP(A391, Data1_Raw_Slack!A:B, 2, FALSE)), ""lifestyle|home|interior|decor|living|lifestyle"&amp;" enthusiasts""), ""Lifestyle"",
  REGEXMATCH(LOWER(VLOOKUP(A391, Data1_Raw_Slack!A:B, 2, FALSE)), ""financial|finance|investing|stocks|retirement|banking|credit|debt|loans|savings|personal finance|insurance|econ|ecom|business|retail|occupation|sale|job|ma"&amp;"rketing""), ""Finance"",
  REGEXMATCH(LOWER(VLOOKUP(A391, Data1_Raw_Slack!A:B, 2, FALSE)), ""auto|automotive""), ""Auto"",
  REGEXMATCH(LOWER(VLOOKUP(A391, Data1_Raw_Slack!A:B, 2, FALSE)), ""parenting|moms|dads|kids|toddlers|baby|parent|children""), ""Par"&amp;"enting"",
  REGEXMATCH(LOWER(VLOOKUP(A391, Data1_Raw_Slack!A:B, 2, FALSE)), ""education|students|learning|school|teachers|college|university|academics""), ""Education"",
  REGEXMATCH(LOWER(VLOOKUP(A391, Data1_Raw_Slack!A:B, 2, FALSE)), ""age|gender|dem"&amp;"ographic|family|household""), ""Demographics"",
  REGEXMATCH(LOWER(VLOOKUP(A391, Data1_Raw_Slack!A:B, 2, FALSE)), ""mortgage|real estate""), ""Real Estate"",REGEXMATCH(LOWER(VLOOKUP(A391, Data1_Raw_Slack!A:B, 2, FALSE)), ""technology|tech|gadgets|smartpho"&amp;"ne|electro|apps|devices|computing|ai|robots|software|computer|internet|tele|mobile|tablet""), ""Technology"", REGEXMATCH(LOWER(VLOOKUP(A391, Data1_Raw_Slack!A:B, 2, FALSE)), ""entertainment|purchas|movies|tv|netflix|streaming|celebrity|movie lovers|tv fan"&amp;"s|media|hobb|photo|art|shop""), ""Entertainment"", REGEXMATCH(LOWER(VLOOKUP(A391, Data1_Raw_Slack!A:B, 2, FALSE)), ""law|government|""), ""Law and Government"",
  TRUE, ""Other""
)"),"Entertainment")</f>
        <v>Entertainment</v>
      </c>
      <c r="G391" s="9" t="s">
        <v>69</v>
      </c>
      <c r="H391" s="9" t="s">
        <v>32</v>
      </c>
      <c r="I391" s="9" t="s">
        <v>935</v>
      </c>
      <c r="J391" s="9" t="s">
        <v>62</v>
      </c>
      <c r="K391" s="9" t="s">
        <v>56</v>
      </c>
      <c r="L391" s="9" t="s">
        <v>57</v>
      </c>
      <c r="M391" s="10" t="s">
        <v>130</v>
      </c>
      <c r="N391" s="9" t="str">
        <f ca="1">IFERROR(__xludf.DUMMYFUNCTION("REGEXEXTRACT(LOWER(M391), ""([a-z0-9\-]+)\.(?:co|net|org|io|gg)"")"),"weather")</f>
        <v>weather</v>
      </c>
      <c r="O391" s="9" t="s">
        <v>50</v>
      </c>
      <c r="P391" s="9" t="s">
        <v>39</v>
      </c>
      <c r="Q391" s="9">
        <v>654902</v>
      </c>
      <c r="R391" s="9">
        <v>1874</v>
      </c>
      <c r="S391" s="9">
        <v>40733</v>
      </c>
      <c r="T391" s="9">
        <v>477114</v>
      </c>
      <c r="U391" s="9">
        <v>14</v>
      </c>
      <c r="V391" s="11">
        <v>3178.6103149999999</v>
      </c>
      <c r="W391" s="12">
        <f t="shared" si="7"/>
        <v>227.04359392857143</v>
      </c>
      <c r="X391" s="12">
        <f t="shared" si="8"/>
        <v>0.28614968346409081</v>
      </c>
      <c r="Y391" s="12">
        <f t="shared" si="9"/>
        <v>6.219709208400646</v>
      </c>
      <c r="Z391" s="12">
        <f t="shared" si="10"/>
        <v>78.03526170426926</v>
      </c>
      <c r="AA391" s="12">
        <f t="shared" si="11"/>
        <v>4.8535663580199788</v>
      </c>
      <c r="AB391" s="12">
        <f t="shared" si="12"/>
        <v>1.6961634551760938</v>
      </c>
      <c r="AC391" s="12">
        <f t="shared" si="13"/>
        <v>0.74706510138740656</v>
      </c>
      <c r="AE391" s="13"/>
      <c r="AF391" s="13"/>
    </row>
    <row r="392" spans="1:32">
      <c r="A392" s="8" t="s">
        <v>1473</v>
      </c>
      <c r="B392" s="9" t="s">
        <v>41</v>
      </c>
      <c r="C392" s="9" t="s">
        <v>85</v>
      </c>
      <c r="D392" s="9" t="s">
        <v>753</v>
      </c>
      <c r="E392" s="9"/>
      <c r="F392" s="9" t="str">
        <f ca="1">IFERROR(__xludf.DUMMYFUNCTION("IFS(
  REGEXMATCH(LOWER(VLOOKUP(A392, Data1_Raw_Slack!A:B, 2, FALSE)), ""news|weather""), ""News and Weather"", REGEXMATCH(LOWER(VLOOKUP(A392, Data1_Raw_Slack!A:B, 2, FALSE)), ""sports|ufc|nba|nfl|mlb|soccer|sports fans""), ""Sports"",
  REGEXMATCH(LOWER("&amp;"VLOOKUP(A392, Data1_Raw_Slack!A:B, 2, FALSE)), ""fashion|style|clothing|apparel|shoes|accessories|beauty|cosmetics|fashionistas""), ""Fashion and Beauty"",
  REGEXMATCH(LOWER(VLOOKUP(A392, Data1_Raw_Slack!A:B, 2, FALSE)), ""food|cooking|recipe|restaurant|"&amp;"snack|grocery|foodies""), ""Food"",
  REGEXMATCH(LOWER(VLOOKUP(A392, Data1_Raw_Slack!A:B, 2, FALSE)), ""travel|vacation|airline|hotel|trip|flights|travelers""), ""Travel"",
  REGEXMATCH(LOWER(VLOOKUP(A392, Data1_Raw_Slack!A:B, 2, FALSE)), ""fitness|workou"&amp;"t|gym|exercise|yoga|wellness|fitness enthusiasts""), ""Fitness"",
  REGEXMATCH(LOWER(VLOOKUP(A392, Data1_Raw_Slack!A:B, 2, FALSE)), ""health|medical|pharmacy|mental health|doctor|health-conscious""), ""Health"",
  REGEXMATCH(LOWER(VLOOKUP(A392, Data1_Raw_"&amp;"Slack!A:B, 2, FALSE)), ""pets|dogs|cats|animals|pet care|pet lovers""), ""Pets"",
  REGEXMATCH(LOWER(VLOOKUP(A392, Data1_Raw_Slack!A:B, 2, FALSE)), ""games|gaming|game|xbox|playstation|nintendo|gamers""), ""Gaming"",
  REGEXMATCH(LOWER(VLOOKUP(A392, Data1"&amp;"_Raw_Slack!A:B, 2, FALSE)), ""entertainment|movies|tv|netflix|streaming|celebrity|movie lovers|tv fans|hobb|photo|art""), ""Entertainment"",
  REGEXMATCH(LOWER(VLOOKUP(A392, Data1_Raw_Slack!A:B, 2, FALSE)), ""lifestyle|home|interior|decor|living|lifestyle"&amp;" enthusiasts""), ""Lifestyle"",
  REGEXMATCH(LOWER(VLOOKUP(A392, Data1_Raw_Slack!A:B, 2, FALSE)), ""financial|finance|investing|stocks|retirement|banking|credit|debt|loans|savings|personal finance|insurance|econ|ecom|business|retail|occupation|sale|job|ma"&amp;"rketing""), ""Finance"",
  REGEXMATCH(LOWER(VLOOKUP(A392, Data1_Raw_Slack!A:B, 2, FALSE)), ""auto|automotive""), ""Auto"",
  REGEXMATCH(LOWER(VLOOKUP(A392, Data1_Raw_Slack!A:B, 2, FALSE)), ""parenting|moms|dads|kids|toddlers|baby|parent|children""), ""Par"&amp;"enting"",
  REGEXMATCH(LOWER(VLOOKUP(A392, Data1_Raw_Slack!A:B, 2, FALSE)), ""education|students|learning|school|teachers|college|university|academics""), ""Education"",
  REGEXMATCH(LOWER(VLOOKUP(A392, Data1_Raw_Slack!A:B, 2, FALSE)), ""age|gender|dem"&amp;"ographic|family|household""), ""Demographics"",
  REGEXMATCH(LOWER(VLOOKUP(A392, Data1_Raw_Slack!A:B, 2, FALSE)), ""mortgage|real estate""), ""Real Estate"",REGEXMATCH(LOWER(VLOOKUP(A392, Data1_Raw_Slack!A:B, 2, FALSE)), ""technology|tech|gadgets|smartpho"&amp;"ne|electro|apps|devices|computing|ai|robots|software|computer|internet|tele|mobile|tablet""), ""Technology"", REGEXMATCH(LOWER(VLOOKUP(A392, Data1_Raw_Slack!A:B, 2, FALSE)), ""entertainment|purchas|movies|tv|netflix|streaming|celebrity|movie lovers|tv fan"&amp;"s|media|hobb|photo|art|shop""), ""Entertainment"", REGEXMATCH(LOWER(VLOOKUP(A392, Data1_Raw_Slack!A:B, 2, FALSE)), ""law|government|""), ""Law and Government"",
  TRUE, ""Other""
)"),"Travel")</f>
        <v>Travel</v>
      </c>
      <c r="G392" s="9" t="s">
        <v>85</v>
      </c>
      <c r="H392" s="9" t="s">
        <v>32</v>
      </c>
      <c r="I392" s="9" t="s">
        <v>824</v>
      </c>
      <c r="J392" s="9" t="s">
        <v>46</v>
      </c>
      <c r="K392" s="9" t="s">
        <v>236</v>
      </c>
      <c r="L392" s="9" t="s">
        <v>82</v>
      </c>
      <c r="M392" s="10" t="s">
        <v>988</v>
      </c>
      <c r="N392" s="9" t="str">
        <f ca="1">IFERROR(__xludf.DUMMYFUNCTION("REGEXEXTRACT(LOWER(M392), ""([a-z0-9\-]+)\.(?:co|net|org|io|gg)"")"),"marca")</f>
        <v>marca</v>
      </c>
      <c r="O392" s="9" t="s">
        <v>50</v>
      </c>
      <c r="P392" s="9" t="s">
        <v>39</v>
      </c>
      <c r="Q392" s="9">
        <v>45965</v>
      </c>
      <c r="R392" s="9">
        <v>190</v>
      </c>
      <c r="S392" s="9">
        <v>10028</v>
      </c>
      <c r="T392" s="9">
        <v>37295</v>
      </c>
      <c r="U392" s="9">
        <v>1</v>
      </c>
      <c r="V392" s="11">
        <v>4718.8361139999997</v>
      </c>
      <c r="W392" s="12">
        <f t="shared" si="7"/>
        <v>4718.8361139999997</v>
      </c>
      <c r="X392" s="12">
        <f t="shared" si="8"/>
        <v>0.41335798977482863</v>
      </c>
      <c r="Y392" s="12">
        <f t="shared" si="9"/>
        <v>21.81659958664201</v>
      </c>
      <c r="Z392" s="12">
        <f t="shared" si="10"/>
        <v>470.56602652572792</v>
      </c>
      <c r="AA392" s="12">
        <f t="shared" si="11"/>
        <v>102.6615057978897</v>
      </c>
      <c r="AB392" s="12">
        <f t="shared" si="12"/>
        <v>24.835979547368421</v>
      </c>
      <c r="AC392" s="12">
        <f t="shared" si="13"/>
        <v>0.52631578947368418</v>
      </c>
      <c r="AE392" s="13"/>
      <c r="AF392" s="13"/>
    </row>
    <row r="393" spans="1:32">
      <c r="A393" s="8" t="s">
        <v>1474</v>
      </c>
      <c r="B393" s="9" t="s">
        <v>41</v>
      </c>
      <c r="C393" s="9" t="s">
        <v>542</v>
      </c>
      <c r="D393" s="9" t="s">
        <v>1475</v>
      </c>
      <c r="E393" s="9"/>
      <c r="F393" s="9" t="str">
        <f ca="1">IFERROR(__xludf.DUMMYFUNCTION("IFS(
  REGEXMATCH(LOWER(VLOOKUP(A393, Data1_Raw_Slack!A:B, 2, FALSE)), ""news|weather""), ""News and Weather"", REGEXMATCH(LOWER(VLOOKUP(A393, Data1_Raw_Slack!A:B, 2, FALSE)), ""sports|ufc|nba|nfl|mlb|soccer|sports fans""), ""Sports"",
  REGEXMATCH(LOWER("&amp;"VLOOKUP(A393, Data1_Raw_Slack!A:B, 2, FALSE)), ""fashion|style|clothing|apparel|shoes|accessories|beauty|cosmetics|fashionistas""), ""Fashion and Beauty"",
  REGEXMATCH(LOWER(VLOOKUP(A393, Data1_Raw_Slack!A:B, 2, FALSE)), ""food|cooking|recipe|restaurant|"&amp;"snack|grocery|foodies""), ""Food"",
  REGEXMATCH(LOWER(VLOOKUP(A393, Data1_Raw_Slack!A:B, 2, FALSE)), ""travel|vacation|airline|hotel|trip|flights|travelers""), ""Travel"",
  REGEXMATCH(LOWER(VLOOKUP(A393, Data1_Raw_Slack!A:B, 2, FALSE)), ""fitness|workou"&amp;"t|gym|exercise|yoga|wellness|fitness enthusiasts""), ""Fitness"",
  REGEXMATCH(LOWER(VLOOKUP(A393, Data1_Raw_Slack!A:B, 2, FALSE)), ""health|medical|pharmacy|mental health|doctor|health-conscious""), ""Health"",
  REGEXMATCH(LOWER(VLOOKUP(A393, Data1_Raw_"&amp;"Slack!A:B, 2, FALSE)), ""pets|dogs|cats|animals|pet care|pet lovers""), ""Pets"",
  REGEXMATCH(LOWER(VLOOKUP(A393, Data1_Raw_Slack!A:B, 2, FALSE)), ""games|gaming|game|xbox|playstation|nintendo|gamers""), ""Gaming"",
  REGEXMATCH(LOWER(VLOOKUP(A393, Data1"&amp;"_Raw_Slack!A:B, 2, FALSE)), ""entertainment|movies|tv|netflix|streaming|celebrity|movie lovers|tv fans|hobb|photo|art""), ""Entertainment"",
  REGEXMATCH(LOWER(VLOOKUP(A393, Data1_Raw_Slack!A:B, 2, FALSE)), ""lifestyle|home|interior|decor|living|lifestyle"&amp;" enthusiasts""), ""Lifestyle"",
  REGEXMATCH(LOWER(VLOOKUP(A393, Data1_Raw_Slack!A:B, 2, FALSE)), ""financial|finance|investing|stocks|retirement|banking|credit|debt|loans|savings|personal finance|insurance|econ|ecom|business|retail|occupation|sale|job|ma"&amp;"rketing""), ""Finance"",
  REGEXMATCH(LOWER(VLOOKUP(A393, Data1_Raw_Slack!A:B, 2, FALSE)), ""auto|automotive""), ""Auto"",
  REGEXMATCH(LOWER(VLOOKUP(A393, Data1_Raw_Slack!A:B, 2, FALSE)), ""parenting|moms|dads|kids|toddlers|baby|parent|children""), ""Par"&amp;"enting"",
  REGEXMATCH(LOWER(VLOOKUP(A393, Data1_Raw_Slack!A:B, 2, FALSE)), ""education|students|learning|school|teachers|college|university|academics""), ""Education"",
  REGEXMATCH(LOWER(VLOOKUP(A393, Data1_Raw_Slack!A:B, 2, FALSE)), ""age|gender|dem"&amp;"ographic|family|household""), ""Demographics"",
  REGEXMATCH(LOWER(VLOOKUP(A393, Data1_Raw_Slack!A:B, 2, FALSE)), ""mortgage|real estate""), ""Real Estate"",REGEXMATCH(LOWER(VLOOKUP(A393, Data1_Raw_Slack!A:B, 2, FALSE)), ""technology|tech|gadgets|smartpho"&amp;"ne|electro|apps|devices|computing|ai|robots|software|computer|internet|tele|mobile|tablet""), ""Technology"", REGEXMATCH(LOWER(VLOOKUP(A393, Data1_Raw_Slack!A:B, 2, FALSE)), ""entertainment|purchas|movies|tv|netflix|streaming|celebrity|movie lovers|tv fan"&amp;"s|media|hobb|photo|art|shop""), ""Entertainment"", REGEXMATCH(LOWER(VLOOKUP(A393, Data1_Raw_Slack!A:B, 2, FALSE)), ""law|government|""), ""Law and Government"",
  TRUE, ""Other""
)"),"Entertainment")</f>
        <v>Entertainment</v>
      </c>
      <c r="G393" s="9"/>
      <c r="H393" s="9" t="s">
        <v>44</v>
      </c>
      <c r="I393" s="9" t="s">
        <v>1476</v>
      </c>
      <c r="J393" s="9" t="s">
        <v>62</v>
      </c>
      <c r="K393" s="9" t="s">
        <v>88</v>
      </c>
      <c r="L393" s="9" t="s">
        <v>89</v>
      </c>
      <c r="M393" s="10" t="s">
        <v>1477</v>
      </c>
      <c r="N393" s="9" t="str">
        <f ca="1">IFERROR(__xludf.DUMMYFUNCTION("REGEXEXTRACT(LOWER(M393), ""([a-z0-9\-]+)\.(?:co|net|org|io|gg)"")"),"mayoclinic")</f>
        <v>mayoclinic</v>
      </c>
      <c r="O393" s="9" t="s">
        <v>186</v>
      </c>
      <c r="P393" s="9" t="s">
        <v>39</v>
      </c>
      <c r="Q393" s="9">
        <v>14398</v>
      </c>
      <c r="R393" s="9">
        <v>30</v>
      </c>
      <c r="S393" s="9">
        <v>2807</v>
      </c>
      <c r="T393" s="9">
        <v>13393</v>
      </c>
      <c r="U393" s="9">
        <v>7</v>
      </c>
      <c r="V393" s="11">
        <v>5154.6445549999999</v>
      </c>
      <c r="W393" s="12">
        <f t="shared" si="7"/>
        <v>736.37779357142858</v>
      </c>
      <c r="X393" s="12">
        <f t="shared" si="8"/>
        <v>0.2083622725378525</v>
      </c>
      <c r="Y393" s="12">
        <f t="shared" si="9"/>
        <v>19.495763300458396</v>
      </c>
      <c r="Z393" s="12">
        <f t="shared" si="10"/>
        <v>1836.3535999287494</v>
      </c>
      <c r="AA393" s="12">
        <f t="shared" si="11"/>
        <v>358.01115120155572</v>
      </c>
      <c r="AB393" s="12">
        <f t="shared" si="12"/>
        <v>171.82148516666666</v>
      </c>
      <c r="AC393" s="12">
        <f t="shared" si="13"/>
        <v>23.333333333333332</v>
      </c>
      <c r="AE393" s="13"/>
      <c r="AF393" s="13"/>
    </row>
    <row r="394" spans="1:32">
      <c r="A394" s="8" t="s">
        <v>1478</v>
      </c>
      <c r="B394" s="9" t="s">
        <v>41</v>
      </c>
      <c r="C394" s="9" t="s">
        <v>253</v>
      </c>
      <c r="D394" s="9" t="s">
        <v>1479</v>
      </c>
      <c r="E394" s="9"/>
      <c r="F394" s="9" t="str">
        <f ca="1">IFERROR(__xludf.DUMMYFUNCTION("IFS(
  REGEXMATCH(LOWER(VLOOKUP(A394, Data1_Raw_Slack!A:B, 2, FALSE)), ""news|weather""), ""News and Weather"", REGEXMATCH(LOWER(VLOOKUP(A394, Data1_Raw_Slack!A:B, 2, FALSE)), ""sports|ufc|nba|nfl|mlb|soccer|sports fans""), ""Sports"",
  REGEXMATCH(LOWER("&amp;"VLOOKUP(A394, Data1_Raw_Slack!A:B, 2, FALSE)), ""fashion|style|clothing|apparel|shoes|accessories|beauty|cosmetics|fashionistas""), ""Fashion and Beauty"",
  REGEXMATCH(LOWER(VLOOKUP(A394, Data1_Raw_Slack!A:B, 2, FALSE)), ""food|cooking|recipe|restaurant|"&amp;"snack|grocery|foodies""), ""Food"",
  REGEXMATCH(LOWER(VLOOKUP(A394, Data1_Raw_Slack!A:B, 2, FALSE)), ""travel|vacation|airline|hotel|trip|flights|travelers""), ""Travel"",
  REGEXMATCH(LOWER(VLOOKUP(A394, Data1_Raw_Slack!A:B, 2, FALSE)), ""fitness|workou"&amp;"t|gym|exercise|yoga|wellness|fitness enthusiasts""), ""Fitness"",
  REGEXMATCH(LOWER(VLOOKUP(A394, Data1_Raw_Slack!A:B, 2, FALSE)), ""health|medical|pharmacy|mental health|doctor|health-conscious""), ""Health"",
  REGEXMATCH(LOWER(VLOOKUP(A394, Data1_Raw_"&amp;"Slack!A:B, 2, FALSE)), ""pets|dogs|cats|animals|pet care|pet lovers""), ""Pets"",
  REGEXMATCH(LOWER(VLOOKUP(A394, Data1_Raw_Slack!A:B, 2, FALSE)), ""games|gaming|game|xbox|playstation|nintendo|gamers""), ""Gaming"",
  REGEXMATCH(LOWER(VLOOKUP(A394, Data1"&amp;"_Raw_Slack!A:B, 2, FALSE)), ""entertainment|movies|tv|netflix|streaming|celebrity|movie lovers|tv fans|hobb|photo|art""), ""Entertainment"",
  REGEXMATCH(LOWER(VLOOKUP(A394, Data1_Raw_Slack!A:B, 2, FALSE)), ""lifestyle|home|interior|decor|living|lifestyle"&amp;" enthusiasts""), ""Lifestyle"",
  REGEXMATCH(LOWER(VLOOKUP(A394, Data1_Raw_Slack!A:B, 2, FALSE)), ""financial|finance|investing|stocks|retirement|banking|credit|debt|loans|savings|personal finance|insurance|econ|ecom|business|retail|occupation|sale|job|ma"&amp;"rketing""), ""Finance"",
  REGEXMATCH(LOWER(VLOOKUP(A394, Data1_Raw_Slack!A:B, 2, FALSE)), ""auto|automotive""), ""Auto"",
  REGEXMATCH(LOWER(VLOOKUP(A394, Data1_Raw_Slack!A:B, 2, FALSE)), ""parenting|moms|dads|kids|toddlers|baby|parent|children""), ""Par"&amp;"enting"",
  REGEXMATCH(LOWER(VLOOKUP(A394, Data1_Raw_Slack!A:B, 2, FALSE)), ""education|students|learning|school|teachers|college|university|academics""), ""Education"",
  REGEXMATCH(LOWER(VLOOKUP(A394, Data1_Raw_Slack!A:B, 2, FALSE)), ""age|gender|dem"&amp;"ographic|family|household""), ""Demographics"",
  REGEXMATCH(LOWER(VLOOKUP(A394, Data1_Raw_Slack!A:B, 2, FALSE)), ""mortgage|real estate""), ""Real Estate"",REGEXMATCH(LOWER(VLOOKUP(A394, Data1_Raw_Slack!A:B, 2, FALSE)), ""technology|tech|gadgets|smartpho"&amp;"ne|electro|apps|devices|computing|ai|robots|software|computer|internet|tele|mobile|tablet""), ""Technology"", REGEXMATCH(LOWER(VLOOKUP(A394, Data1_Raw_Slack!A:B, 2, FALSE)), ""entertainment|purchas|movies|tv|netflix|streaming|celebrity|movie lovers|tv fan"&amp;"s|media|hobb|photo|art|shop""), ""Entertainment"", REGEXMATCH(LOWER(VLOOKUP(A394, Data1_Raw_Slack!A:B, 2, FALSE)), ""law|government|""), ""Law and Government"",
  TRUE, ""Other""
)"),"Sports")</f>
        <v>Sports</v>
      </c>
      <c r="G394" s="9"/>
      <c r="H394" s="9" t="s">
        <v>32</v>
      </c>
      <c r="I394" s="9" t="s">
        <v>1480</v>
      </c>
      <c r="J394" s="9" t="s">
        <v>80</v>
      </c>
      <c r="K394" s="9" t="s">
        <v>56</v>
      </c>
      <c r="L394" s="9" t="s">
        <v>57</v>
      </c>
      <c r="M394" s="10" t="s">
        <v>97</v>
      </c>
      <c r="N394" s="9" t="str">
        <f ca="1">IFERROR(__xludf.DUMMYFUNCTION("REGEXEXTRACT(LOWER(M394), ""([a-z0-9\-]+)\.(?:co|net|org|io|gg)"")"),"findagrave")</f>
        <v>findagrave</v>
      </c>
      <c r="O394" s="9" t="s">
        <v>131</v>
      </c>
      <c r="P394" s="9" t="s">
        <v>39</v>
      </c>
      <c r="Q394" s="9">
        <v>26304</v>
      </c>
      <c r="R394" s="9">
        <v>75</v>
      </c>
      <c r="S394" s="9">
        <v>12354</v>
      </c>
      <c r="T394" s="9">
        <v>17500</v>
      </c>
      <c r="U394" s="9">
        <v>11</v>
      </c>
      <c r="V394" s="11">
        <v>4727.8139160000001</v>
      </c>
      <c r="W394" s="12">
        <f t="shared" si="7"/>
        <v>429.80126509090911</v>
      </c>
      <c r="X394" s="12">
        <f t="shared" si="8"/>
        <v>0.28512773722627738</v>
      </c>
      <c r="Y394" s="12">
        <f t="shared" si="9"/>
        <v>46.966240875912405</v>
      </c>
      <c r="Z394" s="12">
        <f t="shared" si="10"/>
        <v>382.69499077221951</v>
      </c>
      <c r="AA394" s="12">
        <f t="shared" si="11"/>
        <v>179.73745118613138</v>
      </c>
      <c r="AB394" s="12">
        <f t="shared" si="12"/>
        <v>63.03751888</v>
      </c>
      <c r="AC394" s="12">
        <f t="shared" si="13"/>
        <v>14.666666666666666</v>
      </c>
      <c r="AE394" s="13"/>
      <c r="AF394" s="13"/>
    </row>
    <row r="395" spans="1:32">
      <c r="A395" s="8" t="s">
        <v>1481</v>
      </c>
      <c r="B395" s="9" t="s">
        <v>41</v>
      </c>
      <c r="C395" s="9" t="s">
        <v>105</v>
      </c>
      <c r="D395" s="9" t="s">
        <v>812</v>
      </c>
      <c r="E395" s="9"/>
      <c r="F395" s="9" t="str">
        <f ca="1">IFERROR(__xludf.DUMMYFUNCTION("IFS(
  REGEXMATCH(LOWER(VLOOKUP(A395, Data1_Raw_Slack!A:B, 2, FALSE)), ""news|weather""), ""News and Weather"", REGEXMATCH(LOWER(VLOOKUP(A395, Data1_Raw_Slack!A:B, 2, FALSE)), ""sports|ufc|nba|nfl|mlb|soccer|sports fans""), ""Sports"",
  REGEXMATCH(LOWER("&amp;"VLOOKUP(A395, Data1_Raw_Slack!A:B, 2, FALSE)), ""fashion|style|clothing|apparel|shoes|accessories|beauty|cosmetics|fashionistas""), ""Fashion and Beauty"",
  REGEXMATCH(LOWER(VLOOKUP(A395, Data1_Raw_Slack!A:B, 2, FALSE)), ""food|cooking|recipe|restaurant|"&amp;"snack|grocery|foodies""), ""Food"",
  REGEXMATCH(LOWER(VLOOKUP(A395, Data1_Raw_Slack!A:B, 2, FALSE)), ""travel|vacation|airline|hotel|trip|flights|travelers""), ""Travel"",
  REGEXMATCH(LOWER(VLOOKUP(A395, Data1_Raw_Slack!A:B, 2, FALSE)), ""fitness|workou"&amp;"t|gym|exercise|yoga|wellness|fitness enthusiasts""), ""Fitness"",
  REGEXMATCH(LOWER(VLOOKUP(A395, Data1_Raw_Slack!A:B, 2, FALSE)), ""health|medical|pharmacy|mental health|doctor|health-conscious""), ""Health"",
  REGEXMATCH(LOWER(VLOOKUP(A395, Data1_Raw_"&amp;"Slack!A:B, 2, FALSE)), ""pets|dogs|cats|animals|pet care|pet lovers""), ""Pets"",
  REGEXMATCH(LOWER(VLOOKUP(A395, Data1_Raw_Slack!A:B, 2, FALSE)), ""games|gaming|game|xbox|playstation|nintendo|gamers""), ""Gaming"",
  REGEXMATCH(LOWER(VLOOKUP(A395, Data1"&amp;"_Raw_Slack!A:B, 2, FALSE)), ""entertainment|movies|tv|netflix|streaming|celebrity|movie lovers|tv fans|hobb|photo|art""), ""Entertainment"",
  REGEXMATCH(LOWER(VLOOKUP(A395, Data1_Raw_Slack!A:B, 2, FALSE)), ""lifestyle|home|interior|decor|living|lifestyle"&amp;" enthusiasts""), ""Lifestyle"",
  REGEXMATCH(LOWER(VLOOKUP(A395, Data1_Raw_Slack!A:B, 2, FALSE)), ""financial|finance|investing|stocks|retirement|banking|credit|debt|loans|savings|personal finance|insurance|econ|ecom|business|retail|occupation|sale|job|ma"&amp;"rketing""), ""Finance"",
  REGEXMATCH(LOWER(VLOOKUP(A395, Data1_Raw_Slack!A:B, 2, FALSE)), ""auto|automotive""), ""Auto"",
  REGEXMATCH(LOWER(VLOOKUP(A395, Data1_Raw_Slack!A:B, 2, FALSE)), ""parenting|moms|dads|kids|toddlers|baby|parent|children""), ""Par"&amp;"enting"",
  REGEXMATCH(LOWER(VLOOKUP(A395, Data1_Raw_Slack!A:B, 2, FALSE)), ""education|students|learning|school|teachers|college|university|academics""), ""Education"",
  REGEXMATCH(LOWER(VLOOKUP(A395, Data1_Raw_Slack!A:B, 2, FALSE)), ""age|gender|dem"&amp;"ographic|family|household""), ""Demographics"",
  REGEXMATCH(LOWER(VLOOKUP(A395, Data1_Raw_Slack!A:B, 2, FALSE)), ""mortgage|real estate""), ""Real Estate"",REGEXMATCH(LOWER(VLOOKUP(A395, Data1_Raw_Slack!A:B, 2, FALSE)), ""technology|tech|gadgets|smartpho"&amp;"ne|electro|apps|devices|computing|ai|robots|software|computer|internet|tele|mobile|tablet""), ""Technology"", REGEXMATCH(LOWER(VLOOKUP(A395, Data1_Raw_Slack!A:B, 2, FALSE)), ""entertainment|purchas|movies|tv|netflix|streaming|celebrity|movie lovers|tv fan"&amp;"s|media|hobb|photo|art|shop""), ""Entertainment"", REGEXMATCH(LOWER(VLOOKUP(A395, Data1_Raw_Slack!A:B, 2, FALSE)), ""law|government|""), ""Law and Government"",
  TRUE, ""Other""
)"),"Fashion and Beauty")</f>
        <v>Fashion and Beauty</v>
      </c>
      <c r="G395" s="9" t="s">
        <v>105</v>
      </c>
      <c r="H395" s="9" t="s">
        <v>32</v>
      </c>
      <c r="I395" s="9" t="s">
        <v>221</v>
      </c>
      <c r="J395" s="9" t="s">
        <v>46</v>
      </c>
      <c r="K395" s="9" t="s">
        <v>236</v>
      </c>
      <c r="L395" s="9" t="s">
        <v>82</v>
      </c>
      <c r="M395" s="10" t="s">
        <v>354</v>
      </c>
      <c r="N395" s="9" t="str">
        <f ca="1">IFERROR(__xludf.DUMMYFUNCTION("REGEXEXTRACT(LOWER(M395), ""([a-z0-9\-]+)\.(?:co|net|org|io|gg)"")"),"yahoo")</f>
        <v>yahoo</v>
      </c>
      <c r="O395" s="9" t="s">
        <v>74</v>
      </c>
      <c r="P395" s="9" t="s">
        <v>39</v>
      </c>
      <c r="Q395" s="9">
        <v>888037</v>
      </c>
      <c r="R395" s="9">
        <v>2841</v>
      </c>
      <c r="S395" s="9">
        <v>370429</v>
      </c>
      <c r="T395" s="9">
        <v>820340</v>
      </c>
      <c r="U395" s="9">
        <v>42</v>
      </c>
      <c r="V395" s="11">
        <v>8134.3505240000004</v>
      </c>
      <c r="W395" s="12">
        <f t="shared" si="7"/>
        <v>193.67501247619049</v>
      </c>
      <c r="X395" s="12">
        <f t="shared" si="8"/>
        <v>0.31991910246982952</v>
      </c>
      <c r="Y395" s="12">
        <f t="shared" si="9"/>
        <v>41.713239425834736</v>
      </c>
      <c r="Z395" s="12">
        <f t="shared" si="10"/>
        <v>21.959270262317474</v>
      </c>
      <c r="AA395" s="12">
        <f t="shared" si="11"/>
        <v>9.1599229806866163</v>
      </c>
      <c r="AB395" s="12">
        <f t="shared" si="12"/>
        <v>2.8631997620556144</v>
      </c>
      <c r="AC395" s="12">
        <f t="shared" si="13"/>
        <v>1.4783526927138331</v>
      </c>
      <c r="AE395" s="13"/>
      <c r="AF395" s="13"/>
    </row>
    <row r="396" spans="1:32">
      <c r="A396" s="8" t="s">
        <v>1482</v>
      </c>
      <c r="B396" s="9" t="s">
        <v>1137</v>
      </c>
      <c r="C396" s="9" t="s">
        <v>127</v>
      </c>
      <c r="D396" s="9" t="s">
        <v>1483</v>
      </c>
      <c r="E396" s="9" t="s">
        <v>1484</v>
      </c>
      <c r="F396" s="9" t="str">
        <f ca="1">IFERROR(__xludf.DUMMYFUNCTION("IFS(
  REGEXMATCH(LOWER(VLOOKUP(A396, Data1_Raw_Slack!A:B, 2, FALSE)), ""news|weather""), ""News and Weather"", REGEXMATCH(LOWER(VLOOKUP(A396, Data1_Raw_Slack!A:B, 2, FALSE)), ""sports|ufc|nba|nfl|mlb|soccer|sports fans""), ""Sports"",
  REGEXMATCH(LOWER("&amp;"VLOOKUP(A396, Data1_Raw_Slack!A:B, 2, FALSE)), ""fashion|style|clothing|apparel|shoes|accessories|beauty|cosmetics|fashionistas""), ""Fashion and Beauty"",
  REGEXMATCH(LOWER(VLOOKUP(A396, Data1_Raw_Slack!A:B, 2, FALSE)), ""food|cooking|recipe|restaurant|"&amp;"snack|grocery|foodies""), ""Food"",
  REGEXMATCH(LOWER(VLOOKUP(A396, Data1_Raw_Slack!A:B, 2, FALSE)), ""travel|vacation|airline|hotel|trip|flights|travelers""), ""Travel"",
  REGEXMATCH(LOWER(VLOOKUP(A396, Data1_Raw_Slack!A:B, 2, FALSE)), ""fitness|workou"&amp;"t|gym|exercise|yoga|wellness|fitness enthusiasts""), ""Fitness"",
  REGEXMATCH(LOWER(VLOOKUP(A396, Data1_Raw_Slack!A:B, 2, FALSE)), ""health|medical|pharmacy|mental health|doctor|health-conscious""), ""Health"",
  REGEXMATCH(LOWER(VLOOKUP(A396, Data1_Raw_"&amp;"Slack!A:B, 2, FALSE)), ""pets|dogs|cats|animals|pet care|pet lovers""), ""Pets"",
  REGEXMATCH(LOWER(VLOOKUP(A396, Data1_Raw_Slack!A:B, 2, FALSE)), ""games|gaming|game|xbox|playstation|nintendo|gamers""), ""Gaming"",
  REGEXMATCH(LOWER(VLOOKUP(A396, Data1"&amp;"_Raw_Slack!A:B, 2, FALSE)), ""entertainment|movies|tv|netflix|streaming|celebrity|movie lovers|tv fans|hobb|photo|art""), ""Entertainment"",
  REGEXMATCH(LOWER(VLOOKUP(A396, Data1_Raw_Slack!A:B, 2, FALSE)), ""lifestyle|home|interior|decor|living|lifestyle"&amp;" enthusiasts""), ""Lifestyle"",
  REGEXMATCH(LOWER(VLOOKUP(A396, Data1_Raw_Slack!A:B, 2, FALSE)), ""financial|finance|investing|stocks|retirement|banking|credit|debt|loans|savings|personal finance|insurance|econ|ecom|business|retail|occupation|sale|job|ma"&amp;"rketing""), ""Finance"",
  REGEXMATCH(LOWER(VLOOKUP(A396, Data1_Raw_Slack!A:B, 2, FALSE)), ""auto|automotive""), ""Auto"",
  REGEXMATCH(LOWER(VLOOKUP(A396, Data1_Raw_Slack!A:B, 2, FALSE)), ""parenting|moms|dads|kids|toddlers|baby|parent|children""), ""Par"&amp;"enting"",
  REGEXMATCH(LOWER(VLOOKUP(A396, Data1_Raw_Slack!A:B, 2, FALSE)), ""education|students|learning|school|teachers|college|university|academics""), ""Education"",
  REGEXMATCH(LOWER(VLOOKUP(A396, Data1_Raw_Slack!A:B, 2, FALSE)), ""age|gender|dem"&amp;"ographic|family|household""), ""Demographics"",
  REGEXMATCH(LOWER(VLOOKUP(A396, Data1_Raw_Slack!A:B, 2, FALSE)), ""mortgage|real estate""), ""Real Estate"",REGEXMATCH(LOWER(VLOOKUP(A396, Data1_Raw_Slack!A:B, 2, FALSE)), ""technology|tech|gadgets|smartpho"&amp;"ne|electro|apps|devices|computing|ai|robots|software|computer|internet|tele|mobile|tablet""), ""Technology"", REGEXMATCH(LOWER(VLOOKUP(A396, Data1_Raw_Slack!A:B, 2, FALSE)), ""entertainment|purchas|movies|tv|netflix|streaming|celebrity|movie lovers|tv fan"&amp;"s|media|hobb|photo|art|shop""), ""Entertainment"", REGEXMATCH(LOWER(VLOOKUP(A396, Data1_Raw_Slack!A:B, 2, FALSE)), ""law|government|""), ""Law and Government"",
  TRUE, ""Other""
)"),"Finance")</f>
        <v>Finance</v>
      </c>
      <c r="G396" s="9" t="s">
        <v>127</v>
      </c>
      <c r="H396" s="9" t="s">
        <v>44</v>
      </c>
      <c r="I396" s="9" t="s">
        <v>1485</v>
      </c>
      <c r="J396" s="9" t="s">
        <v>80</v>
      </c>
      <c r="K396" s="9" t="s">
        <v>274</v>
      </c>
      <c r="L396" s="9" t="s">
        <v>48</v>
      </c>
      <c r="M396" s="10" t="s">
        <v>698</v>
      </c>
      <c r="N396" s="9" t="str">
        <f ca="1">IFERROR(__xludf.DUMMYFUNCTION("REGEXEXTRACT(LOWER(M396), ""([a-z0-9\-]+)\.(?:co|net|org|io|gg)"")"),"omnicalculator")</f>
        <v>omnicalculator</v>
      </c>
      <c r="O396" s="9" t="s">
        <v>50</v>
      </c>
      <c r="P396" s="9" t="s">
        <v>39</v>
      </c>
      <c r="Q396" s="9">
        <v>11214</v>
      </c>
      <c r="R396" s="9">
        <v>49</v>
      </c>
      <c r="S396" s="9">
        <v>5523</v>
      </c>
      <c r="T396" s="9">
        <v>10267</v>
      </c>
      <c r="U396" s="9">
        <v>2</v>
      </c>
      <c r="V396" s="11">
        <v>1554.3892149999999</v>
      </c>
      <c r="W396" s="12">
        <f t="shared" si="7"/>
        <v>777.19460749999996</v>
      </c>
      <c r="X396" s="12">
        <f t="shared" si="8"/>
        <v>0.43695380774032461</v>
      </c>
      <c r="Y396" s="12">
        <f t="shared" si="9"/>
        <v>49.250936329588015</v>
      </c>
      <c r="Z396" s="12">
        <f t="shared" si="10"/>
        <v>281.43929295672643</v>
      </c>
      <c r="AA396" s="12">
        <f t="shared" si="11"/>
        <v>138.61148698055999</v>
      </c>
      <c r="AB396" s="12">
        <f t="shared" si="12"/>
        <v>31.722228877551018</v>
      </c>
      <c r="AC396" s="12">
        <f t="shared" si="13"/>
        <v>4.0816326530612246</v>
      </c>
      <c r="AE396" s="13"/>
      <c r="AF396" s="13"/>
    </row>
    <row r="397" spans="1:32">
      <c r="A397" s="8" t="s">
        <v>1486</v>
      </c>
      <c r="B397" s="9" t="s">
        <v>144</v>
      </c>
      <c r="C397" s="9" t="s">
        <v>695</v>
      </c>
      <c r="D397" s="9" t="s">
        <v>1487</v>
      </c>
      <c r="E397" s="9"/>
      <c r="F397" s="9" t="str">
        <f ca="1">IFERROR(__xludf.DUMMYFUNCTION("IFS(
  REGEXMATCH(LOWER(VLOOKUP(A397, Data1_Raw_Slack!A:B, 2, FALSE)), ""news|weather""), ""News and Weather"", REGEXMATCH(LOWER(VLOOKUP(A397, Data1_Raw_Slack!A:B, 2, FALSE)), ""sports|ufc|nba|nfl|mlb|soccer|sports fans""), ""Sports"",
  REGEXMATCH(LOWER("&amp;"VLOOKUP(A397, Data1_Raw_Slack!A:B, 2, FALSE)), ""fashion|style|clothing|apparel|shoes|accessories|beauty|cosmetics|fashionistas""), ""Fashion and Beauty"",
  REGEXMATCH(LOWER(VLOOKUP(A397, Data1_Raw_Slack!A:B, 2, FALSE)), ""food|cooking|recipe|restaurant|"&amp;"snack|grocery|foodies""), ""Food"",
  REGEXMATCH(LOWER(VLOOKUP(A397, Data1_Raw_Slack!A:B, 2, FALSE)), ""travel|vacation|airline|hotel|trip|flights|travelers""), ""Travel"",
  REGEXMATCH(LOWER(VLOOKUP(A397, Data1_Raw_Slack!A:B, 2, FALSE)), ""fitness|workou"&amp;"t|gym|exercise|yoga|wellness|fitness enthusiasts""), ""Fitness"",
  REGEXMATCH(LOWER(VLOOKUP(A397, Data1_Raw_Slack!A:B, 2, FALSE)), ""health|medical|pharmacy|mental health|doctor|health-conscious""), ""Health"",
  REGEXMATCH(LOWER(VLOOKUP(A397, Data1_Raw_"&amp;"Slack!A:B, 2, FALSE)), ""pets|dogs|cats|animals|pet care|pet lovers""), ""Pets"",
  REGEXMATCH(LOWER(VLOOKUP(A397, Data1_Raw_Slack!A:B, 2, FALSE)), ""games|gaming|game|xbox|playstation|nintendo|gamers""), ""Gaming"",
  REGEXMATCH(LOWER(VLOOKUP(A397, Data1"&amp;"_Raw_Slack!A:B, 2, FALSE)), ""entertainment|movies|tv|netflix|streaming|celebrity|movie lovers|tv fans|hobb|photo|art""), ""Entertainment"",
  REGEXMATCH(LOWER(VLOOKUP(A397, Data1_Raw_Slack!A:B, 2, FALSE)), ""lifestyle|home|interior|decor|living|lifestyle"&amp;" enthusiasts""), ""Lifestyle"",
  REGEXMATCH(LOWER(VLOOKUP(A397, Data1_Raw_Slack!A:B, 2, FALSE)), ""financial|finance|investing|stocks|retirement|banking|credit|debt|loans|savings|personal finance|insurance|econ|ecom|business|retail|occupation|sale|job|ma"&amp;"rketing""), ""Finance"",
  REGEXMATCH(LOWER(VLOOKUP(A397, Data1_Raw_Slack!A:B, 2, FALSE)), ""auto|automotive""), ""Auto"",
  REGEXMATCH(LOWER(VLOOKUP(A397, Data1_Raw_Slack!A:B, 2, FALSE)), ""parenting|moms|dads|kids|toddlers|baby|parent|children""), ""Par"&amp;"enting"",
  REGEXMATCH(LOWER(VLOOKUP(A397, Data1_Raw_Slack!A:B, 2, FALSE)), ""education|students|learning|school|teachers|college|university|academics""), ""Education"",
  REGEXMATCH(LOWER(VLOOKUP(A397, Data1_Raw_Slack!A:B, 2, FALSE)), ""age|gender|dem"&amp;"ographic|family|household""), ""Demographics"",
  REGEXMATCH(LOWER(VLOOKUP(A397, Data1_Raw_Slack!A:B, 2, FALSE)), ""mortgage|real estate""), ""Real Estate"",REGEXMATCH(LOWER(VLOOKUP(A397, Data1_Raw_Slack!A:B, 2, FALSE)), ""technology|tech|gadgets|smartpho"&amp;"ne|electro|apps|devices|computing|ai|robots|software|computer|internet|tele|mobile|tablet""), ""Technology"", REGEXMATCH(LOWER(VLOOKUP(A397, Data1_Raw_Slack!A:B, 2, FALSE)), ""entertainment|purchas|movies|tv|netflix|streaming|celebrity|movie lovers|tv fan"&amp;"s|media|hobb|photo|art|shop""), ""Entertainment"", REGEXMATCH(LOWER(VLOOKUP(A397, Data1_Raw_Slack!A:B, 2, FALSE)), ""law|government|""), ""Law and Government"",
  TRUE, ""Other""
)"),"News and Weather")</f>
        <v>News and Weather</v>
      </c>
      <c r="G397" s="9"/>
      <c r="H397" s="9" t="s">
        <v>44</v>
      </c>
      <c r="I397" s="9" t="s">
        <v>96</v>
      </c>
      <c r="J397" s="9" t="s">
        <v>46</v>
      </c>
      <c r="K397" s="9" t="s">
        <v>148</v>
      </c>
      <c r="L397" s="9" t="s">
        <v>89</v>
      </c>
      <c r="M397" s="10" t="s">
        <v>430</v>
      </c>
      <c r="N397" s="9" t="str">
        <f ca="1">IFERROR(__xludf.DUMMYFUNCTION("REGEXEXTRACT(LOWER(M397), ""([a-z0-9\-]+)\.(?:co|net|org|io|gg)"")"),"biblegateway")</f>
        <v>biblegateway</v>
      </c>
      <c r="O397" s="9" t="s">
        <v>50</v>
      </c>
      <c r="P397" s="9" t="s">
        <v>75</v>
      </c>
      <c r="Q397" s="9">
        <v>16808</v>
      </c>
      <c r="R397" s="9">
        <v>43</v>
      </c>
      <c r="S397" s="9">
        <v>9211</v>
      </c>
      <c r="T397" s="9">
        <v>13372</v>
      </c>
      <c r="U397" s="9">
        <v>3</v>
      </c>
      <c r="V397" s="11">
        <v>1574.7912799999999</v>
      </c>
      <c r="W397" s="12">
        <f t="shared" si="7"/>
        <v>524.93042666666668</v>
      </c>
      <c r="X397" s="12">
        <f t="shared" si="8"/>
        <v>0.25583055687767731</v>
      </c>
      <c r="Y397" s="12">
        <f t="shared" si="9"/>
        <v>54.801285102332223</v>
      </c>
      <c r="Z397" s="12">
        <f t="shared" si="10"/>
        <v>170.96854630333297</v>
      </c>
      <c r="AA397" s="12">
        <f t="shared" si="11"/>
        <v>93.692960495002382</v>
      </c>
      <c r="AB397" s="12">
        <f t="shared" si="12"/>
        <v>36.623053023255814</v>
      </c>
      <c r="AC397" s="12">
        <f t="shared" si="13"/>
        <v>6.9767441860465116</v>
      </c>
      <c r="AE397" s="13"/>
      <c r="AF397" s="13"/>
    </row>
    <row r="398" spans="1:32">
      <c r="A398" s="8" t="s">
        <v>1488</v>
      </c>
      <c r="B398" s="9" t="s">
        <v>41</v>
      </c>
      <c r="C398" s="9" t="s">
        <v>42</v>
      </c>
      <c r="D398" s="9" t="s">
        <v>1489</v>
      </c>
      <c r="E398" s="9"/>
      <c r="F398" s="9" t="str">
        <f ca="1">IFERROR(__xludf.DUMMYFUNCTION("IFS(
  REGEXMATCH(LOWER(VLOOKUP(A398, Data1_Raw_Slack!A:B, 2, FALSE)), ""news|weather""), ""News and Weather"", REGEXMATCH(LOWER(VLOOKUP(A398, Data1_Raw_Slack!A:B, 2, FALSE)), ""sports|ufc|nba|nfl|mlb|soccer|sports fans""), ""Sports"",
  REGEXMATCH(LOWER("&amp;"VLOOKUP(A398, Data1_Raw_Slack!A:B, 2, FALSE)), ""fashion|style|clothing|apparel|shoes|accessories|beauty|cosmetics|fashionistas""), ""Fashion and Beauty"",
  REGEXMATCH(LOWER(VLOOKUP(A398, Data1_Raw_Slack!A:B, 2, FALSE)), ""food|cooking|recipe|restaurant|"&amp;"snack|grocery|foodies""), ""Food"",
  REGEXMATCH(LOWER(VLOOKUP(A398, Data1_Raw_Slack!A:B, 2, FALSE)), ""travel|vacation|airline|hotel|trip|flights|travelers""), ""Travel"",
  REGEXMATCH(LOWER(VLOOKUP(A398, Data1_Raw_Slack!A:B, 2, FALSE)), ""fitness|workou"&amp;"t|gym|exercise|yoga|wellness|fitness enthusiasts""), ""Fitness"",
  REGEXMATCH(LOWER(VLOOKUP(A398, Data1_Raw_Slack!A:B, 2, FALSE)), ""health|medical|pharmacy|mental health|doctor|health-conscious""), ""Health"",
  REGEXMATCH(LOWER(VLOOKUP(A398, Data1_Raw_"&amp;"Slack!A:B, 2, FALSE)), ""pets|dogs|cats|animals|pet care|pet lovers""), ""Pets"",
  REGEXMATCH(LOWER(VLOOKUP(A398, Data1_Raw_Slack!A:B, 2, FALSE)), ""games|gaming|game|xbox|playstation|nintendo|gamers""), ""Gaming"",
  REGEXMATCH(LOWER(VLOOKUP(A398, Data1"&amp;"_Raw_Slack!A:B, 2, FALSE)), ""entertainment|movies|tv|netflix|streaming|celebrity|movie lovers|tv fans|hobb|photo|art""), ""Entertainment"",
  REGEXMATCH(LOWER(VLOOKUP(A398, Data1_Raw_Slack!A:B, 2, FALSE)), ""lifestyle|home|interior|decor|living|lifestyle"&amp;" enthusiasts""), ""Lifestyle"",
  REGEXMATCH(LOWER(VLOOKUP(A398, Data1_Raw_Slack!A:B, 2, FALSE)), ""financial|finance|investing|stocks|retirement|banking|credit|debt|loans|savings|personal finance|insurance|econ|ecom|business|retail|occupation|sale|job|ma"&amp;"rketing""), ""Finance"",
  REGEXMATCH(LOWER(VLOOKUP(A398, Data1_Raw_Slack!A:B, 2, FALSE)), ""auto|automotive""), ""Auto"",
  REGEXMATCH(LOWER(VLOOKUP(A398, Data1_Raw_Slack!A:B, 2, FALSE)), ""parenting|moms|dads|kids|toddlers|baby|parent|children""), ""Par"&amp;"enting"",
  REGEXMATCH(LOWER(VLOOKUP(A398, Data1_Raw_Slack!A:B, 2, FALSE)), ""education|students|learning|school|teachers|college|university|academics""), ""Education"",
  REGEXMATCH(LOWER(VLOOKUP(A398, Data1_Raw_Slack!A:B, 2, FALSE)), ""age|gender|dem"&amp;"ographic|family|household""), ""Demographics"",
  REGEXMATCH(LOWER(VLOOKUP(A398, Data1_Raw_Slack!A:B, 2, FALSE)), ""mortgage|real estate""), ""Real Estate"",REGEXMATCH(LOWER(VLOOKUP(A398, Data1_Raw_Slack!A:B, 2, FALSE)), ""technology|tech|gadgets|smartpho"&amp;"ne|electro|apps|devices|computing|ai|robots|software|computer|internet|tele|mobile|tablet""), ""Technology"", REGEXMATCH(LOWER(VLOOKUP(A398, Data1_Raw_Slack!A:B, 2, FALSE)), ""entertainment|purchas|movies|tv|netflix|streaming|celebrity|movie lovers|tv fan"&amp;"s|media|hobb|photo|art|shop""), ""Entertainment"", REGEXMATCH(LOWER(VLOOKUP(A398, Data1_Raw_Slack!A:B, 2, FALSE)), ""law|government|""), ""Law and Government"",
  TRUE, ""Other""
)"),"Lifestyle")</f>
        <v>Lifestyle</v>
      </c>
      <c r="G398" s="9"/>
      <c r="H398" s="9" t="s">
        <v>44</v>
      </c>
      <c r="I398" s="9" t="s">
        <v>314</v>
      </c>
      <c r="J398" s="9" t="s">
        <v>34</v>
      </c>
      <c r="K398" s="9" t="s">
        <v>148</v>
      </c>
      <c r="L398" s="9" t="s">
        <v>89</v>
      </c>
      <c r="M398" s="10" t="s">
        <v>229</v>
      </c>
      <c r="N398" s="9" t="str">
        <f ca="1">IFERROR(__xludf.DUMMYFUNCTION("REGEXEXTRACT(LOWER(M398), ""([a-z0-9\-]+)\.(?:co|net|org|io|gg)"")"),"msn")</f>
        <v>msn</v>
      </c>
      <c r="O398" s="9" t="s">
        <v>186</v>
      </c>
      <c r="P398" s="9" t="s">
        <v>39</v>
      </c>
      <c r="Q398" s="9">
        <v>1575592</v>
      </c>
      <c r="R398" s="9">
        <v>3874</v>
      </c>
      <c r="S398" s="9">
        <v>1155869</v>
      </c>
      <c r="T398" s="9">
        <v>1447900</v>
      </c>
      <c r="U398" s="9">
        <v>88</v>
      </c>
      <c r="V398" s="11">
        <v>7818.6482969999997</v>
      </c>
      <c r="W398" s="12">
        <f t="shared" si="7"/>
        <v>88.84827610227272</v>
      </c>
      <c r="X398" s="12">
        <f t="shared" si="8"/>
        <v>0.24587583587629283</v>
      </c>
      <c r="Y398" s="12">
        <f t="shared" si="9"/>
        <v>73.360933541170553</v>
      </c>
      <c r="Z398" s="12">
        <f t="shared" si="10"/>
        <v>6.7643031321023406</v>
      </c>
      <c r="AA398" s="12">
        <f t="shared" si="11"/>
        <v>4.9623559252649159</v>
      </c>
      <c r="AB398" s="12">
        <f t="shared" si="12"/>
        <v>2.0182365247805887</v>
      </c>
      <c r="AC398" s="12">
        <f t="shared" si="13"/>
        <v>2.2715539494062984</v>
      </c>
      <c r="AE398" s="13"/>
      <c r="AF398" s="13"/>
    </row>
    <row r="399" spans="1:32">
      <c r="A399" s="8" t="s">
        <v>1490</v>
      </c>
      <c r="B399" s="9" t="s">
        <v>41</v>
      </c>
      <c r="C399" s="9" t="s">
        <v>661</v>
      </c>
      <c r="D399" s="9" t="s">
        <v>1491</v>
      </c>
      <c r="E399" s="9"/>
      <c r="F399" s="9" t="str">
        <f ca="1">IFERROR(__xludf.DUMMYFUNCTION("IFS(
  REGEXMATCH(LOWER(VLOOKUP(A399, Data1_Raw_Slack!A:B, 2, FALSE)), ""news|weather""), ""News and Weather"", REGEXMATCH(LOWER(VLOOKUP(A399, Data1_Raw_Slack!A:B, 2, FALSE)), ""sports|ufc|nba|nfl|mlb|soccer|sports fans""), ""Sports"",
  REGEXMATCH(LOWER("&amp;"VLOOKUP(A399, Data1_Raw_Slack!A:B, 2, FALSE)), ""fashion|style|clothing|apparel|shoes|accessories|beauty|cosmetics|fashionistas""), ""Fashion and Beauty"",
  REGEXMATCH(LOWER(VLOOKUP(A399, Data1_Raw_Slack!A:B, 2, FALSE)), ""food|cooking|recipe|restaurant|"&amp;"snack|grocery|foodies""), ""Food"",
  REGEXMATCH(LOWER(VLOOKUP(A399, Data1_Raw_Slack!A:B, 2, FALSE)), ""travel|vacation|airline|hotel|trip|flights|travelers""), ""Travel"",
  REGEXMATCH(LOWER(VLOOKUP(A399, Data1_Raw_Slack!A:B, 2, FALSE)), ""fitness|workou"&amp;"t|gym|exercise|yoga|wellness|fitness enthusiasts""), ""Fitness"",
  REGEXMATCH(LOWER(VLOOKUP(A399, Data1_Raw_Slack!A:B, 2, FALSE)), ""health|medical|pharmacy|mental health|doctor|health-conscious""), ""Health"",
  REGEXMATCH(LOWER(VLOOKUP(A399, Data1_Raw_"&amp;"Slack!A:B, 2, FALSE)), ""pets|dogs|cats|animals|pet care|pet lovers""), ""Pets"",
  REGEXMATCH(LOWER(VLOOKUP(A399, Data1_Raw_Slack!A:B, 2, FALSE)), ""games|gaming|game|xbox|playstation|nintendo|gamers""), ""Gaming"",
  REGEXMATCH(LOWER(VLOOKUP(A399, Data1"&amp;"_Raw_Slack!A:B, 2, FALSE)), ""entertainment|movies|tv|netflix|streaming|celebrity|movie lovers|tv fans|hobb|photo|art""), ""Entertainment"",
  REGEXMATCH(LOWER(VLOOKUP(A399, Data1_Raw_Slack!A:B, 2, FALSE)), ""lifestyle|home|interior|decor|living|lifestyle"&amp;" enthusiasts""), ""Lifestyle"",
  REGEXMATCH(LOWER(VLOOKUP(A399, Data1_Raw_Slack!A:B, 2, FALSE)), ""financial|finance|investing|stocks|retirement|banking|credit|debt|loans|savings|personal finance|insurance|econ|ecom|business|retail|occupation|sale|job|ma"&amp;"rketing""), ""Finance"",
  REGEXMATCH(LOWER(VLOOKUP(A399, Data1_Raw_Slack!A:B, 2, FALSE)), ""auto|automotive""), ""Auto"",
  REGEXMATCH(LOWER(VLOOKUP(A399, Data1_Raw_Slack!A:B, 2, FALSE)), ""parenting|moms|dads|kids|toddlers|baby|parent|children""), ""Par"&amp;"enting"",
  REGEXMATCH(LOWER(VLOOKUP(A399, Data1_Raw_Slack!A:B, 2, FALSE)), ""education|students|learning|school|teachers|college|university|academics""), ""Education"",
  REGEXMATCH(LOWER(VLOOKUP(A399, Data1_Raw_Slack!A:B, 2, FALSE)), ""age|gender|dem"&amp;"ographic|family|household""), ""Demographics"",
  REGEXMATCH(LOWER(VLOOKUP(A399, Data1_Raw_Slack!A:B, 2, FALSE)), ""mortgage|real estate""), ""Real Estate"",REGEXMATCH(LOWER(VLOOKUP(A399, Data1_Raw_Slack!A:B, 2, FALSE)), ""technology|tech|gadgets|smartpho"&amp;"ne|electro|apps|devices|computing|ai|robots|software|computer|internet|tele|mobile|tablet""), ""Technology"", REGEXMATCH(LOWER(VLOOKUP(A399, Data1_Raw_Slack!A:B, 2, FALSE)), ""entertainment|purchas|movies|tv|netflix|streaming|celebrity|movie lovers|tv fan"&amp;"s|media|hobb|photo|art|shop""), ""Entertainment"", REGEXMATCH(LOWER(VLOOKUP(A399, Data1_Raw_Slack!A:B, 2, FALSE)), ""law|government|""), ""Law and Government"",
  TRUE, ""Other""
)"),"Law and Government")</f>
        <v>Law and Government</v>
      </c>
      <c r="G399" s="9"/>
      <c r="H399" s="9" t="s">
        <v>44</v>
      </c>
      <c r="I399" s="9" t="s">
        <v>195</v>
      </c>
      <c r="J399" s="9" t="s">
        <v>62</v>
      </c>
      <c r="K399" s="9" t="s">
        <v>142</v>
      </c>
      <c r="L399" s="9" t="s">
        <v>72</v>
      </c>
      <c r="M399" s="10" t="s">
        <v>439</v>
      </c>
      <c r="N399" s="9" t="str">
        <f ca="1">IFERROR(__xludf.DUMMYFUNCTION("REGEXEXTRACT(LOWER(M399), ""([a-z0-9\-]+)\.(?:co|net|org|io|gg)"")"),"people")</f>
        <v>people</v>
      </c>
      <c r="O399" s="9" t="s">
        <v>157</v>
      </c>
      <c r="P399" s="9" t="s">
        <v>39</v>
      </c>
      <c r="Q399" s="9">
        <v>8187</v>
      </c>
      <c r="R399" s="9">
        <v>20</v>
      </c>
      <c r="S399" s="9">
        <v>4888</v>
      </c>
      <c r="T399" s="9">
        <v>7510</v>
      </c>
      <c r="U399" s="9">
        <v>3</v>
      </c>
      <c r="V399" s="11">
        <v>6980.2293040000004</v>
      </c>
      <c r="W399" s="12">
        <f t="shared" si="7"/>
        <v>2326.7431013333335</v>
      </c>
      <c r="X399" s="12">
        <f t="shared" si="8"/>
        <v>0.24428972761695372</v>
      </c>
      <c r="Y399" s="12">
        <f t="shared" si="9"/>
        <v>59.704409429583485</v>
      </c>
      <c r="Z399" s="12">
        <f t="shared" si="10"/>
        <v>1428.0338183306055</v>
      </c>
      <c r="AA399" s="12">
        <f t="shared" si="11"/>
        <v>852.59915768901931</v>
      </c>
      <c r="AB399" s="12">
        <f t="shared" si="12"/>
        <v>349.01146520000003</v>
      </c>
      <c r="AC399" s="12">
        <f t="shared" si="13"/>
        <v>15</v>
      </c>
      <c r="AE399" s="13"/>
      <c r="AF399" s="13"/>
    </row>
    <row r="400" spans="1:32">
      <c r="A400" s="8" t="s">
        <v>1492</v>
      </c>
      <c r="B400" s="9" t="s">
        <v>905</v>
      </c>
      <c r="C400" s="9" t="s">
        <v>85</v>
      </c>
      <c r="D400" s="9" t="s">
        <v>1493</v>
      </c>
      <c r="E400" s="9" t="s">
        <v>1494</v>
      </c>
      <c r="F400" s="9" t="str">
        <f ca="1">IFERROR(__xludf.DUMMYFUNCTION("IFS(
  REGEXMATCH(LOWER(VLOOKUP(A400, Data1_Raw_Slack!A:B, 2, FALSE)), ""news|weather""), ""News and Weather"", REGEXMATCH(LOWER(VLOOKUP(A400, Data1_Raw_Slack!A:B, 2, FALSE)), ""sports|ufc|nba|nfl|mlb|soccer|sports fans""), ""Sports"",
  REGEXMATCH(LOWER("&amp;"VLOOKUP(A400, Data1_Raw_Slack!A:B, 2, FALSE)), ""fashion|style|clothing|apparel|shoes|accessories|beauty|cosmetics|fashionistas""), ""Fashion and Beauty"",
  REGEXMATCH(LOWER(VLOOKUP(A400, Data1_Raw_Slack!A:B, 2, FALSE)), ""food|cooking|recipe|restaurant|"&amp;"snack|grocery|foodies""), ""Food"",
  REGEXMATCH(LOWER(VLOOKUP(A400, Data1_Raw_Slack!A:B, 2, FALSE)), ""travel|vacation|airline|hotel|trip|flights|travelers""), ""Travel"",
  REGEXMATCH(LOWER(VLOOKUP(A400, Data1_Raw_Slack!A:B, 2, FALSE)), ""fitness|workou"&amp;"t|gym|exercise|yoga|wellness|fitness enthusiasts""), ""Fitness"",
  REGEXMATCH(LOWER(VLOOKUP(A400, Data1_Raw_Slack!A:B, 2, FALSE)), ""health|medical|pharmacy|mental health|doctor|health-conscious""), ""Health"",
  REGEXMATCH(LOWER(VLOOKUP(A400, Data1_Raw_"&amp;"Slack!A:B, 2, FALSE)), ""pets|dogs|cats|animals|pet care|pet lovers""), ""Pets"",
  REGEXMATCH(LOWER(VLOOKUP(A400, Data1_Raw_Slack!A:B, 2, FALSE)), ""games|gaming|game|xbox|playstation|nintendo|gamers""), ""Gaming"",
  REGEXMATCH(LOWER(VLOOKUP(A400, Data1"&amp;"_Raw_Slack!A:B, 2, FALSE)), ""entertainment|movies|tv|netflix|streaming|celebrity|movie lovers|tv fans|hobb|photo|art""), ""Entertainment"",
  REGEXMATCH(LOWER(VLOOKUP(A400, Data1_Raw_Slack!A:B, 2, FALSE)), ""lifestyle|home|interior|decor|living|lifestyle"&amp;" enthusiasts""), ""Lifestyle"",
  REGEXMATCH(LOWER(VLOOKUP(A400, Data1_Raw_Slack!A:B, 2, FALSE)), ""financial|finance|investing|stocks|retirement|banking|credit|debt|loans|savings|personal finance|insurance|econ|ecom|business|retail|occupation|sale|job|ma"&amp;"rketing""), ""Finance"",
  REGEXMATCH(LOWER(VLOOKUP(A400, Data1_Raw_Slack!A:B, 2, FALSE)), ""auto|automotive""), ""Auto"",
  REGEXMATCH(LOWER(VLOOKUP(A400, Data1_Raw_Slack!A:B, 2, FALSE)), ""parenting|moms|dads|kids|toddlers|baby|parent|children""), ""Par"&amp;"enting"",
  REGEXMATCH(LOWER(VLOOKUP(A400, Data1_Raw_Slack!A:B, 2, FALSE)), ""education|students|learning|school|teachers|college|university|academics""), ""Education"",
  REGEXMATCH(LOWER(VLOOKUP(A400, Data1_Raw_Slack!A:B, 2, FALSE)), ""age|gender|dem"&amp;"ographic|family|household""), ""Demographics"",
  REGEXMATCH(LOWER(VLOOKUP(A400, Data1_Raw_Slack!A:B, 2, FALSE)), ""mortgage|real estate""), ""Real Estate"",REGEXMATCH(LOWER(VLOOKUP(A400, Data1_Raw_Slack!A:B, 2, FALSE)), ""technology|tech|gadgets|smartpho"&amp;"ne|electro|apps|devices|computing|ai|robots|software|computer|internet|tele|mobile|tablet""), ""Technology"", REGEXMATCH(LOWER(VLOOKUP(A400, Data1_Raw_Slack!A:B, 2, FALSE)), ""entertainment|purchas|movies|tv|netflix|streaming|celebrity|movie lovers|tv fan"&amp;"s|media|hobb|photo|art|shop""), ""Entertainment"", REGEXMATCH(LOWER(VLOOKUP(A400, Data1_Raw_Slack!A:B, 2, FALSE)), ""law|government|""), ""Law and Government"",
  TRUE, ""Other""
)"),"Travel")</f>
        <v>Travel</v>
      </c>
      <c r="G400" s="9" t="s">
        <v>85</v>
      </c>
      <c r="H400" s="9" t="s">
        <v>44</v>
      </c>
      <c r="I400" s="9" t="s">
        <v>1495</v>
      </c>
      <c r="J400" s="9" t="s">
        <v>46</v>
      </c>
      <c r="K400" s="9" t="s">
        <v>56</v>
      </c>
      <c r="L400" s="9" t="s">
        <v>57</v>
      </c>
      <c r="M400" s="10" t="s">
        <v>430</v>
      </c>
      <c r="N400" s="9" t="str">
        <f ca="1">IFERROR(__xludf.DUMMYFUNCTION("REGEXEXTRACT(LOWER(M400), ""([a-z0-9\-]+)\.(?:co|net|org|io|gg)"")"),"biblegateway")</f>
        <v>biblegateway</v>
      </c>
      <c r="O400" s="9" t="s">
        <v>349</v>
      </c>
      <c r="P400" s="9" t="s">
        <v>64</v>
      </c>
      <c r="Q400" s="9">
        <v>18313</v>
      </c>
      <c r="R400" s="9">
        <v>60</v>
      </c>
      <c r="S400" s="9">
        <v>9481</v>
      </c>
      <c r="T400" s="9">
        <v>16300</v>
      </c>
      <c r="U400" s="9">
        <v>4</v>
      </c>
      <c r="V400" s="11">
        <v>1456.9341870000001</v>
      </c>
      <c r="W400" s="12">
        <f t="shared" si="7"/>
        <v>364.23354675000002</v>
      </c>
      <c r="X400" s="12">
        <f t="shared" si="8"/>
        <v>0.32763610549882599</v>
      </c>
      <c r="Y400" s="12">
        <f t="shared" si="9"/>
        <v>51.771965270572821</v>
      </c>
      <c r="Z400" s="12">
        <f t="shared" si="10"/>
        <v>153.66883103048201</v>
      </c>
      <c r="AA400" s="12">
        <f t="shared" si="11"/>
        <v>79.557373832796372</v>
      </c>
      <c r="AB400" s="12">
        <f t="shared" si="12"/>
        <v>24.282236450000003</v>
      </c>
      <c r="AC400" s="12">
        <f t="shared" si="13"/>
        <v>6.666666666666667</v>
      </c>
      <c r="AE400" s="13"/>
      <c r="AF400" s="13"/>
    </row>
    <row r="401" spans="1:32">
      <c r="A401" s="8" t="s">
        <v>1496</v>
      </c>
      <c r="B401" s="9" t="s">
        <v>67</v>
      </c>
      <c r="C401" s="9" t="s">
        <v>151</v>
      </c>
      <c r="D401" s="9" t="s">
        <v>152</v>
      </c>
      <c r="E401" s="9" t="s">
        <v>1497</v>
      </c>
      <c r="F401" s="9" t="str">
        <f ca="1">IFERROR(__xludf.DUMMYFUNCTION("IFS(
  REGEXMATCH(LOWER(VLOOKUP(A401, Data1_Raw_Slack!A:B, 2, FALSE)), ""news|weather""), ""News and Weather"", REGEXMATCH(LOWER(VLOOKUP(A401, Data1_Raw_Slack!A:B, 2, FALSE)), ""sports|ufc|nba|nfl|mlb|soccer|sports fans""), ""Sports"",
  REGEXMATCH(LOWER("&amp;"VLOOKUP(A401, Data1_Raw_Slack!A:B, 2, FALSE)), ""fashion|style|clothing|apparel|shoes|accessories|beauty|cosmetics|fashionistas""), ""Fashion and Beauty"",
  REGEXMATCH(LOWER(VLOOKUP(A401, Data1_Raw_Slack!A:B, 2, FALSE)), ""food|cooking|recipe|restaurant|"&amp;"snack|grocery|foodies""), ""Food"",
  REGEXMATCH(LOWER(VLOOKUP(A401, Data1_Raw_Slack!A:B, 2, FALSE)), ""travel|vacation|airline|hotel|trip|flights|travelers""), ""Travel"",
  REGEXMATCH(LOWER(VLOOKUP(A401, Data1_Raw_Slack!A:B, 2, FALSE)), ""fitness|workou"&amp;"t|gym|exercise|yoga|wellness|fitness enthusiasts""), ""Fitness"",
  REGEXMATCH(LOWER(VLOOKUP(A401, Data1_Raw_Slack!A:B, 2, FALSE)), ""health|medical|pharmacy|mental health|doctor|health-conscious""), ""Health"",
  REGEXMATCH(LOWER(VLOOKUP(A401, Data1_Raw_"&amp;"Slack!A:B, 2, FALSE)), ""pets|dogs|cats|animals|pet care|pet lovers""), ""Pets"",
  REGEXMATCH(LOWER(VLOOKUP(A401, Data1_Raw_Slack!A:B, 2, FALSE)), ""games|gaming|game|xbox|playstation|nintendo|gamers""), ""Gaming"",
  REGEXMATCH(LOWER(VLOOKUP(A401, Data1"&amp;"_Raw_Slack!A:B, 2, FALSE)), ""entertainment|movies|tv|netflix|streaming|celebrity|movie lovers|tv fans|hobb|photo|art""), ""Entertainment"",
  REGEXMATCH(LOWER(VLOOKUP(A401, Data1_Raw_Slack!A:B, 2, FALSE)), ""lifestyle|home|interior|decor|living|lifestyle"&amp;" enthusiasts""), ""Lifestyle"",
  REGEXMATCH(LOWER(VLOOKUP(A401, Data1_Raw_Slack!A:B, 2, FALSE)), ""financial|finance|investing|stocks|retirement|banking|credit|debt|loans|savings|personal finance|insurance|econ|ecom|business|retail|occupation|sale|job|ma"&amp;"rketing""), ""Finance"",
  REGEXMATCH(LOWER(VLOOKUP(A401, Data1_Raw_Slack!A:B, 2, FALSE)), ""auto|automotive""), ""Auto"",
  REGEXMATCH(LOWER(VLOOKUP(A401, Data1_Raw_Slack!A:B, 2, FALSE)), ""parenting|moms|dads|kids|toddlers|baby|parent|children""), ""Par"&amp;"enting"",
  REGEXMATCH(LOWER(VLOOKUP(A401, Data1_Raw_Slack!A:B, 2, FALSE)), ""education|students|learning|school|teachers|college|university|academics""), ""Education"",
  REGEXMATCH(LOWER(VLOOKUP(A401, Data1_Raw_Slack!A:B, 2, FALSE)), ""age|gender|dem"&amp;"ographic|family|household""), ""Demographics"",
  REGEXMATCH(LOWER(VLOOKUP(A401, Data1_Raw_Slack!A:B, 2, FALSE)), ""mortgage|real estate""), ""Real Estate"",REGEXMATCH(LOWER(VLOOKUP(A401, Data1_Raw_Slack!A:B, 2, FALSE)), ""technology|tech|gadgets|smartpho"&amp;"ne|electro|apps|devices|computing|ai|robots|software|computer|internet|tele|mobile|tablet""), ""Technology"", REGEXMATCH(LOWER(VLOOKUP(A401, Data1_Raw_Slack!A:B, 2, FALSE)), ""entertainment|purchas|movies|tv|netflix|streaming|celebrity|movie lovers|tv fan"&amp;"s|media|hobb|photo|art|shop""), ""Entertainment"", REGEXMATCH(LOWER(VLOOKUP(A401, Data1_Raw_Slack!A:B, 2, FALSE)), ""law|government|""), ""Law and Government"",
  TRUE, ""Other""
)"),"Sports")</f>
        <v>Sports</v>
      </c>
      <c r="G401" s="9" t="s">
        <v>154</v>
      </c>
      <c r="H401" s="9" t="s">
        <v>32</v>
      </c>
      <c r="I401" s="9" t="s">
        <v>1498</v>
      </c>
      <c r="J401" s="9" t="s">
        <v>80</v>
      </c>
      <c r="K401" s="9" t="s">
        <v>137</v>
      </c>
      <c r="L401" s="9" t="s">
        <v>72</v>
      </c>
      <c r="M401" s="10" t="s">
        <v>229</v>
      </c>
      <c r="N401" s="9" t="str">
        <f ca="1">IFERROR(__xludf.DUMMYFUNCTION("REGEXEXTRACT(LOWER(M401), ""([a-z0-9\-]+)\.(?:co|net|org|io|gg)"")"),"msn")</f>
        <v>msn</v>
      </c>
      <c r="O401" s="9" t="s">
        <v>50</v>
      </c>
      <c r="P401" s="9" t="s">
        <v>39</v>
      </c>
      <c r="Q401" s="9">
        <v>47931</v>
      </c>
      <c r="R401" s="9">
        <v>170</v>
      </c>
      <c r="S401" s="9">
        <v>15989</v>
      </c>
      <c r="T401" s="9">
        <v>38916</v>
      </c>
      <c r="U401" s="9">
        <v>4</v>
      </c>
      <c r="V401" s="11">
        <v>1487.228625</v>
      </c>
      <c r="W401" s="12">
        <f t="shared" si="7"/>
        <v>371.80715624999999</v>
      </c>
      <c r="X401" s="12">
        <f t="shared" si="8"/>
        <v>0.35467651415576557</v>
      </c>
      <c r="Y401" s="12">
        <f t="shared" si="9"/>
        <v>33.35836932256786</v>
      </c>
      <c r="Z401" s="12">
        <f t="shared" si="10"/>
        <v>93.015737381950089</v>
      </c>
      <c r="AA401" s="12">
        <f t="shared" si="11"/>
        <v>31.028533203980722</v>
      </c>
      <c r="AB401" s="12">
        <f t="shared" si="12"/>
        <v>8.7484036764705877</v>
      </c>
      <c r="AC401" s="12">
        <f t="shared" si="13"/>
        <v>2.3529411764705883</v>
      </c>
      <c r="AE401" s="13"/>
      <c r="AF401" s="13"/>
    </row>
    <row r="402" spans="1:32">
      <c r="A402" s="8" t="s">
        <v>1499</v>
      </c>
      <c r="B402" s="9"/>
      <c r="C402" s="9" t="s">
        <v>1500</v>
      </c>
      <c r="D402" s="9"/>
      <c r="E402" s="9"/>
      <c r="F402" s="9" t="str">
        <f ca="1">IFERROR(__xludf.DUMMYFUNCTION("IFS(
  REGEXMATCH(LOWER(VLOOKUP(A402, Data1_Raw_Slack!A:B, 2, FALSE)), ""news|weather""), ""News and Weather"", REGEXMATCH(LOWER(VLOOKUP(A402, Data1_Raw_Slack!A:B, 2, FALSE)), ""sports|ufc|nba|nfl|mlb|soccer|sports fans""), ""Sports"",
  REGEXMATCH(LOWER("&amp;"VLOOKUP(A402, Data1_Raw_Slack!A:B, 2, FALSE)), ""fashion|style|clothing|apparel|shoes|accessories|beauty|cosmetics|fashionistas""), ""Fashion and Beauty"",
  REGEXMATCH(LOWER(VLOOKUP(A402, Data1_Raw_Slack!A:B, 2, FALSE)), ""food|cooking|recipe|restaurant|"&amp;"snack|grocery|foodies""), ""Food"",
  REGEXMATCH(LOWER(VLOOKUP(A402, Data1_Raw_Slack!A:B, 2, FALSE)), ""travel|vacation|airline|hotel|trip|flights|travelers""), ""Travel"",
  REGEXMATCH(LOWER(VLOOKUP(A402, Data1_Raw_Slack!A:B, 2, FALSE)), ""fitness|workou"&amp;"t|gym|exercise|yoga|wellness|fitness enthusiasts""), ""Fitness"",
  REGEXMATCH(LOWER(VLOOKUP(A402, Data1_Raw_Slack!A:B, 2, FALSE)), ""health|medical|pharmacy|mental health|doctor|health-conscious""), ""Health"",
  REGEXMATCH(LOWER(VLOOKUP(A402, Data1_Raw_"&amp;"Slack!A:B, 2, FALSE)), ""pets|dogs|cats|animals|pet care|pet lovers""), ""Pets"",
  REGEXMATCH(LOWER(VLOOKUP(A402, Data1_Raw_Slack!A:B, 2, FALSE)), ""games|gaming|game|xbox|playstation|nintendo|gamers""), ""Gaming"",
  REGEXMATCH(LOWER(VLOOKUP(A402, Data1"&amp;"_Raw_Slack!A:B, 2, FALSE)), ""entertainment|movies|tv|netflix|streaming|celebrity|movie lovers|tv fans|hobb|photo|art""), ""Entertainment"",
  REGEXMATCH(LOWER(VLOOKUP(A402, Data1_Raw_Slack!A:B, 2, FALSE)), ""lifestyle|home|interior|decor|living|lifestyle"&amp;" enthusiasts""), ""Lifestyle"",
  REGEXMATCH(LOWER(VLOOKUP(A402, Data1_Raw_Slack!A:B, 2, FALSE)), ""financial|finance|investing|stocks|retirement|banking|credit|debt|loans|savings|personal finance|insurance|econ|ecom|business|retail|occupation|sale|job|ma"&amp;"rketing""), ""Finance"",
  REGEXMATCH(LOWER(VLOOKUP(A402, Data1_Raw_Slack!A:B, 2, FALSE)), ""auto|automotive""), ""Auto"",
  REGEXMATCH(LOWER(VLOOKUP(A402, Data1_Raw_Slack!A:B, 2, FALSE)), ""parenting|moms|dads|kids|toddlers|baby|parent|children""), ""Par"&amp;"enting"",
  REGEXMATCH(LOWER(VLOOKUP(A402, Data1_Raw_Slack!A:B, 2, FALSE)), ""education|students|learning|school|teachers|college|university|academics""), ""Education"",
  REGEXMATCH(LOWER(VLOOKUP(A402, Data1_Raw_Slack!A:B, 2, FALSE)), ""age|gender|dem"&amp;"ographic|family|household""), ""Demographics"",
  REGEXMATCH(LOWER(VLOOKUP(A402, Data1_Raw_Slack!A:B, 2, FALSE)), ""mortgage|real estate""), ""Real Estate"",REGEXMATCH(LOWER(VLOOKUP(A402, Data1_Raw_Slack!A:B, 2, FALSE)), ""technology|tech|gadgets|smartpho"&amp;"ne|electro|apps|devices|computing|ai|robots|software|computer|internet|tele|mobile|tablet""), ""Technology"", REGEXMATCH(LOWER(VLOOKUP(A402, Data1_Raw_Slack!A:B, 2, FALSE)), ""entertainment|purchas|movies|tv|netflix|streaming|celebrity|movie lovers|tv fan"&amp;"s|media|hobb|photo|art|shop""), ""Entertainment"", REGEXMATCH(LOWER(VLOOKUP(A402, Data1_Raw_Slack!A:B, 2, FALSE)), ""law|government|""), ""Law and Government"",
  TRUE, ""Other""
)"),"Entertainment")</f>
        <v>Entertainment</v>
      </c>
      <c r="G402" s="9"/>
      <c r="H402" s="9" t="s">
        <v>44</v>
      </c>
      <c r="I402" s="9" t="s">
        <v>649</v>
      </c>
      <c r="J402" s="9" t="s">
        <v>62</v>
      </c>
      <c r="K402" s="9" t="s">
        <v>148</v>
      </c>
      <c r="L402" s="9" t="s">
        <v>89</v>
      </c>
      <c r="M402" s="10" t="s">
        <v>1501</v>
      </c>
      <c r="N402" s="9" t="str">
        <f ca="1">IFERROR(__xludf.DUMMYFUNCTION("REGEXEXTRACT(LOWER(M402), ""([a-z0-9\-]+)\.(?:co|net|org|io|gg)"")"),"healthyrecipesblogs")</f>
        <v>healthyrecipesblogs</v>
      </c>
      <c r="O402" s="9" t="s">
        <v>725</v>
      </c>
      <c r="P402" s="9" t="s">
        <v>39</v>
      </c>
      <c r="Q402" s="9">
        <v>9149</v>
      </c>
      <c r="R402" s="9">
        <v>40</v>
      </c>
      <c r="S402" s="9">
        <v>4568</v>
      </c>
      <c r="T402" s="9">
        <v>8648</v>
      </c>
      <c r="U402" s="9">
        <v>4</v>
      </c>
      <c r="V402" s="11">
        <v>1758.0983650000001</v>
      </c>
      <c r="W402" s="12">
        <f t="shared" si="7"/>
        <v>439.52459125000001</v>
      </c>
      <c r="X402" s="12">
        <f t="shared" si="8"/>
        <v>0.43720625204940433</v>
      </c>
      <c r="Y402" s="12">
        <f t="shared" si="9"/>
        <v>49.928953984041975</v>
      </c>
      <c r="Z402" s="12">
        <f t="shared" si="10"/>
        <v>384.87267184763573</v>
      </c>
      <c r="AA402" s="12">
        <f t="shared" si="11"/>
        <v>192.1628992239589</v>
      </c>
      <c r="AB402" s="12">
        <f t="shared" si="12"/>
        <v>43.952459125000004</v>
      </c>
      <c r="AC402" s="12">
        <f t="shared" si="13"/>
        <v>10</v>
      </c>
      <c r="AE402" s="13"/>
      <c r="AF402" s="13"/>
    </row>
    <row r="403" spans="1:32">
      <c r="A403" s="8" t="s">
        <v>1502</v>
      </c>
      <c r="B403" s="9" t="s">
        <v>67</v>
      </c>
      <c r="C403" s="9" t="s">
        <v>151</v>
      </c>
      <c r="D403" s="9" t="s">
        <v>152</v>
      </c>
      <c r="E403" s="9" t="s">
        <v>1503</v>
      </c>
      <c r="F403" s="9" t="str">
        <f ca="1">IFERROR(__xludf.DUMMYFUNCTION("IFS(
  REGEXMATCH(LOWER(VLOOKUP(A403, Data1_Raw_Slack!A:B, 2, FALSE)), ""news|weather""), ""News and Weather"", REGEXMATCH(LOWER(VLOOKUP(A403, Data1_Raw_Slack!A:B, 2, FALSE)), ""sports|ufc|nba|nfl|mlb|soccer|sports fans""), ""Sports"",
  REGEXMATCH(LOWER("&amp;"VLOOKUP(A403, Data1_Raw_Slack!A:B, 2, FALSE)), ""fashion|style|clothing|apparel|shoes|accessories|beauty|cosmetics|fashionistas""), ""Fashion and Beauty"",
  REGEXMATCH(LOWER(VLOOKUP(A403, Data1_Raw_Slack!A:B, 2, FALSE)), ""food|cooking|recipe|restaurant|"&amp;"snack|grocery|foodies""), ""Food"",
  REGEXMATCH(LOWER(VLOOKUP(A403, Data1_Raw_Slack!A:B, 2, FALSE)), ""travel|vacation|airline|hotel|trip|flights|travelers""), ""Travel"",
  REGEXMATCH(LOWER(VLOOKUP(A403, Data1_Raw_Slack!A:B, 2, FALSE)), ""fitness|workou"&amp;"t|gym|exercise|yoga|wellness|fitness enthusiasts""), ""Fitness"",
  REGEXMATCH(LOWER(VLOOKUP(A403, Data1_Raw_Slack!A:B, 2, FALSE)), ""health|medical|pharmacy|mental health|doctor|health-conscious""), ""Health"",
  REGEXMATCH(LOWER(VLOOKUP(A403, Data1_Raw_"&amp;"Slack!A:B, 2, FALSE)), ""pets|dogs|cats|animals|pet care|pet lovers""), ""Pets"",
  REGEXMATCH(LOWER(VLOOKUP(A403, Data1_Raw_Slack!A:B, 2, FALSE)), ""games|gaming|game|xbox|playstation|nintendo|gamers""), ""Gaming"",
  REGEXMATCH(LOWER(VLOOKUP(A403, Data1"&amp;"_Raw_Slack!A:B, 2, FALSE)), ""entertainment|movies|tv|netflix|streaming|celebrity|movie lovers|tv fans|hobb|photo|art""), ""Entertainment"",
  REGEXMATCH(LOWER(VLOOKUP(A403, Data1_Raw_Slack!A:B, 2, FALSE)), ""lifestyle|home|interior|decor|living|lifestyle"&amp;" enthusiasts""), ""Lifestyle"",
  REGEXMATCH(LOWER(VLOOKUP(A403, Data1_Raw_Slack!A:B, 2, FALSE)), ""financial|finance|investing|stocks|retirement|banking|credit|debt|loans|savings|personal finance|insurance|econ|ecom|business|retail|occupation|sale|job|ma"&amp;"rketing""), ""Finance"",
  REGEXMATCH(LOWER(VLOOKUP(A403, Data1_Raw_Slack!A:B, 2, FALSE)), ""auto|automotive""), ""Auto"",
  REGEXMATCH(LOWER(VLOOKUP(A403, Data1_Raw_Slack!A:B, 2, FALSE)), ""parenting|moms|dads|kids|toddlers|baby|parent|children""), ""Par"&amp;"enting"",
  REGEXMATCH(LOWER(VLOOKUP(A403, Data1_Raw_Slack!A:B, 2, FALSE)), ""education|students|learning|school|teachers|college|university|academics""), ""Education"",
  REGEXMATCH(LOWER(VLOOKUP(A403, Data1_Raw_Slack!A:B, 2, FALSE)), ""age|gender|dem"&amp;"ographic|family|household""), ""Demographics"",
  REGEXMATCH(LOWER(VLOOKUP(A403, Data1_Raw_Slack!A:B, 2, FALSE)), ""mortgage|real estate""), ""Real Estate"",REGEXMATCH(LOWER(VLOOKUP(A403, Data1_Raw_Slack!A:B, 2, FALSE)), ""technology|tech|gadgets|smartpho"&amp;"ne|electro|apps|devices|computing|ai|robots|software|computer|internet|tele|mobile|tablet""), ""Technology"", REGEXMATCH(LOWER(VLOOKUP(A403, Data1_Raw_Slack!A:B, 2, FALSE)), ""entertainment|purchas|movies|tv|netflix|streaming|celebrity|movie lovers|tv fan"&amp;"s|media|hobb|photo|art|shop""), ""Entertainment"", REGEXMATCH(LOWER(VLOOKUP(A403, Data1_Raw_Slack!A:B, 2, FALSE)), ""law|government|""), ""Law and Government"",
  TRUE, ""Other""
)"),"Sports")</f>
        <v>Sports</v>
      </c>
      <c r="G403" s="9" t="s">
        <v>154</v>
      </c>
      <c r="H403" s="9" t="s">
        <v>44</v>
      </c>
      <c r="I403" s="9" t="s">
        <v>1343</v>
      </c>
      <c r="J403" s="9" t="s">
        <v>46</v>
      </c>
      <c r="K403" s="9" t="s">
        <v>35</v>
      </c>
      <c r="L403" s="9" t="s">
        <v>36</v>
      </c>
      <c r="M403" s="10" t="s">
        <v>604</v>
      </c>
      <c r="N403" s="9" t="str">
        <f ca="1">IFERROR(__xludf.DUMMYFUNCTION("REGEXEXTRACT(LOWER(M403), ""([a-z0-9\-]+)\.(?:co|net|org|io|gg)"")"),"merriam-webster")</f>
        <v>merriam-webster</v>
      </c>
      <c r="O403" s="9" t="s">
        <v>103</v>
      </c>
      <c r="P403" s="9" t="s">
        <v>39</v>
      </c>
      <c r="Q403" s="9">
        <v>7402</v>
      </c>
      <c r="R403" s="9">
        <v>9</v>
      </c>
      <c r="S403" s="9">
        <v>3860</v>
      </c>
      <c r="T403" s="9">
        <v>6406</v>
      </c>
      <c r="U403" s="9">
        <v>1</v>
      </c>
      <c r="V403" s="11">
        <v>1560.449936</v>
      </c>
      <c r="W403" s="12">
        <f t="shared" si="7"/>
        <v>1560.449936</v>
      </c>
      <c r="X403" s="12">
        <f t="shared" si="8"/>
        <v>0.1215887597946501</v>
      </c>
      <c r="Y403" s="12">
        <f t="shared" si="9"/>
        <v>52.14806808970549</v>
      </c>
      <c r="Z403" s="12">
        <f t="shared" si="10"/>
        <v>404.26164145077718</v>
      </c>
      <c r="AA403" s="12">
        <f t="shared" si="11"/>
        <v>210.81463604431235</v>
      </c>
      <c r="AB403" s="12">
        <f t="shared" si="12"/>
        <v>173.38332622222222</v>
      </c>
      <c r="AC403" s="12">
        <f t="shared" si="13"/>
        <v>11.111111111111111</v>
      </c>
      <c r="AE403" s="13"/>
      <c r="AF403" s="13"/>
    </row>
    <row r="404" spans="1:32">
      <c r="A404" s="8" t="s">
        <v>1504</v>
      </c>
      <c r="B404" s="9"/>
      <c r="C404" s="9" t="s">
        <v>325</v>
      </c>
      <c r="D404" s="9" t="s">
        <v>572</v>
      </c>
      <c r="E404" s="9" t="s">
        <v>1505</v>
      </c>
      <c r="F404" s="9" t="str">
        <f ca="1">IFERROR(__xludf.DUMMYFUNCTION("IFS(
  REGEXMATCH(LOWER(VLOOKUP(A404, Data1_Raw_Slack!A:B, 2, FALSE)), ""news|weather""), ""News and Weather"", REGEXMATCH(LOWER(VLOOKUP(A404, Data1_Raw_Slack!A:B, 2, FALSE)), ""sports|ufc|nba|nfl|mlb|soccer|sports fans""), ""Sports"",
  REGEXMATCH(LOWER("&amp;"VLOOKUP(A404, Data1_Raw_Slack!A:B, 2, FALSE)), ""fashion|style|clothing|apparel|shoes|accessories|beauty|cosmetics|fashionistas""), ""Fashion and Beauty"",
  REGEXMATCH(LOWER(VLOOKUP(A404, Data1_Raw_Slack!A:B, 2, FALSE)), ""food|cooking|recipe|restaurant|"&amp;"snack|grocery|foodies""), ""Food"",
  REGEXMATCH(LOWER(VLOOKUP(A404, Data1_Raw_Slack!A:B, 2, FALSE)), ""travel|vacation|airline|hotel|trip|flights|travelers""), ""Travel"",
  REGEXMATCH(LOWER(VLOOKUP(A404, Data1_Raw_Slack!A:B, 2, FALSE)), ""fitness|workou"&amp;"t|gym|exercise|yoga|wellness|fitness enthusiasts""), ""Fitness"",
  REGEXMATCH(LOWER(VLOOKUP(A404, Data1_Raw_Slack!A:B, 2, FALSE)), ""health|medical|pharmacy|mental health|doctor|health-conscious""), ""Health"",
  REGEXMATCH(LOWER(VLOOKUP(A404, Data1_Raw_"&amp;"Slack!A:B, 2, FALSE)), ""pets|dogs|cats|animals|pet care|pet lovers""), ""Pets"",
  REGEXMATCH(LOWER(VLOOKUP(A404, Data1_Raw_Slack!A:B, 2, FALSE)), ""games|gaming|game|xbox|playstation|nintendo|gamers""), ""Gaming"",
  REGEXMATCH(LOWER(VLOOKUP(A404, Data1"&amp;"_Raw_Slack!A:B, 2, FALSE)), ""entertainment|movies|tv|netflix|streaming|celebrity|movie lovers|tv fans|hobb|photo|art""), ""Entertainment"",
  REGEXMATCH(LOWER(VLOOKUP(A404, Data1_Raw_Slack!A:B, 2, FALSE)), ""lifestyle|home|interior|decor|living|lifestyle"&amp;" enthusiasts""), ""Lifestyle"",
  REGEXMATCH(LOWER(VLOOKUP(A404, Data1_Raw_Slack!A:B, 2, FALSE)), ""financial|finance|investing|stocks|retirement|banking|credit|debt|loans|savings|personal finance|insurance|econ|ecom|business|retail|occupation|sale|job|ma"&amp;"rketing""), ""Finance"",
  REGEXMATCH(LOWER(VLOOKUP(A404, Data1_Raw_Slack!A:B, 2, FALSE)), ""auto|automotive""), ""Auto"",
  REGEXMATCH(LOWER(VLOOKUP(A404, Data1_Raw_Slack!A:B, 2, FALSE)), ""parenting|moms|dads|kids|toddlers|baby|parent|children""), ""Par"&amp;"enting"",
  REGEXMATCH(LOWER(VLOOKUP(A404, Data1_Raw_Slack!A:B, 2, FALSE)), ""education|students|learning|school|teachers|college|university|academics""), ""Education"",
  REGEXMATCH(LOWER(VLOOKUP(A404, Data1_Raw_Slack!A:B, 2, FALSE)), ""age|gender|dem"&amp;"ographic|family|household""), ""Demographics"",
  REGEXMATCH(LOWER(VLOOKUP(A404, Data1_Raw_Slack!A:B, 2, FALSE)), ""mortgage|real estate""), ""Real Estate"",REGEXMATCH(LOWER(VLOOKUP(A404, Data1_Raw_Slack!A:B, 2, FALSE)), ""technology|tech|gadgets|smartpho"&amp;"ne|electro|apps|devices|computing|ai|robots|software|computer|internet|tele|mobile|tablet""), ""Technology"", REGEXMATCH(LOWER(VLOOKUP(A404, Data1_Raw_Slack!A:B, 2, FALSE)), ""entertainment|purchas|movies|tv|netflix|streaming|celebrity|movie lovers|tv fan"&amp;"s|media|hobb|photo|art|shop""), ""Entertainment"", REGEXMATCH(LOWER(VLOOKUP(A404, Data1_Raw_Slack!A:B, 2, FALSE)), ""law|government|""), ""Law and Government"",
  TRUE, ""Other""
)"),"Demographics")</f>
        <v>Demographics</v>
      </c>
      <c r="G404" s="9"/>
      <c r="H404" s="9" t="s">
        <v>32</v>
      </c>
      <c r="I404" s="9" t="s">
        <v>1506</v>
      </c>
      <c r="J404" s="9" t="s">
        <v>46</v>
      </c>
      <c r="K404" s="9" t="s">
        <v>142</v>
      </c>
      <c r="L404" s="9" t="s">
        <v>72</v>
      </c>
      <c r="M404" s="10" t="s">
        <v>1507</v>
      </c>
      <c r="N404" s="9" t="str">
        <f ca="1">IFERROR(__xludf.DUMMYFUNCTION("REGEXEXTRACT(LOWER(M404), ""([a-z0-9\-]+)\.(?:co|net|org|io|gg)"")"),"historyallday")</f>
        <v>historyallday</v>
      </c>
      <c r="O404" s="9" t="s">
        <v>103</v>
      </c>
      <c r="P404" s="9" t="s">
        <v>39</v>
      </c>
      <c r="Q404" s="9">
        <v>14379</v>
      </c>
      <c r="R404" s="9">
        <v>30</v>
      </c>
      <c r="S404" s="9">
        <v>6272</v>
      </c>
      <c r="T404" s="9">
        <v>11886</v>
      </c>
      <c r="U404" s="9">
        <v>18</v>
      </c>
      <c r="V404" s="11">
        <v>1973.5622330000001</v>
      </c>
      <c r="W404" s="12">
        <f t="shared" si="7"/>
        <v>109.64234627777779</v>
      </c>
      <c r="X404" s="12">
        <f t="shared" si="8"/>
        <v>0.20863759649488839</v>
      </c>
      <c r="Y404" s="12">
        <f t="shared" si="9"/>
        <v>43.619166840531335</v>
      </c>
      <c r="Z404" s="12">
        <f t="shared" si="10"/>
        <v>314.66234582270408</v>
      </c>
      <c r="AA404" s="12">
        <f t="shared" si="11"/>
        <v>137.25309360873499</v>
      </c>
      <c r="AB404" s="12">
        <f t="shared" si="12"/>
        <v>65.785407766666665</v>
      </c>
      <c r="AC404" s="12">
        <f t="shared" si="13"/>
        <v>60</v>
      </c>
      <c r="AE404" s="13"/>
      <c r="AF404" s="13"/>
    </row>
    <row r="405" spans="1:32">
      <c r="A405" s="8" t="s">
        <v>1508</v>
      </c>
      <c r="B405" s="9" t="s">
        <v>1137</v>
      </c>
      <c r="C405" s="9" t="s">
        <v>127</v>
      </c>
      <c r="D405" s="9" t="s">
        <v>1483</v>
      </c>
      <c r="E405" s="9" t="s">
        <v>1509</v>
      </c>
      <c r="F405" s="9" t="str">
        <f ca="1">IFERROR(__xludf.DUMMYFUNCTION("IFS(
  REGEXMATCH(LOWER(VLOOKUP(A405, Data1_Raw_Slack!A:B, 2, FALSE)), ""news|weather""), ""News and Weather"", REGEXMATCH(LOWER(VLOOKUP(A405, Data1_Raw_Slack!A:B, 2, FALSE)), ""sports|ufc|nba|nfl|mlb|soccer|sports fans""), ""Sports"",
  REGEXMATCH(LOWER("&amp;"VLOOKUP(A405, Data1_Raw_Slack!A:B, 2, FALSE)), ""fashion|style|clothing|apparel|shoes|accessories|beauty|cosmetics|fashionistas""), ""Fashion and Beauty"",
  REGEXMATCH(LOWER(VLOOKUP(A405, Data1_Raw_Slack!A:B, 2, FALSE)), ""food|cooking|recipe|restaurant|"&amp;"snack|grocery|foodies""), ""Food"",
  REGEXMATCH(LOWER(VLOOKUP(A405, Data1_Raw_Slack!A:B, 2, FALSE)), ""travel|vacation|airline|hotel|trip|flights|travelers""), ""Travel"",
  REGEXMATCH(LOWER(VLOOKUP(A405, Data1_Raw_Slack!A:B, 2, FALSE)), ""fitness|workou"&amp;"t|gym|exercise|yoga|wellness|fitness enthusiasts""), ""Fitness"",
  REGEXMATCH(LOWER(VLOOKUP(A405, Data1_Raw_Slack!A:B, 2, FALSE)), ""health|medical|pharmacy|mental health|doctor|health-conscious""), ""Health"",
  REGEXMATCH(LOWER(VLOOKUP(A405, Data1_Raw_"&amp;"Slack!A:B, 2, FALSE)), ""pets|dogs|cats|animals|pet care|pet lovers""), ""Pets"",
  REGEXMATCH(LOWER(VLOOKUP(A405, Data1_Raw_Slack!A:B, 2, FALSE)), ""games|gaming|game|xbox|playstation|nintendo|gamers""), ""Gaming"",
  REGEXMATCH(LOWER(VLOOKUP(A405, Data1"&amp;"_Raw_Slack!A:B, 2, FALSE)), ""entertainment|movies|tv|netflix|streaming|celebrity|movie lovers|tv fans|hobb|photo|art""), ""Entertainment"",
  REGEXMATCH(LOWER(VLOOKUP(A405, Data1_Raw_Slack!A:B, 2, FALSE)), ""lifestyle|home|interior|decor|living|lifestyle"&amp;" enthusiasts""), ""Lifestyle"",
  REGEXMATCH(LOWER(VLOOKUP(A405, Data1_Raw_Slack!A:B, 2, FALSE)), ""financial|finance|investing|stocks|retirement|banking|credit|debt|loans|savings|personal finance|insurance|econ|ecom|business|retail|occupation|sale|job|ma"&amp;"rketing""), ""Finance"",
  REGEXMATCH(LOWER(VLOOKUP(A405, Data1_Raw_Slack!A:B, 2, FALSE)), ""auto|automotive""), ""Auto"",
  REGEXMATCH(LOWER(VLOOKUP(A405, Data1_Raw_Slack!A:B, 2, FALSE)), ""parenting|moms|dads|kids|toddlers|baby|parent|children""), ""Par"&amp;"enting"",
  REGEXMATCH(LOWER(VLOOKUP(A405, Data1_Raw_Slack!A:B, 2, FALSE)), ""education|students|learning|school|teachers|college|university|academics""), ""Education"",
  REGEXMATCH(LOWER(VLOOKUP(A405, Data1_Raw_Slack!A:B, 2, FALSE)), ""age|gender|dem"&amp;"ographic|family|household""), ""Demographics"",
  REGEXMATCH(LOWER(VLOOKUP(A405, Data1_Raw_Slack!A:B, 2, FALSE)), ""mortgage|real estate""), ""Real Estate"",REGEXMATCH(LOWER(VLOOKUP(A405, Data1_Raw_Slack!A:B, 2, FALSE)), ""technology|tech|gadgets|smartpho"&amp;"ne|electro|apps|devices|computing|ai|robots|software|computer|internet|tele|mobile|tablet""), ""Technology"", REGEXMATCH(LOWER(VLOOKUP(A405, Data1_Raw_Slack!A:B, 2, FALSE)), ""entertainment|purchas|movies|tv|netflix|streaming|celebrity|movie lovers|tv fan"&amp;"s|media|hobb|photo|art|shop""), ""Entertainment"", REGEXMATCH(LOWER(VLOOKUP(A405, Data1_Raw_Slack!A:B, 2, FALSE)), ""law|government|""), ""Law and Government"",
  TRUE, ""Other""
)"),"Finance")</f>
        <v>Finance</v>
      </c>
      <c r="G405" s="9" t="s">
        <v>127</v>
      </c>
      <c r="H405" s="9" t="s">
        <v>32</v>
      </c>
      <c r="I405" s="9" t="s">
        <v>1303</v>
      </c>
      <c r="J405" s="9" t="s">
        <v>62</v>
      </c>
      <c r="K405" s="9" t="s">
        <v>416</v>
      </c>
      <c r="L405" s="9" t="s">
        <v>417</v>
      </c>
      <c r="M405" s="10" t="s">
        <v>90</v>
      </c>
      <c r="N405" s="9" t="str">
        <f ca="1">IFERROR(__xludf.DUMMYFUNCTION("REGEXEXTRACT(LOWER(M405), ""([a-z0-9\-]+)\.(?:co|net|org|io|gg)"")"),"live")</f>
        <v>live</v>
      </c>
      <c r="O405" s="9" t="s">
        <v>50</v>
      </c>
      <c r="P405" s="9" t="s">
        <v>39</v>
      </c>
      <c r="Q405" s="9">
        <v>55274</v>
      </c>
      <c r="R405" s="9">
        <v>219</v>
      </c>
      <c r="S405" s="9">
        <v>47583</v>
      </c>
      <c r="T405" s="9">
        <v>51275</v>
      </c>
      <c r="U405" s="9">
        <v>3</v>
      </c>
      <c r="V405" s="11">
        <v>1532.7579049999999</v>
      </c>
      <c r="W405" s="12">
        <f t="shared" si="7"/>
        <v>510.91930166666663</v>
      </c>
      <c r="X405" s="12">
        <f t="shared" si="8"/>
        <v>0.39620798205304486</v>
      </c>
      <c r="Y405" s="12">
        <f t="shared" si="9"/>
        <v>86.085682237580059</v>
      </c>
      <c r="Z405" s="12">
        <f t="shared" si="10"/>
        <v>32.212300716642496</v>
      </c>
      <c r="AA405" s="12">
        <f t="shared" si="11"/>
        <v>27.730178836342581</v>
      </c>
      <c r="AB405" s="12">
        <f t="shared" si="12"/>
        <v>6.9988945433789951</v>
      </c>
      <c r="AC405" s="12">
        <f t="shared" si="13"/>
        <v>1.3698630136986301</v>
      </c>
      <c r="AE405" s="13"/>
      <c r="AF405" s="13"/>
    </row>
    <row r="406" spans="1:32">
      <c r="A406" s="8" t="s">
        <v>1510</v>
      </c>
      <c r="B406" s="9" t="s">
        <v>52</v>
      </c>
      <c r="C406" s="9" t="s">
        <v>53</v>
      </c>
      <c r="D406" s="9" t="s">
        <v>1511</v>
      </c>
      <c r="E406" s="9"/>
      <c r="F406" s="9" t="str">
        <f ca="1">IFERROR(__xludf.DUMMYFUNCTION("IFS(
  REGEXMATCH(LOWER(VLOOKUP(A406, Data1_Raw_Slack!A:B, 2, FALSE)), ""news|weather""), ""News and Weather"", REGEXMATCH(LOWER(VLOOKUP(A406, Data1_Raw_Slack!A:B, 2, FALSE)), ""sports|ufc|nba|nfl|mlb|soccer|sports fans""), ""Sports"",
  REGEXMATCH(LOWER("&amp;"VLOOKUP(A406, Data1_Raw_Slack!A:B, 2, FALSE)), ""fashion|style|clothing|apparel|shoes|accessories|beauty|cosmetics|fashionistas""), ""Fashion and Beauty"",
  REGEXMATCH(LOWER(VLOOKUP(A406, Data1_Raw_Slack!A:B, 2, FALSE)), ""food|cooking|recipe|restaurant|"&amp;"snack|grocery|foodies""), ""Food"",
  REGEXMATCH(LOWER(VLOOKUP(A406, Data1_Raw_Slack!A:B, 2, FALSE)), ""travel|vacation|airline|hotel|trip|flights|travelers""), ""Travel"",
  REGEXMATCH(LOWER(VLOOKUP(A406, Data1_Raw_Slack!A:B, 2, FALSE)), ""fitness|workou"&amp;"t|gym|exercise|yoga|wellness|fitness enthusiasts""), ""Fitness"",
  REGEXMATCH(LOWER(VLOOKUP(A406, Data1_Raw_Slack!A:B, 2, FALSE)), ""health|medical|pharmacy|mental health|doctor|health-conscious""), ""Health"",
  REGEXMATCH(LOWER(VLOOKUP(A406, Data1_Raw_"&amp;"Slack!A:B, 2, FALSE)), ""pets|dogs|cats|animals|pet care|pet lovers""), ""Pets"",
  REGEXMATCH(LOWER(VLOOKUP(A406, Data1_Raw_Slack!A:B, 2, FALSE)), ""games|gaming|game|xbox|playstation|nintendo|gamers""), ""Gaming"",
  REGEXMATCH(LOWER(VLOOKUP(A406, Data1"&amp;"_Raw_Slack!A:B, 2, FALSE)), ""entertainment|movies|tv|netflix|streaming|celebrity|movie lovers|tv fans|hobb|photo|art""), ""Entertainment"",
  REGEXMATCH(LOWER(VLOOKUP(A406, Data1_Raw_Slack!A:B, 2, FALSE)), ""lifestyle|home|interior|decor|living|lifestyle"&amp;" enthusiasts""), ""Lifestyle"",
  REGEXMATCH(LOWER(VLOOKUP(A406, Data1_Raw_Slack!A:B, 2, FALSE)), ""financial|finance|investing|stocks|retirement|banking|credit|debt|loans|savings|personal finance|insurance|econ|ecom|business|retail|occupation|sale|job|ma"&amp;"rketing""), ""Finance"",
  REGEXMATCH(LOWER(VLOOKUP(A406, Data1_Raw_Slack!A:B, 2, FALSE)), ""auto|automotive""), ""Auto"",
  REGEXMATCH(LOWER(VLOOKUP(A406, Data1_Raw_Slack!A:B, 2, FALSE)), ""parenting|moms|dads|kids|toddlers|baby|parent|children""), ""Par"&amp;"enting"",
  REGEXMATCH(LOWER(VLOOKUP(A406, Data1_Raw_Slack!A:B, 2, FALSE)), ""education|students|learning|school|teachers|college|university|academics""), ""Education"",
  REGEXMATCH(LOWER(VLOOKUP(A406, Data1_Raw_Slack!A:B, 2, FALSE)), ""age|gender|dem"&amp;"ographic|family|household""), ""Demographics"",
  REGEXMATCH(LOWER(VLOOKUP(A406, Data1_Raw_Slack!A:B, 2, FALSE)), ""mortgage|real estate""), ""Real Estate"",REGEXMATCH(LOWER(VLOOKUP(A406, Data1_Raw_Slack!A:B, 2, FALSE)), ""technology|tech|gadgets|smartpho"&amp;"ne|electro|apps|devices|computing|ai|robots|software|computer|internet|tele|mobile|tablet""), ""Technology"", REGEXMATCH(LOWER(VLOOKUP(A406, Data1_Raw_Slack!A:B, 2, FALSE)), ""entertainment|purchas|movies|tv|netflix|streaming|celebrity|movie lovers|tv fan"&amp;"s|media|hobb|photo|art|shop""), ""Entertainment"", REGEXMATCH(LOWER(VLOOKUP(A406, Data1_Raw_Slack!A:B, 2, FALSE)), ""law|government|""), ""Law and Government"",
  TRUE, ""Other""
)"),"Finance")</f>
        <v>Finance</v>
      </c>
      <c r="G406" s="9"/>
      <c r="H406" s="9" t="s">
        <v>44</v>
      </c>
      <c r="I406" s="9" t="s">
        <v>1512</v>
      </c>
      <c r="J406" s="9" t="s">
        <v>80</v>
      </c>
      <c r="K406" s="9" t="s">
        <v>236</v>
      </c>
      <c r="L406" s="9" t="s">
        <v>82</v>
      </c>
      <c r="M406" s="10" t="s">
        <v>547</v>
      </c>
      <c r="N406" s="9" t="str">
        <f ca="1">IFERROR(__xludf.DUMMYFUNCTION("REGEXEXTRACT(LOWER(M406), ""([a-z0-9\-]+)\.(?:co|net|org|io|gg)"")"),"nytimes")</f>
        <v>nytimes</v>
      </c>
      <c r="O406" s="9" t="s">
        <v>131</v>
      </c>
      <c r="P406" s="9" t="s">
        <v>39</v>
      </c>
      <c r="Q406" s="9">
        <v>14932</v>
      </c>
      <c r="R406" s="9">
        <v>90</v>
      </c>
      <c r="S406" s="9">
        <v>8947</v>
      </c>
      <c r="T406" s="9">
        <v>14256</v>
      </c>
      <c r="U406" s="9">
        <v>3</v>
      </c>
      <c r="V406" s="11">
        <v>1724.417704</v>
      </c>
      <c r="W406" s="12">
        <f t="shared" si="7"/>
        <v>574.80590133333328</v>
      </c>
      <c r="X406" s="12">
        <f t="shared" si="8"/>
        <v>0.60273238682025176</v>
      </c>
      <c r="Y406" s="12">
        <f t="shared" si="9"/>
        <v>59.918296276453255</v>
      </c>
      <c r="Z406" s="12">
        <f t="shared" si="10"/>
        <v>192.7369737342126</v>
      </c>
      <c r="AA406" s="12">
        <f t="shared" si="11"/>
        <v>115.48471095633539</v>
      </c>
      <c r="AB406" s="12">
        <f t="shared" si="12"/>
        <v>19.160196711111112</v>
      </c>
      <c r="AC406" s="12">
        <f t="shared" si="13"/>
        <v>3.3333333333333335</v>
      </c>
      <c r="AE406" s="13"/>
      <c r="AF406" s="13"/>
    </row>
    <row r="407" spans="1:32">
      <c r="A407" s="8" t="s">
        <v>1513</v>
      </c>
      <c r="B407" s="9" t="s">
        <v>92</v>
      </c>
      <c r="C407" s="9" t="s">
        <v>93</v>
      </c>
      <c r="D407" s="9" t="s">
        <v>784</v>
      </c>
      <c r="E407" s="9" t="s">
        <v>1514</v>
      </c>
      <c r="F407" s="9" t="str">
        <f ca="1">IFERROR(__xludf.DUMMYFUNCTION("IFS(
  REGEXMATCH(LOWER(VLOOKUP(A407, Data1_Raw_Slack!A:B, 2, FALSE)), ""news|weather""), ""News and Weather"", REGEXMATCH(LOWER(VLOOKUP(A407, Data1_Raw_Slack!A:B, 2, FALSE)), ""sports|ufc|nba|nfl|mlb|soccer|sports fans""), ""Sports"",
  REGEXMATCH(LOWER("&amp;"VLOOKUP(A407, Data1_Raw_Slack!A:B, 2, FALSE)), ""fashion|style|clothing|apparel|shoes|accessories|beauty|cosmetics|fashionistas""), ""Fashion and Beauty"",
  REGEXMATCH(LOWER(VLOOKUP(A407, Data1_Raw_Slack!A:B, 2, FALSE)), ""food|cooking|recipe|restaurant|"&amp;"snack|grocery|foodies""), ""Food"",
  REGEXMATCH(LOWER(VLOOKUP(A407, Data1_Raw_Slack!A:B, 2, FALSE)), ""travel|vacation|airline|hotel|trip|flights|travelers""), ""Travel"",
  REGEXMATCH(LOWER(VLOOKUP(A407, Data1_Raw_Slack!A:B, 2, FALSE)), ""fitness|workou"&amp;"t|gym|exercise|yoga|wellness|fitness enthusiasts""), ""Fitness"",
  REGEXMATCH(LOWER(VLOOKUP(A407, Data1_Raw_Slack!A:B, 2, FALSE)), ""health|medical|pharmacy|mental health|doctor|health-conscious""), ""Health"",
  REGEXMATCH(LOWER(VLOOKUP(A407, Data1_Raw_"&amp;"Slack!A:B, 2, FALSE)), ""pets|dogs|cats|animals|pet care|pet lovers""), ""Pets"",
  REGEXMATCH(LOWER(VLOOKUP(A407, Data1_Raw_Slack!A:B, 2, FALSE)), ""games|gaming|game|xbox|playstation|nintendo|gamers""), ""Gaming"",
  REGEXMATCH(LOWER(VLOOKUP(A407, Data1"&amp;"_Raw_Slack!A:B, 2, FALSE)), ""entertainment|movies|tv|netflix|streaming|celebrity|movie lovers|tv fans|hobb|photo|art""), ""Entertainment"",
  REGEXMATCH(LOWER(VLOOKUP(A407, Data1_Raw_Slack!A:B, 2, FALSE)), ""lifestyle|home|interior|decor|living|lifestyle"&amp;" enthusiasts""), ""Lifestyle"",
  REGEXMATCH(LOWER(VLOOKUP(A407, Data1_Raw_Slack!A:B, 2, FALSE)), ""financial|finance|investing|stocks|retirement|banking|credit|debt|loans|savings|personal finance|insurance|econ|ecom|business|retail|occupation|sale|job|ma"&amp;"rketing""), ""Finance"",
  REGEXMATCH(LOWER(VLOOKUP(A407, Data1_Raw_Slack!A:B, 2, FALSE)), ""auto|automotive""), ""Auto"",
  REGEXMATCH(LOWER(VLOOKUP(A407, Data1_Raw_Slack!A:B, 2, FALSE)), ""parenting|moms|dads|kids|toddlers|baby|parent|children""), ""Par"&amp;"enting"",
  REGEXMATCH(LOWER(VLOOKUP(A407, Data1_Raw_Slack!A:B, 2, FALSE)), ""education|students|learning|school|teachers|college|university|academics""), ""Education"",
  REGEXMATCH(LOWER(VLOOKUP(A407, Data1_Raw_Slack!A:B, 2, FALSE)), ""age|gender|dem"&amp;"ographic|family|household""), ""Demographics"",
  REGEXMATCH(LOWER(VLOOKUP(A407, Data1_Raw_Slack!A:B, 2, FALSE)), ""mortgage|real estate""), ""Real Estate"",REGEXMATCH(LOWER(VLOOKUP(A407, Data1_Raw_Slack!A:B, 2, FALSE)), ""technology|tech|gadgets|smartpho"&amp;"ne|electro|apps|devices|computing|ai|robots|software|computer|internet|tele|mobile|tablet""), ""Technology"", REGEXMATCH(LOWER(VLOOKUP(A407, Data1_Raw_Slack!A:B, 2, FALSE)), ""entertainment|purchas|movies|tv|netflix|streaming|celebrity|movie lovers|tv fan"&amp;"s|media|hobb|photo|art|shop""), ""Entertainment"", REGEXMATCH(LOWER(VLOOKUP(A407, Data1_Raw_Slack!A:B, 2, FALSE)), ""law|government|""), ""Law and Government"",
  TRUE, ""Other""
)"),"Fashion and Beauty")</f>
        <v>Fashion and Beauty</v>
      </c>
      <c r="G407" s="9"/>
      <c r="H407" s="9" t="s">
        <v>32</v>
      </c>
      <c r="I407" s="9" t="s">
        <v>1515</v>
      </c>
      <c r="J407" s="9" t="s">
        <v>62</v>
      </c>
      <c r="K407" s="9" t="s">
        <v>236</v>
      </c>
      <c r="L407" s="9" t="s">
        <v>82</v>
      </c>
      <c r="M407" s="10" t="s">
        <v>1516</v>
      </c>
      <c r="N407" s="9" t="str">
        <f ca="1">IFERROR(__xludf.DUMMYFUNCTION("REGEXEXTRACT(LOWER(M407), ""([a-z0-9\-]+)\.(?:co|net|org|io|gg)"")"),"commercialappeal")</f>
        <v>commercialappeal</v>
      </c>
      <c r="O407" s="9" t="s">
        <v>50</v>
      </c>
      <c r="P407" s="9" t="s">
        <v>39</v>
      </c>
      <c r="Q407" s="9">
        <v>10191</v>
      </c>
      <c r="R407" s="9">
        <v>75</v>
      </c>
      <c r="S407" s="9">
        <v>1243</v>
      </c>
      <c r="T407" s="9">
        <v>8897</v>
      </c>
      <c r="U407" s="9">
        <v>3</v>
      </c>
      <c r="V407" s="11">
        <v>2365.9143720000002</v>
      </c>
      <c r="W407" s="12">
        <f t="shared" si="7"/>
        <v>788.63812400000006</v>
      </c>
      <c r="X407" s="12">
        <f t="shared" si="8"/>
        <v>0.73594347954077122</v>
      </c>
      <c r="Y407" s="12">
        <f t="shared" si="9"/>
        <v>12.197036600922383</v>
      </c>
      <c r="Z407" s="12">
        <f t="shared" si="10"/>
        <v>1903.3904843121481</v>
      </c>
      <c r="AA407" s="12">
        <f t="shared" si="11"/>
        <v>232.1572340300265</v>
      </c>
      <c r="AB407" s="12">
        <f t="shared" si="12"/>
        <v>31.545524960000002</v>
      </c>
      <c r="AC407" s="12">
        <f t="shared" si="13"/>
        <v>4</v>
      </c>
      <c r="AE407" s="13"/>
      <c r="AF407" s="13"/>
    </row>
    <row r="408" spans="1:32">
      <c r="A408" s="8" t="s">
        <v>1517</v>
      </c>
      <c r="B408" s="9" t="s">
        <v>521</v>
      </c>
      <c r="C408" s="9" t="s">
        <v>522</v>
      </c>
      <c r="D408" s="9" t="s">
        <v>1518</v>
      </c>
      <c r="E408" s="9"/>
      <c r="F408" s="9" t="str">
        <f ca="1">IFERROR(__xludf.DUMMYFUNCTION("IFS(
  REGEXMATCH(LOWER(VLOOKUP(A408, Data1_Raw_Slack!A:B, 2, FALSE)), ""news|weather""), ""News and Weather"", REGEXMATCH(LOWER(VLOOKUP(A408, Data1_Raw_Slack!A:B, 2, FALSE)), ""sports|ufc|nba|nfl|mlb|soccer|sports fans""), ""Sports"",
  REGEXMATCH(LOWER("&amp;"VLOOKUP(A408, Data1_Raw_Slack!A:B, 2, FALSE)), ""fashion|style|clothing|apparel|shoes|accessories|beauty|cosmetics|fashionistas""), ""Fashion and Beauty"",
  REGEXMATCH(LOWER(VLOOKUP(A408, Data1_Raw_Slack!A:B, 2, FALSE)), ""food|cooking|recipe|restaurant|"&amp;"snack|grocery|foodies""), ""Food"",
  REGEXMATCH(LOWER(VLOOKUP(A408, Data1_Raw_Slack!A:B, 2, FALSE)), ""travel|vacation|airline|hotel|trip|flights|travelers""), ""Travel"",
  REGEXMATCH(LOWER(VLOOKUP(A408, Data1_Raw_Slack!A:B, 2, FALSE)), ""fitness|workou"&amp;"t|gym|exercise|yoga|wellness|fitness enthusiasts""), ""Fitness"",
  REGEXMATCH(LOWER(VLOOKUP(A408, Data1_Raw_Slack!A:B, 2, FALSE)), ""health|medical|pharmacy|mental health|doctor|health-conscious""), ""Health"",
  REGEXMATCH(LOWER(VLOOKUP(A408, Data1_Raw_"&amp;"Slack!A:B, 2, FALSE)), ""pets|dogs|cats|animals|pet care|pet lovers""), ""Pets"",
  REGEXMATCH(LOWER(VLOOKUP(A408, Data1_Raw_Slack!A:B, 2, FALSE)), ""games|gaming|game|xbox|playstation|nintendo|gamers""), ""Gaming"",
  REGEXMATCH(LOWER(VLOOKUP(A408, Data1"&amp;"_Raw_Slack!A:B, 2, FALSE)), ""entertainment|movies|tv|netflix|streaming|celebrity|movie lovers|tv fans|hobb|photo|art""), ""Entertainment"",
  REGEXMATCH(LOWER(VLOOKUP(A408, Data1_Raw_Slack!A:B, 2, FALSE)), ""lifestyle|home|interior|decor|living|lifestyle"&amp;" enthusiasts""), ""Lifestyle"",
  REGEXMATCH(LOWER(VLOOKUP(A408, Data1_Raw_Slack!A:B, 2, FALSE)), ""financial|finance|investing|stocks|retirement|banking|credit|debt|loans|savings|personal finance|insurance|econ|ecom|business|retail|occupation|sale|job|ma"&amp;"rketing""), ""Finance"",
  REGEXMATCH(LOWER(VLOOKUP(A408, Data1_Raw_Slack!A:B, 2, FALSE)), ""auto|automotive""), ""Auto"",
  REGEXMATCH(LOWER(VLOOKUP(A408, Data1_Raw_Slack!A:B, 2, FALSE)), ""parenting|moms|dads|kids|toddlers|baby|parent|children""), ""Par"&amp;"enting"",
  REGEXMATCH(LOWER(VLOOKUP(A408, Data1_Raw_Slack!A:B, 2, FALSE)), ""education|students|learning|school|teachers|college|university|academics""), ""Education"",
  REGEXMATCH(LOWER(VLOOKUP(A408, Data1_Raw_Slack!A:B, 2, FALSE)), ""age|gender|dem"&amp;"ographic|family|household""), ""Demographics"",
  REGEXMATCH(LOWER(VLOOKUP(A408, Data1_Raw_Slack!A:B, 2, FALSE)), ""mortgage|real estate""), ""Real Estate"",REGEXMATCH(LOWER(VLOOKUP(A408, Data1_Raw_Slack!A:B, 2, FALSE)), ""technology|tech|gadgets|smartpho"&amp;"ne|electro|apps|devices|computing|ai|robots|software|computer|internet|tele|mobile|tablet""), ""Technology"", REGEXMATCH(LOWER(VLOOKUP(A408, Data1_Raw_Slack!A:B, 2, FALSE)), ""entertainment|purchas|movies|tv|netflix|streaming|celebrity|movie lovers|tv fan"&amp;"s|media|hobb|photo|art|shop""), ""Entertainment"", REGEXMATCH(LOWER(VLOOKUP(A408, Data1_Raw_Slack!A:B, 2, FALSE)), ""law|government|""), ""Law and Government"",
  TRUE, ""Other""
)"),"Travel")</f>
        <v>Travel</v>
      </c>
      <c r="G408" s="9"/>
      <c r="H408" s="9" t="s">
        <v>44</v>
      </c>
      <c r="I408" s="9" t="s">
        <v>1015</v>
      </c>
      <c r="J408" s="9" t="s">
        <v>80</v>
      </c>
      <c r="K408" s="9" t="s">
        <v>142</v>
      </c>
      <c r="L408" s="9" t="s">
        <v>72</v>
      </c>
      <c r="M408" s="10" t="s">
        <v>130</v>
      </c>
      <c r="N408" s="9" t="str">
        <f ca="1">IFERROR(__xludf.DUMMYFUNCTION("REGEXEXTRACT(LOWER(M408), ""([a-z0-9\-]+)\.(?:co|net|org|io|gg)"")"),"weather")</f>
        <v>weather</v>
      </c>
      <c r="O408" s="9" t="s">
        <v>349</v>
      </c>
      <c r="P408" s="9" t="s">
        <v>39</v>
      </c>
      <c r="Q408" s="9">
        <v>253577</v>
      </c>
      <c r="R408" s="9">
        <v>890</v>
      </c>
      <c r="S408" s="9">
        <v>66972</v>
      </c>
      <c r="T408" s="9">
        <v>191183</v>
      </c>
      <c r="U408" s="9">
        <v>44</v>
      </c>
      <c r="V408" s="11">
        <v>1493.074494</v>
      </c>
      <c r="W408" s="12">
        <f t="shared" si="7"/>
        <v>33.933511227272724</v>
      </c>
      <c r="X408" s="12">
        <f t="shared" si="8"/>
        <v>0.35097820385918282</v>
      </c>
      <c r="Y408" s="12">
        <f t="shared" si="9"/>
        <v>26.410912661637294</v>
      </c>
      <c r="Z408" s="12">
        <f t="shared" si="10"/>
        <v>22.294010840351191</v>
      </c>
      <c r="AA408" s="12">
        <f t="shared" si="11"/>
        <v>5.8880517318211041</v>
      </c>
      <c r="AB408" s="12">
        <f t="shared" si="12"/>
        <v>1.6776117910112358</v>
      </c>
      <c r="AC408" s="12">
        <f t="shared" si="13"/>
        <v>4.9438202247191008</v>
      </c>
      <c r="AE408" s="13"/>
      <c r="AF408" s="13"/>
    </row>
    <row r="409" spans="1:32">
      <c r="A409" s="8" t="s">
        <v>1519</v>
      </c>
      <c r="B409" s="9" t="s">
        <v>92</v>
      </c>
      <c r="C409" s="9" t="s">
        <v>85</v>
      </c>
      <c r="D409" s="9" t="s">
        <v>1520</v>
      </c>
      <c r="E409" s="9" t="s">
        <v>1521</v>
      </c>
      <c r="F409" s="9" t="str">
        <f ca="1">IFERROR(__xludf.DUMMYFUNCTION("IFS(
  REGEXMATCH(LOWER(VLOOKUP(A409, Data1_Raw_Slack!A:B, 2, FALSE)), ""news|weather""), ""News and Weather"", REGEXMATCH(LOWER(VLOOKUP(A409, Data1_Raw_Slack!A:B, 2, FALSE)), ""sports|ufc|nba|nfl|mlb|soccer|sports fans""), ""Sports"",
  REGEXMATCH(LOWER("&amp;"VLOOKUP(A409, Data1_Raw_Slack!A:B, 2, FALSE)), ""fashion|style|clothing|apparel|shoes|accessories|beauty|cosmetics|fashionistas""), ""Fashion and Beauty"",
  REGEXMATCH(LOWER(VLOOKUP(A409, Data1_Raw_Slack!A:B, 2, FALSE)), ""food|cooking|recipe|restaurant|"&amp;"snack|grocery|foodies""), ""Food"",
  REGEXMATCH(LOWER(VLOOKUP(A409, Data1_Raw_Slack!A:B, 2, FALSE)), ""travel|vacation|airline|hotel|trip|flights|travelers""), ""Travel"",
  REGEXMATCH(LOWER(VLOOKUP(A409, Data1_Raw_Slack!A:B, 2, FALSE)), ""fitness|workou"&amp;"t|gym|exercise|yoga|wellness|fitness enthusiasts""), ""Fitness"",
  REGEXMATCH(LOWER(VLOOKUP(A409, Data1_Raw_Slack!A:B, 2, FALSE)), ""health|medical|pharmacy|mental health|doctor|health-conscious""), ""Health"",
  REGEXMATCH(LOWER(VLOOKUP(A409, Data1_Raw_"&amp;"Slack!A:B, 2, FALSE)), ""pets|dogs|cats|animals|pet care|pet lovers""), ""Pets"",
  REGEXMATCH(LOWER(VLOOKUP(A409, Data1_Raw_Slack!A:B, 2, FALSE)), ""games|gaming|game|xbox|playstation|nintendo|gamers""), ""Gaming"",
  REGEXMATCH(LOWER(VLOOKUP(A409, Data1"&amp;"_Raw_Slack!A:B, 2, FALSE)), ""entertainment|movies|tv|netflix|streaming|celebrity|movie lovers|tv fans|hobb|photo|art""), ""Entertainment"",
  REGEXMATCH(LOWER(VLOOKUP(A409, Data1_Raw_Slack!A:B, 2, FALSE)), ""lifestyle|home|interior|decor|living|lifestyle"&amp;" enthusiasts""), ""Lifestyle"",
  REGEXMATCH(LOWER(VLOOKUP(A409, Data1_Raw_Slack!A:B, 2, FALSE)), ""financial|finance|investing|stocks|retirement|banking|credit|debt|loans|savings|personal finance|insurance|econ|ecom|business|retail|occupation|sale|job|ma"&amp;"rketing""), ""Finance"",
  REGEXMATCH(LOWER(VLOOKUP(A409, Data1_Raw_Slack!A:B, 2, FALSE)), ""auto|automotive""), ""Auto"",
  REGEXMATCH(LOWER(VLOOKUP(A409, Data1_Raw_Slack!A:B, 2, FALSE)), ""parenting|moms|dads|kids|toddlers|baby|parent|children""), ""Par"&amp;"enting"",
  REGEXMATCH(LOWER(VLOOKUP(A409, Data1_Raw_Slack!A:B, 2, FALSE)), ""education|students|learning|school|teachers|college|university|academics""), ""Education"",
  REGEXMATCH(LOWER(VLOOKUP(A409, Data1_Raw_Slack!A:B, 2, FALSE)), ""age|gender|dem"&amp;"ographic|family|household""), ""Demographics"",
  REGEXMATCH(LOWER(VLOOKUP(A409, Data1_Raw_Slack!A:B, 2, FALSE)), ""mortgage|real estate""), ""Real Estate"",REGEXMATCH(LOWER(VLOOKUP(A409, Data1_Raw_Slack!A:B, 2, FALSE)), ""technology|tech|gadgets|smartpho"&amp;"ne|electro|apps|devices|computing|ai|robots|software|computer|internet|tele|mobile|tablet""), ""Technology"", REGEXMATCH(LOWER(VLOOKUP(A409, Data1_Raw_Slack!A:B, 2, FALSE)), ""entertainment|purchas|movies|tv|netflix|streaming|celebrity|movie lovers|tv fan"&amp;"s|media|hobb|photo|art|shop""), ""Entertainment"", REGEXMATCH(LOWER(VLOOKUP(A409, Data1_Raw_Slack!A:B, 2, FALSE)), ""law|government|""), ""Law and Government"",
  TRUE, ""Other""
)"),"Travel")</f>
        <v>Travel</v>
      </c>
      <c r="G409" s="9" t="s">
        <v>85</v>
      </c>
      <c r="H409" s="9" t="s">
        <v>32</v>
      </c>
      <c r="I409" s="9" t="s">
        <v>335</v>
      </c>
      <c r="J409" s="9" t="s">
        <v>62</v>
      </c>
      <c r="K409" s="9" t="s">
        <v>56</v>
      </c>
      <c r="L409" s="9" t="s">
        <v>57</v>
      </c>
      <c r="M409" s="10" t="s">
        <v>1522</v>
      </c>
      <c r="N409" s="9" t="str">
        <f ca="1">IFERROR(__xludf.DUMMYFUNCTION("REGEXEXTRACT(LOWER(M409), ""([a-z0-9\-]+)\.(?:co|net|org|io|gg)"")"),"nsfas-applications")</f>
        <v>nsfas-applications</v>
      </c>
      <c r="O409" s="9" t="s">
        <v>74</v>
      </c>
      <c r="P409" s="9" t="s">
        <v>39</v>
      </c>
      <c r="Q409" s="9">
        <v>15588</v>
      </c>
      <c r="R409" s="9">
        <v>80</v>
      </c>
      <c r="S409" s="9">
        <v>2089</v>
      </c>
      <c r="T409" s="9">
        <v>14526</v>
      </c>
      <c r="U409" s="9">
        <v>9</v>
      </c>
      <c r="V409" s="11">
        <v>3518.5334819999998</v>
      </c>
      <c r="W409" s="12">
        <f t="shared" si="7"/>
        <v>390.94816466666663</v>
      </c>
      <c r="X409" s="12">
        <f t="shared" si="8"/>
        <v>0.5132152938157557</v>
      </c>
      <c r="Y409" s="12">
        <f t="shared" si="9"/>
        <v>13.401334359763922</v>
      </c>
      <c r="Z409" s="12">
        <f t="shared" si="10"/>
        <v>1684.3147352800383</v>
      </c>
      <c r="AA409" s="12">
        <f t="shared" si="11"/>
        <v>225.72064934565049</v>
      </c>
      <c r="AB409" s="12">
        <f t="shared" si="12"/>
        <v>43.981668524999996</v>
      </c>
      <c r="AC409" s="12">
        <f t="shared" si="13"/>
        <v>11.25</v>
      </c>
      <c r="AE409" s="13"/>
      <c r="AF409" s="13"/>
    </row>
    <row r="410" spans="1:32">
      <c r="A410" s="8" t="s">
        <v>1523</v>
      </c>
      <c r="B410" s="9" t="s">
        <v>41</v>
      </c>
      <c r="C410" s="9" t="s">
        <v>105</v>
      </c>
      <c r="D410" s="9" t="s">
        <v>1122</v>
      </c>
      <c r="E410" s="9" t="s">
        <v>1524</v>
      </c>
      <c r="F410" s="9" t="str">
        <f ca="1">IFERROR(__xludf.DUMMYFUNCTION("IFS(
  REGEXMATCH(LOWER(VLOOKUP(A410, Data1_Raw_Slack!A:B, 2, FALSE)), ""news|weather""), ""News and Weather"", REGEXMATCH(LOWER(VLOOKUP(A410, Data1_Raw_Slack!A:B, 2, FALSE)), ""sports|ufc|nba|nfl|mlb|soccer|sports fans""), ""Sports"",
  REGEXMATCH(LOWER("&amp;"VLOOKUP(A410, Data1_Raw_Slack!A:B, 2, FALSE)), ""fashion|style|clothing|apparel|shoes|accessories|beauty|cosmetics|fashionistas""), ""Fashion and Beauty"",
  REGEXMATCH(LOWER(VLOOKUP(A410, Data1_Raw_Slack!A:B, 2, FALSE)), ""food|cooking|recipe|restaurant|"&amp;"snack|grocery|foodies""), ""Food"",
  REGEXMATCH(LOWER(VLOOKUP(A410, Data1_Raw_Slack!A:B, 2, FALSE)), ""travel|vacation|airline|hotel|trip|flights|travelers""), ""Travel"",
  REGEXMATCH(LOWER(VLOOKUP(A410, Data1_Raw_Slack!A:B, 2, FALSE)), ""fitness|workou"&amp;"t|gym|exercise|yoga|wellness|fitness enthusiasts""), ""Fitness"",
  REGEXMATCH(LOWER(VLOOKUP(A410, Data1_Raw_Slack!A:B, 2, FALSE)), ""health|medical|pharmacy|mental health|doctor|health-conscious""), ""Health"",
  REGEXMATCH(LOWER(VLOOKUP(A410, Data1_Raw_"&amp;"Slack!A:B, 2, FALSE)), ""pets|dogs|cats|animals|pet care|pet lovers""), ""Pets"",
  REGEXMATCH(LOWER(VLOOKUP(A410, Data1_Raw_Slack!A:B, 2, FALSE)), ""games|gaming|game|xbox|playstation|nintendo|gamers""), ""Gaming"",
  REGEXMATCH(LOWER(VLOOKUP(A410, Data1"&amp;"_Raw_Slack!A:B, 2, FALSE)), ""entertainment|movies|tv|netflix|streaming|celebrity|movie lovers|tv fans|hobb|photo|art""), ""Entertainment"",
  REGEXMATCH(LOWER(VLOOKUP(A410, Data1_Raw_Slack!A:B, 2, FALSE)), ""lifestyle|home|interior|decor|living|lifestyle"&amp;" enthusiasts""), ""Lifestyle"",
  REGEXMATCH(LOWER(VLOOKUP(A410, Data1_Raw_Slack!A:B, 2, FALSE)), ""financial|finance|investing|stocks|retirement|banking|credit|debt|loans|savings|personal finance|insurance|econ|ecom|business|retail|occupation|sale|job|ma"&amp;"rketing""), ""Finance"",
  REGEXMATCH(LOWER(VLOOKUP(A410, Data1_Raw_Slack!A:B, 2, FALSE)), ""auto|automotive""), ""Auto"",
  REGEXMATCH(LOWER(VLOOKUP(A410, Data1_Raw_Slack!A:B, 2, FALSE)), ""parenting|moms|dads|kids|toddlers|baby|parent|children""), ""Par"&amp;"enting"",
  REGEXMATCH(LOWER(VLOOKUP(A410, Data1_Raw_Slack!A:B, 2, FALSE)), ""education|students|learning|school|teachers|college|university|academics""), ""Education"",
  REGEXMATCH(LOWER(VLOOKUP(A410, Data1_Raw_Slack!A:B, 2, FALSE)), ""age|gender|dem"&amp;"ographic|family|household""), ""Demographics"",
  REGEXMATCH(LOWER(VLOOKUP(A410, Data1_Raw_Slack!A:B, 2, FALSE)), ""mortgage|real estate""), ""Real Estate"",REGEXMATCH(LOWER(VLOOKUP(A410, Data1_Raw_Slack!A:B, 2, FALSE)), ""technology|tech|gadgets|smartpho"&amp;"ne|electro|apps|devices|computing|ai|robots|software|computer|internet|tele|mobile|tablet""), ""Technology"", REGEXMATCH(LOWER(VLOOKUP(A410, Data1_Raw_Slack!A:B, 2, FALSE)), ""entertainment|purchas|movies|tv|netflix|streaming|celebrity|movie lovers|tv fan"&amp;"s|media|hobb|photo|art|shop""), ""Entertainment"", REGEXMATCH(LOWER(VLOOKUP(A410, Data1_Raw_Slack!A:B, 2, FALSE)), ""law|government|""), ""Law and Government"",
  TRUE, ""Other""
)"),"Fashion and Beauty")</f>
        <v>Fashion and Beauty</v>
      </c>
      <c r="G410" s="9" t="s">
        <v>105</v>
      </c>
      <c r="H410" s="9" t="s">
        <v>44</v>
      </c>
      <c r="I410" s="9" t="s">
        <v>1078</v>
      </c>
      <c r="J410" s="9" t="s">
        <v>34</v>
      </c>
      <c r="K410" s="9" t="s">
        <v>236</v>
      </c>
      <c r="L410" s="9" t="s">
        <v>82</v>
      </c>
      <c r="M410" s="10" t="s">
        <v>300</v>
      </c>
      <c r="N410" s="9" t="str">
        <f ca="1">IFERROR(__xludf.DUMMYFUNCTION("REGEXEXTRACT(LOWER(M410), ""([a-z0-9\-]+)\.(?:co|net|org|io|gg)"")"),"the-sun")</f>
        <v>the-sun</v>
      </c>
      <c r="O410" s="9" t="s">
        <v>157</v>
      </c>
      <c r="P410" s="9" t="s">
        <v>39</v>
      </c>
      <c r="Q410" s="9">
        <v>247106</v>
      </c>
      <c r="R410" s="9">
        <v>750</v>
      </c>
      <c r="S410" s="9">
        <v>159618</v>
      </c>
      <c r="T410" s="9">
        <v>233150</v>
      </c>
      <c r="U410" s="9">
        <v>32</v>
      </c>
      <c r="V410" s="11">
        <v>7629.94427</v>
      </c>
      <c r="W410" s="12">
        <f t="shared" si="7"/>
        <v>238.4357584375</v>
      </c>
      <c r="X410" s="12">
        <f t="shared" si="8"/>
        <v>0.30351347195130834</v>
      </c>
      <c r="Y410" s="12">
        <f t="shared" si="9"/>
        <v>64.594951154565251</v>
      </c>
      <c r="Z410" s="12">
        <f t="shared" si="10"/>
        <v>47.801277236903104</v>
      </c>
      <c r="AA410" s="12">
        <f t="shared" si="11"/>
        <v>30.877211682435878</v>
      </c>
      <c r="AB410" s="12">
        <f t="shared" si="12"/>
        <v>10.173259026666667</v>
      </c>
      <c r="AC410" s="12">
        <f t="shared" si="13"/>
        <v>4.2666666666666666</v>
      </c>
      <c r="AE410" s="13"/>
      <c r="AF410" s="13"/>
    </row>
    <row r="411" spans="1:32">
      <c r="A411" s="8" t="s">
        <v>1525</v>
      </c>
      <c r="B411" s="9" t="s">
        <v>41</v>
      </c>
      <c r="C411" s="9" t="s">
        <v>114</v>
      </c>
      <c r="D411" s="9" t="s">
        <v>1526</v>
      </c>
      <c r="E411" s="9"/>
      <c r="F411" s="9" t="str">
        <f ca="1">IFERROR(__xludf.DUMMYFUNCTION("IFS(
  REGEXMATCH(LOWER(VLOOKUP(A411, Data1_Raw_Slack!A:B, 2, FALSE)), ""news|weather""), ""News and Weather"", REGEXMATCH(LOWER(VLOOKUP(A411, Data1_Raw_Slack!A:B, 2, FALSE)), ""sports|ufc|nba|nfl|mlb|soccer|sports fans""), ""Sports"",
  REGEXMATCH(LOWER("&amp;"VLOOKUP(A411, Data1_Raw_Slack!A:B, 2, FALSE)), ""fashion|style|clothing|apparel|shoes|accessories|beauty|cosmetics|fashionistas""), ""Fashion and Beauty"",
  REGEXMATCH(LOWER(VLOOKUP(A411, Data1_Raw_Slack!A:B, 2, FALSE)), ""food|cooking|recipe|restaurant|"&amp;"snack|grocery|foodies""), ""Food"",
  REGEXMATCH(LOWER(VLOOKUP(A411, Data1_Raw_Slack!A:B, 2, FALSE)), ""travel|vacation|airline|hotel|trip|flights|travelers""), ""Travel"",
  REGEXMATCH(LOWER(VLOOKUP(A411, Data1_Raw_Slack!A:B, 2, FALSE)), ""fitness|workou"&amp;"t|gym|exercise|yoga|wellness|fitness enthusiasts""), ""Fitness"",
  REGEXMATCH(LOWER(VLOOKUP(A411, Data1_Raw_Slack!A:B, 2, FALSE)), ""health|medical|pharmacy|mental health|doctor|health-conscious""), ""Health"",
  REGEXMATCH(LOWER(VLOOKUP(A411, Data1_Raw_"&amp;"Slack!A:B, 2, FALSE)), ""pets|dogs|cats|animals|pet care|pet lovers""), ""Pets"",
  REGEXMATCH(LOWER(VLOOKUP(A411, Data1_Raw_Slack!A:B, 2, FALSE)), ""games|gaming|game|xbox|playstation|nintendo|gamers""), ""Gaming"",
  REGEXMATCH(LOWER(VLOOKUP(A411, Data1"&amp;"_Raw_Slack!A:B, 2, FALSE)), ""entertainment|movies|tv|netflix|streaming|celebrity|movie lovers|tv fans|hobb|photo|art""), ""Entertainment"",
  REGEXMATCH(LOWER(VLOOKUP(A411, Data1_Raw_Slack!A:B, 2, FALSE)), ""lifestyle|home|interior|decor|living|lifestyle"&amp;" enthusiasts""), ""Lifestyle"",
  REGEXMATCH(LOWER(VLOOKUP(A411, Data1_Raw_Slack!A:B, 2, FALSE)), ""financial|finance|investing|stocks|retirement|banking|credit|debt|loans|savings|personal finance|insurance|econ|ecom|business|retail|occupation|sale|job|ma"&amp;"rketing""), ""Finance"",
  REGEXMATCH(LOWER(VLOOKUP(A411, Data1_Raw_Slack!A:B, 2, FALSE)), ""auto|automotive""), ""Auto"",
  REGEXMATCH(LOWER(VLOOKUP(A411, Data1_Raw_Slack!A:B, 2, FALSE)), ""parenting|moms|dads|kids|toddlers|baby|parent|children""), ""Par"&amp;"enting"",
  REGEXMATCH(LOWER(VLOOKUP(A411, Data1_Raw_Slack!A:B, 2, FALSE)), ""education|students|learning|school|teachers|college|university|academics""), ""Education"",
  REGEXMATCH(LOWER(VLOOKUP(A411, Data1_Raw_Slack!A:B, 2, FALSE)), ""age|gender|dem"&amp;"ographic|family|household""), ""Demographics"",
  REGEXMATCH(LOWER(VLOOKUP(A411, Data1_Raw_Slack!A:B, 2, FALSE)), ""mortgage|real estate""), ""Real Estate"",REGEXMATCH(LOWER(VLOOKUP(A411, Data1_Raw_Slack!A:B, 2, FALSE)), ""technology|tech|gadgets|smartpho"&amp;"ne|electro|apps|devices|computing|ai|robots|software|computer|internet|tele|mobile|tablet""), ""Technology"", REGEXMATCH(LOWER(VLOOKUP(A411, Data1_Raw_Slack!A:B, 2, FALSE)), ""entertainment|purchas|movies|tv|netflix|streaming|celebrity|movie lovers|tv fan"&amp;"s|media|hobb|photo|art|shop""), ""Entertainment"", REGEXMATCH(LOWER(VLOOKUP(A411, Data1_Raw_Slack!A:B, 2, FALSE)), ""law|government|""), ""Law and Government"",
  TRUE, ""Other""
)"),"Law and Government")</f>
        <v>Law and Government</v>
      </c>
      <c r="G411" s="9"/>
      <c r="H411" s="9" t="s">
        <v>44</v>
      </c>
      <c r="I411" s="9" t="s">
        <v>1527</v>
      </c>
      <c r="J411" s="9" t="s">
        <v>34</v>
      </c>
      <c r="K411" s="9" t="s">
        <v>236</v>
      </c>
      <c r="L411" s="9" t="s">
        <v>82</v>
      </c>
      <c r="M411" s="10" t="s">
        <v>218</v>
      </c>
      <c r="N411" s="9" t="str">
        <f ca="1">IFERROR(__xludf.DUMMYFUNCTION("REGEXEXTRACT(LOWER(M411), ""([a-z0-9\-]+)\.(?:co|net|org|io|gg)"")"),"yahoo")</f>
        <v>yahoo</v>
      </c>
      <c r="O411" s="9" t="s">
        <v>103</v>
      </c>
      <c r="P411" s="9" t="s">
        <v>39</v>
      </c>
      <c r="Q411" s="9">
        <v>16503</v>
      </c>
      <c r="R411" s="9">
        <v>69</v>
      </c>
      <c r="S411" s="9">
        <v>8595</v>
      </c>
      <c r="T411" s="9">
        <v>14466</v>
      </c>
      <c r="U411" s="9">
        <v>7</v>
      </c>
      <c r="V411" s="11">
        <v>5714.5238669999999</v>
      </c>
      <c r="W411" s="12">
        <f t="shared" si="7"/>
        <v>816.3605524285714</v>
      </c>
      <c r="X411" s="12">
        <f t="shared" si="8"/>
        <v>0.4181057989456462</v>
      </c>
      <c r="Y411" s="12">
        <f t="shared" si="9"/>
        <v>52.08143973822942</v>
      </c>
      <c r="Z411" s="12">
        <f t="shared" si="10"/>
        <v>664.86606945898779</v>
      </c>
      <c r="AA411" s="12">
        <f t="shared" si="11"/>
        <v>346.2718213052172</v>
      </c>
      <c r="AB411" s="12">
        <f t="shared" si="12"/>
        <v>82.819186478260875</v>
      </c>
      <c r="AC411" s="12">
        <f t="shared" si="13"/>
        <v>10.144927536231885</v>
      </c>
      <c r="AE411" s="13"/>
      <c r="AF411" s="13"/>
    </row>
    <row r="412" spans="1:32">
      <c r="A412" s="8" t="s">
        <v>1528</v>
      </c>
      <c r="B412" s="9" t="s">
        <v>52</v>
      </c>
      <c r="C412" s="9" t="s">
        <v>1529</v>
      </c>
      <c r="D412" s="9" t="s">
        <v>1530</v>
      </c>
      <c r="E412" s="9"/>
      <c r="F412" s="9" t="str">
        <f ca="1">IFERROR(__xludf.DUMMYFUNCTION("IFS(
  REGEXMATCH(LOWER(VLOOKUP(A412, Data1_Raw_Slack!A:B, 2, FALSE)), ""news|weather""), ""News and Weather"", REGEXMATCH(LOWER(VLOOKUP(A412, Data1_Raw_Slack!A:B, 2, FALSE)), ""sports|ufc|nba|nfl|mlb|soccer|sports fans""), ""Sports"",
  REGEXMATCH(LOWER("&amp;"VLOOKUP(A412, Data1_Raw_Slack!A:B, 2, FALSE)), ""fashion|style|clothing|apparel|shoes|accessories|beauty|cosmetics|fashionistas""), ""Fashion and Beauty"",
  REGEXMATCH(LOWER(VLOOKUP(A412, Data1_Raw_Slack!A:B, 2, FALSE)), ""food|cooking|recipe|restaurant|"&amp;"snack|grocery|foodies""), ""Food"",
  REGEXMATCH(LOWER(VLOOKUP(A412, Data1_Raw_Slack!A:B, 2, FALSE)), ""travel|vacation|airline|hotel|trip|flights|travelers""), ""Travel"",
  REGEXMATCH(LOWER(VLOOKUP(A412, Data1_Raw_Slack!A:B, 2, FALSE)), ""fitness|workou"&amp;"t|gym|exercise|yoga|wellness|fitness enthusiasts""), ""Fitness"",
  REGEXMATCH(LOWER(VLOOKUP(A412, Data1_Raw_Slack!A:B, 2, FALSE)), ""health|medical|pharmacy|mental health|doctor|health-conscious""), ""Health"",
  REGEXMATCH(LOWER(VLOOKUP(A412, Data1_Raw_"&amp;"Slack!A:B, 2, FALSE)), ""pets|dogs|cats|animals|pet care|pet lovers""), ""Pets"",
  REGEXMATCH(LOWER(VLOOKUP(A412, Data1_Raw_Slack!A:B, 2, FALSE)), ""games|gaming|game|xbox|playstation|nintendo|gamers""), ""Gaming"",
  REGEXMATCH(LOWER(VLOOKUP(A412, Data1"&amp;"_Raw_Slack!A:B, 2, FALSE)), ""entertainment|movies|tv|netflix|streaming|celebrity|movie lovers|tv fans|hobb|photo|art""), ""Entertainment"",
  REGEXMATCH(LOWER(VLOOKUP(A412, Data1_Raw_Slack!A:B, 2, FALSE)), ""lifestyle|home|interior|decor|living|lifestyle"&amp;" enthusiasts""), ""Lifestyle"",
  REGEXMATCH(LOWER(VLOOKUP(A412, Data1_Raw_Slack!A:B, 2, FALSE)), ""financial|finance|investing|stocks|retirement|banking|credit|debt|loans|savings|personal finance|insurance|econ|ecom|business|retail|occupation|sale|job|ma"&amp;"rketing""), ""Finance"",
  REGEXMATCH(LOWER(VLOOKUP(A412, Data1_Raw_Slack!A:B, 2, FALSE)), ""auto|automotive""), ""Auto"",
  REGEXMATCH(LOWER(VLOOKUP(A412, Data1_Raw_Slack!A:B, 2, FALSE)), ""parenting|moms|dads|kids|toddlers|baby|parent|children""), ""Par"&amp;"enting"",
  REGEXMATCH(LOWER(VLOOKUP(A412, Data1_Raw_Slack!A:B, 2, FALSE)), ""education|students|learning|school|teachers|college|university|academics""), ""Education"",
  REGEXMATCH(LOWER(VLOOKUP(A412, Data1_Raw_Slack!A:B, 2, FALSE)), ""age|gender|dem"&amp;"ographic|family|household""), ""Demographics"",
  REGEXMATCH(LOWER(VLOOKUP(A412, Data1_Raw_Slack!A:B, 2, FALSE)), ""mortgage|real estate""), ""Real Estate"",REGEXMATCH(LOWER(VLOOKUP(A412, Data1_Raw_Slack!A:B, 2, FALSE)), ""technology|tech|gadgets|smartpho"&amp;"ne|electro|apps|devices|computing|ai|robots|software|computer|internet|tele|mobile|tablet""), ""Technology"", REGEXMATCH(LOWER(VLOOKUP(A412, Data1_Raw_Slack!A:B, 2, FALSE)), ""entertainment|purchas|movies|tv|netflix|streaming|celebrity|movie lovers|tv fan"&amp;"s|media|hobb|photo|art|shop""), ""Entertainment"", REGEXMATCH(LOWER(VLOOKUP(A412, Data1_Raw_Slack!A:B, 2, FALSE)), ""law|government|""), ""Law and Government"",
  TRUE, ""Other""
)"),"Law and Government")</f>
        <v>Law and Government</v>
      </c>
      <c r="G412" s="9"/>
      <c r="H412" s="9" t="s">
        <v>44</v>
      </c>
      <c r="I412" s="9" t="s">
        <v>1531</v>
      </c>
      <c r="J412" s="9" t="s">
        <v>80</v>
      </c>
      <c r="K412" s="9" t="s">
        <v>148</v>
      </c>
      <c r="L412" s="9" t="s">
        <v>89</v>
      </c>
      <c r="M412" s="10" t="s">
        <v>1087</v>
      </c>
      <c r="N412" s="9" t="str">
        <f ca="1">IFERROR(__xludf.DUMMYFUNCTION("REGEXEXTRACT(LOWER(M412), ""([a-z0-9\-]+)\.(?:co|net|org|io|gg)"")"),"cnn")</f>
        <v>cnn</v>
      </c>
      <c r="O412" s="9" t="s">
        <v>50</v>
      </c>
      <c r="P412" s="9" t="s">
        <v>39</v>
      </c>
      <c r="Q412" s="9">
        <v>88499</v>
      </c>
      <c r="R412" s="9">
        <v>186</v>
      </c>
      <c r="S412" s="9">
        <v>18950</v>
      </c>
      <c r="T412" s="9">
        <v>71458</v>
      </c>
      <c r="U412" s="9">
        <v>5</v>
      </c>
      <c r="V412" s="11">
        <v>1803.1398119999999</v>
      </c>
      <c r="W412" s="12">
        <f t="shared" si="7"/>
        <v>360.6279624</v>
      </c>
      <c r="X412" s="12">
        <f t="shared" si="8"/>
        <v>0.2101718663487723</v>
      </c>
      <c r="Y412" s="12">
        <f t="shared" si="9"/>
        <v>21.412671329619542</v>
      </c>
      <c r="Z412" s="12">
        <f t="shared" si="10"/>
        <v>95.152496675461734</v>
      </c>
      <c r="AA412" s="12">
        <f t="shared" si="11"/>
        <v>20.374691375043785</v>
      </c>
      <c r="AB412" s="12">
        <f t="shared" si="12"/>
        <v>9.6943000645161277</v>
      </c>
      <c r="AC412" s="12">
        <f t="shared" si="13"/>
        <v>2.6881720430107525</v>
      </c>
      <c r="AE412" s="13"/>
      <c r="AF412" s="13"/>
    </row>
    <row r="413" spans="1:32">
      <c r="A413" s="8" t="s">
        <v>1532</v>
      </c>
      <c r="B413" s="9" t="s">
        <v>1533</v>
      </c>
      <c r="C413" s="9" t="s">
        <v>1534</v>
      </c>
      <c r="D413" s="9" t="s">
        <v>1535</v>
      </c>
      <c r="E413" s="9"/>
      <c r="F413" s="9" t="str">
        <f ca="1">IFERROR(__xludf.DUMMYFUNCTION("IFS(
  REGEXMATCH(LOWER(VLOOKUP(A413, Data1_Raw_Slack!A:B, 2, FALSE)), ""news|weather""), ""News and Weather"", REGEXMATCH(LOWER(VLOOKUP(A413, Data1_Raw_Slack!A:B, 2, FALSE)), ""sports|ufc|nba|nfl|mlb|soccer|sports fans""), ""Sports"",
  REGEXMATCH(LOWER("&amp;"VLOOKUP(A413, Data1_Raw_Slack!A:B, 2, FALSE)), ""fashion|style|clothing|apparel|shoes|accessories|beauty|cosmetics|fashionistas""), ""Fashion and Beauty"",
  REGEXMATCH(LOWER(VLOOKUP(A413, Data1_Raw_Slack!A:B, 2, FALSE)), ""food|cooking|recipe|restaurant|"&amp;"snack|grocery|foodies""), ""Food"",
  REGEXMATCH(LOWER(VLOOKUP(A413, Data1_Raw_Slack!A:B, 2, FALSE)), ""travel|vacation|airline|hotel|trip|flights|travelers""), ""Travel"",
  REGEXMATCH(LOWER(VLOOKUP(A413, Data1_Raw_Slack!A:B, 2, FALSE)), ""fitness|workou"&amp;"t|gym|exercise|yoga|wellness|fitness enthusiasts""), ""Fitness"",
  REGEXMATCH(LOWER(VLOOKUP(A413, Data1_Raw_Slack!A:B, 2, FALSE)), ""health|medical|pharmacy|mental health|doctor|health-conscious""), ""Health"",
  REGEXMATCH(LOWER(VLOOKUP(A413, Data1_Raw_"&amp;"Slack!A:B, 2, FALSE)), ""pets|dogs|cats|animals|pet care|pet lovers""), ""Pets"",
  REGEXMATCH(LOWER(VLOOKUP(A413, Data1_Raw_Slack!A:B, 2, FALSE)), ""games|gaming|game|xbox|playstation|nintendo|gamers""), ""Gaming"",
  REGEXMATCH(LOWER(VLOOKUP(A413, Data1"&amp;"_Raw_Slack!A:B, 2, FALSE)), ""entertainment|movies|tv|netflix|streaming|celebrity|movie lovers|tv fans|hobb|photo|art""), ""Entertainment"",
  REGEXMATCH(LOWER(VLOOKUP(A413, Data1_Raw_Slack!A:B, 2, FALSE)), ""lifestyle|home|interior|decor|living|lifestyle"&amp;" enthusiasts""), ""Lifestyle"",
  REGEXMATCH(LOWER(VLOOKUP(A413, Data1_Raw_Slack!A:B, 2, FALSE)), ""financial|finance|investing|stocks|retirement|banking|credit|debt|loans|savings|personal finance|insurance|econ|ecom|business|retail|occupation|sale|job|ma"&amp;"rketing""), ""Finance"",
  REGEXMATCH(LOWER(VLOOKUP(A413, Data1_Raw_Slack!A:B, 2, FALSE)), ""auto|automotive""), ""Auto"",
  REGEXMATCH(LOWER(VLOOKUP(A413, Data1_Raw_Slack!A:B, 2, FALSE)), ""parenting|moms|dads|kids|toddlers|baby|parent|children""), ""Par"&amp;"enting"",
  REGEXMATCH(LOWER(VLOOKUP(A413, Data1_Raw_Slack!A:B, 2, FALSE)), ""education|students|learning|school|teachers|college|university|academics""), ""Education"",
  REGEXMATCH(LOWER(VLOOKUP(A413, Data1_Raw_Slack!A:B, 2, FALSE)), ""age|gender|dem"&amp;"ographic|family|household""), ""Demographics"",
  REGEXMATCH(LOWER(VLOOKUP(A413, Data1_Raw_Slack!A:B, 2, FALSE)), ""mortgage|real estate""), ""Real Estate"",REGEXMATCH(LOWER(VLOOKUP(A413, Data1_Raw_Slack!A:B, 2, FALSE)), ""technology|tech|gadgets|smartpho"&amp;"ne|electro|apps|devices|computing|ai|robots|software|computer|internet|tele|mobile|tablet""), ""Technology"", REGEXMATCH(LOWER(VLOOKUP(A413, Data1_Raw_Slack!A:B, 2, FALSE)), ""entertainment|purchas|movies|tv|netflix|streaming|celebrity|movie lovers|tv fan"&amp;"s|media|hobb|photo|art|shop""), ""Entertainment"", REGEXMATCH(LOWER(VLOOKUP(A413, Data1_Raw_Slack!A:B, 2, FALSE)), ""law|government|""), ""Law and Government"",
  TRUE, ""Other""
)"),"Finance")</f>
        <v>Finance</v>
      </c>
      <c r="G413" s="9"/>
      <c r="H413" s="9" t="s">
        <v>44</v>
      </c>
      <c r="I413" s="9" t="s">
        <v>1536</v>
      </c>
      <c r="J413" s="9" t="s">
        <v>62</v>
      </c>
      <c r="K413" s="9" t="s">
        <v>148</v>
      </c>
      <c r="L413" s="9" t="s">
        <v>89</v>
      </c>
      <c r="M413" s="10" t="s">
        <v>90</v>
      </c>
      <c r="N413" s="9" t="str">
        <f ca="1">IFERROR(__xludf.DUMMYFUNCTION("REGEXEXTRACT(LOWER(M413), ""([a-z0-9\-]+)\.(?:co|net|org|io|gg)"")"),"live")</f>
        <v>live</v>
      </c>
      <c r="O413" s="9" t="s">
        <v>50</v>
      </c>
      <c r="P413" s="9" t="s">
        <v>39</v>
      </c>
      <c r="Q413" s="9">
        <v>21088</v>
      </c>
      <c r="R413" s="9">
        <v>60</v>
      </c>
      <c r="S413" s="9">
        <v>17930</v>
      </c>
      <c r="T413" s="9">
        <v>19822</v>
      </c>
      <c r="U413" s="9">
        <v>4</v>
      </c>
      <c r="V413" s="11">
        <v>1623.681601</v>
      </c>
      <c r="W413" s="12">
        <f t="shared" si="7"/>
        <v>405.92040025</v>
      </c>
      <c r="X413" s="12">
        <f t="shared" si="8"/>
        <v>0.28452200303490133</v>
      </c>
      <c r="Y413" s="12">
        <f t="shared" si="9"/>
        <v>85.024658573596355</v>
      </c>
      <c r="Z413" s="12">
        <f t="shared" si="10"/>
        <v>90.556698326826549</v>
      </c>
      <c r="AA413" s="12">
        <f t="shared" si="11"/>
        <v>76.99552356790592</v>
      </c>
      <c r="AB413" s="12">
        <f t="shared" si="12"/>
        <v>27.061360016666665</v>
      </c>
      <c r="AC413" s="12">
        <f t="shared" si="13"/>
        <v>6.666666666666667</v>
      </c>
      <c r="AE413" s="13"/>
      <c r="AF413" s="13"/>
    </row>
    <row r="414" spans="1:32">
      <c r="A414" s="8" t="s">
        <v>1537</v>
      </c>
      <c r="B414" s="9" t="s">
        <v>67</v>
      </c>
      <c r="C414" s="9" t="s">
        <v>1538</v>
      </c>
      <c r="D414" s="9"/>
      <c r="E414" s="9"/>
      <c r="F414" s="9" t="str">
        <f ca="1">IFERROR(__xludf.DUMMYFUNCTION("IFS(
  REGEXMATCH(LOWER(VLOOKUP(A414, Data1_Raw_Slack!A:B, 2, FALSE)), ""news|weather""), ""News and Weather"", REGEXMATCH(LOWER(VLOOKUP(A414, Data1_Raw_Slack!A:B, 2, FALSE)), ""sports|ufc|nba|nfl|mlb|soccer|sports fans""), ""Sports"",
  REGEXMATCH(LOWER("&amp;"VLOOKUP(A414, Data1_Raw_Slack!A:B, 2, FALSE)), ""fashion|style|clothing|apparel|shoes|accessories|beauty|cosmetics|fashionistas""), ""Fashion and Beauty"",
  REGEXMATCH(LOWER(VLOOKUP(A414, Data1_Raw_Slack!A:B, 2, FALSE)), ""food|cooking|recipe|restaurant|"&amp;"snack|grocery|foodies""), ""Food"",
  REGEXMATCH(LOWER(VLOOKUP(A414, Data1_Raw_Slack!A:B, 2, FALSE)), ""travel|vacation|airline|hotel|trip|flights|travelers""), ""Travel"",
  REGEXMATCH(LOWER(VLOOKUP(A414, Data1_Raw_Slack!A:B, 2, FALSE)), ""fitness|workou"&amp;"t|gym|exercise|yoga|wellness|fitness enthusiasts""), ""Fitness"",
  REGEXMATCH(LOWER(VLOOKUP(A414, Data1_Raw_Slack!A:B, 2, FALSE)), ""health|medical|pharmacy|mental health|doctor|health-conscious""), ""Health"",
  REGEXMATCH(LOWER(VLOOKUP(A414, Data1_Raw_"&amp;"Slack!A:B, 2, FALSE)), ""pets|dogs|cats|animals|pet care|pet lovers""), ""Pets"",
  REGEXMATCH(LOWER(VLOOKUP(A414, Data1_Raw_Slack!A:B, 2, FALSE)), ""games|gaming|game|xbox|playstation|nintendo|gamers""), ""Gaming"",
  REGEXMATCH(LOWER(VLOOKUP(A414, Data1"&amp;"_Raw_Slack!A:B, 2, FALSE)), ""entertainment|movies|tv|netflix|streaming|celebrity|movie lovers|tv fans|hobb|photo|art""), ""Entertainment"",
  REGEXMATCH(LOWER(VLOOKUP(A414, Data1_Raw_Slack!A:B, 2, FALSE)), ""lifestyle|home|interior|decor|living|lifestyle"&amp;" enthusiasts""), ""Lifestyle"",
  REGEXMATCH(LOWER(VLOOKUP(A414, Data1_Raw_Slack!A:B, 2, FALSE)), ""financial|finance|investing|stocks|retirement|banking|credit|debt|loans|savings|personal finance|insurance|econ|ecom|business|retail|occupation|sale|job|ma"&amp;"rketing""), ""Finance"",
  REGEXMATCH(LOWER(VLOOKUP(A414, Data1_Raw_Slack!A:B, 2, FALSE)), ""auto|automotive""), ""Auto"",
  REGEXMATCH(LOWER(VLOOKUP(A414, Data1_Raw_Slack!A:B, 2, FALSE)), ""parenting|moms|dads|kids|toddlers|baby|parent|children""), ""Par"&amp;"enting"",
  REGEXMATCH(LOWER(VLOOKUP(A414, Data1_Raw_Slack!A:B, 2, FALSE)), ""education|students|learning|school|teachers|college|university|academics""), ""Education"",
  REGEXMATCH(LOWER(VLOOKUP(A414, Data1_Raw_Slack!A:B, 2, FALSE)), ""age|gender|dem"&amp;"ographic|family|household""), ""Demographics"",
  REGEXMATCH(LOWER(VLOOKUP(A414, Data1_Raw_Slack!A:B, 2, FALSE)), ""mortgage|real estate""), ""Real Estate"",REGEXMATCH(LOWER(VLOOKUP(A414, Data1_Raw_Slack!A:B, 2, FALSE)), ""technology|tech|gadgets|smartpho"&amp;"ne|electro|apps|devices|computing|ai|robots|software|computer|internet|tele|mobile|tablet""), ""Technology"", REGEXMATCH(LOWER(VLOOKUP(A414, Data1_Raw_Slack!A:B, 2, FALSE)), ""entertainment|purchas|movies|tv|netflix|streaming|celebrity|movie lovers|tv fan"&amp;"s|media|hobb|photo|art|shop""), ""Entertainment"", REGEXMATCH(LOWER(VLOOKUP(A414, Data1_Raw_Slack!A:B, 2, FALSE)), ""law|government|""), ""Law and Government"",
  TRUE, ""Other""
)"),"Entertainment")</f>
        <v>Entertainment</v>
      </c>
      <c r="G414" s="9" t="s">
        <v>135</v>
      </c>
      <c r="H414" s="9" t="s">
        <v>44</v>
      </c>
      <c r="I414" s="9" t="s">
        <v>1093</v>
      </c>
      <c r="J414" s="9" t="s">
        <v>80</v>
      </c>
      <c r="K414" s="9" t="s">
        <v>274</v>
      </c>
      <c r="L414" s="9" t="s">
        <v>48</v>
      </c>
      <c r="M414" s="10" t="s">
        <v>243</v>
      </c>
      <c r="N414" s="9" t="str">
        <f ca="1">IFERROR(__xludf.DUMMYFUNCTION("REGEXEXTRACT(LOWER(M414), ""([a-z0-9\-]+)\.(?:co|net|org|io|gg)"")"),"poshland")</f>
        <v>poshland</v>
      </c>
      <c r="O414" s="9" t="s">
        <v>50</v>
      </c>
      <c r="P414" s="9" t="s">
        <v>39</v>
      </c>
      <c r="Q414" s="9">
        <v>9130</v>
      </c>
      <c r="R414" s="9">
        <v>33</v>
      </c>
      <c r="S414" s="9">
        <v>3721</v>
      </c>
      <c r="T414" s="9">
        <v>5564</v>
      </c>
      <c r="U414" s="9">
        <v>1</v>
      </c>
      <c r="V414" s="11">
        <v>1655.7928569999999</v>
      </c>
      <c r="W414" s="12">
        <f t="shared" si="7"/>
        <v>1655.7928569999999</v>
      </c>
      <c r="X414" s="12">
        <f t="shared" si="8"/>
        <v>0.36144578313253012</v>
      </c>
      <c r="Y414" s="12">
        <f t="shared" si="9"/>
        <v>40.755750273822564</v>
      </c>
      <c r="Z414" s="12">
        <f t="shared" si="10"/>
        <v>444.98598683149686</v>
      </c>
      <c r="AA414" s="12">
        <f t="shared" si="11"/>
        <v>181.35737754654983</v>
      </c>
      <c r="AB414" s="12">
        <f t="shared" si="12"/>
        <v>50.17554112121212</v>
      </c>
      <c r="AC414" s="12">
        <f t="shared" si="13"/>
        <v>3.0303030303030303</v>
      </c>
      <c r="AE414" s="13"/>
      <c r="AF414" s="13"/>
    </row>
    <row r="415" spans="1:32">
      <c r="A415" s="8" t="s">
        <v>1539</v>
      </c>
      <c r="B415" s="9"/>
      <c r="C415" s="9" t="s">
        <v>325</v>
      </c>
      <c r="D415" s="9" t="s">
        <v>576</v>
      </c>
      <c r="E415" s="9" t="s">
        <v>1540</v>
      </c>
      <c r="F415" s="9" t="str">
        <f ca="1">IFERROR(__xludf.DUMMYFUNCTION("IFS(
  REGEXMATCH(LOWER(VLOOKUP(A415, Data1_Raw_Slack!A:B, 2, FALSE)), ""news|weather""), ""News and Weather"", REGEXMATCH(LOWER(VLOOKUP(A415, Data1_Raw_Slack!A:B, 2, FALSE)), ""sports|ufc|nba|nfl|mlb|soccer|sports fans""), ""Sports"",
  REGEXMATCH(LOWER("&amp;"VLOOKUP(A415, Data1_Raw_Slack!A:B, 2, FALSE)), ""fashion|style|clothing|apparel|shoes|accessories|beauty|cosmetics|fashionistas""), ""Fashion and Beauty"",
  REGEXMATCH(LOWER(VLOOKUP(A415, Data1_Raw_Slack!A:B, 2, FALSE)), ""food|cooking|recipe|restaurant|"&amp;"snack|grocery|foodies""), ""Food"",
  REGEXMATCH(LOWER(VLOOKUP(A415, Data1_Raw_Slack!A:B, 2, FALSE)), ""travel|vacation|airline|hotel|trip|flights|travelers""), ""Travel"",
  REGEXMATCH(LOWER(VLOOKUP(A415, Data1_Raw_Slack!A:B, 2, FALSE)), ""fitness|workou"&amp;"t|gym|exercise|yoga|wellness|fitness enthusiasts""), ""Fitness"",
  REGEXMATCH(LOWER(VLOOKUP(A415, Data1_Raw_Slack!A:B, 2, FALSE)), ""health|medical|pharmacy|mental health|doctor|health-conscious""), ""Health"",
  REGEXMATCH(LOWER(VLOOKUP(A415, Data1_Raw_"&amp;"Slack!A:B, 2, FALSE)), ""pets|dogs|cats|animals|pet care|pet lovers""), ""Pets"",
  REGEXMATCH(LOWER(VLOOKUP(A415, Data1_Raw_Slack!A:B, 2, FALSE)), ""games|gaming|game|xbox|playstation|nintendo|gamers""), ""Gaming"",
  REGEXMATCH(LOWER(VLOOKUP(A415, Data1"&amp;"_Raw_Slack!A:B, 2, FALSE)), ""entertainment|movies|tv|netflix|streaming|celebrity|movie lovers|tv fans|hobb|photo|art""), ""Entertainment"",
  REGEXMATCH(LOWER(VLOOKUP(A415, Data1_Raw_Slack!A:B, 2, FALSE)), ""lifestyle|home|interior|decor|living|lifestyle"&amp;" enthusiasts""), ""Lifestyle"",
  REGEXMATCH(LOWER(VLOOKUP(A415, Data1_Raw_Slack!A:B, 2, FALSE)), ""financial|finance|investing|stocks|retirement|banking|credit|debt|loans|savings|personal finance|insurance|econ|ecom|business|retail|occupation|sale|job|ma"&amp;"rketing""), ""Finance"",
  REGEXMATCH(LOWER(VLOOKUP(A415, Data1_Raw_Slack!A:B, 2, FALSE)), ""auto|automotive""), ""Auto"",
  REGEXMATCH(LOWER(VLOOKUP(A415, Data1_Raw_Slack!A:B, 2, FALSE)), ""parenting|moms|dads|kids|toddlers|baby|parent|children""), ""Par"&amp;"enting"",
  REGEXMATCH(LOWER(VLOOKUP(A415, Data1_Raw_Slack!A:B, 2, FALSE)), ""education|students|learning|school|teachers|college|university|academics""), ""Education"",
  REGEXMATCH(LOWER(VLOOKUP(A415, Data1_Raw_Slack!A:B, 2, FALSE)), ""age|gender|dem"&amp;"ographic|family|household""), ""Demographics"",
  REGEXMATCH(LOWER(VLOOKUP(A415, Data1_Raw_Slack!A:B, 2, FALSE)), ""mortgage|real estate""), ""Real Estate"",REGEXMATCH(LOWER(VLOOKUP(A415, Data1_Raw_Slack!A:B, 2, FALSE)), ""technology|tech|gadgets|smartpho"&amp;"ne|electro|apps|devices|computing|ai|robots|software|computer|internet|tele|mobile|tablet""), ""Technology"", REGEXMATCH(LOWER(VLOOKUP(A415, Data1_Raw_Slack!A:B, 2, FALSE)), ""entertainment|purchas|movies|tv|netflix|streaming|celebrity|movie lovers|tv fan"&amp;"s|media|hobb|photo|art|shop""), ""Entertainment"", REGEXMATCH(LOWER(VLOOKUP(A415, Data1_Raw_Slack!A:B, 2, FALSE)), ""law|government|""), ""Law and Government"",
  TRUE, ""Other""
)"),"Demographics")</f>
        <v>Demographics</v>
      </c>
      <c r="G415" s="9"/>
      <c r="H415" s="9" t="s">
        <v>32</v>
      </c>
      <c r="I415" s="9" t="s">
        <v>1426</v>
      </c>
      <c r="J415" s="9" t="s">
        <v>46</v>
      </c>
      <c r="K415" s="9" t="s">
        <v>88</v>
      </c>
      <c r="L415" s="9" t="s">
        <v>89</v>
      </c>
      <c r="M415" s="10" t="s">
        <v>130</v>
      </c>
      <c r="N415" s="9" t="str">
        <f ca="1">IFERROR(__xludf.DUMMYFUNCTION("REGEXEXTRACT(LOWER(M415), ""([a-z0-9\-]+)\.(?:co|net|org|io|gg)"")"),"weather")</f>
        <v>weather</v>
      </c>
      <c r="O415" s="9" t="s">
        <v>50</v>
      </c>
      <c r="P415" s="9" t="s">
        <v>39</v>
      </c>
      <c r="Q415" s="9">
        <v>292885</v>
      </c>
      <c r="R415" s="9">
        <v>796</v>
      </c>
      <c r="S415" s="9">
        <v>12733</v>
      </c>
      <c r="T415" s="9">
        <v>203986</v>
      </c>
      <c r="U415" s="9">
        <v>4</v>
      </c>
      <c r="V415" s="11">
        <v>1503.9130540000001</v>
      </c>
      <c r="W415" s="12">
        <f t="shared" si="7"/>
        <v>375.97826350000003</v>
      </c>
      <c r="X415" s="12">
        <f t="shared" si="8"/>
        <v>0.27177902589753655</v>
      </c>
      <c r="Y415" s="12">
        <f t="shared" si="9"/>
        <v>4.3474401215494138</v>
      </c>
      <c r="Z415" s="12">
        <f t="shared" si="10"/>
        <v>118.11144694887302</v>
      </c>
      <c r="AA415" s="12">
        <f t="shared" si="11"/>
        <v>5.1348244327978563</v>
      </c>
      <c r="AB415" s="12">
        <f t="shared" si="12"/>
        <v>1.8893380075376887</v>
      </c>
      <c r="AC415" s="12">
        <f t="shared" si="13"/>
        <v>0.50251256281407031</v>
      </c>
      <c r="AE415" s="13"/>
      <c r="AF415" s="13"/>
    </row>
    <row r="416" spans="1:32">
      <c r="A416" s="8" t="s">
        <v>1541</v>
      </c>
      <c r="B416" s="9" t="s">
        <v>41</v>
      </c>
      <c r="C416" s="9" t="s">
        <v>486</v>
      </c>
      <c r="D416" s="9" t="s">
        <v>277</v>
      </c>
      <c r="E416" s="9"/>
      <c r="F416" s="9" t="str">
        <f ca="1">IFERROR(__xludf.DUMMYFUNCTION("IFS(
  REGEXMATCH(LOWER(VLOOKUP(A416, Data1_Raw_Slack!A:B, 2, FALSE)), ""news|weather""), ""News and Weather"", REGEXMATCH(LOWER(VLOOKUP(A416, Data1_Raw_Slack!A:B, 2, FALSE)), ""sports|ufc|nba|nfl|mlb|soccer|sports fans""), ""Sports"",
  REGEXMATCH(LOWER("&amp;"VLOOKUP(A416, Data1_Raw_Slack!A:B, 2, FALSE)), ""fashion|style|clothing|apparel|shoes|accessories|beauty|cosmetics|fashionistas""), ""Fashion and Beauty"",
  REGEXMATCH(LOWER(VLOOKUP(A416, Data1_Raw_Slack!A:B, 2, FALSE)), ""food|cooking|recipe|restaurant|"&amp;"snack|grocery|foodies""), ""Food"",
  REGEXMATCH(LOWER(VLOOKUP(A416, Data1_Raw_Slack!A:B, 2, FALSE)), ""travel|vacation|airline|hotel|trip|flights|travelers""), ""Travel"",
  REGEXMATCH(LOWER(VLOOKUP(A416, Data1_Raw_Slack!A:B, 2, FALSE)), ""fitness|workou"&amp;"t|gym|exercise|yoga|wellness|fitness enthusiasts""), ""Fitness"",
  REGEXMATCH(LOWER(VLOOKUP(A416, Data1_Raw_Slack!A:B, 2, FALSE)), ""health|medical|pharmacy|mental health|doctor|health-conscious""), ""Health"",
  REGEXMATCH(LOWER(VLOOKUP(A416, Data1_Raw_"&amp;"Slack!A:B, 2, FALSE)), ""pets|dogs|cats|animals|pet care|pet lovers""), ""Pets"",
  REGEXMATCH(LOWER(VLOOKUP(A416, Data1_Raw_Slack!A:B, 2, FALSE)), ""games|gaming|game|xbox|playstation|nintendo|gamers""), ""Gaming"",
  REGEXMATCH(LOWER(VLOOKUP(A416, Data1"&amp;"_Raw_Slack!A:B, 2, FALSE)), ""entertainment|movies|tv|netflix|streaming|celebrity|movie lovers|tv fans|hobb|photo|art""), ""Entertainment"",
  REGEXMATCH(LOWER(VLOOKUP(A416, Data1_Raw_Slack!A:B, 2, FALSE)), ""lifestyle|home|interior|decor|living|lifestyle"&amp;" enthusiasts""), ""Lifestyle"",
  REGEXMATCH(LOWER(VLOOKUP(A416, Data1_Raw_Slack!A:B, 2, FALSE)), ""financial|finance|investing|stocks|retirement|banking|credit|debt|loans|savings|personal finance|insurance|econ|ecom|business|retail|occupation|sale|job|ma"&amp;"rketing""), ""Finance"",
  REGEXMATCH(LOWER(VLOOKUP(A416, Data1_Raw_Slack!A:B, 2, FALSE)), ""auto|automotive""), ""Auto"",
  REGEXMATCH(LOWER(VLOOKUP(A416, Data1_Raw_Slack!A:B, 2, FALSE)), ""parenting|moms|dads|kids|toddlers|baby|parent|children""), ""Par"&amp;"enting"",
  REGEXMATCH(LOWER(VLOOKUP(A416, Data1_Raw_Slack!A:B, 2, FALSE)), ""education|students|learning|school|teachers|college|university|academics""), ""Education"",
  REGEXMATCH(LOWER(VLOOKUP(A416, Data1_Raw_Slack!A:B, 2, FALSE)), ""age|gender|dem"&amp;"ographic|family|household""), ""Demographics"",
  REGEXMATCH(LOWER(VLOOKUP(A416, Data1_Raw_Slack!A:B, 2, FALSE)), ""mortgage|real estate""), ""Real Estate"",REGEXMATCH(LOWER(VLOOKUP(A416, Data1_Raw_Slack!A:B, 2, FALSE)), ""technology|tech|gadgets|smartpho"&amp;"ne|electro|apps|devices|computing|ai|robots|software|computer|internet|tele|mobile|tablet""), ""Technology"", REGEXMATCH(LOWER(VLOOKUP(A416, Data1_Raw_Slack!A:B, 2, FALSE)), ""entertainment|purchas|movies|tv|netflix|streaming|celebrity|movie lovers|tv fan"&amp;"s|media|hobb|photo|art|shop""), ""Entertainment"", REGEXMATCH(LOWER(VLOOKUP(A416, Data1_Raw_Slack!A:B, 2, FALSE)), ""law|government|""), ""Law and Government"",
  TRUE, ""Other""
)"),"Entertainment")</f>
        <v>Entertainment</v>
      </c>
      <c r="G416" s="9"/>
      <c r="H416" s="9" t="s">
        <v>123</v>
      </c>
      <c r="I416" s="9" t="s">
        <v>1542</v>
      </c>
      <c r="J416" s="9" t="s">
        <v>62</v>
      </c>
      <c r="K416" s="9" t="s">
        <v>236</v>
      </c>
      <c r="L416" s="9" t="s">
        <v>82</v>
      </c>
      <c r="M416" s="10" t="s">
        <v>73</v>
      </c>
      <c r="N416" s="9" t="str">
        <f ca="1">IFERROR(__xludf.DUMMYFUNCTION("REGEXEXTRACT(LOWER(M416), ""([a-z0-9\-]+)\.(?:co|net|org|io|gg)"")"),"aol")</f>
        <v>aol</v>
      </c>
      <c r="O416" s="9" t="s">
        <v>50</v>
      </c>
      <c r="P416" s="9" t="s">
        <v>39</v>
      </c>
      <c r="Q416" s="9">
        <v>100058</v>
      </c>
      <c r="R416" s="9">
        <v>435</v>
      </c>
      <c r="S416" s="9">
        <v>73422</v>
      </c>
      <c r="T416" s="9">
        <v>91976</v>
      </c>
      <c r="U416" s="9">
        <v>8</v>
      </c>
      <c r="V416" s="11">
        <v>5831.2257929999996</v>
      </c>
      <c r="W416" s="12">
        <f t="shared" si="7"/>
        <v>728.90322412499995</v>
      </c>
      <c r="X416" s="12">
        <f t="shared" si="8"/>
        <v>0.43474784624917551</v>
      </c>
      <c r="Y416" s="12">
        <f t="shared" si="9"/>
        <v>73.379439924843595</v>
      </c>
      <c r="Z416" s="12">
        <f t="shared" si="10"/>
        <v>79.420688526599662</v>
      </c>
      <c r="AA416" s="12">
        <f t="shared" si="11"/>
        <v>58.278456425273333</v>
      </c>
      <c r="AB416" s="12">
        <f t="shared" si="12"/>
        <v>13.40511676551724</v>
      </c>
      <c r="AC416" s="12">
        <f t="shared" si="13"/>
        <v>1.8390804597701149</v>
      </c>
      <c r="AE416" s="13"/>
      <c r="AF416" s="13"/>
    </row>
    <row r="417" spans="1:32">
      <c r="A417" s="8" t="s">
        <v>1543</v>
      </c>
      <c r="B417" s="9" t="s">
        <v>198</v>
      </c>
      <c r="C417" s="9" t="s">
        <v>1544</v>
      </c>
      <c r="D417" s="9"/>
      <c r="E417" s="9"/>
      <c r="F417" s="9" t="str">
        <f ca="1">IFERROR(__xludf.DUMMYFUNCTION("IFS(
  REGEXMATCH(LOWER(VLOOKUP(A417, Data1_Raw_Slack!A:B, 2, FALSE)), ""news|weather""), ""News and Weather"", REGEXMATCH(LOWER(VLOOKUP(A417, Data1_Raw_Slack!A:B, 2, FALSE)), ""sports|ufc|nba|nfl|mlb|soccer|sports fans""), ""Sports"",
  REGEXMATCH(LOWER("&amp;"VLOOKUP(A417, Data1_Raw_Slack!A:B, 2, FALSE)), ""fashion|style|clothing|apparel|shoes|accessories|beauty|cosmetics|fashionistas""), ""Fashion and Beauty"",
  REGEXMATCH(LOWER(VLOOKUP(A417, Data1_Raw_Slack!A:B, 2, FALSE)), ""food|cooking|recipe|restaurant|"&amp;"snack|grocery|foodies""), ""Food"",
  REGEXMATCH(LOWER(VLOOKUP(A417, Data1_Raw_Slack!A:B, 2, FALSE)), ""travel|vacation|airline|hotel|trip|flights|travelers""), ""Travel"",
  REGEXMATCH(LOWER(VLOOKUP(A417, Data1_Raw_Slack!A:B, 2, FALSE)), ""fitness|workou"&amp;"t|gym|exercise|yoga|wellness|fitness enthusiasts""), ""Fitness"",
  REGEXMATCH(LOWER(VLOOKUP(A417, Data1_Raw_Slack!A:B, 2, FALSE)), ""health|medical|pharmacy|mental health|doctor|health-conscious""), ""Health"",
  REGEXMATCH(LOWER(VLOOKUP(A417, Data1_Raw_"&amp;"Slack!A:B, 2, FALSE)), ""pets|dogs|cats|animals|pet care|pet lovers""), ""Pets"",
  REGEXMATCH(LOWER(VLOOKUP(A417, Data1_Raw_Slack!A:B, 2, FALSE)), ""games|gaming|game|xbox|playstation|nintendo|gamers""), ""Gaming"",
  REGEXMATCH(LOWER(VLOOKUP(A417, Data1"&amp;"_Raw_Slack!A:B, 2, FALSE)), ""entertainment|movies|tv|netflix|streaming|celebrity|movie lovers|tv fans|hobb|photo|art""), ""Entertainment"",
  REGEXMATCH(LOWER(VLOOKUP(A417, Data1_Raw_Slack!A:B, 2, FALSE)), ""lifestyle|home|interior|decor|living|lifestyle"&amp;" enthusiasts""), ""Lifestyle"",
  REGEXMATCH(LOWER(VLOOKUP(A417, Data1_Raw_Slack!A:B, 2, FALSE)), ""financial|finance|investing|stocks|retirement|banking|credit|debt|loans|savings|personal finance|insurance|econ|ecom|business|retail|occupation|sale|job|ma"&amp;"rketing""), ""Finance"",
  REGEXMATCH(LOWER(VLOOKUP(A417, Data1_Raw_Slack!A:B, 2, FALSE)), ""auto|automotive""), ""Auto"",
  REGEXMATCH(LOWER(VLOOKUP(A417, Data1_Raw_Slack!A:B, 2, FALSE)), ""parenting|moms|dads|kids|toddlers|baby|parent|children""), ""Par"&amp;"enting"",
  REGEXMATCH(LOWER(VLOOKUP(A417, Data1_Raw_Slack!A:B, 2, FALSE)), ""education|students|learning|school|teachers|college|university|academics""), ""Education"",
  REGEXMATCH(LOWER(VLOOKUP(A417, Data1_Raw_Slack!A:B, 2, FALSE)), ""age|gender|dem"&amp;"ographic|family|household""), ""Demographics"",
  REGEXMATCH(LOWER(VLOOKUP(A417, Data1_Raw_Slack!A:B, 2, FALSE)), ""mortgage|real estate""), ""Real Estate"",REGEXMATCH(LOWER(VLOOKUP(A417, Data1_Raw_Slack!A:B, 2, FALSE)), ""technology|tech|gadgets|smartpho"&amp;"ne|electro|apps|devices|computing|ai|robots|software|computer|internet|tele|mobile|tablet""), ""Technology"", REGEXMATCH(LOWER(VLOOKUP(A417, Data1_Raw_Slack!A:B, 2, FALSE)), ""entertainment|purchas|movies|tv|netflix|streaming|celebrity|movie lovers|tv fan"&amp;"s|media|hobb|photo|art|shop""), ""Entertainment"", REGEXMATCH(LOWER(VLOOKUP(A417, Data1_Raw_Slack!A:B, 2, FALSE)), ""law|government|""), ""Law and Government"",
  TRUE, ""Other""
)"),"Law and Government")</f>
        <v>Law and Government</v>
      </c>
      <c r="G417" s="9"/>
      <c r="H417" s="9" t="s">
        <v>32</v>
      </c>
      <c r="I417" s="9" t="s">
        <v>1545</v>
      </c>
      <c r="J417" s="9" t="s">
        <v>80</v>
      </c>
      <c r="K417" s="9" t="s">
        <v>35</v>
      </c>
      <c r="L417" s="9" t="s">
        <v>36</v>
      </c>
      <c r="M417" s="10" t="s">
        <v>668</v>
      </c>
      <c r="N417" s="9" t="str">
        <f ca="1">IFERROR(__xludf.DUMMYFUNCTION("REGEXEXTRACT(LOWER(M417), ""([a-z0-9\-]+)\.(?:co|net|org|io|gg)"")"),"slickdeals")</f>
        <v>slickdeals</v>
      </c>
      <c r="O417" s="9" t="s">
        <v>74</v>
      </c>
      <c r="P417" s="9" t="s">
        <v>39</v>
      </c>
      <c r="Q417" s="9">
        <v>12488</v>
      </c>
      <c r="R417" s="9">
        <v>99</v>
      </c>
      <c r="S417" s="9">
        <v>4021</v>
      </c>
      <c r="T417" s="9">
        <v>11403</v>
      </c>
      <c r="U417" s="9">
        <v>4</v>
      </c>
      <c r="V417" s="11">
        <v>2176.6574690000002</v>
      </c>
      <c r="W417" s="12">
        <f t="shared" si="7"/>
        <v>544.16436725000005</v>
      </c>
      <c r="X417" s="12">
        <f t="shared" si="8"/>
        <v>0.79276105060858437</v>
      </c>
      <c r="Y417" s="12">
        <f t="shared" si="9"/>
        <v>32.198910954516336</v>
      </c>
      <c r="Z417" s="12">
        <f t="shared" si="10"/>
        <v>541.32242452126343</v>
      </c>
      <c r="AA417" s="12">
        <f t="shared" si="11"/>
        <v>174.29992544843051</v>
      </c>
      <c r="AB417" s="12">
        <f t="shared" si="12"/>
        <v>21.986439080808083</v>
      </c>
      <c r="AC417" s="12">
        <f t="shared" si="13"/>
        <v>4.0404040404040407</v>
      </c>
      <c r="AE417" s="13"/>
      <c r="AF417" s="13"/>
    </row>
    <row r="418" spans="1:32">
      <c r="A418" s="8" t="s">
        <v>1546</v>
      </c>
      <c r="B418" s="9" t="s">
        <v>498</v>
      </c>
      <c r="C418" s="9" t="s">
        <v>1263</v>
      </c>
      <c r="D418" s="9" t="s">
        <v>1264</v>
      </c>
      <c r="E418" s="9"/>
      <c r="F418" s="9" t="str">
        <f ca="1">IFERROR(__xludf.DUMMYFUNCTION("IFS(
  REGEXMATCH(LOWER(VLOOKUP(A418, Data1_Raw_Slack!A:B, 2, FALSE)), ""news|weather""), ""News and Weather"", REGEXMATCH(LOWER(VLOOKUP(A418, Data1_Raw_Slack!A:B, 2, FALSE)), ""sports|ufc|nba|nfl|mlb|soccer|sports fans""), ""Sports"",
  REGEXMATCH(LOWER("&amp;"VLOOKUP(A418, Data1_Raw_Slack!A:B, 2, FALSE)), ""fashion|style|clothing|apparel|shoes|accessories|beauty|cosmetics|fashionistas""), ""Fashion and Beauty"",
  REGEXMATCH(LOWER(VLOOKUP(A418, Data1_Raw_Slack!A:B, 2, FALSE)), ""food|cooking|recipe|restaurant|"&amp;"snack|grocery|foodies""), ""Food"",
  REGEXMATCH(LOWER(VLOOKUP(A418, Data1_Raw_Slack!A:B, 2, FALSE)), ""travel|vacation|airline|hotel|trip|flights|travelers""), ""Travel"",
  REGEXMATCH(LOWER(VLOOKUP(A418, Data1_Raw_Slack!A:B, 2, FALSE)), ""fitness|workou"&amp;"t|gym|exercise|yoga|wellness|fitness enthusiasts""), ""Fitness"",
  REGEXMATCH(LOWER(VLOOKUP(A418, Data1_Raw_Slack!A:B, 2, FALSE)), ""health|medical|pharmacy|mental health|doctor|health-conscious""), ""Health"",
  REGEXMATCH(LOWER(VLOOKUP(A418, Data1_Raw_"&amp;"Slack!A:B, 2, FALSE)), ""pets|dogs|cats|animals|pet care|pet lovers""), ""Pets"",
  REGEXMATCH(LOWER(VLOOKUP(A418, Data1_Raw_Slack!A:B, 2, FALSE)), ""games|gaming|game|xbox|playstation|nintendo|gamers""), ""Gaming"",
  REGEXMATCH(LOWER(VLOOKUP(A418, Data1"&amp;"_Raw_Slack!A:B, 2, FALSE)), ""entertainment|movies|tv|netflix|streaming|celebrity|movie lovers|tv fans|hobb|photo|art""), ""Entertainment"",
  REGEXMATCH(LOWER(VLOOKUP(A418, Data1_Raw_Slack!A:B, 2, FALSE)), ""lifestyle|home|interior|decor|living|lifestyle"&amp;" enthusiasts""), ""Lifestyle"",
  REGEXMATCH(LOWER(VLOOKUP(A418, Data1_Raw_Slack!A:B, 2, FALSE)), ""financial|finance|investing|stocks|retirement|banking|credit|debt|loans|savings|personal finance|insurance|econ|ecom|business|retail|occupation|sale|job|ma"&amp;"rketing""), ""Finance"",
  REGEXMATCH(LOWER(VLOOKUP(A418, Data1_Raw_Slack!A:B, 2, FALSE)), ""auto|automotive""), ""Auto"",
  REGEXMATCH(LOWER(VLOOKUP(A418, Data1_Raw_Slack!A:B, 2, FALSE)), ""parenting|moms|dads|kids|toddlers|baby|parent|children""), ""Par"&amp;"enting"",
  REGEXMATCH(LOWER(VLOOKUP(A418, Data1_Raw_Slack!A:B, 2, FALSE)), ""education|students|learning|school|teachers|college|university|academics""), ""Education"",
  REGEXMATCH(LOWER(VLOOKUP(A418, Data1_Raw_Slack!A:B, 2, FALSE)), ""age|gender|dem"&amp;"ographic|family|household""), ""Demographics"",
  REGEXMATCH(LOWER(VLOOKUP(A418, Data1_Raw_Slack!A:B, 2, FALSE)), ""mortgage|real estate""), ""Real Estate"",REGEXMATCH(LOWER(VLOOKUP(A418, Data1_Raw_Slack!A:B, 2, FALSE)), ""technology|tech|gadgets|smartpho"&amp;"ne|electro|apps|devices|computing|ai|robots|software|computer|internet|tele|mobile|tablet""), ""Technology"", REGEXMATCH(LOWER(VLOOKUP(A418, Data1_Raw_Slack!A:B, 2, FALSE)), ""entertainment|purchas|movies|tv|netflix|streaming|celebrity|movie lovers|tv fan"&amp;"s|media|hobb|photo|art|shop""), ""Entertainment"", REGEXMATCH(LOWER(VLOOKUP(A418, Data1_Raw_Slack!A:B, 2, FALSE)), ""law|government|""), ""Law and Government"",
  TRUE, ""Other""
)"),"Entertainment")</f>
        <v>Entertainment</v>
      </c>
      <c r="G418" s="9"/>
      <c r="H418" s="9" t="s">
        <v>44</v>
      </c>
      <c r="I418" s="9" t="s">
        <v>1547</v>
      </c>
      <c r="J418" s="9" t="s">
        <v>80</v>
      </c>
      <c r="K418" s="9" t="s">
        <v>56</v>
      </c>
      <c r="L418" s="9" t="s">
        <v>57</v>
      </c>
      <c r="M418" s="10" t="s">
        <v>73</v>
      </c>
      <c r="N418" s="9" t="str">
        <f ca="1">IFERROR(__xludf.DUMMYFUNCTION("REGEXEXTRACT(LOWER(M418), ""([a-z0-9\-]+)\.(?:co|net|org|io|gg)"")"),"aol")</f>
        <v>aol</v>
      </c>
      <c r="O418" s="9" t="s">
        <v>50</v>
      </c>
      <c r="P418" s="9" t="s">
        <v>39</v>
      </c>
      <c r="Q418" s="9">
        <v>92806</v>
      </c>
      <c r="R418" s="9">
        <v>212</v>
      </c>
      <c r="S418" s="9">
        <v>67534</v>
      </c>
      <c r="T418" s="9">
        <v>85013</v>
      </c>
      <c r="U418" s="9">
        <v>11</v>
      </c>
      <c r="V418" s="11">
        <v>1579.379602</v>
      </c>
      <c r="W418" s="12">
        <f t="shared" si="7"/>
        <v>143.57996381818182</v>
      </c>
      <c r="X418" s="12">
        <f t="shared" si="8"/>
        <v>0.22843350645432409</v>
      </c>
      <c r="Y418" s="12">
        <f t="shared" si="9"/>
        <v>72.769002004180763</v>
      </c>
      <c r="Z418" s="12">
        <f t="shared" si="10"/>
        <v>23.386436491248851</v>
      </c>
      <c r="AA418" s="12">
        <f t="shared" si="11"/>
        <v>17.018076439023339</v>
      </c>
      <c r="AB418" s="12">
        <f t="shared" si="12"/>
        <v>7.4499037830188675</v>
      </c>
      <c r="AC418" s="12">
        <f t="shared" si="13"/>
        <v>5.1886792452830193</v>
      </c>
      <c r="AE418" s="13"/>
      <c r="AF418" s="13"/>
    </row>
    <row r="419" spans="1:32">
      <c r="A419" s="8" t="s">
        <v>1548</v>
      </c>
      <c r="B419" s="9" t="s">
        <v>67</v>
      </c>
      <c r="C419" s="9" t="s">
        <v>1402</v>
      </c>
      <c r="D419" s="9" t="s">
        <v>1549</v>
      </c>
      <c r="E419" s="9" t="s">
        <v>1550</v>
      </c>
      <c r="F419" s="9" t="str">
        <f ca="1">IFERROR(__xludf.DUMMYFUNCTION("IFS(
  REGEXMATCH(LOWER(VLOOKUP(A419, Data1_Raw_Slack!A:B, 2, FALSE)), ""news|weather""), ""News and Weather"", REGEXMATCH(LOWER(VLOOKUP(A419, Data1_Raw_Slack!A:B, 2, FALSE)), ""sports|ufc|nba|nfl|mlb|soccer|sports fans""), ""Sports"",
  REGEXMATCH(LOWER("&amp;"VLOOKUP(A419, Data1_Raw_Slack!A:B, 2, FALSE)), ""fashion|style|clothing|apparel|shoes|accessories|beauty|cosmetics|fashionistas""), ""Fashion and Beauty"",
  REGEXMATCH(LOWER(VLOOKUP(A419, Data1_Raw_Slack!A:B, 2, FALSE)), ""food|cooking|recipe|restaurant|"&amp;"snack|grocery|foodies""), ""Food"",
  REGEXMATCH(LOWER(VLOOKUP(A419, Data1_Raw_Slack!A:B, 2, FALSE)), ""travel|vacation|airline|hotel|trip|flights|travelers""), ""Travel"",
  REGEXMATCH(LOWER(VLOOKUP(A419, Data1_Raw_Slack!A:B, 2, FALSE)), ""fitness|workou"&amp;"t|gym|exercise|yoga|wellness|fitness enthusiasts""), ""Fitness"",
  REGEXMATCH(LOWER(VLOOKUP(A419, Data1_Raw_Slack!A:B, 2, FALSE)), ""health|medical|pharmacy|mental health|doctor|health-conscious""), ""Health"",
  REGEXMATCH(LOWER(VLOOKUP(A419, Data1_Raw_"&amp;"Slack!A:B, 2, FALSE)), ""pets|dogs|cats|animals|pet care|pet lovers""), ""Pets"",
  REGEXMATCH(LOWER(VLOOKUP(A419, Data1_Raw_Slack!A:B, 2, FALSE)), ""games|gaming|game|xbox|playstation|nintendo|gamers""), ""Gaming"",
  REGEXMATCH(LOWER(VLOOKUP(A419, Data1"&amp;"_Raw_Slack!A:B, 2, FALSE)), ""entertainment|movies|tv|netflix|streaming|celebrity|movie lovers|tv fans|hobb|photo|art""), ""Entertainment"",
  REGEXMATCH(LOWER(VLOOKUP(A419, Data1_Raw_Slack!A:B, 2, FALSE)), ""lifestyle|home|interior|decor|living|lifestyle"&amp;" enthusiasts""), ""Lifestyle"",
  REGEXMATCH(LOWER(VLOOKUP(A419, Data1_Raw_Slack!A:B, 2, FALSE)), ""financial|finance|investing|stocks|retirement|banking|credit|debt|loans|savings|personal finance|insurance|econ|ecom|business|retail|occupation|sale|job|ma"&amp;"rketing""), ""Finance"",
  REGEXMATCH(LOWER(VLOOKUP(A419, Data1_Raw_Slack!A:B, 2, FALSE)), ""auto|automotive""), ""Auto"",
  REGEXMATCH(LOWER(VLOOKUP(A419, Data1_Raw_Slack!A:B, 2, FALSE)), ""parenting|moms|dads|kids|toddlers|baby|parent|children""), ""Par"&amp;"enting"",
  REGEXMATCH(LOWER(VLOOKUP(A419, Data1_Raw_Slack!A:B, 2, FALSE)), ""education|students|learning|school|teachers|college|university|academics""), ""Education"",
  REGEXMATCH(LOWER(VLOOKUP(A419, Data1_Raw_Slack!A:B, 2, FALSE)), ""age|gender|dem"&amp;"ographic|family|household""), ""Demographics"",
  REGEXMATCH(LOWER(VLOOKUP(A419, Data1_Raw_Slack!A:B, 2, FALSE)), ""mortgage|real estate""), ""Real Estate"",REGEXMATCH(LOWER(VLOOKUP(A419, Data1_Raw_Slack!A:B, 2, FALSE)), ""technology|tech|gadgets|smartpho"&amp;"ne|electro|apps|devices|computing|ai|robots|software|computer|internet|tele|mobile|tablet""), ""Technology"", REGEXMATCH(LOWER(VLOOKUP(A419, Data1_Raw_Slack!A:B, 2, FALSE)), ""entertainment|purchas|movies|tv|netflix|streaming|celebrity|movie lovers|tv fan"&amp;"s|media|hobb|photo|art|shop""), ""Entertainment"", REGEXMATCH(LOWER(VLOOKUP(A419, Data1_Raw_Slack!A:B, 2, FALSE)), ""law|government|""), ""Law and Government"",
  TRUE, ""Other""
)"),"Gaming")</f>
        <v>Gaming</v>
      </c>
      <c r="G419" s="9" t="s">
        <v>69</v>
      </c>
      <c r="H419" s="9" t="s">
        <v>32</v>
      </c>
      <c r="I419" s="9" t="s">
        <v>1551</v>
      </c>
      <c r="J419" s="9" t="s">
        <v>80</v>
      </c>
      <c r="K419" s="9" t="s">
        <v>137</v>
      </c>
      <c r="L419" s="9" t="s">
        <v>72</v>
      </c>
      <c r="M419" s="10" t="s">
        <v>1552</v>
      </c>
      <c r="N419" s="9" t="str">
        <f ca="1">IFERROR(__xludf.DUMMYFUNCTION("REGEXEXTRACT(LOWER(M419), ""([a-z0-9\-]+)\.(?:co|net|org|io|gg)"")"),"bleacherbreaker")</f>
        <v>bleacherbreaker</v>
      </c>
      <c r="O419" s="9" t="s">
        <v>157</v>
      </c>
      <c r="P419" s="9" t="s">
        <v>39</v>
      </c>
      <c r="Q419" s="9">
        <v>9078</v>
      </c>
      <c r="R419" s="9">
        <v>21</v>
      </c>
      <c r="S419" s="9">
        <v>4051</v>
      </c>
      <c r="T419" s="9">
        <v>6215</v>
      </c>
      <c r="U419" s="9">
        <v>1</v>
      </c>
      <c r="V419" s="11">
        <v>1700.795736</v>
      </c>
      <c r="W419" s="12">
        <f t="shared" si="7"/>
        <v>1700.795736</v>
      </c>
      <c r="X419" s="12">
        <f t="shared" si="8"/>
        <v>0.2313284864507601</v>
      </c>
      <c r="Y419" s="12">
        <f t="shared" si="9"/>
        <v>44.624366600572813</v>
      </c>
      <c r="Z419" s="12">
        <f t="shared" si="10"/>
        <v>419.8458987904221</v>
      </c>
      <c r="AA419" s="12">
        <f t="shared" si="11"/>
        <v>187.35357303370787</v>
      </c>
      <c r="AB419" s="12">
        <f t="shared" si="12"/>
        <v>80.990273142857149</v>
      </c>
      <c r="AC419" s="12">
        <f t="shared" si="13"/>
        <v>4.7619047619047619</v>
      </c>
      <c r="AE419" s="13"/>
      <c r="AF419" s="13"/>
    </row>
    <row r="420" spans="1:32">
      <c r="A420" s="8" t="s">
        <v>1553</v>
      </c>
      <c r="B420" s="9" t="s">
        <v>144</v>
      </c>
      <c r="C420" s="9" t="s">
        <v>1554</v>
      </c>
      <c r="D420" s="9" t="s">
        <v>1555</v>
      </c>
      <c r="E420" s="9"/>
      <c r="F420" s="9" t="str">
        <f ca="1">IFERROR(__xludf.DUMMYFUNCTION("IFS(
  REGEXMATCH(LOWER(VLOOKUP(A420, Data1_Raw_Slack!A:B, 2, FALSE)), ""news|weather""), ""News and Weather"", REGEXMATCH(LOWER(VLOOKUP(A420, Data1_Raw_Slack!A:B, 2, FALSE)), ""sports|ufc|nba|nfl|mlb|soccer|sports fans""), ""Sports"",
  REGEXMATCH(LOWER("&amp;"VLOOKUP(A420, Data1_Raw_Slack!A:B, 2, FALSE)), ""fashion|style|clothing|apparel|shoes|accessories|beauty|cosmetics|fashionistas""), ""Fashion and Beauty"",
  REGEXMATCH(LOWER(VLOOKUP(A420, Data1_Raw_Slack!A:B, 2, FALSE)), ""food|cooking|recipe|restaurant|"&amp;"snack|grocery|foodies""), ""Food"",
  REGEXMATCH(LOWER(VLOOKUP(A420, Data1_Raw_Slack!A:B, 2, FALSE)), ""travel|vacation|airline|hotel|trip|flights|travelers""), ""Travel"",
  REGEXMATCH(LOWER(VLOOKUP(A420, Data1_Raw_Slack!A:B, 2, FALSE)), ""fitness|workou"&amp;"t|gym|exercise|yoga|wellness|fitness enthusiasts""), ""Fitness"",
  REGEXMATCH(LOWER(VLOOKUP(A420, Data1_Raw_Slack!A:B, 2, FALSE)), ""health|medical|pharmacy|mental health|doctor|health-conscious""), ""Health"",
  REGEXMATCH(LOWER(VLOOKUP(A420, Data1_Raw_"&amp;"Slack!A:B, 2, FALSE)), ""pets|dogs|cats|animals|pet care|pet lovers""), ""Pets"",
  REGEXMATCH(LOWER(VLOOKUP(A420, Data1_Raw_Slack!A:B, 2, FALSE)), ""games|gaming|game|xbox|playstation|nintendo|gamers""), ""Gaming"",
  REGEXMATCH(LOWER(VLOOKUP(A420, Data1"&amp;"_Raw_Slack!A:B, 2, FALSE)), ""entertainment|movies|tv|netflix|streaming|celebrity|movie lovers|tv fans|hobb|photo|art""), ""Entertainment"",
  REGEXMATCH(LOWER(VLOOKUP(A420, Data1_Raw_Slack!A:B, 2, FALSE)), ""lifestyle|home|interior|decor|living|lifestyle"&amp;" enthusiasts""), ""Lifestyle"",
  REGEXMATCH(LOWER(VLOOKUP(A420, Data1_Raw_Slack!A:B, 2, FALSE)), ""financial|finance|investing|stocks|retirement|banking|credit|debt|loans|savings|personal finance|insurance|econ|ecom|business|retail|occupation|sale|job|ma"&amp;"rketing""), ""Finance"",
  REGEXMATCH(LOWER(VLOOKUP(A420, Data1_Raw_Slack!A:B, 2, FALSE)), ""auto|automotive""), ""Auto"",
  REGEXMATCH(LOWER(VLOOKUP(A420, Data1_Raw_Slack!A:B, 2, FALSE)), ""parenting|moms|dads|kids|toddlers|baby|parent|children""), ""Par"&amp;"enting"",
  REGEXMATCH(LOWER(VLOOKUP(A420, Data1_Raw_Slack!A:B, 2, FALSE)), ""education|students|learning|school|teachers|college|university|academics""), ""Education"",
  REGEXMATCH(LOWER(VLOOKUP(A420, Data1_Raw_Slack!A:B, 2, FALSE)), ""age|gender|dem"&amp;"ographic|family|household""), ""Demographics"",
  REGEXMATCH(LOWER(VLOOKUP(A420, Data1_Raw_Slack!A:B, 2, FALSE)), ""mortgage|real estate""), ""Real Estate"",REGEXMATCH(LOWER(VLOOKUP(A420, Data1_Raw_Slack!A:B, 2, FALSE)), ""technology|tech|gadgets|smartpho"&amp;"ne|electro|apps|devices|computing|ai|robots|software|computer|internet|tele|mobile|tablet""), ""Technology"", REGEXMATCH(LOWER(VLOOKUP(A420, Data1_Raw_Slack!A:B, 2, FALSE)), ""entertainment|purchas|movies|tv|netflix|streaming|celebrity|movie lovers|tv fan"&amp;"s|media|hobb|photo|art|shop""), ""Entertainment"", REGEXMATCH(LOWER(VLOOKUP(A420, Data1_Raw_Slack!A:B, 2, FALSE)), ""law|government|""), ""Law and Government"",
  TRUE, ""Other""
)"),"Finance")</f>
        <v>Finance</v>
      </c>
      <c r="G420" s="9"/>
      <c r="H420" s="9" t="s">
        <v>44</v>
      </c>
      <c r="I420" s="9" t="s">
        <v>1556</v>
      </c>
      <c r="J420" s="9" t="s">
        <v>80</v>
      </c>
      <c r="K420" s="9" t="s">
        <v>264</v>
      </c>
      <c r="L420" s="9" t="s">
        <v>265</v>
      </c>
      <c r="M420" s="10" t="s">
        <v>1087</v>
      </c>
      <c r="N420" s="9" t="str">
        <f ca="1">IFERROR(__xludf.DUMMYFUNCTION("REGEXEXTRACT(LOWER(M420), ""([a-z0-9\-]+)\.(?:co|net|org|io|gg)"")"),"cnn")</f>
        <v>cnn</v>
      </c>
      <c r="O420" s="9" t="s">
        <v>50</v>
      </c>
      <c r="P420" s="9" t="s">
        <v>39</v>
      </c>
      <c r="Q420" s="9">
        <v>77748</v>
      </c>
      <c r="R420" s="9">
        <v>227</v>
      </c>
      <c r="S420" s="9">
        <v>6170</v>
      </c>
      <c r="T420" s="9">
        <v>53603</v>
      </c>
      <c r="U420" s="9">
        <v>3</v>
      </c>
      <c r="V420" s="11">
        <v>1498.3009</v>
      </c>
      <c r="W420" s="12">
        <f t="shared" si="7"/>
        <v>499.43363333333332</v>
      </c>
      <c r="X420" s="12">
        <f t="shared" si="8"/>
        <v>0.29196892524566548</v>
      </c>
      <c r="Y420" s="12">
        <f t="shared" si="9"/>
        <v>7.9358954571178684</v>
      </c>
      <c r="Z420" s="12">
        <f t="shared" si="10"/>
        <v>242.83645056726095</v>
      </c>
      <c r="AA420" s="12">
        <f t="shared" si="11"/>
        <v>19.271246848793538</v>
      </c>
      <c r="AB420" s="12">
        <f t="shared" si="12"/>
        <v>6.6004444933920707</v>
      </c>
      <c r="AC420" s="12">
        <f t="shared" si="13"/>
        <v>1.3215859030837005</v>
      </c>
      <c r="AE420" s="13"/>
      <c r="AF420" s="13"/>
    </row>
    <row r="421" spans="1:32">
      <c r="A421" s="8" t="s">
        <v>1557</v>
      </c>
      <c r="B421" s="9" t="s">
        <v>521</v>
      </c>
      <c r="C421" s="9" t="s">
        <v>522</v>
      </c>
      <c r="D421" s="9" t="s">
        <v>523</v>
      </c>
      <c r="E421" s="9"/>
      <c r="F421" s="9" t="str">
        <f ca="1">IFERROR(__xludf.DUMMYFUNCTION("IFS(
  REGEXMATCH(LOWER(VLOOKUP(A421, Data1_Raw_Slack!A:B, 2, FALSE)), ""news|weather""), ""News and Weather"", REGEXMATCH(LOWER(VLOOKUP(A421, Data1_Raw_Slack!A:B, 2, FALSE)), ""sports|ufc|nba|nfl|mlb|soccer|sports fans""), ""Sports"",
  REGEXMATCH(LOWER("&amp;"VLOOKUP(A421, Data1_Raw_Slack!A:B, 2, FALSE)), ""fashion|style|clothing|apparel|shoes|accessories|beauty|cosmetics|fashionistas""), ""Fashion and Beauty"",
  REGEXMATCH(LOWER(VLOOKUP(A421, Data1_Raw_Slack!A:B, 2, FALSE)), ""food|cooking|recipe|restaurant|"&amp;"snack|grocery|foodies""), ""Food"",
  REGEXMATCH(LOWER(VLOOKUP(A421, Data1_Raw_Slack!A:B, 2, FALSE)), ""travel|vacation|airline|hotel|trip|flights|travelers""), ""Travel"",
  REGEXMATCH(LOWER(VLOOKUP(A421, Data1_Raw_Slack!A:B, 2, FALSE)), ""fitness|workou"&amp;"t|gym|exercise|yoga|wellness|fitness enthusiasts""), ""Fitness"",
  REGEXMATCH(LOWER(VLOOKUP(A421, Data1_Raw_Slack!A:B, 2, FALSE)), ""health|medical|pharmacy|mental health|doctor|health-conscious""), ""Health"",
  REGEXMATCH(LOWER(VLOOKUP(A421, Data1_Raw_"&amp;"Slack!A:B, 2, FALSE)), ""pets|dogs|cats|animals|pet care|pet lovers""), ""Pets"",
  REGEXMATCH(LOWER(VLOOKUP(A421, Data1_Raw_Slack!A:B, 2, FALSE)), ""games|gaming|game|xbox|playstation|nintendo|gamers""), ""Gaming"",
  REGEXMATCH(LOWER(VLOOKUP(A421, Data1"&amp;"_Raw_Slack!A:B, 2, FALSE)), ""entertainment|movies|tv|netflix|streaming|celebrity|movie lovers|tv fans|hobb|photo|art""), ""Entertainment"",
  REGEXMATCH(LOWER(VLOOKUP(A421, Data1_Raw_Slack!A:B, 2, FALSE)), ""lifestyle|home|interior|decor|living|lifestyle"&amp;" enthusiasts""), ""Lifestyle"",
  REGEXMATCH(LOWER(VLOOKUP(A421, Data1_Raw_Slack!A:B, 2, FALSE)), ""financial|finance|investing|stocks|retirement|banking|credit|debt|loans|savings|personal finance|insurance|econ|ecom|business|retail|occupation|sale|job|ma"&amp;"rketing""), ""Finance"",
  REGEXMATCH(LOWER(VLOOKUP(A421, Data1_Raw_Slack!A:B, 2, FALSE)), ""auto|automotive""), ""Auto"",
  REGEXMATCH(LOWER(VLOOKUP(A421, Data1_Raw_Slack!A:B, 2, FALSE)), ""parenting|moms|dads|kids|toddlers|baby|parent|children""), ""Par"&amp;"enting"",
  REGEXMATCH(LOWER(VLOOKUP(A421, Data1_Raw_Slack!A:B, 2, FALSE)), ""education|students|learning|school|teachers|college|university|academics""), ""Education"",
  REGEXMATCH(LOWER(VLOOKUP(A421, Data1_Raw_Slack!A:B, 2, FALSE)), ""age|gender|dem"&amp;"ographic|family|household""), ""Demographics"",
  REGEXMATCH(LOWER(VLOOKUP(A421, Data1_Raw_Slack!A:B, 2, FALSE)), ""mortgage|real estate""), ""Real Estate"",REGEXMATCH(LOWER(VLOOKUP(A421, Data1_Raw_Slack!A:B, 2, FALSE)), ""technology|tech|gadgets|smartpho"&amp;"ne|electro|apps|devices|computing|ai|robots|software|computer|internet|tele|mobile|tablet""), ""Technology"", REGEXMATCH(LOWER(VLOOKUP(A421, Data1_Raw_Slack!A:B, 2, FALSE)), ""entertainment|purchas|movies|tv|netflix|streaming|celebrity|movie lovers|tv fan"&amp;"s|media|hobb|photo|art|shop""), ""Entertainment"", REGEXMATCH(LOWER(VLOOKUP(A421, Data1_Raw_Slack!A:B, 2, FALSE)), ""law|government|""), ""Law and Government"",
  TRUE, ""Other""
)"),"Travel")</f>
        <v>Travel</v>
      </c>
      <c r="G421" s="9"/>
      <c r="H421" s="9" t="s">
        <v>32</v>
      </c>
      <c r="I421" s="9" t="s">
        <v>1052</v>
      </c>
      <c r="J421" s="9" t="s">
        <v>34</v>
      </c>
      <c r="K421" s="9" t="s">
        <v>264</v>
      </c>
      <c r="L421" s="9" t="s">
        <v>265</v>
      </c>
      <c r="M421" s="10" t="s">
        <v>279</v>
      </c>
      <c r="N421" s="9" t="str">
        <f ca="1">IFERROR(__xludf.DUMMYFUNCTION("REGEXEXTRACT(LOWER(M421), ""([a-z0-9\-]+)\.(?:co|net|org|io|gg)"")"),"boattrader")</f>
        <v>boattrader</v>
      </c>
      <c r="O421" s="9" t="s">
        <v>131</v>
      </c>
      <c r="P421" s="9" t="s">
        <v>39</v>
      </c>
      <c r="Q421" s="9">
        <v>12354</v>
      </c>
      <c r="R421" s="9">
        <v>10</v>
      </c>
      <c r="S421" s="9">
        <v>8561</v>
      </c>
      <c r="T421" s="9">
        <v>11782</v>
      </c>
      <c r="U421" s="9">
        <v>5</v>
      </c>
      <c r="V421" s="11">
        <v>1808.307918</v>
      </c>
      <c r="W421" s="12">
        <f t="shared" si="7"/>
        <v>361.66158359999997</v>
      </c>
      <c r="X421" s="12">
        <f t="shared" si="8"/>
        <v>8.0945442771571965E-2</v>
      </c>
      <c r="Y421" s="12">
        <f t="shared" si="9"/>
        <v>69.297393556742762</v>
      </c>
      <c r="Z421" s="12">
        <f t="shared" si="10"/>
        <v>211.22624903632752</v>
      </c>
      <c r="AA421" s="12">
        <f t="shared" si="11"/>
        <v>146.37428508984942</v>
      </c>
      <c r="AB421" s="12">
        <f t="shared" si="12"/>
        <v>180.83079179999999</v>
      </c>
      <c r="AC421" s="12">
        <f t="shared" si="13"/>
        <v>50</v>
      </c>
      <c r="AE421" s="13"/>
      <c r="AF421" s="13"/>
    </row>
    <row r="422" spans="1:32">
      <c r="A422" s="8" t="s">
        <v>1558</v>
      </c>
      <c r="B422" s="9" t="s">
        <v>41</v>
      </c>
      <c r="C422" s="9" t="s">
        <v>193</v>
      </c>
      <c r="D422" s="9" t="s">
        <v>1559</v>
      </c>
      <c r="E422" s="9"/>
      <c r="F422" s="9" t="str">
        <f ca="1">IFERROR(__xludf.DUMMYFUNCTION("IFS(
  REGEXMATCH(LOWER(VLOOKUP(A422, Data1_Raw_Slack!A:B, 2, FALSE)), ""news|weather""), ""News and Weather"", REGEXMATCH(LOWER(VLOOKUP(A422, Data1_Raw_Slack!A:B, 2, FALSE)), ""sports|ufc|nba|nfl|mlb|soccer|sports fans""), ""Sports"",
  REGEXMATCH(LOWER("&amp;"VLOOKUP(A422, Data1_Raw_Slack!A:B, 2, FALSE)), ""fashion|style|clothing|apparel|shoes|accessories|beauty|cosmetics|fashionistas""), ""Fashion and Beauty"",
  REGEXMATCH(LOWER(VLOOKUP(A422, Data1_Raw_Slack!A:B, 2, FALSE)), ""food|cooking|recipe|restaurant|"&amp;"snack|grocery|foodies""), ""Food"",
  REGEXMATCH(LOWER(VLOOKUP(A422, Data1_Raw_Slack!A:B, 2, FALSE)), ""travel|vacation|airline|hotel|trip|flights|travelers""), ""Travel"",
  REGEXMATCH(LOWER(VLOOKUP(A422, Data1_Raw_Slack!A:B, 2, FALSE)), ""fitness|workou"&amp;"t|gym|exercise|yoga|wellness|fitness enthusiasts""), ""Fitness"",
  REGEXMATCH(LOWER(VLOOKUP(A422, Data1_Raw_Slack!A:B, 2, FALSE)), ""health|medical|pharmacy|mental health|doctor|health-conscious""), ""Health"",
  REGEXMATCH(LOWER(VLOOKUP(A422, Data1_Raw_"&amp;"Slack!A:B, 2, FALSE)), ""pets|dogs|cats|animals|pet care|pet lovers""), ""Pets"",
  REGEXMATCH(LOWER(VLOOKUP(A422, Data1_Raw_Slack!A:B, 2, FALSE)), ""games|gaming|game|xbox|playstation|nintendo|gamers""), ""Gaming"",
  REGEXMATCH(LOWER(VLOOKUP(A422, Data1"&amp;"_Raw_Slack!A:B, 2, FALSE)), ""entertainment|movies|tv|netflix|streaming|celebrity|movie lovers|tv fans|hobb|photo|art""), ""Entertainment"",
  REGEXMATCH(LOWER(VLOOKUP(A422, Data1_Raw_Slack!A:B, 2, FALSE)), ""lifestyle|home|interior|decor|living|lifestyle"&amp;" enthusiasts""), ""Lifestyle"",
  REGEXMATCH(LOWER(VLOOKUP(A422, Data1_Raw_Slack!A:B, 2, FALSE)), ""financial|finance|investing|stocks|retirement|banking|credit|debt|loans|savings|personal finance|insurance|econ|ecom|business|retail|occupation|sale|job|ma"&amp;"rketing""), ""Finance"",
  REGEXMATCH(LOWER(VLOOKUP(A422, Data1_Raw_Slack!A:B, 2, FALSE)), ""auto|automotive""), ""Auto"",
  REGEXMATCH(LOWER(VLOOKUP(A422, Data1_Raw_Slack!A:B, 2, FALSE)), ""parenting|moms|dads|kids|toddlers|baby|parent|children""), ""Par"&amp;"enting"",
  REGEXMATCH(LOWER(VLOOKUP(A422, Data1_Raw_Slack!A:B, 2, FALSE)), ""education|students|learning|school|teachers|college|university|academics""), ""Education"",
  REGEXMATCH(LOWER(VLOOKUP(A422, Data1_Raw_Slack!A:B, 2, FALSE)), ""age|gender|dem"&amp;"ographic|family|household""), ""Demographics"",
  REGEXMATCH(LOWER(VLOOKUP(A422, Data1_Raw_Slack!A:B, 2, FALSE)), ""mortgage|real estate""), ""Real Estate"",REGEXMATCH(LOWER(VLOOKUP(A422, Data1_Raw_Slack!A:B, 2, FALSE)), ""technology|tech|gadgets|smartpho"&amp;"ne|electro|apps|devices|computing|ai|robots|software|computer|internet|tele|mobile|tablet""), ""Technology"", REGEXMATCH(LOWER(VLOOKUP(A422, Data1_Raw_Slack!A:B, 2, FALSE)), ""entertainment|purchas|movies|tv|netflix|streaming|celebrity|movie lovers|tv fan"&amp;"s|media|hobb|photo|art|shop""), ""Entertainment"", REGEXMATCH(LOWER(VLOOKUP(A422, Data1_Raw_Slack!A:B, 2, FALSE)), ""law|government|""), ""Law and Government"",
  TRUE, ""Other""
)"),"Entertainment")</f>
        <v>Entertainment</v>
      </c>
      <c r="G422" s="9" t="s">
        <v>69</v>
      </c>
      <c r="H422" s="9" t="s">
        <v>123</v>
      </c>
      <c r="I422" s="9" t="s">
        <v>1560</v>
      </c>
      <c r="J422" s="9" t="s">
        <v>80</v>
      </c>
      <c r="K422" s="9" t="s">
        <v>56</v>
      </c>
      <c r="L422" s="9" t="s">
        <v>57</v>
      </c>
      <c r="M422" s="10" t="s">
        <v>229</v>
      </c>
      <c r="N422" s="9" t="str">
        <f ca="1">IFERROR(__xludf.DUMMYFUNCTION("REGEXEXTRACT(LOWER(M422), ""([a-z0-9\-]+)\.(?:co|net|org|io|gg)"")"),"msn")</f>
        <v>msn</v>
      </c>
      <c r="O422" s="9" t="s">
        <v>103</v>
      </c>
      <c r="P422" s="9" t="s">
        <v>39</v>
      </c>
      <c r="Q422" s="9">
        <v>13946</v>
      </c>
      <c r="R422" s="9">
        <v>40</v>
      </c>
      <c r="S422" s="9">
        <v>3142</v>
      </c>
      <c r="T422" s="9">
        <v>8823</v>
      </c>
      <c r="U422" s="9">
        <v>8</v>
      </c>
      <c r="V422" s="11">
        <v>4920.2346299999999</v>
      </c>
      <c r="W422" s="12">
        <f t="shared" si="7"/>
        <v>615.02932874999999</v>
      </c>
      <c r="X422" s="12">
        <f t="shared" si="8"/>
        <v>0.286820593718629</v>
      </c>
      <c r="Y422" s="12">
        <f t="shared" si="9"/>
        <v>22.529757636598308</v>
      </c>
      <c r="Z422" s="12">
        <f t="shared" si="10"/>
        <v>1565.9562794398471</v>
      </c>
      <c r="AA422" s="12">
        <f t="shared" si="11"/>
        <v>352.8061544528897</v>
      </c>
      <c r="AB422" s="12">
        <f t="shared" si="12"/>
        <v>123.00586575</v>
      </c>
      <c r="AC422" s="12">
        <f t="shared" si="13"/>
        <v>20</v>
      </c>
      <c r="AE422" s="13"/>
      <c r="AF422" s="13"/>
    </row>
    <row r="423" spans="1:32">
      <c r="A423" s="8" t="s">
        <v>1561</v>
      </c>
      <c r="B423" s="9" t="s">
        <v>1562</v>
      </c>
      <c r="C423" s="9" t="s">
        <v>1563</v>
      </c>
      <c r="D423" s="9"/>
      <c r="E423" s="9"/>
      <c r="F423" s="9" t="str">
        <f ca="1">IFERROR(__xludf.DUMMYFUNCTION("IFS(
  REGEXMATCH(LOWER(VLOOKUP(A423, Data1_Raw_Slack!A:B, 2, FALSE)), ""news|weather""), ""News and Weather"", REGEXMATCH(LOWER(VLOOKUP(A423, Data1_Raw_Slack!A:B, 2, FALSE)), ""sports|ufc|nba|nfl|mlb|soccer|sports fans""), ""Sports"",
  REGEXMATCH(LOWER("&amp;"VLOOKUP(A423, Data1_Raw_Slack!A:B, 2, FALSE)), ""fashion|style|clothing|apparel|shoes|accessories|beauty|cosmetics|fashionistas""), ""Fashion and Beauty"",
  REGEXMATCH(LOWER(VLOOKUP(A423, Data1_Raw_Slack!A:B, 2, FALSE)), ""food|cooking|recipe|restaurant|"&amp;"snack|grocery|foodies""), ""Food"",
  REGEXMATCH(LOWER(VLOOKUP(A423, Data1_Raw_Slack!A:B, 2, FALSE)), ""travel|vacation|airline|hotel|trip|flights|travelers""), ""Travel"",
  REGEXMATCH(LOWER(VLOOKUP(A423, Data1_Raw_Slack!A:B, 2, FALSE)), ""fitness|workou"&amp;"t|gym|exercise|yoga|wellness|fitness enthusiasts""), ""Fitness"",
  REGEXMATCH(LOWER(VLOOKUP(A423, Data1_Raw_Slack!A:B, 2, FALSE)), ""health|medical|pharmacy|mental health|doctor|health-conscious""), ""Health"",
  REGEXMATCH(LOWER(VLOOKUP(A423, Data1_Raw_"&amp;"Slack!A:B, 2, FALSE)), ""pets|dogs|cats|animals|pet care|pet lovers""), ""Pets"",
  REGEXMATCH(LOWER(VLOOKUP(A423, Data1_Raw_Slack!A:B, 2, FALSE)), ""games|gaming|game|xbox|playstation|nintendo|gamers""), ""Gaming"",
  REGEXMATCH(LOWER(VLOOKUP(A423, Data1"&amp;"_Raw_Slack!A:B, 2, FALSE)), ""entertainment|movies|tv|netflix|streaming|celebrity|movie lovers|tv fans|hobb|photo|art""), ""Entertainment"",
  REGEXMATCH(LOWER(VLOOKUP(A423, Data1_Raw_Slack!A:B, 2, FALSE)), ""lifestyle|home|interior|decor|living|lifestyle"&amp;" enthusiasts""), ""Lifestyle"",
  REGEXMATCH(LOWER(VLOOKUP(A423, Data1_Raw_Slack!A:B, 2, FALSE)), ""financial|finance|investing|stocks|retirement|banking|credit|debt|loans|savings|personal finance|insurance|econ|ecom|business|retail|occupation|sale|job|ma"&amp;"rketing""), ""Finance"",
  REGEXMATCH(LOWER(VLOOKUP(A423, Data1_Raw_Slack!A:B, 2, FALSE)), ""auto|automotive""), ""Auto"",
  REGEXMATCH(LOWER(VLOOKUP(A423, Data1_Raw_Slack!A:B, 2, FALSE)), ""parenting|moms|dads|kids|toddlers|baby|parent|children""), ""Par"&amp;"enting"",
  REGEXMATCH(LOWER(VLOOKUP(A423, Data1_Raw_Slack!A:B, 2, FALSE)), ""education|students|learning|school|teachers|college|university|academics""), ""Education"",
  REGEXMATCH(LOWER(VLOOKUP(A423, Data1_Raw_Slack!A:B, 2, FALSE)), ""age|gender|dem"&amp;"ographic|family|household""), ""Demographics"",
  REGEXMATCH(LOWER(VLOOKUP(A423, Data1_Raw_Slack!A:B, 2, FALSE)), ""mortgage|real estate""), ""Real Estate"",REGEXMATCH(LOWER(VLOOKUP(A423, Data1_Raw_Slack!A:B, 2, FALSE)), ""technology|tech|gadgets|smartpho"&amp;"ne|electro|apps|devices|computing|ai|robots|software|computer|internet|tele|mobile|tablet""), ""Technology"", REGEXMATCH(LOWER(VLOOKUP(A423, Data1_Raw_Slack!A:B, 2, FALSE)), ""entertainment|purchas|movies|tv|netflix|streaming|celebrity|movie lovers|tv fan"&amp;"s|media|hobb|photo|art|shop""), ""Entertainment"", REGEXMATCH(LOWER(VLOOKUP(A423, Data1_Raw_Slack!A:B, 2, FALSE)), ""law|government|""), ""Law and Government"",
  TRUE, ""Other""
)"),"Entertainment")</f>
        <v>Entertainment</v>
      </c>
      <c r="G423" s="9"/>
      <c r="H423" s="9" t="s">
        <v>32</v>
      </c>
      <c r="I423" s="9" t="s">
        <v>1564</v>
      </c>
      <c r="J423" s="9" t="s">
        <v>80</v>
      </c>
      <c r="K423" s="9" t="s">
        <v>88</v>
      </c>
      <c r="L423" s="9" t="s">
        <v>89</v>
      </c>
      <c r="M423" s="10" t="s">
        <v>348</v>
      </c>
      <c r="N423" s="9" t="str">
        <f ca="1">IFERROR(__xludf.DUMMYFUNCTION("REGEXEXTRACT(LOWER(M423), ""([a-z0-9\-]+)\.(?:co|net|org|io|gg)"")"),"drugs")</f>
        <v>drugs</v>
      </c>
      <c r="O423" s="9" t="s">
        <v>131</v>
      </c>
      <c r="P423" s="9" t="s">
        <v>39</v>
      </c>
      <c r="Q423" s="9">
        <v>12220</v>
      </c>
      <c r="R423" s="9">
        <v>54</v>
      </c>
      <c r="S423" s="9">
        <v>7133</v>
      </c>
      <c r="T423" s="9">
        <v>11331</v>
      </c>
      <c r="U423" s="9">
        <v>3</v>
      </c>
      <c r="V423" s="11">
        <v>1478.392247</v>
      </c>
      <c r="W423" s="12">
        <f t="shared" si="7"/>
        <v>492.79741566666667</v>
      </c>
      <c r="X423" s="12">
        <f t="shared" si="8"/>
        <v>0.44189852700490995</v>
      </c>
      <c r="Y423" s="12">
        <f t="shared" si="9"/>
        <v>58.371522094926355</v>
      </c>
      <c r="Z423" s="12">
        <f t="shared" si="10"/>
        <v>207.26093466984437</v>
      </c>
      <c r="AA423" s="12">
        <f t="shared" si="11"/>
        <v>120.98136227495908</v>
      </c>
      <c r="AB423" s="12">
        <f t="shared" si="12"/>
        <v>27.377634203703703</v>
      </c>
      <c r="AC423" s="12">
        <f t="shared" si="13"/>
        <v>5.5555555555555554</v>
      </c>
      <c r="AE423" s="13"/>
      <c r="AF423" s="13"/>
    </row>
    <row r="424" spans="1:32">
      <c r="A424" s="8" t="s">
        <v>1565</v>
      </c>
      <c r="B424" s="9" t="s">
        <v>41</v>
      </c>
      <c r="C424" s="9" t="s">
        <v>193</v>
      </c>
      <c r="D424" s="9" t="s">
        <v>193</v>
      </c>
      <c r="E424" s="9"/>
      <c r="F424" s="9" t="str">
        <f ca="1">IFERROR(__xludf.DUMMYFUNCTION("IFS(
  REGEXMATCH(LOWER(VLOOKUP(A424, Data1_Raw_Slack!A:B, 2, FALSE)), ""news|weather""), ""News and Weather"", REGEXMATCH(LOWER(VLOOKUP(A424, Data1_Raw_Slack!A:B, 2, FALSE)), ""sports|ufc|nba|nfl|mlb|soccer|sports fans""), ""Sports"",
  REGEXMATCH(LOWER("&amp;"VLOOKUP(A424, Data1_Raw_Slack!A:B, 2, FALSE)), ""fashion|style|clothing|apparel|shoes|accessories|beauty|cosmetics|fashionistas""), ""Fashion and Beauty"",
  REGEXMATCH(LOWER(VLOOKUP(A424, Data1_Raw_Slack!A:B, 2, FALSE)), ""food|cooking|recipe|restaurant|"&amp;"snack|grocery|foodies""), ""Food"",
  REGEXMATCH(LOWER(VLOOKUP(A424, Data1_Raw_Slack!A:B, 2, FALSE)), ""travel|vacation|airline|hotel|trip|flights|travelers""), ""Travel"",
  REGEXMATCH(LOWER(VLOOKUP(A424, Data1_Raw_Slack!A:B, 2, FALSE)), ""fitness|workou"&amp;"t|gym|exercise|yoga|wellness|fitness enthusiasts""), ""Fitness"",
  REGEXMATCH(LOWER(VLOOKUP(A424, Data1_Raw_Slack!A:B, 2, FALSE)), ""health|medical|pharmacy|mental health|doctor|health-conscious""), ""Health"",
  REGEXMATCH(LOWER(VLOOKUP(A424, Data1_Raw_"&amp;"Slack!A:B, 2, FALSE)), ""pets|dogs|cats|animals|pet care|pet lovers""), ""Pets"",
  REGEXMATCH(LOWER(VLOOKUP(A424, Data1_Raw_Slack!A:B, 2, FALSE)), ""games|gaming|game|xbox|playstation|nintendo|gamers""), ""Gaming"",
  REGEXMATCH(LOWER(VLOOKUP(A424, Data1"&amp;"_Raw_Slack!A:B, 2, FALSE)), ""entertainment|movies|tv|netflix|streaming|celebrity|movie lovers|tv fans|hobb|photo|art""), ""Entertainment"",
  REGEXMATCH(LOWER(VLOOKUP(A424, Data1_Raw_Slack!A:B, 2, FALSE)), ""lifestyle|home|interior|decor|living|lifestyle"&amp;" enthusiasts""), ""Lifestyle"",
  REGEXMATCH(LOWER(VLOOKUP(A424, Data1_Raw_Slack!A:B, 2, FALSE)), ""financial|finance|investing|stocks|retirement|banking|credit|debt|loans|savings|personal finance|insurance|econ|ecom|business|retail|occupation|sale|job|ma"&amp;"rketing""), ""Finance"",
  REGEXMATCH(LOWER(VLOOKUP(A424, Data1_Raw_Slack!A:B, 2, FALSE)), ""auto|automotive""), ""Auto"",
  REGEXMATCH(LOWER(VLOOKUP(A424, Data1_Raw_Slack!A:B, 2, FALSE)), ""parenting|moms|dads|kids|toddlers|baby|parent|children""), ""Par"&amp;"enting"",
  REGEXMATCH(LOWER(VLOOKUP(A424, Data1_Raw_Slack!A:B, 2, FALSE)), ""education|students|learning|school|teachers|college|university|academics""), ""Education"",
  REGEXMATCH(LOWER(VLOOKUP(A424, Data1_Raw_Slack!A:B, 2, FALSE)), ""age|gender|dem"&amp;"ographic|family|household""), ""Demographics"",
  REGEXMATCH(LOWER(VLOOKUP(A424, Data1_Raw_Slack!A:B, 2, FALSE)), ""mortgage|real estate""), ""Real Estate"",REGEXMATCH(LOWER(VLOOKUP(A424, Data1_Raw_Slack!A:B, 2, FALSE)), ""technology|tech|gadgets|smartpho"&amp;"ne|electro|apps|devices|computing|ai|robots|software|computer|internet|tele|mobile|tablet""), ""Technology"", REGEXMATCH(LOWER(VLOOKUP(A424, Data1_Raw_Slack!A:B, 2, FALSE)), ""entertainment|purchas|movies|tv|netflix|streaming|celebrity|movie lovers|tv fan"&amp;"s|media|hobb|photo|art|shop""), ""Entertainment"", REGEXMATCH(LOWER(VLOOKUP(A424, Data1_Raw_Slack!A:B, 2, FALSE)), ""law|government|""), ""Law and Government"",
  TRUE, ""Other""
)"),"Entertainment")</f>
        <v>Entertainment</v>
      </c>
      <c r="G424" s="9" t="s">
        <v>69</v>
      </c>
      <c r="H424" s="9" t="s">
        <v>32</v>
      </c>
      <c r="I424" s="9" t="s">
        <v>1566</v>
      </c>
      <c r="J424" s="9" t="s">
        <v>80</v>
      </c>
      <c r="K424" s="9" t="s">
        <v>443</v>
      </c>
      <c r="L424" s="9" t="s">
        <v>72</v>
      </c>
      <c r="M424" s="10" t="s">
        <v>1567</v>
      </c>
      <c r="N424" s="9" t="str">
        <f ca="1">IFERROR(__xludf.DUMMYFUNCTION("REGEXEXTRACT(LOWER(M424), ""([a-z0-9\-]+)\.(?:co|net|org|io|gg)"")"),"nbcchicago")</f>
        <v>nbcchicago</v>
      </c>
      <c r="O424" s="9" t="s">
        <v>50</v>
      </c>
      <c r="P424" s="9" t="s">
        <v>39</v>
      </c>
      <c r="Q424" s="9">
        <v>7248</v>
      </c>
      <c r="R424" s="9">
        <v>10</v>
      </c>
      <c r="S424" s="9">
        <v>3988</v>
      </c>
      <c r="T424" s="9">
        <v>6863</v>
      </c>
      <c r="U424" s="9">
        <v>7</v>
      </c>
      <c r="V424" s="11">
        <v>1247</v>
      </c>
      <c r="W424" s="12">
        <f t="shared" si="7"/>
        <v>178.14285714285714</v>
      </c>
      <c r="X424" s="12">
        <f t="shared" si="8"/>
        <v>0.13796909492273732</v>
      </c>
      <c r="Y424" s="12">
        <f t="shared" si="9"/>
        <v>55.022075055187635</v>
      </c>
      <c r="Z424" s="12">
        <f t="shared" si="10"/>
        <v>312.68806419257771</v>
      </c>
      <c r="AA424" s="12">
        <f t="shared" si="11"/>
        <v>172.04746136865342</v>
      </c>
      <c r="AB424" s="12">
        <f t="shared" si="12"/>
        <v>124.7</v>
      </c>
      <c r="AC424" s="12">
        <f t="shared" si="13"/>
        <v>70</v>
      </c>
      <c r="AE424" s="13"/>
      <c r="AF424" s="13"/>
    </row>
    <row r="425" spans="1:32">
      <c r="A425" s="8" t="s">
        <v>1568</v>
      </c>
      <c r="B425" s="9" t="s">
        <v>198</v>
      </c>
      <c r="C425" s="9" t="s">
        <v>1533</v>
      </c>
      <c r="D425" s="9"/>
      <c r="E425" s="9"/>
      <c r="F425" s="9" t="str">
        <f ca="1">IFERROR(__xludf.DUMMYFUNCTION("IFS(
  REGEXMATCH(LOWER(VLOOKUP(A425, Data1_Raw_Slack!A:B, 2, FALSE)), ""news|weather""), ""News and Weather"", REGEXMATCH(LOWER(VLOOKUP(A425, Data1_Raw_Slack!A:B, 2, FALSE)), ""sports|ufc|nba|nfl|mlb|soccer|sports fans""), ""Sports"",
  REGEXMATCH(LOWER("&amp;"VLOOKUP(A425, Data1_Raw_Slack!A:B, 2, FALSE)), ""fashion|style|clothing|apparel|shoes|accessories|beauty|cosmetics|fashionistas""), ""Fashion and Beauty"",
  REGEXMATCH(LOWER(VLOOKUP(A425, Data1_Raw_Slack!A:B, 2, FALSE)), ""food|cooking|recipe|restaurant|"&amp;"snack|grocery|foodies""), ""Food"",
  REGEXMATCH(LOWER(VLOOKUP(A425, Data1_Raw_Slack!A:B, 2, FALSE)), ""travel|vacation|airline|hotel|trip|flights|travelers""), ""Travel"",
  REGEXMATCH(LOWER(VLOOKUP(A425, Data1_Raw_Slack!A:B, 2, FALSE)), ""fitness|workou"&amp;"t|gym|exercise|yoga|wellness|fitness enthusiasts""), ""Fitness"",
  REGEXMATCH(LOWER(VLOOKUP(A425, Data1_Raw_Slack!A:B, 2, FALSE)), ""health|medical|pharmacy|mental health|doctor|health-conscious""), ""Health"",
  REGEXMATCH(LOWER(VLOOKUP(A425, Data1_Raw_"&amp;"Slack!A:B, 2, FALSE)), ""pets|dogs|cats|animals|pet care|pet lovers""), ""Pets"",
  REGEXMATCH(LOWER(VLOOKUP(A425, Data1_Raw_Slack!A:B, 2, FALSE)), ""games|gaming|game|xbox|playstation|nintendo|gamers""), ""Gaming"",
  REGEXMATCH(LOWER(VLOOKUP(A425, Data1"&amp;"_Raw_Slack!A:B, 2, FALSE)), ""entertainment|movies|tv|netflix|streaming|celebrity|movie lovers|tv fans|hobb|photo|art""), ""Entertainment"",
  REGEXMATCH(LOWER(VLOOKUP(A425, Data1_Raw_Slack!A:B, 2, FALSE)), ""lifestyle|home|interior|decor|living|lifestyle"&amp;" enthusiasts""), ""Lifestyle"",
  REGEXMATCH(LOWER(VLOOKUP(A425, Data1_Raw_Slack!A:B, 2, FALSE)), ""financial|finance|investing|stocks|retirement|banking|credit|debt|loans|savings|personal finance|insurance|econ|ecom|business|retail|occupation|sale|job|ma"&amp;"rketing""), ""Finance"",
  REGEXMATCH(LOWER(VLOOKUP(A425, Data1_Raw_Slack!A:B, 2, FALSE)), ""auto|automotive""), ""Auto"",
  REGEXMATCH(LOWER(VLOOKUP(A425, Data1_Raw_Slack!A:B, 2, FALSE)), ""parenting|moms|dads|kids|toddlers|baby|parent|children""), ""Par"&amp;"enting"",
  REGEXMATCH(LOWER(VLOOKUP(A425, Data1_Raw_Slack!A:B, 2, FALSE)), ""education|students|learning|school|teachers|college|university|academics""), ""Education"",
  REGEXMATCH(LOWER(VLOOKUP(A425, Data1_Raw_Slack!A:B, 2, FALSE)), ""age|gender|dem"&amp;"ographic|family|household""), ""Demographics"",
  REGEXMATCH(LOWER(VLOOKUP(A425, Data1_Raw_Slack!A:B, 2, FALSE)), ""mortgage|real estate""), ""Real Estate"",REGEXMATCH(LOWER(VLOOKUP(A425, Data1_Raw_Slack!A:B, 2, FALSE)), ""technology|tech|gadgets|smartpho"&amp;"ne|electro|apps|devices|computing|ai|robots|software|computer|internet|tele|mobile|tablet""), ""Technology"", REGEXMATCH(LOWER(VLOOKUP(A425, Data1_Raw_Slack!A:B, 2, FALSE)), ""entertainment|purchas|movies|tv|netflix|streaming|celebrity|movie lovers|tv fan"&amp;"s|media|hobb|photo|art|shop""), ""Entertainment"", REGEXMATCH(LOWER(VLOOKUP(A425, Data1_Raw_Slack!A:B, 2, FALSE)), ""law|government|""), ""Law and Government"",
  TRUE, ""Other""
)"),"Finance")</f>
        <v>Finance</v>
      </c>
      <c r="G425" s="9" t="s">
        <v>127</v>
      </c>
      <c r="H425" s="9" t="s">
        <v>44</v>
      </c>
      <c r="I425" s="9" t="s">
        <v>1569</v>
      </c>
      <c r="J425" s="9" t="s">
        <v>34</v>
      </c>
      <c r="K425" s="9" t="s">
        <v>56</v>
      </c>
      <c r="L425" s="9" t="s">
        <v>57</v>
      </c>
      <c r="M425" s="10" t="s">
        <v>1570</v>
      </c>
      <c r="N425" s="9" t="str">
        <f ca="1">IFERROR(__xludf.DUMMYFUNCTION("REGEXEXTRACT(LOWER(M425), ""([a-z0-9\-]+)\.(?:co|net|org|io|gg)"")"),"androidpolice")</f>
        <v>androidpolice</v>
      </c>
      <c r="O425" s="9" t="s">
        <v>819</v>
      </c>
      <c r="P425" s="9" t="s">
        <v>64</v>
      </c>
      <c r="Q425" s="9">
        <v>11668</v>
      </c>
      <c r="R425" s="9">
        <v>110</v>
      </c>
      <c r="S425" s="9">
        <v>7860</v>
      </c>
      <c r="T425" s="9">
        <v>11009</v>
      </c>
      <c r="U425" s="9">
        <v>5</v>
      </c>
      <c r="V425" s="11">
        <v>2653.9815789999998</v>
      </c>
      <c r="W425" s="12">
        <f t="shared" si="7"/>
        <v>530.7963158</v>
      </c>
      <c r="X425" s="12">
        <f t="shared" si="8"/>
        <v>0.94274940006856356</v>
      </c>
      <c r="Y425" s="12">
        <f t="shared" si="9"/>
        <v>67.363729859444632</v>
      </c>
      <c r="Z425" s="12">
        <f t="shared" si="10"/>
        <v>337.65668944020354</v>
      </c>
      <c r="AA425" s="12">
        <f t="shared" si="11"/>
        <v>227.45814012684264</v>
      </c>
      <c r="AB425" s="12">
        <f t="shared" si="12"/>
        <v>24.127105263636363</v>
      </c>
      <c r="AC425" s="12">
        <f t="shared" si="13"/>
        <v>4.5454545454545459</v>
      </c>
      <c r="AE425" s="13"/>
      <c r="AF425" s="13"/>
    </row>
    <row r="426" spans="1:32">
      <c r="A426" s="8" t="s">
        <v>1571</v>
      </c>
      <c r="B426" s="9" t="s">
        <v>41</v>
      </c>
      <c r="C426" s="9" t="s">
        <v>214</v>
      </c>
      <c r="D426" s="9" t="s">
        <v>326</v>
      </c>
      <c r="E426" s="9" t="s">
        <v>1572</v>
      </c>
      <c r="F426" s="9" t="str">
        <f ca="1">IFERROR(__xludf.DUMMYFUNCTION("IFS(
  REGEXMATCH(LOWER(VLOOKUP(A426, Data1_Raw_Slack!A:B, 2, FALSE)), ""news|weather""), ""News and Weather"", REGEXMATCH(LOWER(VLOOKUP(A426, Data1_Raw_Slack!A:B, 2, FALSE)), ""sports|ufc|nba|nfl|mlb|soccer|sports fans""), ""Sports"",
  REGEXMATCH(LOWER("&amp;"VLOOKUP(A426, Data1_Raw_Slack!A:B, 2, FALSE)), ""fashion|style|clothing|apparel|shoes|accessories|beauty|cosmetics|fashionistas""), ""Fashion and Beauty"",
  REGEXMATCH(LOWER(VLOOKUP(A426, Data1_Raw_Slack!A:B, 2, FALSE)), ""food|cooking|recipe|restaurant|"&amp;"snack|grocery|foodies""), ""Food"",
  REGEXMATCH(LOWER(VLOOKUP(A426, Data1_Raw_Slack!A:B, 2, FALSE)), ""travel|vacation|airline|hotel|trip|flights|travelers""), ""Travel"",
  REGEXMATCH(LOWER(VLOOKUP(A426, Data1_Raw_Slack!A:B, 2, FALSE)), ""fitness|workou"&amp;"t|gym|exercise|yoga|wellness|fitness enthusiasts""), ""Fitness"",
  REGEXMATCH(LOWER(VLOOKUP(A426, Data1_Raw_Slack!A:B, 2, FALSE)), ""health|medical|pharmacy|mental health|doctor|health-conscious""), ""Health"",
  REGEXMATCH(LOWER(VLOOKUP(A426, Data1_Raw_"&amp;"Slack!A:B, 2, FALSE)), ""pets|dogs|cats|animals|pet care|pet lovers""), ""Pets"",
  REGEXMATCH(LOWER(VLOOKUP(A426, Data1_Raw_Slack!A:B, 2, FALSE)), ""games|gaming|game|xbox|playstation|nintendo|gamers""), ""Gaming"",
  REGEXMATCH(LOWER(VLOOKUP(A426, Data1"&amp;"_Raw_Slack!A:B, 2, FALSE)), ""entertainment|movies|tv|netflix|streaming|celebrity|movie lovers|tv fans|hobb|photo|art""), ""Entertainment"",
  REGEXMATCH(LOWER(VLOOKUP(A426, Data1_Raw_Slack!A:B, 2, FALSE)), ""lifestyle|home|interior|decor|living|lifestyle"&amp;" enthusiasts""), ""Lifestyle"",
  REGEXMATCH(LOWER(VLOOKUP(A426, Data1_Raw_Slack!A:B, 2, FALSE)), ""financial|finance|investing|stocks|retirement|banking|credit|debt|loans|savings|personal finance|insurance|econ|ecom|business|retail|occupation|sale|job|ma"&amp;"rketing""), ""Finance"",
  REGEXMATCH(LOWER(VLOOKUP(A426, Data1_Raw_Slack!A:B, 2, FALSE)), ""auto|automotive""), ""Auto"",
  REGEXMATCH(LOWER(VLOOKUP(A426, Data1_Raw_Slack!A:B, 2, FALSE)), ""parenting|moms|dads|kids|toddlers|baby|parent|children""), ""Par"&amp;"enting"",
  REGEXMATCH(LOWER(VLOOKUP(A426, Data1_Raw_Slack!A:B, 2, FALSE)), ""education|students|learning|school|teachers|college|university|academics""), ""Education"",
  REGEXMATCH(LOWER(VLOOKUP(A426, Data1_Raw_Slack!A:B, 2, FALSE)), ""age|gender|dem"&amp;"ographic|family|household""), ""Demographics"",
  REGEXMATCH(LOWER(VLOOKUP(A426, Data1_Raw_Slack!A:B, 2, FALSE)), ""mortgage|real estate""), ""Real Estate"",REGEXMATCH(LOWER(VLOOKUP(A426, Data1_Raw_Slack!A:B, 2, FALSE)), ""technology|tech|gadgets|smartpho"&amp;"ne|electro|apps|devices|computing|ai|robots|software|computer|internet|tele|mobile|tablet""), ""Technology"", REGEXMATCH(LOWER(VLOOKUP(A426, Data1_Raw_Slack!A:B, 2, FALSE)), ""entertainment|purchas|movies|tv|netflix|streaming|celebrity|movie lovers|tv fan"&amp;"s|media|hobb|photo|art|shop""), ""Entertainment"", REGEXMATCH(LOWER(VLOOKUP(A426, Data1_Raw_Slack!A:B, 2, FALSE)), ""law|government|""), ""Law and Government"",
  TRUE, ""Other""
)"),"Demographics")</f>
        <v>Demographics</v>
      </c>
      <c r="G426" s="9"/>
      <c r="H426" s="9" t="s">
        <v>44</v>
      </c>
      <c r="I426" s="9" t="s">
        <v>1573</v>
      </c>
      <c r="J426" s="9" t="s">
        <v>62</v>
      </c>
      <c r="K426" s="9" t="s">
        <v>274</v>
      </c>
      <c r="L426" s="9" t="s">
        <v>48</v>
      </c>
      <c r="M426" s="10" t="s">
        <v>37</v>
      </c>
      <c r="N426" s="9" t="str">
        <f ca="1">IFERROR(__xludf.DUMMYFUNCTION("REGEXEXTRACT(LOWER(M426), ""([a-z0-9\-]+)\.(?:co|net|org|io|gg)"")"),"cars")</f>
        <v>cars</v>
      </c>
      <c r="O426" s="9" t="s">
        <v>74</v>
      </c>
      <c r="P426" s="9" t="s">
        <v>75</v>
      </c>
      <c r="Q426" s="9">
        <v>48562</v>
      </c>
      <c r="R426" s="9">
        <v>150</v>
      </c>
      <c r="S426" s="9">
        <v>29108</v>
      </c>
      <c r="T426" s="9">
        <v>45570</v>
      </c>
      <c r="U426" s="9">
        <v>11</v>
      </c>
      <c r="V426" s="11">
        <v>6346.6330239999998</v>
      </c>
      <c r="W426" s="12">
        <f t="shared" si="7"/>
        <v>576.96663854545454</v>
      </c>
      <c r="X426" s="12">
        <f t="shared" si="8"/>
        <v>0.30888348914789338</v>
      </c>
      <c r="Y426" s="12">
        <f t="shared" si="9"/>
        <v>59.939870680779208</v>
      </c>
      <c r="Z426" s="12">
        <f t="shared" si="10"/>
        <v>218.03741321973342</v>
      </c>
      <c r="AA426" s="12">
        <f t="shared" si="11"/>
        <v>130.69134351962438</v>
      </c>
      <c r="AB426" s="12">
        <f t="shared" si="12"/>
        <v>42.310886826666668</v>
      </c>
      <c r="AC426" s="12">
        <f t="shared" si="13"/>
        <v>7.333333333333333</v>
      </c>
      <c r="AE426" s="13"/>
      <c r="AF426" s="13"/>
    </row>
    <row r="427" spans="1:32">
      <c r="A427" s="8" t="s">
        <v>1574</v>
      </c>
      <c r="B427" s="9" t="s">
        <v>41</v>
      </c>
      <c r="C427" s="9" t="s">
        <v>214</v>
      </c>
      <c r="D427" s="9" t="s">
        <v>326</v>
      </c>
      <c r="E427" s="9" t="s">
        <v>1575</v>
      </c>
      <c r="F427" s="9" t="str">
        <f ca="1">IFERROR(__xludf.DUMMYFUNCTION("IFS(
  REGEXMATCH(LOWER(VLOOKUP(A427, Data1_Raw_Slack!A:B, 2, FALSE)), ""news|weather""), ""News and Weather"", REGEXMATCH(LOWER(VLOOKUP(A427, Data1_Raw_Slack!A:B, 2, FALSE)), ""sports|ufc|nba|nfl|mlb|soccer|sports fans""), ""Sports"",
  REGEXMATCH(LOWER("&amp;"VLOOKUP(A427, Data1_Raw_Slack!A:B, 2, FALSE)), ""fashion|style|clothing|apparel|shoes|accessories|beauty|cosmetics|fashionistas""), ""Fashion and Beauty"",
  REGEXMATCH(LOWER(VLOOKUP(A427, Data1_Raw_Slack!A:B, 2, FALSE)), ""food|cooking|recipe|restaurant|"&amp;"snack|grocery|foodies""), ""Food"",
  REGEXMATCH(LOWER(VLOOKUP(A427, Data1_Raw_Slack!A:B, 2, FALSE)), ""travel|vacation|airline|hotel|trip|flights|travelers""), ""Travel"",
  REGEXMATCH(LOWER(VLOOKUP(A427, Data1_Raw_Slack!A:B, 2, FALSE)), ""fitness|workou"&amp;"t|gym|exercise|yoga|wellness|fitness enthusiasts""), ""Fitness"",
  REGEXMATCH(LOWER(VLOOKUP(A427, Data1_Raw_Slack!A:B, 2, FALSE)), ""health|medical|pharmacy|mental health|doctor|health-conscious""), ""Health"",
  REGEXMATCH(LOWER(VLOOKUP(A427, Data1_Raw_"&amp;"Slack!A:B, 2, FALSE)), ""pets|dogs|cats|animals|pet care|pet lovers""), ""Pets"",
  REGEXMATCH(LOWER(VLOOKUP(A427, Data1_Raw_Slack!A:B, 2, FALSE)), ""games|gaming|game|xbox|playstation|nintendo|gamers""), ""Gaming"",
  REGEXMATCH(LOWER(VLOOKUP(A427, Data1"&amp;"_Raw_Slack!A:B, 2, FALSE)), ""entertainment|movies|tv|netflix|streaming|celebrity|movie lovers|tv fans|hobb|photo|art""), ""Entertainment"",
  REGEXMATCH(LOWER(VLOOKUP(A427, Data1_Raw_Slack!A:B, 2, FALSE)), ""lifestyle|home|interior|decor|living|lifestyle"&amp;" enthusiasts""), ""Lifestyle"",
  REGEXMATCH(LOWER(VLOOKUP(A427, Data1_Raw_Slack!A:B, 2, FALSE)), ""financial|finance|investing|stocks|retirement|banking|credit|debt|loans|savings|personal finance|insurance|econ|ecom|business|retail|occupation|sale|job|ma"&amp;"rketing""), ""Finance"",
  REGEXMATCH(LOWER(VLOOKUP(A427, Data1_Raw_Slack!A:B, 2, FALSE)), ""auto|automotive""), ""Auto"",
  REGEXMATCH(LOWER(VLOOKUP(A427, Data1_Raw_Slack!A:B, 2, FALSE)), ""parenting|moms|dads|kids|toddlers|baby|parent|children""), ""Par"&amp;"enting"",
  REGEXMATCH(LOWER(VLOOKUP(A427, Data1_Raw_Slack!A:B, 2, FALSE)), ""education|students|learning|school|teachers|college|university|academics""), ""Education"",
  REGEXMATCH(LOWER(VLOOKUP(A427, Data1_Raw_Slack!A:B, 2, FALSE)), ""age|gender|dem"&amp;"ographic|family|household""), ""Demographics"",
  REGEXMATCH(LOWER(VLOOKUP(A427, Data1_Raw_Slack!A:B, 2, FALSE)), ""mortgage|real estate""), ""Real Estate"",REGEXMATCH(LOWER(VLOOKUP(A427, Data1_Raw_Slack!A:B, 2, FALSE)), ""technology|tech|gadgets|smartpho"&amp;"ne|electro|apps|devices|computing|ai|robots|software|computer|internet|tele|mobile|tablet""), ""Technology"", REGEXMATCH(LOWER(VLOOKUP(A427, Data1_Raw_Slack!A:B, 2, FALSE)), ""entertainment|purchas|movies|tv|netflix|streaming|celebrity|movie lovers|tv fan"&amp;"s|media|hobb|photo|art|shop""), ""Entertainment"", REGEXMATCH(LOWER(VLOOKUP(A427, Data1_Raw_Slack!A:B, 2, FALSE)), ""law|government|""), ""Law and Government"",
  TRUE, ""Other""
)"),"Demographics")</f>
        <v>Demographics</v>
      </c>
      <c r="G427" s="9"/>
      <c r="H427" s="9" t="s">
        <v>32</v>
      </c>
      <c r="I427" s="9" t="s">
        <v>628</v>
      </c>
      <c r="J427" s="9" t="s">
        <v>62</v>
      </c>
      <c r="K427" s="9" t="s">
        <v>633</v>
      </c>
      <c r="L427" s="9" t="s">
        <v>72</v>
      </c>
      <c r="M427" s="10" t="s">
        <v>323</v>
      </c>
      <c r="N427" s="9" t="str">
        <f ca="1">IFERROR(__xludf.DUMMYFUNCTION("REGEXEXTRACT(LOWER(M427), ""([a-z0-9\-]+)\.(?:co|net|org|io|gg)"")"),"lotterypost")</f>
        <v>lotterypost</v>
      </c>
      <c r="O427" s="9" t="s">
        <v>157</v>
      </c>
      <c r="P427" s="9" t="s">
        <v>39</v>
      </c>
      <c r="Q427" s="9">
        <v>190592</v>
      </c>
      <c r="R427" s="9">
        <v>601</v>
      </c>
      <c r="S427" s="9">
        <v>28906</v>
      </c>
      <c r="T427" s="9">
        <v>172515</v>
      </c>
      <c r="U427" s="9">
        <v>25</v>
      </c>
      <c r="V427" s="11">
        <v>4742.0477659999997</v>
      </c>
      <c r="W427" s="12">
        <f t="shared" si="7"/>
        <v>189.68191063999998</v>
      </c>
      <c r="X427" s="12">
        <f t="shared" si="8"/>
        <v>0.31533327736736066</v>
      </c>
      <c r="Y427" s="12">
        <f t="shared" si="9"/>
        <v>15.166428811282739</v>
      </c>
      <c r="Z427" s="12">
        <f t="shared" si="10"/>
        <v>164.05063882930878</v>
      </c>
      <c r="AA427" s="12">
        <f t="shared" si="11"/>
        <v>24.880623352501679</v>
      </c>
      <c r="AB427" s="12">
        <f t="shared" si="12"/>
        <v>7.8902625058236264</v>
      </c>
      <c r="AC427" s="12">
        <f t="shared" si="13"/>
        <v>4.1597337770382694</v>
      </c>
      <c r="AE427" s="13"/>
      <c r="AF427" s="13"/>
    </row>
    <row r="428" spans="1:32">
      <c r="A428" s="8" t="s">
        <v>1576</v>
      </c>
      <c r="B428" s="9" t="s">
        <v>41</v>
      </c>
      <c r="C428" s="9" t="s">
        <v>661</v>
      </c>
      <c r="D428" s="9" t="s">
        <v>1577</v>
      </c>
      <c r="E428" s="9"/>
      <c r="F428" s="9" t="str">
        <f ca="1">IFERROR(__xludf.DUMMYFUNCTION("IFS(
  REGEXMATCH(LOWER(VLOOKUP(A428, Data1_Raw_Slack!A:B, 2, FALSE)), ""news|weather""), ""News and Weather"", REGEXMATCH(LOWER(VLOOKUP(A428, Data1_Raw_Slack!A:B, 2, FALSE)), ""sports|ufc|nba|nfl|mlb|soccer|sports fans""), ""Sports"",
  REGEXMATCH(LOWER("&amp;"VLOOKUP(A428, Data1_Raw_Slack!A:B, 2, FALSE)), ""fashion|style|clothing|apparel|shoes|accessories|beauty|cosmetics|fashionistas""), ""Fashion and Beauty"",
  REGEXMATCH(LOWER(VLOOKUP(A428, Data1_Raw_Slack!A:B, 2, FALSE)), ""food|cooking|recipe|restaurant|"&amp;"snack|grocery|foodies""), ""Food"",
  REGEXMATCH(LOWER(VLOOKUP(A428, Data1_Raw_Slack!A:B, 2, FALSE)), ""travel|vacation|airline|hotel|trip|flights|travelers""), ""Travel"",
  REGEXMATCH(LOWER(VLOOKUP(A428, Data1_Raw_Slack!A:B, 2, FALSE)), ""fitness|workou"&amp;"t|gym|exercise|yoga|wellness|fitness enthusiasts""), ""Fitness"",
  REGEXMATCH(LOWER(VLOOKUP(A428, Data1_Raw_Slack!A:B, 2, FALSE)), ""health|medical|pharmacy|mental health|doctor|health-conscious""), ""Health"",
  REGEXMATCH(LOWER(VLOOKUP(A428, Data1_Raw_"&amp;"Slack!A:B, 2, FALSE)), ""pets|dogs|cats|animals|pet care|pet lovers""), ""Pets"",
  REGEXMATCH(LOWER(VLOOKUP(A428, Data1_Raw_Slack!A:B, 2, FALSE)), ""games|gaming|game|xbox|playstation|nintendo|gamers""), ""Gaming"",
  REGEXMATCH(LOWER(VLOOKUP(A428, Data1"&amp;"_Raw_Slack!A:B, 2, FALSE)), ""entertainment|movies|tv|netflix|streaming|celebrity|movie lovers|tv fans|hobb|photo|art""), ""Entertainment"",
  REGEXMATCH(LOWER(VLOOKUP(A428, Data1_Raw_Slack!A:B, 2, FALSE)), ""lifestyle|home|interior|decor|living|lifestyle"&amp;" enthusiasts""), ""Lifestyle"",
  REGEXMATCH(LOWER(VLOOKUP(A428, Data1_Raw_Slack!A:B, 2, FALSE)), ""financial|finance|investing|stocks|retirement|banking|credit|debt|loans|savings|personal finance|insurance|econ|ecom|business|retail|occupation|sale|job|ma"&amp;"rketing""), ""Finance"",
  REGEXMATCH(LOWER(VLOOKUP(A428, Data1_Raw_Slack!A:B, 2, FALSE)), ""auto|automotive""), ""Auto"",
  REGEXMATCH(LOWER(VLOOKUP(A428, Data1_Raw_Slack!A:B, 2, FALSE)), ""parenting|moms|dads|kids|toddlers|baby|parent|children""), ""Par"&amp;"enting"",
  REGEXMATCH(LOWER(VLOOKUP(A428, Data1_Raw_Slack!A:B, 2, FALSE)), ""education|students|learning|school|teachers|college|university|academics""), ""Education"",
  REGEXMATCH(LOWER(VLOOKUP(A428, Data1_Raw_Slack!A:B, 2, FALSE)), ""age|gender|dem"&amp;"ographic|family|household""), ""Demographics"",
  REGEXMATCH(LOWER(VLOOKUP(A428, Data1_Raw_Slack!A:B, 2, FALSE)), ""mortgage|real estate""), ""Real Estate"",REGEXMATCH(LOWER(VLOOKUP(A428, Data1_Raw_Slack!A:B, 2, FALSE)), ""technology|tech|gadgets|smartpho"&amp;"ne|electro|apps|devices|computing|ai|robots|software|computer|internet|tele|mobile|tablet""), ""Technology"", REGEXMATCH(LOWER(VLOOKUP(A428, Data1_Raw_Slack!A:B, 2, FALSE)), ""entertainment|purchas|movies|tv|netflix|streaming|celebrity|movie lovers|tv fan"&amp;"s|media|hobb|photo|art|shop""), ""Entertainment"", REGEXMATCH(LOWER(VLOOKUP(A428, Data1_Raw_Slack!A:B, 2, FALSE)), ""law|government|""), ""Law and Government"",
  TRUE, ""Other""
)"),"Law and Government")</f>
        <v>Law and Government</v>
      </c>
      <c r="G428" s="9"/>
      <c r="H428" s="9" t="s">
        <v>32</v>
      </c>
      <c r="I428" s="9" t="s">
        <v>307</v>
      </c>
      <c r="J428" s="9" t="s">
        <v>46</v>
      </c>
      <c r="K428" s="9" t="s">
        <v>35</v>
      </c>
      <c r="L428" s="9" t="s">
        <v>36</v>
      </c>
      <c r="M428" s="10" t="s">
        <v>130</v>
      </c>
      <c r="N428" s="9" t="str">
        <f ca="1">IFERROR(__xludf.DUMMYFUNCTION("REGEXEXTRACT(LOWER(M428), ""([a-z0-9\-]+)\.(?:co|net|org|io|gg)"")"),"weather")</f>
        <v>weather</v>
      </c>
      <c r="O428" s="9" t="s">
        <v>50</v>
      </c>
      <c r="P428" s="9" t="s">
        <v>39</v>
      </c>
      <c r="Q428" s="9">
        <v>39844</v>
      </c>
      <c r="R428" s="9">
        <v>99</v>
      </c>
      <c r="S428" s="9">
        <v>11077</v>
      </c>
      <c r="T428" s="9">
        <v>30190</v>
      </c>
      <c r="U428" s="9">
        <v>9</v>
      </c>
      <c r="V428" s="11">
        <v>6367.8699290000004</v>
      </c>
      <c r="W428" s="12">
        <f t="shared" si="7"/>
        <v>707.54110322222232</v>
      </c>
      <c r="X428" s="12">
        <f t="shared" si="8"/>
        <v>0.24846902921393435</v>
      </c>
      <c r="Y428" s="12">
        <f t="shared" si="9"/>
        <v>27.800923602047988</v>
      </c>
      <c r="Z428" s="12">
        <f t="shared" si="10"/>
        <v>574.87315419337369</v>
      </c>
      <c r="AA428" s="12">
        <f t="shared" si="11"/>
        <v>159.82004640598336</v>
      </c>
      <c r="AB428" s="12">
        <f t="shared" si="12"/>
        <v>64.321918474747477</v>
      </c>
      <c r="AC428" s="12">
        <f t="shared" si="13"/>
        <v>9.0909090909090917</v>
      </c>
      <c r="AE428" s="13"/>
      <c r="AF428" s="13"/>
    </row>
    <row r="429" spans="1:32">
      <c r="A429" s="8" t="s">
        <v>1578</v>
      </c>
      <c r="B429" s="9" t="s">
        <v>41</v>
      </c>
      <c r="C429" s="9" t="s">
        <v>193</v>
      </c>
      <c r="D429" s="9" t="s">
        <v>267</v>
      </c>
      <c r="E429" s="9" t="s">
        <v>1579</v>
      </c>
      <c r="F429" s="9" t="str">
        <f ca="1">IFERROR(__xludf.DUMMYFUNCTION("IFS(
  REGEXMATCH(LOWER(VLOOKUP(A429, Data1_Raw_Slack!A:B, 2, FALSE)), ""news|weather""), ""News and Weather"", REGEXMATCH(LOWER(VLOOKUP(A429, Data1_Raw_Slack!A:B, 2, FALSE)), ""sports|ufc|nba|nfl|mlb|soccer|sports fans""), ""Sports"",
  REGEXMATCH(LOWER("&amp;"VLOOKUP(A429, Data1_Raw_Slack!A:B, 2, FALSE)), ""fashion|style|clothing|apparel|shoes|accessories|beauty|cosmetics|fashionistas""), ""Fashion and Beauty"",
  REGEXMATCH(LOWER(VLOOKUP(A429, Data1_Raw_Slack!A:B, 2, FALSE)), ""food|cooking|recipe|restaurant|"&amp;"snack|grocery|foodies""), ""Food"",
  REGEXMATCH(LOWER(VLOOKUP(A429, Data1_Raw_Slack!A:B, 2, FALSE)), ""travel|vacation|airline|hotel|trip|flights|travelers""), ""Travel"",
  REGEXMATCH(LOWER(VLOOKUP(A429, Data1_Raw_Slack!A:B, 2, FALSE)), ""fitness|workou"&amp;"t|gym|exercise|yoga|wellness|fitness enthusiasts""), ""Fitness"",
  REGEXMATCH(LOWER(VLOOKUP(A429, Data1_Raw_Slack!A:B, 2, FALSE)), ""health|medical|pharmacy|mental health|doctor|health-conscious""), ""Health"",
  REGEXMATCH(LOWER(VLOOKUP(A429, Data1_Raw_"&amp;"Slack!A:B, 2, FALSE)), ""pets|dogs|cats|animals|pet care|pet lovers""), ""Pets"",
  REGEXMATCH(LOWER(VLOOKUP(A429, Data1_Raw_Slack!A:B, 2, FALSE)), ""games|gaming|game|xbox|playstation|nintendo|gamers""), ""Gaming"",
  REGEXMATCH(LOWER(VLOOKUP(A429, Data1"&amp;"_Raw_Slack!A:B, 2, FALSE)), ""entertainment|movies|tv|netflix|streaming|celebrity|movie lovers|tv fans|hobb|photo|art""), ""Entertainment"",
  REGEXMATCH(LOWER(VLOOKUP(A429, Data1_Raw_Slack!A:B, 2, FALSE)), ""lifestyle|home|interior|decor|living|lifestyle"&amp;" enthusiasts""), ""Lifestyle"",
  REGEXMATCH(LOWER(VLOOKUP(A429, Data1_Raw_Slack!A:B, 2, FALSE)), ""financial|finance|investing|stocks|retirement|banking|credit|debt|loans|savings|personal finance|insurance|econ|ecom|business|retail|occupation|sale|job|ma"&amp;"rketing""), ""Finance"",
  REGEXMATCH(LOWER(VLOOKUP(A429, Data1_Raw_Slack!A:B, 2, FALSE)), ""auto|automotive""), ""Auto"",
  REGEXMATCH(LOWER(VLOOKUP(A429, Data1_Raw_Slack!A:B, 2, FALSE)), ""parenting|moms|dads|kids|toddlers|baby|parent|children""), ""Par"&amp;"enting"",
  REGEXMATCH(LOWER(VLOOKUP(A429, Data1_Raw_Slack!A:B, 2, FALSE)), ""education|students|learning|school|teachers|college|university|academics""), ""Education"",
  REGEXMATCH(LOWER(VLOOKUP(A429, Data1_Raw_Slack!A:B, 2, FALSE)), ""age|gender|dem"&amp;"ographic|family|household""), ""Demographics"",
  REGEXMATCH(LOWER(VLOOKUP(A429, Data1_Raw_Slack!A:B, 2, FALSE)), ""mortgage|real estate""), ""Real Estate"",REGEXMATCH(LOWER(VLOOKUP(A429, Data1_Raw_Slack!A:B, 2, FALSE)), ""technology|tech|gadgets|smartpho"&amp;"ne|electro|apps|devices|computing|ai|robots|software|computer|internet|tele|mobile|tablet""), ""Technology"", REGEXMATCH(LOWER(VLOOKUP(A429, Data1_Raw_Slack!A:B, 2, FALSE)), ""entertainment|purchas|movies|tv|netflix|streaming|celebrity|movie lovers|tv fan"&amp;"s|media|hobb|photo|art|shop""), ""Entertainment"", REGEXMATCH(LOWER(VLOOKUP(A429, Data1_Raw_Slack!A:B, 2, FALSE)), ""law|government|""), ""Law and Government"",
  TRUE, ""Other""
)"),"Entertainment")</f>
        <v>Entertainment</v>
      </c>
      <c r="G429" s="9" t="s">
        <v>69</v>
      </c>
      <c r="H429" s="9" t="s">
        <v>123</v>
      </c>
      <c r="I429" s="9" t="s">
        <v>397</v>
      </c>
      <c r="J429" s="9" t="s">
        <v>46</v>
      </c>
      <c r="K429" s="9" t="s">
        <v>236</v>
      </c>
      <c r="L429" s="9" t="s">
        <v>82</v>
      </c>
      <c r="M429" s="10" t="s">
        <v>1580</v>
      </c>
      <c r="N429" s="9" t="str">
        <f ca="1">IFERROR(__xludf.DUMMYFUNCTION("REGEXEXTRACT(LOWER(M429), ""([a-z0-9\-]+)\.(?:co|net|org|io|gg)"")"),"usssa")</f>
        <v>usssa</v>
      </c>
      <c r="O429" s="9" t="s">
        <v>50</v>
      </c>
      <c r="P429" s="9" t="s">
        <v>39</v>
      </c>
      <c r="Q429" s="15">
        <v>446774</v>
      </c>
      <c r="R429" s="9">
        <v>951</v>
      </c>
      <c r="S429" s="15">
        <v>196581</v>
      </c>
      <c r="T429" s="15">
        <v>379758</v>
      </c>
      <c r="U429" s="9">
        <v>33</v>
      </c>
      <c r="V429" s="11">
        <v>6956.6273659999997</v>
      </c>
      <c r="W429" s="12">
        <f t="shared" si="7"/>
        <v>210.80688987878787</v>
      </c>
      <c r="X429" s="12">
        <f t="shared" si="8"/>
        <v>0.21285929798958758</v>
      </c>
      <c r="Y429" s="12">
        <f t="shared" si="9"/>
        <v>44.000098483797181</v>
      </c>
      <c r="Z429" s="12">
        <f t="shared" si="10"/>
        <v>35.388096336878945</v>
      </c>
      <c r="AA429" s="12">
        <f t="shared" si="11"/>
        <v>15.570797239767757</v>
      </c>
      <c r="AB429" s="12">
        <f t="shared" si="12"/>
        <v>7.3150655793901151</v>
      </c>
      <c r="AC429" s="12">
        <f t="shared" si="13"/>
        <v>3.4700315457413247</v>
      </c>
      <c r="AE429" s="13"/>
      <c r="AF429" s="13"/>
    </row>
    <row r="430" spans="1:32">
      <c r="A430" s="8" t="s">
        <v>1581</v>
      </c>
      <c r="B430" s="9" t="s">
        <v>41</v>
      </c>
      <c r="C430" s="9" t="s">
        <v>145</v>
      </c>
      <c r="D430" s="9" t="s">
        <v>337</v>
      </c>
      <c r="E430" s="9"/>
      <c r="F430" s="9" t="str">
        <f ca="1">IFERROR(__xludf.DUMMYFUNCTION("IFS(
  REGEXMATCH(LOWER(VLOOKUP(A430, Data1_Raw_Slack!A:B, 2, FALSE)), ""news|weather""), ""News and Weather"", REGEXMATCH(LOWER(VLOOKUP(A430, Data1_Raw_Slack!A:B, 2, FALSE)), ""sports|ufc|nba|nfl|mlb|soccer|sports fans""), ""Sports"",
  REGEXMATCH(LOWER("&amp;"VLOOKUP(A430, Data1_Raw_Slack!A:B, 2, FALSE)), ""fashion|style|clothing|apparel|shoes|accessories|beauty|cosmetics|fashionistas""), ""Fashion and Beauty"",
  REGEXMATCH(LOWER(VLOOKUP(A430, Data1_Raw_Slack!A:B, 2, FALSE)), ""food|cooking|recipe|restaurant|"&amp;"snack|grocery|foodies""), ""Food"",
  REGEXMATCH(LOWER(VLOOKUP(A430, Data1_Raw_Slack!A:B, 2, FALSE)), ""travel|vacation|airline|hotel|trip|flights|travelers""), ""Travel"",
  REGEXMATCH(LOWER(VLOOKUP(A430, Data1_Raw_Slack!A:B, 2, FALSE)), ""fitness|workou"&amp;"t|gym|exercise|yoga|wellness|fitness enthusiasts""), ""Fitness"",
  REGEXMATCH(LOWER(VLOOKUP(A430, Data1_Raw_Slack!A:B, 2, FALSE)), ""health|medical|pharmacy|mental health|doctor|health-conscious""), ""Health"",
  REGEXMATCH(LOWER(VLOOKUP(A430, Data1_Raw_"&amp;"Slack!A:B, 2, FALSE)), ""pets|dogs|cats|animals|pet care|pet lovers""), ""Pets"",
  REGEXMATCH(LOWER(VLOOKUP(A430, Data1_Raw_Slack!A:B, 2, FALSE)), ""games|gaming|game|xbox|playstation|nintendo|gamers""), ""Gaming"",
  REGEXMATCH(LOWER(VLOOKUP(A430, Data1"&amp;"_Raw_Slack!A:B, 2, FALSE)), ""entertainment|movies|tv|netflix|streaming|celebrity|movie lovers|tv fans|hobb|photo|art""), ""Entertainment"",
  REGEXMATCH(LOWER(VLOOKUP(A430, Data1_Raw_Slack!A:B, 2, FALSE)), ""lifestyle|home|interior|decor|living|lifestyle"&amp;" enthusiasts""), ""Lifestyle"",
  REGEXMATCH(LOWER(VLOOKUP(A430, Data1_Raw_Slack!A:B, 2, FALSE)), ""financial|finance|investing|stocks|retirement|banking|credit|debt|loans|savings|personal finance|insurance|econ|ecom|business|retail|occupation|sale|job|ma"&amp;"rketing""), ""Finance"",
  REGEXMATCH(LOWER(VLOOKUP(A430, Data1_Raw_Slack!A:B, 2, FALSE)), ""auto|automotive""), ""Auto"",
  REGEXMATCH(LOWER(VLOOKUP(A430, Data1_Raw_Slack!A:B, 2, FALSE)), ""parenting|moms|dads|kids|toddlers|baby|parent|children""), ""Par"&amp;"enting"",
  REGEXMATCH(LOWER(VLOOKUP(A430, Data1_Raw_Slack!A:B, 2, FALSE)), ""education|students|learning|school|teachers|college|university|academics""), ""Education"",
  REGEXMATCH(LOWER(VLOOKUP(A430, Data1_Raw_Slack!A:B, 2, FALSE)), ""age|gender|dem"&amp;"ographic|family|household""), ""Demographics"",
  REGEXMATCH(LOWER(VLOOKUP(A430, Data1_Raw_Slack!A:B, 2, FALSE)), ""mortgage|real estate""), ""Real Estate"",REGEXMATCH(LOWER(VLOOKUP(A430, Data1_Raw_Slack!A:B, 2, FALSE)), ""technology|tech|gadgets|smartpho"&amp;"ne|electro|apps|devices|computing|ai|robots|software|computer|internet|tele|mobile|tablet""), ""Technology"", REGEXMATCH(LOWER(VLOOKUP(A430, Data1_Raw_Slack!A:B, 2, FALSE)), ""entertainment|purchas|movies|tv|netflix|streaming|celebrity|movie lovers|tv fan"&amp;"s|media|hobb|photo|art|shop""), ""Entertainment"", REGEXMATCH(LOWER(VLOOKUP(A430, Data1_Raw_Slack!A:B, 2, FALSE)), ""law|government|""), ""Law and Government"",
  TRUE, ""Other""
)"),"News and Weather")</f>
        <v>News and Weather</v>
      </c>
      <c r="G430" s="9" t="s">
        <v>145</v>
      </c>
      <c r="H430" s="9" t="s">
        <v>32</v>
      </c>
      <c r="I430" s="9" t="s">
        <v>721</v>
      </c>
      <c r="J430" s="9" t="s">
        <v>46</v>
      </c>
      <c r="K430" s="9" t="s">
        <v>315</v>
      </c>
      <c r="L430" s="9" t="s">
        <v>36</v>
      </c>
      <c r="M430" s="10" t="s">
        <v>207</v>
      </c>
      <c r="N430" s="9" t="str">
        <f ca="1">IFERROR(__xludf.DUMMYFUNCTION("REGEXEXTRACT(LOWER(M430), ""([a-z0-9\-]+)\.(?:co|net|org|io|gg)"")"),"realtor")</f>
        <v>realtor</v>
      </c>
      <c r="O430" s="9" t="s">
        <v>593</v>
      </c>
      <c r="P430" s="9" t="s">
        <v>39</v>
      </c>
      <c r="Q430" s="9">
        <v>44889</v>
      </c>
      <c r="R430" s="9">
        <v>125</v>
      </c>
      <c r="S430" s="9">
        <v>17477</v>
      </c>
      <c r="T430" s="9">
        <v>38621</v>
      </c>
      <c r="U430" s="9">
        <v>25</v>
      </c>
      <c r="V430" s="11">
        <v>6644.954146</v>
      </c>
      <c r="W430" s="12">
        <f t="shared" si="7"/>
        <v>265.79816584000002</v>
      </c>
      <c r="X430" s="12">
        <f t="shared" si="8"/>
        <v>0.2784646572656998</v>
      </c>
      <c r="Y430" s="12">
        <f t="shared" si="9"/>
        <v>38.933814520261087</v>
      </c>
      <c r="Z430" s="12">
        <f t="shared" si="10"/>
        <v>380.21137186015909</v>
      </c>
      <c r="AA430" s="12">
        <f t="shared" si="11"/>
        <v>148.03079030497449</v>
      </c>
      <c r="AB430" s="12">
        <f t="shared" si="12"/>
        <v>53.159633167999999</v>
      </c>
      <c r="AC430" s="12">
        <f t="shared" si="13"/>
        <v>20</v>
      </c>
      <c r="AE430" s="13"/>
      <c r="AF430" s="13"/>
    </row>
    <row r="431" spans="1:32">
      <c r="A431" s="8" t="s">
        <v>1582</v>
      </c>
      <c r="B431" s="9" t="s">
        <v>41</v>
      </c>
      <c r="C431" s="9" t="s">
        <v>996</v>
      </c>
      <c r="D431" s="9" t="s">
        <v>1583</v>
      </c>
      <c r="E431" s="9"/>
      <c r="F431" s="9" t="str">
        <f ca="1">IFERROR(__xludf.DUMMYFUNCTION("IFS(
  REGEXMATCH(LOWER(VLOOKUP(A431, Data1_Raw_Slack!A:B, 2, FALSE)), ""news|weather""), ""News and Weather"", REGEXMATCH(LOWER(VLOOKUP(A431, Data1_Raw_Slack!A:B, 2, FALSE)), ""sports|ufc|nba|nfl|mlb|soccer|sports fans""), ""Sports"",
  REGEXMATCH(LOWER("&amp;"VLOOKUP(A431, Data1_Raw_Slack!A:B, 2, FALSE)), ""fashion|style|clothing|apparel|shoes|accessories|beauty|cosmetics|fashionistas""), ""Fashion and Beauty"",
  REGEXMATCH(LOWER(VLOOKUP(A431, Data1_Raw_Slack!A:B, 2, FALSE)), ""food|cooking|recipe|restaurant|"&amp;"snack|grocery|foodies""), ""Food"",
  REGEXMATCH(LOWER(VLOOKUP(A431, Data1_Raw_Slack!A:B, 2, FALSE)), ""travel|vacation|airline|hotel|trip|flights|travelers""), ""Travel"",
  REGEXMATCH(LOWER(VLOOKUP(A431, Data1_Raw_Slack!A:B, 2, FALSE)), ""fitness|workou"&amp;"t|gym|exercise|yoga|wellness|fitness enthusiasts""), ""Fitness"",
  REGEXMATCH(LOWER(VLOOKUP(A431, Data1_Raw_Slack!A:B, 2, FALSE)), ""health|medical|pharmacy|mental health|doctor|health-conscious""), ""Health"",
  REGEXMATCH(LOWER(VLOOKUP(A431, Data1_Raw_"&amp;"Slack!A:B, 2, FALSE)), ""pets|dogs|cats|animals|pet care|pet lovers""), ""Pets"",
  REGEXMATCH(LOWER(VLOOKUP(A431, Data1_Raw_Slack!A:B, 2, FALSE)), ""games|gaming|game|xbox|playstation|nintendo|gamers""), ""Gaming"",
  REGEXMATCH(LOWER(VLOOKUP(A431, Data1"&amp;"_Raw_Slack!A:B, 2, FALSE)), ""entertainment|movies|tv|netflix|streaming|celebrity|movie lovers|tv fans|hobb|photo|art""), ""Entertainment"",
  REGEXMATCH(LOWER(VLOOKUP(A431, Data1_Raw_Slack!A:B, 2, FALSE)), ""lifestyle|home|interior|decor|living|lifestyle"&amp;" enthusiasts""), ""Lifestyle"",
  REGEXMATCH(LOWER(VLOOKUP(A431, Data1_Raw_Slack!A:B, 2, FALSE)), ""financial|finance|investing|stocks|retirement|banking|credit|debt|loans|savings|personal finance|insurance|econ|ecom|business|retail|occupation|sale|job|ma"&amp;"rketing""), ""Finance"",
  REGEXMATCH(LOWER(VLOOKUP(A431, Data1_Raw_Slack!A:B, 2, FALSE)), ""auto|automotive""), ""Auto"",
  REGEXMATCH(LOWER(VLOOKUP(A431, Data1_Raw_Slack!A:B, 2, FALSE)), ""parenting|moms|dads|kids|toddlers|baby|parent|children""), ""Par"&amp;"enting"",
  REGEXMATCH(LOWER(VLOOKUP(A431, Data1_Raw_Slack!A:B, 2, FALSE)), ""education|students|learning|school|teachers|college|university|academics""), ""Education"",
  REGEXMATCH(LOWER(VLOOKUP(A431, Data1_Raw_Slack!A:B, 2, FALSE)), ""age|gender|dem"&amp;"ographic|family|household""), ""Demographics"",
  REGEXMATCH(LOWER(VLOOKUP(A431, Data1_Raw_Slack!A:B, 2, FALSE)), ""mortgage|real estate""), ""Real Estate"",REGEXMATCH(LOWER(VLOOKUP(A431, Data1_Raw_Slack!A:B, 2, FALSE)), ""technology|tech|gadgets|smartpho"&amp;"ne|electro|apps|devices|computing|ai|robots|software|computer|internet|tele|mobile|tablet""), ""Technology"", REGEXMATCH(LOWER(VLOOKUP(A431, Data1_Raw_Slack!A:B, 2, FALSE)), ""entertainment|purchas|movies|tv|netflix|streaming|celebrity|movie lovers|tv fan"&amp;"s|media|hobb|photo|art|shop""), ""Entertainment"", REGEXMATCH(LOWER(VLOOKUP(A431, Data1_Raw_Slack!A:B, 2, FALSE)), ""law|government|""), ""Law and Government"",
  TRUE, ""Other""
)"),"Lifestyle")</f>
        <v>Lifestyle</v>
      </c>
      <c r="G431" s="9"/>
      <c r="H431" s="9" t="s">
        <v>32</v>
      </c>
      <c r="I431" s="9" t="s">
        <v>1584</v>
      </c>
      <c r="J431" s="9" t="s">
        <v>34</v>
      </c>
      <c r="K431" s="9" t="s">
        <v>236</v>
      </c>
      <c r="L431" s="9" t="s">
        <v>82</v>
      </c>
      <c r="M431" s="10" t="s">
        <v>166</v>
      </c>
      <c r="N431" s="9" t="str">
        <f ca="1">IFERROR(__xludf.DUMMYFUNCTION("REGEXEXTRACT(LOWER(M431), ""([a-z0-9\-]+)\.(?:co|net|org|io|gg)"")"),"nypost")</f>
        <v>nypost</v>
      </c>
      <c r="O431" s="9" t="s">
        <v>50</v>
      </c>
      <c r="P431" s="9" t="s">
        <v>39</v>
      </c>
      <c r="Q431" s="9">
        <v>25377</v>
      </c>
      <c r="R431" s="9">
        <v>101</v>
      </c>
      <c r="S431" s="9">
        <v>16698</v>
      </c>
      <c r="T431" s="9">
        <v>23798</v>
      </c>
      <c r="U431" s="9">
        <v>2</v>
      </c>
      <c r="V431" s="11">
        <v>5175.1429189999999</v>
      </c>
      <c r="W431" s="12">
        <f t="shared" si="7"/>
        <v>2587.5714594999999</v>
      </c>
      <c r="X431" s="12">
        <f t="shared" si="8"/>
        <v>0.39799818733498832</v>
      </c>
      <c r="Y431" s="12">
        <f t="shared" si="9"/>
        <v>65.799739921976595</v>
      </c>
      <c r="Z431" s="12">
        <f t="shared" si="10"/>
        <v>309.92591442088872</v>
      </c>
      <c r="AA431" s="12">
        <f t="shared" si="11"/>
        <v>203.93044563975252</v>
      </c>
      <c r="AB431" s="12">
        <f t="shared" si="12"/>
        <v>51.2390388019802</v>
      </c>
      <c r="AC431" s="12">
        <f t="shared" si="13"/>
        <v>1.9801980198019802</v>
      </c>
      <c r="AE431" s="13"/>
      <c r="AF431" s="13"/>
    </row>
    <row r="432" spans="1:32">
      <c r="A432" s="8" t="s">
        <v>1585</v>
      </c>
      <c r="B432" s="9" t="s">
        <v>378</v>
      </c>
      <c r="C432" s="9" t="s">
        <v>1586</v>
      </c>
      <c r="D432" s="9" t="s">
        <v>1587</v>
      </c>
      <c r="E432" s="9"/>
      <c r="F432" s="9" t="str">
        <f ca="1">IFERROR(__xludf.DUMMYFUNCTION("IFS(
  REGEXMATCH(LOWER(VLOOKUP(A432, Data1_Raw_Slack!A:B, 2, FALSE)), ""news|weather""), ""News and Weather"", REGEXMATCH(LOWER(VLOOKUP(A432, Data1_Raw_Slack!A:B, 2, FALSE)), ""sports|ufc|nba|nfl|mlb|soccer|sports fans""), ""Sports"",
  REGEXMATCH(LOWER("&amp;"VLOOKUP(A432, Data1_Raw_Slack!A:B, 2, FALSE)), ""fashion|style|clothing|apparel|shoes|accessories|beauty|cosmetics|fashionistas""), ""Fashion and Beauty"",
  REGEXMATCH(LOWER(VLOOKUP(A432, Data1_Raw_Slack!A:B, 2, FALSE)), ""food|cooking|recipe|restaurant|"&amp;"snack|grocery|foodies""), ""Food"",
  REGEXMATCH(LOWER(VLOOKUP(A432, Data1_Raw_Slack!A:B, 2, FALSE)), ""travel|vacation|airline|hotel|trip|flights|travelers""), ""Travel"",
  REGEXMATCH(LOWER(VLOOKUP(A432, Data1_Raw_Slack!A:B, 2, FALSE)), ""fitness|workou"&amp;"t|gym|exercise|yoga|wellness|fitness enthusiasts""), ""Fitness"",
  REGEXMATCH(LOWER(VLOOKUP(A432, Data1_Raw_Slack!A:B, 2, FALSE)), ""health|medical|pharmacy|mental health|doctor|health-conscious""), ""Health"",
  REGEXMATCH(LOWER(VLOOKUP(A432, Data1_Raw_"&amp;"Slack!A:B, 2, FALSE)), ""pets|dogs|cats|animals|pet care|pet lovers""), ""Pets"",
  REGEXMATCH(LOWER(VLOOKUP(A432, Data1_Raw_Slack!A:B, 2, FALSE)), ""games|gaming|game|xbox|playstation|nintendo|gamers""), ""Gaming"",
  REGEXMATCH(LOWER(VLOOKUP(A432, Data1"&amp;"_Raw_Slack!A:B, 2, FALSE)), ""entertainment|movies|tv|netflix|streaming|celebrity|movie lovers|tv fans|hobb|photo|art""), ""Entertainment"",
  REGEXMATCH(LOWER(VLOOKUP(A432, Data1_Raw_Slack!A:B, 2, FALSE)), ""lifestyle|home|interior|decor|living|lifestyle"&amp;" enthusiasts""), ""Lifestyle"",
  REGEXMATCH(LOWER(VLOOKUP(A432, Data1_Raw_Slack!A:B, 2, FALSE)), ""financial|finance|investing|stocks|retirement|banking|credit|debt|loans|savings|personal finance|insurance|econ|ecom|business|retail|occupation|sale|job|ma"&amp;"rketing""), ""Finance"",
  REGEXMATCH(LOWER(VLOOKUP(A432, Data1_Raw_Slack!A:B, 2, FALSE)), ""auto|automotive""), ""Auto"",
  REGEXMATCH(LOWER(VLOOKUP(A432, Data1_Raw_Slack!A:B, 2, FALSE)), ""parenting|moms|dads|kids|toddlers|baby|parent|children""), ""Par"&amp;"enting"",
  REGEXMATCH(LOWER(VLOOKUP(A432, Data1_Raw_Slack!A:B, 2, FALSE)), ""education|students|learning|school|teachers|college|university|academics""), ""Education"",
  REGEXMATCH(LOWER(VLOOKUP(A432, Data1_Raw_Slack!A:B, 2, FALSE)), ""age|gender|dem"&amp;"ographic|family|household""), ""Demographics"",
  REGEXMATCH(LOWER(VLOOKUP(A432, Data1_Raw_Slack!A:B, 2, FALSE)), ""mortgage|real estate""), ""Real Estate"",REGEXMATCH(LOWER(VLOOKUP(A432, Data1_Raw_Slack!A:B, 2, FALSE)), ""technology|tech|gadgets|smartpho"&amp;"ne|electro|apps|devices|computing|ai|robots|software|computer|internet|tele|mobile|tablet""), ""Technology"", REGEXMATCH(LOWER(VLOOKUP(A432, Data1_Raw_Slack!A:B, 2, FALSE)), ""entertainment|purchas|movies|tv|netflix|streaming|celebrity|movie lovers|tv fan"&amp;"s|media|hobb|photo|art|shop""), ""Entertainment"", REGEXMATCH(LOWER(VLOOKUP(A432, Data1_Raw_Slack!A:B, 2, FALSE)), ""law|government|""), ""Law and Government"",
  TRUE, ""Other""
)"),"Finance")</f>
        <v>Finance</v>
      </c>
      <c r="G432" s="9"/>
      <c r="H432" s="9" t="s">
        <v>123</v>
      </c>
      <c r="I432" s="9" t="s">
        <v>1588</v>
      </c>
      <c r="J432" s="9" t="s">
        <v>62</v>
      </c>
      <c r="K432" s="9" t="s">
        <v>1072</v>
      </c>
      <c r="L432" s="9" t="s">
        <v>242</v>
      </c>
      <c r="M432" s="10" t="s">
        <v>941</v>
      </c>
      <c r="N432" s="9" t="str">
        <f ca="1">IFERROR(__xludf.DUMMYFUNCTION("REGEXEXTRACT(LOWER(M432), ""([a-z0-9\-]+)\.(?:co|net|org|io|gg)"")"),"fandom")</f>
        <v>fandom</v>
      </c>
      <c r="O432" s="9" t="s">
        <v>50</v>
      </c>
      <c r="P432" s="9" t="s">
        <v>39</v>
      </c>
      <c r="Q432" s="9">
        <v>7394</v>
      </c>
      <c r="R432" s="9">
        <v>20</v>
      </c>
      <c r="S432" s="9">
        <v>3441</v>
      </c>
      <c r="T432" s="9">
        <v>6663</v>
      </c>
      <c r="U432" s="9">
        <v>1</v>
      </c>
      <c r="V432" s="11">
        <v>1624.840774</v>
      </c>
      <c r="W432" s="12">
        <f t="shared" si="7"/>
        <v>1624.840774</v>
      </c>
      <c r="X432" s="12">
        <f t="shared" si="8"/>
        <v>0.27048958615093321</v>
      </c>
      <c r="Y432" s="12">
        <f t="shared" si="9"/>
        <v>46.537733297268055</v>
      </c>
      <c r="Z432" s="12">
        <f t="shared" si="10"/>
        <v>472.20016681197325</v>
      </c>
      <c r="AA432" s="12">
        <f t="shared" si="11"/>
        <v>219.75125426021097</v>
      </c>
      <c r="AB432" s="12">
        <f t="shared" si="12"/>
        <v>81.242038699999995</v>
      </c>
      <c r="AC432" s="12">
        <f t="shared" si="13"/>
        <v>5</v>
      </c>
      <c r="AE432" s="13"/>
      <c r="AF432" s="13"/>
    </row>
    <row r="433" spans="1:32">
      <c r="A433" s="8" t="s">
        <v>1589</v>
      </c>
      <c r="B433" s="9" t="s">
        <v>1590</v>
      </c>
      <c r="C433" s="9" t="s">
        <v>93</v>
      </c>
      <c r="D433" s="9" t="s">
        <v>1591</v>
      </c>
      <c r="E433" s="9"/>
      <c r="F433" s="9" t="str">
        <f ca="1">IFERROR(__xludf.DUMMYFUNCTION("IFS(
  REGEXMATCH(LOWER(VLOOKUP(A433, Data1_Raw_Slack!A:B, 2, FALSE)), ""news|weather""), ""News and Weather"", REGEXMATCH(LOWER(VLOOKUP(A433, Data1_Raw_Slack!A:B, 2, FALSE)), ""sports|ufc|nba|nfl|mlb|soccer|sports fans""), ""Sports"",
  REGEXMATCH(LOWER("&amp;"VLOOKUP(A433, Data1_Raw_Slack!A:B, 2, FALSE)), ""fashion|style|clothing|apparel|shoes|accessories|beauty|cosmetics|fashionistas""), ""Fashion and Beauty"",
  REGEXMATCH(LOWER(VLOOKUP(A433, Data1_Raw_Slack!A:B, 2, FALSE)), ""food|cooking|recipe|restaurant|"&amp;"snack|grocery|foodies""), ""Food"",
  REGEXMATCH(LOWER(VLOOKUP(A433, Data1_Raw_Slack!A:B, 2, FALSE)), ""travel|vacation|airline|hotel|trip|flights|travelers""), ""Travel"",
  REGEXMATCH(LOWER(VLOOKUP(A433, Data1_Raw_Slack!A:B, 2, FALSE)), ""fitness|workou"&amp;"t|gym|exercise|yoga|wellness|fitness enthusiasts""), ""Fitness"",
  REGEXMATCH(LOWER(VLOOKUP(A433, Data1_Raw_Slack!A:B, 2, FALSE)), ""health|medical|pharmacy|mental health|doctor|health-conscious""), ""Health"",
  REGEXMATCH(LOWER(VLOOKUP(A433, Data1_Raw_"&amp;"Slack!A:B, 2, FALSE)), ""pets|dogs|cats|animals|pet care|pet lovers""), ""Pets"",
  REGEXMATCH(LOWER(VLOOKUP(A433, Data1_Raw_Slack!A:B, 2, FALSE)), ""games|gaming|game|xbox|playstation|nintendo|gamers""), ""Gaming"",
  REGEXMATCH(LOWER(VLOOKUP(A433, Data1"&amp;"_Raw_Slack!A:B, 2, FALSE)), ""entertainment|movies|tv|netflix|streaming|celebrity|movie lovers|tv fans|hobb|photo|art""), ""Entertainment"",
  REGEXMATCH(LOWER(VLOOKUP(A433, Data1_Raw_Slack!A:B, 2, FALSE)), ""lifestyle|home|interior|decor|living|lifestyle"&amp;" enthusiasts""), ""Lifestyle"",
  REGEXMATCH(LOWER(VLOOKUP(A433, Data1_Raw_Slack!A:B, 2, FALSE)), ""financial|finance|investing|stocks|retirement|banking|credit|debt|loans|savings|personal finance|insurance|econ|ecom|business|retail|occupation|sale|job|ma"&amp;"rketing""), ""Finance"",
  REGEXMATCH(LOWER(VLOOKUP(A433, Data1_Raw_Slack!A:B, 2, FALSE)), ""auto|automotive""), ""Auto"",
  REGEXMATCH(LOWER(VLOOKUP(A433, Data1_Raw_Slack!A:B, 2, FALSE)), ""parenting|moms|dads|kids|toddlers|baby|parent|children""), ""Par"&amp;"enting"",
  REGEXMATCH(LOWER(VLOOKUP(A433, Data1_Raw_Slack!A:B, 2, FALSE)), ""education|students|learning|school|teachers|college|university|academics""), ""Education"",
  REGEXMATCH(LOWER(VLOOKUP(A433, Data1_Raw_Slack!A:B, 2, FALSE)), ""age|gender|dem"&amp;"ographic|family|household""), ""Demographics"",
  REGEXMATCH(LOWER(VLOOKUP(A433, Data1_Raw_Slack!A:B, 2, FALSE)), ""mortgage|real estate""), ""Real Estate"",REGEXMATCH(LOWER(VLOOKUP(A433, Data1_Raw_Slack!A:B, 2, FALSE)), ""technology|tech|gadgets|smartpho"&amp;"ne|electro|apps|devices|computing|ai|robots|software|computer|internet|tele|mobile|tablet""), ""Technology"", REGEXMATCH(LOWER(VLOOKUP(A433, Data1_Raw_Slack!A:B, 2, FALSE)), ""entertainment|purchas|movies|tv|netflix|streaming|celebrity|movie lovers|tv fan"&amp;"s|media|hobb|photo|art|shop""), ""Entertainment"", REGEXMATCH(LOWER(VLOOKUP(A433, Data1_Raw_Slack!A:B, 2, FALSE)), ""law|government|""), ""Law and Government"",
  TRUE, ""Other""
)"),"Fashion and Beauty")</f>
        <v>Fashion and Beauty</v>
      </c>
      <c r="G433" s="9"/>
      <c r="H433" s="9" t="s">
        <v>44</v>
      </c>
      <c r="I433" s="9" t="s">
        <v>1592</v>
      </c>
      <c r="J433" s="9" t="s">
        <v>62</v>
      </c>
      <c r="K433" s="9" t="s">
        <v>142</v>
      </c>
      <c r="L433" s="9" t="s">
        <v>72</v>
      </c>
      <c r="M433" s="10" t="s">
        <v>130</v>
      </c>
      <c r="N433" s="9" t="str">
        <f ca="1">IFERROR(__xludf.DUMMYFUNCTION("REGEXEXTRACT(LOWER(M433), ""([a-z0-9\-]+)\.(?:co|net|org|io|gg)"")"),"weather")</f>
        <v>weather</v>
      </c>
      <c r="O433" s="9" t="s">
        <v>74</v>
      </c>
      <c r="P433" s="9" t="s">
        <v>39</v>
      </c>
      <c r="Q433" s="9">
        <v>40519</v>
      </c>
      <c r="R433" s="9">
        <v>111</v>
      </c>
      <c r="S433" s="9">
        <v>6105</v>
      </c>
      <c r="T433" s="9">
        <v>26283</v>
      </c>
      <c r="U433" s="9">
        <v>10</v>
      </c>
      <c r="V433" s="11">
        <v>1582.410977</v>
      </c>
      <c r="W433" s="12">
        <f t="shared" si="7"/>
        <v>158.24109770000001</v>
      </c>
      <c r="X433" s="12">
        <f t="shared" si="8"/>
        <v>0.27394555640563684</v>
      </c>
      <c r="Y433" s="12">
        <f t="shared" si="9"/>
        <v>15.067005602310028</v>
      </c>
      <c r="Z433" s="12">
        <f t="shared" si="10"/>
        <v>259.19917723177718</v>
      </c>
      <c r="AA433" s="12">
        <f t="shared" si="11"/>
        <v>39.053554554653367</v>
      </c>
      <c r="AB433" s="12">
        <f t="shared" si="12"/>
        <v>14.255954747747747</v>
      </c>
      <c r="AC433" s="12">
        <f t="shared" si="13"/>
        <v>9.0090090090090094</v>
      </c>
      <c r="AE433" s="13"/>
      <c r="AF433" s="13"/>
    </row>
    <row r="434" spans="1:32">
      <c r="A434" s="8" t="s">
        <v>1593</v>
      </c>
      <c r="B434" s="9" t="s">
        <v>41</v>
      </c>
      <c r="C434" s="9" t="s">
        <v>105</v>
      </c>
      <c r="D434" s="9" t="s">
        <v>530</v>
      </c>
      <c r="E434" s="9"/>
      <c r="F434" s="9" t="str">
        <f ca="1">IFERROR(__xludf.DUMMYFUNCTION("IFS(
  REGEXMATCH(LOWER(VLOOKUP(A434, Data1_Raw_Slack!A:B, 2, FALSE)), ""news|weather""), ""News and Weather"", REGEXMATCH(LOWER(VLOOKUP(A434, Data1_Raw_Slack!A:B, 2, FALSE)), ""sports|ufc|nba|nfl|mlb|soccer|sports fans""), ""Sports"",
  REGEXMATCH(LOWER("&amp;"VLOOKUP(A434, Data1_Raw_Slack!A:B, 2, FALSE)), ""fashion|style|clothing|apparel|shoes|accessories|beauty|cosmetics|fashionistas""), ""Fashion and Beauty"",
  REGEXMATCH(LOWER(VLOOKUP(A434, Data1_Raw_Slack!A:B, 2, FALSE)), ""food|cooking|recipe|restaurant|"&amp;"snack|grocery|foodies""), ""Food"",
  REGEXMATCH(LOWER(VLOOKUP(A434, Data1_Raw_Slack!A:B, 2, FALSE)), ""travel|vacation|airline|hotel|trip|flights|travelers""), ""Travel"",
  REGEXMATCH(LOWER(VLOOKUP(A434, Data1_Raw_Slack!A:B, 2, FALSE)), ""fitness|workou"&amp;"t|gym|exercise|yoga|wellness|fitness enthusiasts""), ""Fitness"",
  REGEXMATCH(LOWER(VLOOKUP(A434, Data1_Raw_Slack!A:B, 2, FALSE)), ""health|medical|pharmacy|mental health|doctor|health-conscious""), ""Health"",
  REGEXMATCH(LOWER(VLOOKUP(A434, Data1_Raw_"&amp;"Slack!A:B, 2, FALSE)), ""pets|dogs|cats|animals|pet care|pet lovers""), ""Pets"",
  REGEXMATCH(LOWER(VLOOKUP(A434, Data1_Raw_Slack!A:B, 2, FALSE)), ""games|gaming|game|xbox|playstation|nintendo|gamers""), ""Gaming"",
  REGEXMATCH(LOWER(VLOOKUP(A434, Data1"&amp;"_Raw_Slack!A:B, 2, FALSE)), ""entertainment|movies|tv|netflix|streaming|celebrity|movie lovers|tv fans|hobb|photo|art""), ""Entertainment"",
  REGEXMATCH(LOWER(VLOOKUP(A434, Data1_Raw_Slack!A:B, 2, FALSE)), ""lifestyle|home|interior|decor|living|lifestyle"&amp;" enthusiasts""), ""Lifestyle"",
  REGEXMATCH(LOWER(VLOOKUP(A434, Data1_Raw_Slack!A:B, 2, FALSE)), ""financial|finance|investing|stocks|retirement|banking|credit|debt|loans|savings|personal finance|insurance|econ|ecom|business|retail|occupation|sale|job|ma"&amp;"rketing""), ""Finance"",
  REGEXMATCH(LOWER(VLOOKUP(A434, Data1_Raw_Slack!A:B, 2, FALSE)), ""auto|automotive""), ""Auto"",
  REGEXMATCH(LOWER(VLOOKUP(A434, Data1_Raw_Slack!A:B, 2, FALSE)), ""parenting|moms|dads|kids|toddlers|baby|parent|children""), ""Par"&amp;"enting"",
  REGEXMATCH(LOWER(VLOOKUP(A434, Data1_Raw_Slack!A:B, 2, FALSE)), ""education|students|learning|school|teachers|college|university|academics""), ""Education"",
  REGEXMATCH(LOWER(VLOOKUP(A434, Data1_Raw_Slack!A:B, 2, FALSE)), ""age|gender|dem"&amp;"ographic|family|household""), ""Demographics"",
  REGEXMATCH(LOWER(VLOOKUP(A434, Data1_Raw_Slack!A:B, 2, FALSE)), ""mortgage|real estate""), ""Real Estate"",REGEXMATCH(LOWER(VLOOKUP(A434, Data1_Raw_Slack!A:B, 2, FALSE)), ""technology|tech|gadgets|smartpho"&amp;"ne|electro|apps|devices|computing|ai|robots|software|computer|internet|tele|mobile|tablet""), ""Technology"", REGEXMATCH(LOWER(VLOOKUP(A434, Data1_Raw_Slack!A:B, 2, FALSE)), ""entertainment|purchas|movies|tv|netflix|streaming|celebrity|movie lovers|tv fan"&amp;"s|media|hobb|photo|art|shop""), ""Entertainment"", REGEXMATCH(LOWER(VLOOKUP(A434, Data1_Raw_Slack!A:B, 2, FALSE)), ""law|government|""), ""Law and Government"",
  TRUE, ""Other""
)"),"Fashion and Beauty")</f>
        <v>Fashion and Beauty</v>
      </c>
      <c r="G434" s="9" t="s">
        <v>105</v>
      </c>
      <c r="H434" s="9" t="s">
        <v>44</v>
      </c>
      <c r="I434" s="9" t="s">
        <v>1594</v>
      </c>
      <c r="J434" s="9" t="s">
        <v>62</v>
      </c>
      <c r="K434" s="9" t="s">
        <v>236</v>
      </c>
      <c r="L434" s="9" t="s">
        <v>82</v>
      </c>
      <c r="M434" s="10" t="s">
        <v>49</v>
      </c>
      <c r="N434" s="9" t="str">
        <f ca="1">IFERROR(__xludf.DUMMYFUNCTION("REGEXEXTRACT(LOWER(M434), ""([a-z0-9\-]+)\.(?:co|net|org|io|gg)"")"),"yahoo")</f>
        <v>yahoo</v>
      </c>
      <c r="O434" s="9" t="s">
        <v>103</v>
      </c>
      <c r="P434" s="9" t="s">
        <v>39</v>
      </c>
      <c r="Q434" s="9">
        <v>728841</v>
      </c>
      <c r="R434" s="9">
        <v>2174</v>
      </c>
      <c r="S434" s="9">
        <v>424340</v>
      </c>
      <c r="T434" s="9">
        <v>634059</v>
      </c>
      <c r="U434" s="9">
        <v>37</v>
      </c>
      <c r="V434" s="11">
        <v>8054.1413679999996</v>
      </c>
      <c r="W434" s="12">
        <f t="shared" si="7"/>
        <v>217.67949643243242</v>
      </c>
      <c r="X434" s="12">
        <f t="shared" si="8"/>
        <v>0.29828179259948329</v>
      </c>
      <c r="Y434" s="12">
        <f t="shared" si="9"/>
        <v>58.221203252835664</v>
      </c>
      <c r="Z434" s="12">
        <f t="shared" si="10"/>
        <v>18.980396304849886</v>
      </c>
      <c r="AA434" s="12">
        <f t="shared" si="11"/>
        <v>11.050615110840361</v>
      </c>
      <c r="AB434" s="12">
        <f t="shared" si="12"/>
        <v>3.7047568390064396</v>
      </c>
      <c r="AC434" s="12">
        <f t="shared" si="13"/>
        <v>1.7019319227230909</v>
      </c>
      <c r="AE434" s="13"/>
      <c r="AF434" s="13"/>
    </row>
    <row r="435" spans="1:32">
      <c r="A435" s="8" t="s">
        <v>1595</v>
      </c>
      <c r="B435" s="9" t="s">
        <v>41</v>
      </c>
      <c r="C435" s="9" t="s">
        <v>281</v>
      </c>
      <c r="D435" s="9" t="s">
        <v>1596</v>
      </c>
      <c r="E435" s="9"/>
      <c r="F435" s="9" t="str">
        <f ca="1">IFERROR(__xludf.DUMMYFUNCTION("IFS(
  REGEXMATCH(LOWER(VLOOKUP(A435, Data1_Raw_Slack!A:B, 2, FALSE)), ""news|weather""), ""News and Weather"", REGEXMATCH(LOWER(VLOOKUP(A435, Data1_Raw_Slack!A:B, 2, FALSE)), ""sports|ufc|nba|nfl|mlb|soccer|sports fans""), ""Sports"",
  REGEXMATCH(LOWER("&amp;"VLOOKUP(A435, Data1_Raw_Slack!A:B, 2, FALSE)), ""fashion|style|clothing|apparel|shoes|accessories|beauty|cosmetics|fashionistas""), ""Fashion and Beauty"",
  REGEXMATCH(LOWER(VLOOKUP(A435, Data1_Raw_Slack!A:B, 2, FALSE)), ""food|cooking|recipe|restaurant|"&amp;"snack|grocery|foodies""), ""Food"",
  REGEXMATCH(LOWER(VLOOKUP(A435, Data1_Raw_Slack!A:B, 2, FALSE)), ""travel|vacation|airline|hotel|trip|flights|travelers""), ""Travel"",
  REGEXMATCH(LOWER(VLOOKUP(A435, Data1_Raw_Slack!A:B, 2, FALSE)), ""fitness|workou"&amp;"t|gym|exercise|yoga|wellness|fitness enthusiasts""), ""Fitness"",
  REGEXMATCH(LOWER(VLOOKUP(A435, Data1_Raw_Slack!A:B, 2, FALSE)), ""health|medical|pharmacy|mental health|doctor|health-conscious""), ""Health"",
  REGEXMATCH(LOWER(VLOOKUP(A435, Data1_Raw_"&amp;"Slack!A:B, 2, FALSE)), ""pets|dogs|cats|animals|pet care|pet lovers""), ""Pets"",
  REGEXMATCH(LOWER(VLOOKUP(A435, Data1_Raw_Slack!A:B, 2, FALSE)), ""games|gaming|game|xbox|playstation|nintendo|gamers""), ""Gaming"",
  REGEXMATCH(LOWER(VLOOKUP(A435, Data1"&amp;"_Raw_Slack!A:B, 2, FALSE)), ""entertainment|movies|tv|netflix|streaming|celebrity|movie lovers|tv fans|hobb|photo|art""), ""Entertainment"",
  REGEXMATCH(LOWER(VLOOKUP(A435, Data1_Raw_Slack!A:B, 2, FALSE)), ""lifestyle|home|interior|decor|living|lifestyle"&amp;" enthusiasts""), ""Lifestyle"",
  REGEXMATCH(LOWER(VLOOKUP(A435, Data1_Raw_Slack!A:B, 2, FALSE)), ""financial|finance|investing|stocks|retirement|banking|credit|debt|loans|savings|personal finance|insurance|econ|ecom|business|retail|occupation|sale|job|ma"&amp;"rketing""), ""Finance"",
  REGEXMATCH(LOWER(VLOOKUP(A435, Data1_Raw_Slack!A:B, 2, FALSE)), ""auto|automotive""), ""Auto"",
  REGEXMATCH(LOWER(VLOOKUP(A435, Data1_Raw_Slack!A:B, 2, FALSE)), ""parenting|moms|dads|kids|toddlers|baby|parent|children""), ""Par"&amp;"enting"",
  REGEXMATCH(LOWER(VLOOKUP(A435, Data1_Raw_Slack!A:B, 2, FALSE)), ""education|students|learning|school|teachers|college|university|academics""), ""Education"",
  REGEXMATCH(LOWER(VLOOKUP(A435, Data1_Raw_Slack!A:B, 2, FALSE)), ""age|gender|dem"&amp;"ographic|family|household""), ""Demographics"",
  REGEXMATCH(LOWER(VLOOKUP(A435, Data1_Raw_Slack!A:B, 2, FALSE)), ""mortgage|real estate""), ""Real Estate"",REGEXMATCH(LOWER(VLOOKUP(A435, Data1_Raw_Slack!A:B, 2, FALSE)), ""technology|tech|gadgets|smartpho"&amp;"ne|electro|apps|devices|computing|ai|robots|software|computer|internet|tele|mobile|tablet""), ""Technology"", REGEXMATCH(LOWER(VLOOKUP(A435, Data1_Raw_Slack!A:B, 2, FALSE)), ""entertainment|purchas|movies|tv|netflix|streaming|celebrity|movie lovers|tv fan"&amp;"s|media|hobb|photo|art|shop""), ""Entertainment"", REGEXMATCH(LOWER(VLOOKUP(A435, Data1_Raw_Slack!A:B, 2, FALSE)), ""law|government|""), ""Law and Government"",
  TRUE, ""Other""
)"),"Gaming")</f>
        <v>Gaming</v>
      </c>
      <c r="G435" s="9" t="s">
        <v>69</v>
      </c>
      <c r="H435" s="9" t="s">
        <v>44</v>
      </c>
      <c r="I435" s="9" t="s">
        <v>1597</v>
      </c>
      <c r="J435" s="9" t="s">
        <v>34</v>
      </c>
      <c r="K435" s="9" t="s">
        <v>148</v>
      </c>
      <c r="L435" s="9" t="s">
        <v>89</v>
      </c>
      <c r="M435" s="10" t="s">
        <v>97</v>
      </c>
      <c r="N435" s="9" t="str">
        <f ca="1">IFERROR(__xludf.DUMMYFUNCTION("REGEXEXTRACT(LOWER(M435), ""([a-z0-9\-]+)\.(?:co|net|org|io|gg)"")"),"findagrave")</f>
        <v>findagrave</v>
      </c>
      <c r="O435" s="9" t="s">
        <v>103</v>
      </c>
      <c r="P435" s="9" t="s">
        <v>75</v>
      </c>
      <c r="Q435" s="9">
        <v>25021</v>
      </c>
      <c r="R435" s="9">
        <v>50</v>
      </c>
      <c r="S435" s="9">
        <v>11084</v>
      </c>
      <c r="T435" s="9">
        <v>18079</v>
      </c>
      <c r="U435" s="9">
        <v>9</v>
      </c>
      <c r="V435" s="11">
        <v>4961.4788840000001</v>
      </c>
      <c r="W435" s="12">
        <f t="shared" si="7"/>
        <v>551.27543155555554</v>
      </c>
      <c r="X435" s="12">
        <f t="shared" si="8"/>
        <v>0.19983214100155869</v>
      </c>
      <c r="Y435" s="12">
        <f t="shared" si="9"/>
        <v>44.298789017225531</v>
      </c>
      <c r="Z435" s="12">
        <f t="shared" si="10"/>
        <v>447.62530530494411</v>
      </c>
      <c r="AA435" s="12">
        <f t="shared" si="11"/>
        <v>198.29258958474881</v>
      </c>
      <c r="AB435" s="12">
        <f t="shared" si="12"/>
        <v>99.229577680000006</v>
      </c>
      <c r="AC435" s="12">
        <f t="shared" si="13"/>
        <v>18</v>
      </c>
      <c r="AE435" s="13"/>
      <c r="AF435" s="13"/>
    </row>
    <row r="436" spans="1:32">
      <c r="A436" s="8" t="s">
        <v>1598</v>
      </c>
      <c r="B436" s="9"/>
      <c r="C436" s="9" t="s">
        <v>325</v>
      </c>
      <c r="D436" s="9" t="s">
        <v>576</v>
      </c>
      <c r="E436" s="9" t="s">
        <v>1599</v>
      </c>
      <c r="F436" s="9" t="str">
        <f ca="1">IFERROR(__xludf.DUMMYFUNCTION("IFS(
  REGEXMATCH(LOWER(VLOOKUP(A436, Data1_Raw_Slack!A:B, 2, FALSE)), ""news|weather""), ""News and Weather"", REGEXMATCH(LOWER(VLOOKUP(A436, Data1_Raw_Slack!A:B, 2, FALSE)), ""sports|ufc|nba|nfl|mlb|soccer|sports fans""), ""Sports"",
  REGEXMATCH(LOWER("&amp;"VLOOKUP(A436, Data1_Raw_Slack!A:B, 2, FALSE)), ""fashion|style|clothing|apparel|shoes|accessories|beauty|cosmetics|fashionistas""), ""Fashion and Beauty"",
  REGEXMATCH(LOWER(VLOOKUP(A436, Data1_Raw_Slack!A:B, 2, FALSE)), ""food|cooking|recipe|restaurant|"&amp;"snack|grocery|foodies""), ""Food"",
  REGEXMATCH(LOWER(VLOOKUP(A436, Data1_Raw_Slack!A:B, 2, FALSE)), ""travel|vacation|airline|hotel|trip|flights|travelers""), ""Travel"",
  REGEXMATCH(LOWER(VLOOKUP(A436, Data1_Raw_Slack!A:B, 2, FALSE)), ""fitness|workou"&amp;"t|gym|exercise|yoga|wellness|fitness enthusiasts""), ""Fitness"",
  REGEXMATCH(LOWER(VLOOKUP(A436, Data1_Raw_Slack!A:B, 2, FALSE)), ""health|medical|pharmacy|mental health|doctor|health-conscious""), ""Health"",
  REGEXMATCH(LOWER(VLOOKUP(A436, Data1_Raw_"&amp;"Slack!A:B, 2, FALSE)), ""pets|dogs|cats|animals|pet care|pet lovers""), ""Pets"",
  REGEXMATCH(LOWER(VLOOKUP(A436, Data1_Raw_Slack!A:B, 2, FALSE)), ""games|gaming|game|xbox|playstation|nintendo|gamers""), ""Gaming"",
  REGEXMATCH(LOWER(VLOOKUP(A436, Data1"&amp;"_Raw_Slack!A:B, 2, FALSE)), ""entertainment|movies|tv|netflix|streaming|celebrity|movie lovers|tv fans|hobb|photo|art""), ""Entertainment"",
  REGEXMATCH(LOWER(VLOOKUP(A436, Data1_Raw_Slack!A:B, 2, FALSE)), ""lifestyle|home|interior|decor|living|lifestyle"&amp;" enthusiasts""), ""Lifestyle"",
  REGEXMATCH(LOWER(VLOOKUP(A436, Data1_Raw_Slack!A:B, 2, FALSE)), ""financial|finance|investing|stocks|retirement|banking|credit|debt|loans|savings|personal finance|insurance|econ|ecom|business|retail|occupation|sale|job|ma"&amp;"rketing""), ""Finance"",
  REGEXMATCH(LOWER(VLOOKUP(A436, Data1_Raw_Slack!A:B, 2, FALSE)), ""auto|automotive""), ""Auto"",
  REGEXMATCH(LOWER(VLOOKUP(A436, Data1_Raw_Slack!A:B, 2, FALSE)), ""parenting|moms|dads|kids|toddlers|baby|parent|children""), ""Par"&amp;"enting"",
  REGEXMATCH(LOWER(VLOOKUP(A436, Data1_Raw_Slack!A:B, 2, FALSE)), ""education|students|learning|school|teachers|college|university|academics""), ""Education"",
  REGEXMATCH(LOWER(VLOOKUP(A436, Data1_Raw_Slack!A:B, 2, FALSE)), ""age|gender|dem"&amp;"ographic|family|household""), ""Demographics"",
  REGEXMATCH(LOWER(VLOOKUP(A436, Data1_Raw_Slack!A:B, 2, FALSE)), ""mortgage|real estate""), ""Real Estate"",REGEXMATCH(LOWER(VLOOKUP(A436, Data1_Raw_Slack!A:B, 2, FALSE)), ""technology|tech|gadgets|smartpho"&amp;"ne|electro|apps|devices|computing|ai|robots|software|computer|internet|tele|mobile|tablet""), ""Technology"", REGEXMATCH(LOWER(VLOOKUP(A436, Data1_Raw_Slack!A:B, 2, FALSE)), ""entertainment|purchas|movies|tv|netflix|streaming|celebrity|movie lovers|tv fan"&amp;"s|media|hobb|photo|art|shop""), ""Entertainment"", REGEXMATCH(LOWER(VLOOKUP(A436, Data1_Raw_Slack!A:B, 2, FALSE)), ""law|government|""), ""Law and Government"",
  TRUE, ""Other""
)"),"Demographics")</f>
        <v>Demographics</v>
      </c>
      <c r="G436" s="9"/>
      <c r="H436" s="9" t="s">
        <v>32</v>
      </c>
      <c r="I436" s="9" t="s">
        <v>1600</v>
      </c>
      <c r="J436" s="9" t="s">
        <v>46</v>
      </c>
      <c r="K436" s="9" t="s">
        <v>56</v>
      </c>
      <c r="L436" s="9" t="s">
        <v>57</v>
      </c>
      <c r="M436" s="10" t="s">
        <v>58</v>
      </c>
      <c r="N436" s="9" t="str">
        <f ca="1">IFERROR(__xludf.DUMMYFUNCTION("REGEXEXTRACT(LOWER(M436), ""([a-z0-9\-]+)\.(?:co|net|org|io|gg)"")"),"forbes")</f>
        <v>forbes</v>
      </c>
      <c r="O436" s="9" t="s">
        <v>50</v>
      </c>
      <c r="P436" s="9" t="s">
        <v>39</v>
      </c>
      <c r="Q436" s="9">
        <v>20899</v>
      </c>
      <c r="R436" s="9">
        <v>20</v>
      </c>
      <c r="S436" s="9">
        <v>11394</v>
      </c>
      <c r="T436" s="9">
        <v>19576</v>
      </c>
      <c r="U436" s="9">
        <v>19</v>
      </c>
      <c r="V436" s="11">
        <v>1649.459852</v>
      </c>
      <c r="W436" s="12">
        <f t="shared" si="7"/>
        <v>86.813676421052634</v>
      </c>
      <c r="X436" s="12">
        <f t="shared" si="8"/>
        <v>9.5698358773147044E-2</v>
      </c>
      <c r="Y436" s="12">
        <f t="shared" si="9"/>
        <v>54.519354993061867</v>
      </c>
      <c r="Z436" s="12">
        <f t="shared" si="10"/>
        <v>144.76565315078111</v>
      </c>
      <c r="AA436" s="12">
        <f t="shared" si="11"/>
        <v>78.925300349299008</v>
      </c>
      <c r="AB436" s="12">
        <f t="shared" si="12"/>
        <v>82.472992599999998</v>
      </c>
      <c r="AC436" s="12">
        <f t="shared" si="13"/>
        <v>95</v>
      </c>
      <c r="AE436" s="13"/>
      <c r="AF436" s="13"/>
    </row>
    <row r="437" spans="1:32">
      <c r="A437" s="8" t="s">
        <v>1601</v>
      </c>
      <c r="B437" s="9" t="s">
        <v>41</v>
      </c>
      <c r="C437" s="9" t="s">
        <v>105</v>
      </c>
      <c r="D437" s="9" t="s">
        <v>530</v>
      </c>
      <c r="E437" s="9" t="s">
        <v>1602</v>
      </c>
      <c r="F437" s="9" t="str">
        <f ca="1">IFERROR(__xludf.DUMMYFUNCTION("IFS(
  REGEXMATCH(LOWER(VLOOKUP(A437, Data1_Raw_Slack!A:B, 2, FALSE)), ""news|weather""), ""News and Weather"", REGEXMATCH(LOWER(VLOOKUP(A437, Data1_Raw_Slack!A:B, 2, FALSE)), ""sports|ufc|nba|nfl|mlb|soccer|sports fans""), ""Sports"",
  REGEXMATCH(LOWER("&amp;"VLOOKUP(A437, Data1_Raw_Slack!A:B, 2, FALSE)), ""fashion|style|clothing|apparel|shoes|accessories|beauty|cosmetics|fashionistas""), ""Fashion and Beauty"",
  REGEXMATCH(LOWER(VLOOKUP(A437, Data1_Raw_Slack!A:B, 2, FALSE)), ""food|cooking|recipe|restaurant|"&amp;"snack|grocery|foodies""), ""Food"",
  REGEXMATCH(LOWER(VLOOKUP(A437, Data1_Raw_Slack!A:B, 2, FALSE)), ""travel|vacation|airline|hotel|trip|flights|travelers""), ""Travel"",
  REGEXMATCH(LOWER(VLOOKUP(A437, Data1_Raw_Slack!A:B, 2, FALSE)), ""fitness|workou"&amp;"t|gym|exercise|yoga|wellness|fitness enthusiasts""), ""Fitness"",
  REGEXMATCH(LOWER(VLOOKUP(A437, Data1_Raw_Slack!A:B, 2, FALSE)), ""health|medical|pharmacy|mental health|doctor|health-conscious""), ""Health"",
  REGEXMATCH(LOWER(VLOOKUP(A437, Data1_Raw_"&amp;"Slack!A:B, 2, FALSE)), ""pets|dogs|cats|animals|pet care|pet lovers""), ""Pets"",
  REGEXMATCH(LOWER(VLOOKUP(A437, Data1_Raw_Slack!A:B, 2, FALSE)), ""games|gaming|game|xbox|playstation|nintendo|gamers""), ""Gaming"",
  REGEXMATCH(LOWER(VLOOKUP(A437, Data1"&amp;"_Raw_Slack!A:B, 2, FALSE)), ""entertainment|movies|tv|netflix|streaming|celebrity|movie lovers|tv fans|hobb|photo|art""), ""Entertainment"",
  REGEXMATCH(LOWER(VLOOKUP(A437, Data1_Raw_Slack!A:B, 2, FALSE)), ""lifestyle|home|interior|decor|living|lifestyle"&amp;" enthusiasts""), ""Lifestyle"",
  REGEXMATCH(LOWER(VLOOKUP(A437, Data1_Raw_Slack!A:B, 2, FALSE)), ""financial|finance|investing|stocks|retirement|banking|credit|debt|loans|savings|personal finance|insurance|econ|ecom|business|retail|occupation|sale|job|ma"&amp;"rketing""), ""Finance"",
  REGEXMATCH(LOWER(VLOOKUP(A437, Data1_Raw_Slack!A:B, 2, FALSE)), ""auto|automotive""), ""Auto"",
  REGEXMATCH(LOWER(VLOOKUP(A437, Data1_Raw_Slack!A:B, 2, FALSE)), ""parenting|moms|dads|kids|toddlers|baby|parent|children""), ""Par"&amp;"enting"",
  REGEXMATCH(LOWER(VLOOKUP(A437, Data1_Raw_Slack!A:B, 2, FALSE)), ""education|students|learning|school|teachers|college|university|academics""), ""Education"",
  REGEXMATCH(LOWER(VLOOKUP(A437, Data1_Raw_Slack!A:B, 2, FALSE)), ""age|gender|dem"&amp;"ographic|family|household""), ""Demographics"",
  REGEXMATCH(LOWER(VLOOKUP(A437, Data1_Raw_Slack!A:B, 2, FALSE)), ""mortgage|real estate""), ""Real Estate"",REGEXMATCH(LOWER(VLOOKUP(A437, Data1_Raw_Slack!A:B, 2, FALSE)), ""technology|tech|gadgets|smartpho"&amp;"ne|electro|apps|devices|computing|ai|robots|software|computer|internet|tele|mobile|tablet""), ""Technology"", REGEXMATCH(LOWER(VLOOKUP(A437, Data1_Raw_Slack!A:B, 2, FALSE)), ""entertainment|purchas|movies|tv|netflix|streaming|celebrity|movie lovers|tv fan"&amp;"s|media|hobb|photo|art|shop""), ""Entertainment"", REGEXMATCH(LOWER(VLOOKUP(A437, Data1_Raw_Slack!A:B, 2, FALSE)), ""law|government|""), ""Law and Government"",
  TRUE, ""Other""
)"),"Fashion and Beauty")</f>
        <v>Fashion and Beauty</v>
      </c>
      <c r="G437" s="9" t="s">
        <v>530</v>
      </c>
      <c r="H437" s="9" t="s">
        <v>44</v>
      </c>
      <c r="I437" s="9" t="s">
        <v>1603</v>
      </c>
      <c r="J437" s="9" t="s">
        <v>62</v>
      </c>
      <c r="K437" s="9" t="s">
        <v>56</v>
      </c>
      <c r="L437" s="9" t="s">
        <v>57</v>
      </c>
      <c r="M437" s="10" t="s">
        <v>1349</v>
      </c>
      <c r="N437" s="9" t="str">
        <f ca="1">IFERROR(__xludf.DUMMYFUNCTION("REGEXEXTRACT(LOWER(M437), ""([a-z0-9\-]+)\.(?:co|net|org|io|gg)"")"),"fandomwire")</f>
        <v>fandomwire</v>
      </c>
      <c r="O437" s="9" t="s">
        <v>74</v>
      </c>
      <c r="P437" s="9" t="s">
        <v>75</v>
      </c>
      <c r="Q437" s="9">
        <v>95644</v>
      </c>
      <c r="R437" s="9">
        <v>240</v>
      </c>
      <c r="S437" s="9">
        <v>13294</v>
      </c>
      <c r="T437" s="9">
        <v>86775</v>
      </c>
      <c r="U437" s="9">
        <v>9</v>
      </c>
      <c r="V437" s="11">
        <v>5587.7636750000001</v>
      </c>
      <c r="W437" s="12">
        <f t="shared" si="7"/>
        <v>620.8626305555556</v>
      </c>
      <c r="X437" s="12">
        <f t="shared" si="8"/>
        <v>0.25093053406381999</v>
      </c>
      <c r="Y437" s="12">
        <f t="shared" si="9"/>
        <v>13.899460499351763</v>
      </c>
      <c r="Z437" s="12">
        <f t="shared" si="10"/>
        <v>420.32222619226724</v>
      </c>
      <c r="AA437" s="12">
        <f t="shared" si="11"/>
        <v>58.42252179959015</v>
      </c>
      <c r="AB437" s="12">
        <f t="shared" si="12"/>
        <v>23.282348645833334</v>
      </c>
      <c r="AC437" s="12">
        <f t="shared" si="13"/>
        <v>3.75</v>
      </c>
      <c r="AE437" s="13"/>
      <c r="AF437" s="13"/>
    </row>
    <row r="438" spans="1:32">
      <c r="A438" s="8" t="s">
        <v>1604</v>
      </c>
      <c r="B438" s="9" t="s">
        <v>41</v>
      </c>
      <c r="C438" s="9" t="s">
        <v>214</v>
      </c>
      <c r="D438" s="9" t="s">
        <v>215</v>
      </c>
      <c r="E438" s="9" t="s">
        <v>1605</v>
      </c>
      <c r="F438" s="9" t="str">
        <f ca="1">IFERROR(__xludf.DUMMYFUNCTION("IFS(
  REGEXMATCH(LOWER(VLOOKUP(A438, Data1_Raw_Slack!A:B, 2, FALSE)), ""news|weather""), ""News and Weather"", REGEXMATCH(LOWER(VLOOKUP(A438, Data1_Raw_Slack!A:B, 2, FALSE)), ""sports|ufc|nba|nfl|mlb|soccer|sports fans""), ""Sports"",
  REGEXMATCH(LOWER("&amp;"VLOOKUP(A438, Data1_Raw_Slack!A:B, 2, FALSE)), ""fashion|style|clothing|apparel|shoes|accessories|beauty|cosmetics|fashionistas""), ""Fashion and Beauty"",
  REGEXMATCH(LOWER(VLOOKUP(A438, Data1_Raw_Slack!A:B, 2, FALSE)), ""food|cooking|recipe|restaurant|"&amp;"snack|grocery|foodies""), ""Food"",
  REGEXMATCH(LOWER(VLOOKUP(A438, Data1_Raw_Slack!A:B, 2, FALSE)), ""travel|vacation|airline|hotel|trip|flights|travelers""), ""Travel"",
  REGEXMATCH(LOWER(VLOOKUP(A438, Data1_Raw_Slack!A:B, 2, FALSE)), ""fitness|workou"&amp;"t|gym|exercise|yoga|wellness|fitness enthusiasts""), ""Fitness"",
  REGEXMATCH(LOWER(VLOOKUP(A438, Data1_Raw_Slack!A:B, 2, FALSE)), ""health|medical|pharmacy|mental health|doctor|health-conscious""), ""Health"",
  REGEXMATCH(LOWER(VLOOKUP(A438, Data1_Raw_"&amp;"Slack!A:B, 2, FALSE)), ""pets|dogs|cats|animals|pet care|pet lovers""), ""Pets"",
  REGEXMATCH(LOWER(VLOOKUP(A438, Data1_Raw_Slack!A:B, 2, FALSE)), ""games|gaming|game|xbox|playstation|nintendo|gamers""), ""Gaming"",
  REGEXMATCH(LOWER(VLOOKUP(A438, Data1"&amp;"_Raw_Slack!A:B, 2, FALSE)), ""entertainment|movies|tv|netflix|streaming|celebrity|movie lovers|tv fans|hobb|photo|art""), ""Entertainment"",
  REGEXMATCH(LOWER(VLOOKUP(A438, Data1_Raw_Slack!A:B, 2, FALSE)), ""lifestyle|home|interior|decor|living|lifestyle"&amp;" enthusiasts""), ""Lifestyle"",
  REGEXMATCH(LOWER(VLOOKUP(A438, Data1_Raw_Slack!A:B, 2, FALSE)), ""financial|finance|investing|stocks|retirement|banking|credit|debt|loans|savings|personal finance|insurance|econ|ecom|business|retail|occupation|sale|job|ma"&amp;"rketing""), ""Finance"",
  REGEXMATCH(LOWER(VLOOKUP(A438, Data1_Raw_Slack!A:B, 2, FALSE)), ""auto|automotive""), ""Auto"",
  REGEXMATCH(LOWER(VLOOKUP(A438, Data1_Raw_Slack!A:B, 2, FALSE)), ""parenting|moms|dads|kids|toddlers|baby|parent|children""), ""Par"&amp;"enting"",
  REGEXMATCH(LOWER(VLOOKUP(A438, Data1_Raw_Slack!A:B, 2, FALSE)), ""education|students|learning|school|teachers|college|university|academics""), ""Education"",
  REGEXMATCH(LOWER(VLOOKUP(A438, Data1_Raw_Slack!A:B, 2, FALSE)), ""age|gender|dem"&amp;"ographic|family|household""), ""Demographics"",
  REGEXMATCH(LOWER(VLOOKUP(A438, Data1_Raw_Slack!A:B, 2, FALSE)), ""mortgage|real estate""), ""Real Estate"",REGEXMATCH(LOWER(VLOOKUP(A438, Data1_Raw_Slack!A:B, 2, FALSE)), ""technology|tech|gadgets|smartpho"&amp;"ne|electro|apps|devices|computing|ai|robots|software|computer|internet|tele|mobile|tablet""), ""Technology"", REGEXMATCH(LOWER(VLOOKUP(A438, Data1_Raw_Slack!A:B, 2, FALSE)), ""entertainment|purchas|movies|tv|netflix|streaming|celebrity|movie lovers|tv fan"&amp;"s|media|hobb|photo|art|shop""), ""Entertainment"", REGEXMATCH(LOWER(VLOOKUP(A438, Data1_Raw_Slack!A:B, 2, FALSE)), ""law|government|""), ""Law and Government"",
  TRUE, ""Other""
)"),"Demographics")</f>
        <v>Demographics</v>
      </c>
      <c r="G438" s="9"/>
      <c r="H438" s="9" t="s">
        <v>44</v>
      </c>
      <c r="I438" s="9" t="s">
        <v>1606</v>
      </c>
      <c r="J438" s="9" t="s">
        <v>62</v>
      </c>
      <c r="K438" s="9" t="s">
        <v>148</v>
      </c>
      <c r="L438" s="9" t="s">
        <v>89</v>
      </c>
      <c r="M438" s="10" t="s">
        <v>634</v>
      </c>
      <c r="N438" s="9" t="str">
        <f ca="1">IFERROR(__xludf.DUMMYFUNCTION("REGEXEXTRACT(LOWER(M438), ""([a-z0-9\-]+)\.(?:co|net|org|io|gg)"")"),"ign")</f>
        <v>ign</v>
      </c>
      <c r="O438" s="9" t="s">
        <v>186</v>
      </c>
      <c r="P438" s="9" t="s">
        <v>39</v>
      </c>
      <c r="Q438" s="9">
        <v>8273</v>
      </c>
      <c r="R438" s="9">
        <v>24</v>
      </c>
      <c r="S438" s="9">
        <v>1929</v>
      </c>
      <c r="T438" s="9">
        <v>7441</v>
      </c>
      <c r="U438" s="9">
        <v>3</v>
      </c>
      <c r="V438" s="11">
        <v>4689.5210239999997</v>
      </c>
      <c r="W438" s="12">
        <f t="shared" si="7"/>
        <v>1563.1736746666666</v>
      </c>
      <c r="X438" s="12">
        <f t="shared" si="8"/>
        <v>0.29010032636286714</v>
      </c>
      <c r="Y438" s="12">
        <f t="shared" si="9"/>
        <v>23.316813731415447</v>
      </c>
      <c r="Z438" s="12">
        <f t="shared" si="10"/>
        <v>2431.0632576464486</v>
      </c>
      <c r="AA438" s="12">
        <f t="shared" si="11"/>
        <v>566.84649147830294</v>
      </c>
      <c r="AB438" s="12">
        <f t="shared" si="12"/>
        <v>195.39670933333332</v>
      </c>
      <c r="AC438" s="12">
        <f t="shared" si="13"/>
        <v>12.5</v>
      </c>
      <c r="AE438" s="13"/>
      <c r="AF438" s="13"/>
    </row>
    <row r="439" spans="1:32">
      <c r="A439" s="8" t="s">
        <v>1607</v>
      </c>
      <c r="B439" s="9" t="s">
        <v>1608</v>
      </c>
      <c r="C439" s="9"/>
      <c r="D439" s="9"/>
      <c r="E439" s="9"/>
      <c r="F439" s="9" t="str">
        <f ca="1">IFERROR(__xludf.DUMMYFUNCTION("IFS(
  REGEXMATCH(LOWER(VLOOKUP(A439, Data1_Raw_Slack!A:B, 2, FALSE)), ""news|weather""), ""News and Weather"", REGEXMATCH(LOWER(VLOOKUP(A439, Data1_Raw_Slack!A:B, 2, FALSE)), ""sports|ufc|nba|nfl|mlb|soccer|sports fans""), ""Sports"",
  REGEXMATCH(LOWER("&amp;"VLOOKUP(A439, Data1_Raw_Slack!A:B, 2, FALSE)), ""fashion|style|clothing|apparel|shoes|accessories|beauty|cosmetics|fashionistas""), ""Fashion and Beauty"",
  REGEXMATCH(LOWER(VLOOKUP(A439, Data1_Raw_Slack!A:B, 2, FALSE)), ""food|cooking|recipe|restaurant|"&amp;"snack|grocery|foodies""), ""Food"",
  REGEXMATCH(LOWER(VLOOKUP(A439, Data1_Raw_Slack!A:B, 2, FALSE)), ""travel|vacation|airline|hotel|trip|flights|travelers""), ""Travel"",
  REGEXMATCH(LOWER(VLOOKUP(A439, Data1_Raw_Slack!A:B, 2, FALSE)), ""fitness|workou"&amp;"t|gym|exercise|yoga|wellness|fitness enthusiasts""), ""Fitness"",
  REGEXMATCH(LOWER(VLOOKUP(A439, Data1_Raw_Slack!A:B, 2, FALSE)), ""health|medical|pharmacy|mental health|doctor|health-conscious""), ""Health"",
  REGEXMATCH(LOWER(VLOOKUP(A439, Data1_Raw_"&amp;"Slack!A:B, 2, FALSE)), ""pets|dogs|cats|animals|pet care|pet lovers""), ""Pets"",
  REGEXMATCH(LOWER(VLOOKUP(A439, Data1_Raw_Slack!A:B, 2, FALSE)), ""games|gaming|game|xbox|playstation|nintendo|gamers""), ""Gaming"",
  REGEXMATCH(LOWER(VLOOKUP(A439, Data1"&amp;"_Raw_Slack!A:B, 2, FALSE)), ""entertainment|movies|tv|netflix|streaming|celebrity|movie lovers|tv fans|hobb|photo|art""), ""Entertainment"",
  REGEXMATCH(LOWER(VLOOKUP(A439, Data1_Raw_Slack!A:B, 2, FALSE)), ""lifestyle|home|interior|decor|living|lifestyle"&amp;" enthusiasts""), ""Lifestyle"",
  REGEXMATCH(LOWER(VLOOKUP(A439, Data1_Raw_Slack!A:B, 2, FALSE)), ""financial|finance|investing|stocks|retirement|banking|credit|debt|loans|savings|personal finance|insurance|econ|ecom|business|retail|occupation|sale|job|ma"&amp;"rketing""), ""Finance"",
  REGEXMATCH(LOWER(VLOOKUP(A439, Data1_Raw_Slack!A:B, 2, FALSE)), ""auto|automotive""), ""Auto"",
  REGEXMATCH(LOWER(VLOOKUP(A439, Data1_Raw_Slack!A:B, 2, FALSE)), ""parenting|moms|dads|kids|toddlers|baby|parent|children""), ""Par"&amp;"enting"",
  REGEXMATCH(LOWER(VLOOKUP(A439, Data1_Raw_Slack!A:B, 2, FALSE)), ""education|students|learning|school|teachers|college|university|academics""), ""Education"",
  REGEXMATCH(LOWER(VLOOKUP(A439, Data1_Raw_Slack!A:B, 2, FALSE)), ""age|gender|dem"&amp;"ographic|family|household""), ""Demographics"",
  REGEXMATCH(LOWER(VLOOKUP(A439, Data1_Raw_Slack!A:B, 2, FALSE)), ""mortgage|real estate""), ""Real Estate"",REGEXMATCH(LOWER(VLOOKUP(A439, Data1_Raw_Slack!A:B, 2, FALSE)), ""technology|tech|gadgets|smartpho"&amp;"ne|electro|apps|devices|computing|ai|robots|software|computer|internet|tele|mobile|tablet""), ""Technology"", REGEXMATCH(LOWER(VLOOKUP(A439, Data1_Raw_Slack!A:B, 2, FALSE)), ""entertainment|purchas|movies|tv|netflix|streaming|celebrity|movie lovers|tv fan"&amp;"s|media|hobb|photo|art|shop""), ""Entertainment"", REGEXMATCH(LOWER(VLOOKUP(A439, Data1_Raw_Slack!A:B, 2, FALSE)), ""law|government|""), ""Law and Government"",
  TRUE, ""Other""
)"),"Law and Government")</f>
        <v>Law and Government</v>
      </c>
      <c r="G439" s="9"/>
      <c r="H439" s="9" t="s">
        <v>32</v>
      </c>
      <c r="I439" s="9" t="s">
        <v>1609</v>
      </c>
      <c r="J439" s="9" t="s">
        <v>34</v>
      </c>
      <c r="K439" s="9" t="s">
        <v>56</v>
      </c>
      <c r="L439" s="9" t="s">
        <v>57</v>
      </c>
      <c r="M439" s="10" t="s">
        <v>1610</v>
      </c>
      <c r="N439" s="9" t="str">
        <f ca="1">IFERROR(__xludf.DUMMYFUNCTION("REGEXEXTRACT(LOWER(M439), ""([a-z0-9\-]+)\.(?:co|net|org|io|gg)"")"),"upworthy")</f>
        <v>upworthy</v>
      </c>
      <c r="O439" s="9" t="s">
        <v>74</v>
      </c>
      <c r="P439" s="9" t="s">
        <v>39</v>
      </c>
      <c r="Q439" s="9">
        <v>16137</v>
      </c>
      <c r="R439" s="9">
        <v>40</v>
      </c>
      <c r="S439" s="9">
        <v>7938</v>
      </c>
      <c r="T439" s="9">
        <v>14030</v>
      </c>
      <c r="U439" s="9">
        <v>4</v>
      </c>
      <c r="V439" s="11">
        <v>1835.048738</v>
      </c>
      <c r="W439" s="12">
        <f t="shared" si="7"/>
        <v>458.76218449999999</v>
      </c>
      <c r="X439" s="12">
        <f t="shared" si="8"/>
        <v>0.2478775484910454</v>
      </c>
      <c r="Y439" s="12">
        <f t="shared" si="9"/>
        <v>49.191299498047961</v>
      </c>
      <c r="Z439" s="12">
        <f t="shared" si="10"/>
        <v>231.17268052406149</v>
      </c>
      <c r="AA439" s="12">
        <f t="shared" si="11"/>
        <v>113.71684563425667</v>
      </c>
      <c r="AB439" s="12">
        <f t="shared" si="12"/>
        <v>45.876218449999996</v>
      </c>
      <c r="AC439" s="12">
        <f t="shared" si="13"/>
        <v>10</v>
      </c>
      <c r="AE439" s="13"/>
      <c r="AF439" s="13"/>
    </row>
    <row r="440" spans="1:32">
      <c r="A440" s="8" t="s">
        <v>1611</v>
      </c>
      <c r="B440" s="9" t="s">
        <v>41</v>
      </c>
      <c r="C440" s="9" t="s">
        <v>114</v>
      </c>
      <c r="D440" s="9" t="s">
        <v>1612</v>
      </c>
      <c r="E440" s="9"/>
      <c r="F440" s="9" t="str">
        <f ca="1">IFERROR(__xludf.DUMMYFUNCTION("IFS(
  REGEXMATCH(LOWER(VLOOKUP(A440, Data1_Raw_Slack!A:B, 2, FALSE)), ""news|weather""), ""News and Weather"", REGEXMATCH(LOWER(VLOOKUP(A440, Data1_Raw_Slack!A:B, 2, FALSE)), ""sports|ufc|nba|nfl|mlb|soccer|sports fans""), ""Sports"",
  REGEXMATCH(LOWER("&amp;"VLOOKUP(A440, Data1_Raw_Slack!A:B, 2, FALSE)), ""fashion|style|clothing|apparel|shoes|accessories|beauty|cosmetics|fashionistas""), ""Fashion and Beauty"",
  REGEXMATCH(LOWER(VLOOKUP(A440, Data1_Raw_Slack!A:B, 2, FALSE)), ""food|cooking|recipe|restaurant|"&amp;"snack|grocery|foodies""), ""Food"",
  REGEXMATCH(LOWER(VLOOKUP(A440, Data1_Raw_Slack!A:B, 2, FALSE)), ""travel|vacation|airline|hotel|trip|flights|travelers""), ""Travel"",
  REGEXMATCH(LOWER(VLOOKUP(A440, Data1_Raw_Slack!A:B, 2, FALSE)), ""fitness|workou"&amp;"t|gym|exercise|yoga|wellness|fitness enthusiasts""), ""Fitness"",
  REGEXMATCH(LOWER(VLOOKUP(A440, Data1_Raw_Slack!A:B, 2, FALSE)), ""health|medical|pharmacy|mental health|doctor|health-conscious""), ""Health"",
  REGEXMATCH(LOWER(VLOOKUP(A440, Data1_Raw_"&amp;"Slack!A:B, 2, FALSE)), ""pets|dogs|cats|animals|pet care|pet lovers""), ""Pets"",
  REGEXMATCH(LOWER(VLOOKUP(A440, Data1_Raw_Slack!A:B, 2, FALSE)), ""games|gaming|game|xbox|playstation|nintendo|gamers""), ""Gaming"",
  REGEXMATCH(LOWER(VLOOKUP(A440, Data1"&amp;"_Raw_Slack!A:B, 2, FALSE)), ""entertainment|movies|tv|netflix|streaming|celebrity|movie lovers|tv fans|hobb|photo|art""), ""Entertainment"",
  REGEXMATCH(LOWER(VLOOKUP(A440, Data1_Raw_Slack!A:B, 2, FALSE)), ""lifestyle|home|interior|decor|living|lifestyle"&amp;" enthusiasts""), ""Lifestyle"",
  REGEXMATCH(LOWER(VLOOKUP(A440, Data1_Raw_Slack!A:B, 2, FALSE)), ""financial|finance|investing|stocks|retirement|banking|credit|debt|loans|savings|personal finance|insurance|econ|ecom|business|retail|occupation|sale|job|ma"&amp;"rketing""), ""Finance"",
  REGEXMATCH(LOWER(VLOOKUP(A440, Data1_Raw_Slack!A:B, 2, FALSE)), ""auto|automotive""), ""Auto"",
  REGEXMATCH(LOWER(VLOOKUP(A440, Data1_Raw_Slack!A:B, 2, FALSE)), ""parenting|moms|dads|kids|toddlers|baby|parent|children""), ""Par"&amp;"enting"",
  REGEXMATCH(LOWER(VLOOKUP(A440, Data1_Raw_Slack!A:B, 2, FALSE)), ""education|students|learning|school|teachers|college|university|academics""), ""Education"",
  REGEXMATCH(LOWER(VLOOKUP(A440, Data1_Raw_Slack!A:B, 2, FALSE)), ""age|gender|dem"&amp;"ographic|family|household""), ""Demographics"",
  REGEXMATCH(LOWER(VLOOKUP(A440, Data1_Raw_Slack!A:B, 2, FALSE)), ""mortgage|real estate""), ""Real Estate"",REGEXMATCH(LOWER(VLOOKUP(A440, Data1_Raw_Slack!A:B, 2, FALSE)), ""technology|tech|gadgets|smartpho"&amp;"ne|electro|apps|devices|computing|ai|robots|software|computer|internet|tele|mobile|tablet""), ""Technology"", REGEXMATCH(LOWER(VLOOKUP(A440, Data1_Raw_Slack!A:B, 2, FALSE)), ""entertainment|purchas|movies|tv|netflix|streaming|celebrity|movie lovers|tv fan"&amp;"s|media|hobb|photo|art|shop""), ""Entertainment"", REGEXMATCH(LOWER(VLOOKUP(A440, Data1_Raw_Slack!A:B, 2, FALSE)), ""law|government|""), ""Law and Government"",
  TRUE, ""Other""
)"),"Education")</f>
        <v>Education</v>
      </c>
      <c r="G440" s="9"/>
      <c r="H440" s="9" t="s">
        <v>32</v>
      </c>
      <c r="I440" s="9" t="s">
        <v>1613</v>
      </c>
      <c r="J440" s="9" t="s">
        <v>80</v>
      </c>
      <c r="K440" s="9" t="s">
        <v>236</v>
      </c>
      <c r="L440" s="9" t="s">
        <v>82</v>
      </c>
      <c r="M440" s="10" t="s">
        <v>354</v>
      </c>
      <c r="N440" s="9" t="str">
        <f ca="1">IFERROR(__xludf.DUMMYFUNCTION("REGEXEXTRACT(LOWER(M440), ""([a-z0-9\-]+)\.(?:co|net|org|io|gg)"")"),"yahoo")</f>
        <v>yahoo</v>
      </c>
      <c r="O440" s="9" t="s">
        <v>109</v>
      </c>
      <c r="P440" s="9" t="s">
        <v>39</v>
      </c>
      <c r="Q440" s="9">
        <v>446774</v>
      </c>
      <c r="R440" s="9">
        <v>1245</v>
      </c>
      <c r="S440" s="9">
        <v>163786</v>
      </c>
      <c r="T440" s="9">
        <v>374116</v>
      </c>
      <c r="U440" s="9">
        <v>12</v>
      </c>
      <c r="V440" s="11">
        <v>7248.2316119999996</v>
      </c>
      <c r="W440" s="12">
        <f t="shared" si="7"/>
        <v>604.01930099999993</v>
      </c>
      <c r="X440" s="12">
        <f t="shared" si="8"/>
        <v>0.27866438064882915</v>
      </c>
      <c r="Y440" s="12">
        <f t="shared" si="9"/>
        <v>36.659698191927014</v>
      </c>
      <c r="Z440" s="12">
        <f t="shared" si="10"/>
        <v>44.25428065890857</v>
      </c>
      <c r="AA440" s="12">
        <f t="shared" si="11"/>
        <v>16.223485726564213</v>
      </c>
      <c r="AB440" s="12">
        <f t="shared" si="12"/>
        <v>5.8218727807228916</v>
      </c>
      <c r="AC440" s="12">
        <f t="shared" si="13"/>
        <v>0.96385542168674709</v>
      </c>
      <c r="AE440" s="13"/>
      <c r="AF440" s="13"/>
    </row>
    <row r="441" spans="1:32">
      <c r="A441" s="8" t="s">
        <v>1614</v>
      </c>
      <c r="B441" s="9" t="s">
        <v>41</v>
      </c>
      <c r="C441" s="9" t="s">
        <v>214</v>
      </c>
      <c r="D441" s="9" t="s">
        <v>215</v>
      </c>
      <c r="E441" s="9" t="s">
        <v>1615</v>
      </c>
      <c r="F441" s="9" t="str">
        <f ca="1">IFERROR(__xludf.DUMMYFUNCTION("IFS(
  REGEXMATCH(LOWER(VLOOKUP(A441, Data1_Raw_Slack!A:B, 2, FALSE)), ""news|weather""), ""News and Weather"", REGEXMATCH(LOWER(VLOOKUP(A441, Data1_Raw_Slack!A:B, 2, FALSE)), ""sports|ufc|nba|nfl|mlb|soccer|sports fans""), ""Sports"",
  REGEXMATCH(LOWER("&amp;"VLOOKUP(A441, Data1_Raw_Slack!A:B, 2, FALSE)), ""fashion|style|clothing|apparel|shoes|accessories|beauty|cosmetics|fashionistas""), ""Fashion and Beauty"",
  REGEXMATCH(LOWER(VLOOKUP(A441, Data1_Raw_Slack!A:B, 2, FALSE)), ""food|cooking|recipe|restaurant|"&amp;"snack|grocery|foodies""), ""Food"",
  REGEXMATCH(LOWER(VLOOKUP(A441, Data1_Raw_Slack!A:B, 2, FALSE)), ""travel|vacation|airline|hotel|trip|flights|travelers""), ""Travel"",
  REGEXMATCH(LOWER(VLOOKUP(A441, Data1_Raw_Slack!A:B, 2, FALSE)), ""fitness|workou"&amp;"t|gym|exercise|yoga|wellness|fitness enthusiasts""), ""Fitness"",
  REGEXMATCH(LOWER(VLOOKUP(A441, Data1_Raw_Slack!A:B, 2, FALSE)), ""health|medical|pharmacy|mental health|doctor|health-conscious""), ""Health"",
  REGEXMATCH(LOWER(VLOOKUP(A441, Data1_Raw_"&amp;"Slack!A:B, 2, FALSE)), ""pets|dogs|cats|animals|pet care|pet lovers""), ""Pets"",
  REGEXMATCH(LOWER(VLOOKUP(A441, Data1_Raw_Slack!A:B, 2, FALSE)), ""games|gaming|game|xbox|playstation|nintendo|gamers""), ""Gaming"",
  REGEXMATCH(LOWER(VLOOKUP(A441, Data1"&amp;"_Raw_Slack!A:B, 2, FALSE)), ""entertainment|movies|tv|netflix|streaming|celebrity|movie lovers|tv fans|hobb|photo|art""), ""Entertainment"",
  REGEXMATCH(LOWER(VLOOKUP(A441, Data1_Raw_Slack!A:B, 2, FALSE)), ""lifestyle|home|interior|decor|living|lifestyle"&amp;" enthusiasts""), ""Lifestyle"",
  REGEXMATCH(LOWER(VLOOKUP(A441, Data1_Raw_Slack!A:B, 2, FALSE)), ""financial|finance|investing|stocks|retirement|banking|credit|debt|loans|savings|personal finance|insurance|econ|ecom|business|retail|occupation|sale|job|ma"&amp;"rketing""), ""Finance"",
  REGEXMATCH(LOWER(VLOOKUP(A441, Data1_Raw_Slack!A:B, 2, FALSE)), ""auto|automotive""), ""Auto"",
  REGEXMATCH(LOWER(VLOOKUP(A441, Data1_Raw_Slack!A:B, 2, FALSE)), ""parenting|moms|dads|kids|toddlers|baby|parent|children""), ""Par"&amp;"enting"",
  REGEXMATCH(LOWER(VLOOKUP(A441, Data1_Raw_Slack!A:B, 2, FALSE)), ""education|students|learning|school|teachers|college|university|academics""), ""Education"",
  REGEXMATCH(LOWER(VLOOKUP(A441, Data1_Raw_Slack!A:B, 2, FALSE)), ""age|gender|dem"&amp;"ographic|family|household""), ""Demographics"",
  REGEXMATCH(LOWER(VLOOKUP(A441, Data1_Raw_Slack!A:B, 2, FALSE)), ""mortgage|real estate""), ""Real Estate"",REGEXMATCH(LOWER(VLOOKUP(A441, Data1_Raw_Slack!A:B, 2, FALSE)), ""technology|tech|gadgets|smartpho"&amp;"ne|electro|apps|devices|computing|ai|robots|software|computer|internet|tele|mobile|tablet""), ""Technology"", REGEXMATCH(LOWER(VLOOKUP(A441, Data1_Raw_Slack!A:B, 2, FALSE)), ""entertainment|purchas|movies|tv|netflix|streaming|celebrity|movie lovers|tv fan"&amp;"s|media|hobb|photo|art|shop""), ""Entertainment"", REGEXMATCH(LOWER(VLOOKUP(A441, Data1_Raw_Slack!A:B, 2, FALSE)), ""law|government|""), ""Law and Government"",
  TRUE, ""Other""
)"),"Demographics")</f>
        <v>Demographics</v>
      </c>
      <c r="G441" s="9"/>
      <c r="H441" s="9" t="s">
        <v>44</v>
      </c>
      <c r="I441" s="9" t="s">
        <v>1592</v>
      </c>
      <c r="J441" s="9" t="s">
        <v>34</v>
      </c>
      <c r="K441" s="9" t="s">
        <v>35</v>
      </c>
      <c r="L441" s="9" t="s">
        <v>36</v>
      </c>
      <c r="M441" s="10" t="s">
        <v>372</v>
      </c>
      <c r="N441" s="9" t="str">
        <f ca="1">IFERROR(__xludf.DUMMYFUNCTION("REGEXEXTRACT(LOWER(M441), ""([a-z0-9\-]+)\.(?:co|net|org|io|gg)"")"),"accuweather")</f>
        <v>accuweather</v>
      </c>
      <c r="O441" s="9" t="s">
        <v>50</v>
      </c>
      <c r="P441" s="9" t="s">
        <v>39</v>
      </c>
      <c r="Q441" s="9">
        <v>14730</v>
      </c>
      <c r="R441" s="9">
        <v>88</v>
      </c>
      <c r="S441" s="9">
        <v>1272</v>
      </c>
      <c r="T441" s="9">
        <v>12427</v>
      </c>
      <c r="U441" s="9">
        <v>3</v>
      </c>
      <c r="V441" s="11">
        <v>5190.5359980000003</v>
      </c>
      <c r="W441" s="12">
        <f t="shared" si="7"/>
        <v>1730.178666</v>
      </c>
      <c r="X441" s="12">
        <f t="shared" si="8"/>
        <v>0.59742023082145279</v>
      </c>
      <c r="Y441" s="12">
        <f t="shared" si="9"/>
        <v>8.6354378818737274</v>
      </c>
      <c r="Z441" s="12">
        <f t="shared" si="10"/>
        <v>4080.6100613207545</v>
      </c>
      <c r="AA441" s="12">
        <f t="shared" si="11"/>
        <v>352.37854704684321</v>
      </c>
      <c r="AB441" s="12">
        <f t="shared" si="12"/>
        <v>58.983363613636364</v>
      </c>
      <c r="AC441" s="12">
        <f t="shared" si="13"/>
        <v>3.4090909090909087</v>
      </c>
      <c r="AE441" s="13"/>
      <c r="AF441" s="13"/>
    </row>
    <row r="442" spans="1:32">
      <c r="A442" s="8" t="s">
        <v>1616</v>
      </c>
      <c r="B442" s="9" t="s">
        <v>498</v>
      </c>
      <c r="C442" s="9" t="s">
        <v>135</v>
      </c>
      <c r="D442" s="9" t="s">
        <v>826</v>
      </c>
      <c r="E442" s="9"/>
      <c r="F442" s="9" t="str">
        <f ca="1">IFERROR(__xludf.DUMMYFUNCTION("IFS(
  REGEXMATCH(LOWER(VLOOKUP(A442, Data1_Raw_Slack!A:B, 2, FALSE)), ""news|weather""), ""News and Weather"", REGEXMATCH(LOWER(VLOOKUP(A442, Data1_Raw_Slack!A:B, 2, FALSE)), ""sports|ufc|nba|nfl|mlb|soccer|sports fans""), ""Sports"",
  REGEXMATCH(LOWER("&amp;"VLOOKUP(A442, Data1_Raw_Slack!A:B, 2, FALSE)), ""fashion|style|clothing|apparel|shoes|accessories|beauty|cosmetics|fashionistas""), ""Fashion and Beauty"",
  REGEXMATCH(LOWER(VLOOKUP(A442, Data1_Raw_Slack!A:B, 2, FALSE)), ""food|cooking|recipe|restaurant|"&amp;"snack|grocery|foodies""), ""Food"",
  REGEXMATCH(LOWER(VLOOKUP(A442, Data1_Raw_Slack!A:B, 2, FALSE)), ""travel|vacation|airline|hotel|trip|flights|travelers""), ""Travel"",
  REGEXMATCH(LOWER(VLOOKUP(A442, Data1_Raw_Slack!A:B, 2, FALSE)), ""fitness|workou"&amp;"t|gym|exercise|yoga|wellness|fitness enthusiasts""), ""Fitness"",
  REGEXMATCH(LOWER(VLOOKUP(A442, Data1_Raw_Slack!A:B, 2, FALSE)), ""health|medical|pharmacy|mental health|doctor|health-conscious""), ""Health"",
  REGEXMATCH(LOWER(VLOOKUP(A442, Data1_Raw_"&amp;"Slack!A:B, 2, FALSE)), ""pets|dogs|cats|animals|pet care|pet lovers""), ""Pets"",
  REGEXMATCH(LOWER(VLOOKUP(A442, Data1_Raw_Slack!A:B, 2, FALSE)), ""games|gaming|game|xbox|playstation|nintendo|gamers""), ""Gaming"",
  REGEXMATCH(LOWER(VLOOKUP(A442, Data1"&amp;"_Raw_Slack!A:B, 2, FALSE)), ""entertainment|movies|tv|netflix|streaming|celebrity|movie lovers|tv fans|hobb|photo|art""), ""Entertainment"",
  REGEXMATCH(LOWER(VLOOKUP(A442, Data1_Raw_Slack!A:B, 2, FALSE)), ""lifestyle|home|interior|decor|living|lifestyle"&amp;" enthusiasts""), ""Lifestyle"",
  REGEXMATCH(LOWER(VLOOKUP(A442, Data1_Raw_Slack!A:B, 2, FALSE)), ""financial|finance|investing|stocks|retirement|banking|credit|debt|loans|savings|personal finance|insurance|econ|ecom|business|retail|occupation|sale|job|ma"&amp;"rketing""), ""Finance"",
  REGEXMATCH(LOWER(VLOOKUP(A442, Data1_Raw_Slack!A:B, 2, FALSE)), ""auto|automotive""), ""Auto"",
  REGEXMATCH(LOWER(VLOOKUP(A442, Data1_Raw_Slack!A:B, 2, FALSE)), ""parenting|moms|dads|kids|toddlers|baby|parent|children""), ""Par"&amp;"enting"",
  REGEXMATCH(LOWER(VLOOKUP(A442, Data1_Raw_Slack!A:B, 2, FALSE)), ""education|students|learning|school|teachers|college|university|academics""), ""Education"",
  REGEXMATCH(LOWER(VLOOKUP(A442, Data1_Raw_Slack!A:B, 2, FALSE)), ""age|gender|dem"&amp;"ographic|family|household""), ""Demographics"",
  REGEXMATCH(LOWER(VLOOKUP(A442, Data1_Raw_Slack!A:B, 2, FALSE)), ""mortgage|real estate""), ""Real Estate"",REGEXMATCH(LOWER(VLOOKUP(A442, Data1_Raw_Slack!A:B, 2, FALSE)), ""technology|tech|gadgets|smartpho"&amp;"ne|electro|apps|devices|computing|ai|robots|software|computer|internet|tele|mobile|tablet""), ""Technology"", REGEXMATCH(LOWER(VLOOKUP(A442, Data1_Raw_Slack!A:B, 2, FALSE)), ""entertainment|purchas|movies|tv|netflix|streaming|celebrity|movie lovers|tv fan"&amp;"s|media|hobb|photo|art|shop""), ""Entertainment"", REGEXMATCH(LOWER(VLOOKUP(A442, Data1_Raw_Slack!A:B, 2, FALSE)), ""law|government|""), ""Law and Government"",
  TRUE, ""Other""
)"),"Technology")</f>
        <v>Technology</v>
      </c>
      <c r="G442" s="9" t="s">
        <v>135</v>
      </c>
      <c r="H442" s="9" t="s">
        <v>44</v>
      </c>
      <c r="I442" s="9" t="s">
        <v>1617</v>
      </c>
      <c r="J442" s="9" t="s">
        <v>62</v>
      </c>
      <c r="K442" s="9" t="s">
        <v>47</v>
      </c>
      <c r="L442" s="9" t="s">
        <v>48</v>
      </c>
      <c r="M442" s="10" t="s">
        <v>398</v>
      </c>
      <c r="N442" s="9" t="str">
        <f ca="1">IFERROR(__xludf.DUMMYFUNCTION("REGEXEXTRACT(LOWER(M442), ""([a-z0-9\-]+)\.(?:co|net|org|io|gg)"")"),"kbb")</f>
        <v>kbb</v>
      </c>
      <c r="O442" s="9" t="s">
        <v>50</v>
      </c>
      <c r="P442" s="9" t="s">
        <v>64</v>
      </c>
      <c r="Q442" s="9">
        <v>16236</v>
      </c>
      <c r="R442" s="9">
        <v>50</v>
      </c>
      <c r="S442" s="9">
        <v>8669</v>
      </c>
      <c r="T442" s="9">
        <v>15208</v>
      </c>
      <c r="U442" s="9">
        <v>11</v>
      </c>
      <c r="V442" s="11">
        <v>1639.8136959999999</v>
      </c>
      <c r="W442" s="12">
        <f t="shared" si="7"/>
        <v>149.07397236363636</v>
      </c>
      <c r="X442" s="12">
        <f t="shared" si="8"/>
        <v>0.30795762503079577</v>
      </c>
      <c r="Y442" s="12">
        <f t="shared" si="9"/>
        <v>53.393693027839376</v>
      </c>
      <c r="Z442" s="12">
        <f t="shared" si="10"/>
        <v>189.15834536855462</v>
      </c>
      <c r="AA442" s="12">
        <f t="shared" si="11"/>
        <v>100.99862626262626</v>
      </c>
      <c r="AB442" s="12">
        <f t="shared" si="12"/>
        <v>32.796273919999997</v>
      </c>
      <c r="AC442" s="12">
        <f t="shared" si="13"/>
        <v>22</v>
      </c>
      <c r="AE442" s="13"/>
      <c r="AF442" s="13"/>
    </row>
    <row r="443" spans="1:32">
      <c r="A443" s="8" t="s">
        <v>1618</v>
      </c>
      <c r="B443" s="9" t="s">
        <v>459</v>
      </c>
      <c r="C443" s="9" t="s">
        <v>154</v>
      </c>
      <c r="D443" s="9" t="s">
        <v>1619</v>
      </c>
      <c r="E443" s="9" t="s">
        <v>1620</v>
      </c>
      <c r="F443" s="9" t="str">
        <f ca="1">IFERROR(__xludf.DUMMYFUNCTION("IFS(
  REGEXMATCH(LOWER(VLOOKUP(A443, Data1_Raw_Slack!A:B, 2, FALSE)), ""news|weather""), ""News and Weather"", REGEXMATCH(LOWER(VLOOKUP(A443, Data1_Raw_Slack!A:B, 2, FALSE)), ""sports|ufc|nba|nfl|mlb|soccer|sports fans""), ""Sports"",
  REGEXMATCH(LOWER("&amp;"VLOOKUP(A443, Data1_Raw_Slack!A:B, 2, FALSE)), ""fashion|style|clothing|apparel|shoes|accessories|beauty|cosmetics|fashionistas""), ""Fashion and Beauty"",
  REGEXMATCH(LOWER(VLOOKUP(A443, Data1_Raw_Slack!A:B, 2, FALSE)), ""food|cooking|recipe|restaurant|"&amp;"snack|grocery|foodies""), ""Food"",
  REGEXMATCH(LOWER(VLOOKUP(A443, Data1_Raw_Slack!A:B, 2, FALSE)), ""travel|vacation|airline|hotel|trip|flights|travelers""), ""Travel"",
  REGEXMATCH(LOWER(VLOOKUP(A443, Data1_Raw_Slack!A:B, 2, FALSE)), ""fitness|workou"&amp;"t|gym|exercise|yoga|wellness|fitness enthusiasts""), ""Fitness"",
  REGEXMATCH(LOWER(VLOOKUP(A443, Data1_Raw_Slack!A:B, 2, FALSE)), ""health|medical|pharmacy|mental health|doctor|health-conscious""), ""Health"",
  REGEXMATCH(LOWER(VLOOKUP(A443, Data1_Raw_"&amp;"Slack!A:B, 2, FALSE)), ""pets|dogs|cats|animals|pet care|pet lovers""), ""Pets"",
  REGEXMATCH(LOWER(VLOOKUP(A443, Data1_Raw_Slack!A:B, 2, FALSE)), ""games|gaming|game|xbox|playstation|nintendo|gamers""), ""Gaming"",
  REGEXMATCH(LOWER(VLOOKUP(A443, Data1"&amp;"_Raw_Slack!A:B, 2, FALSE)), ""entertainment|movies|tv|netflix|streaming|celebrity|movie lovers|tv fans|hobb|photo|art""), ""Entertainment"",
  REGEXMATCH(LOWER(VLOOKUP(A443, Data1_Raw_Slack!A:B, 2, FALSE)), ""lifestyle|home|interior|decor|living|lifestyle"&amp;" enthusiasts""), ""Lifestyle"",
  REGEXMATCH(LOWER(VLOOKUP(A443, Data1_Raw_Slack!A:B, 2, FALSE)), ""financial|finance|investing|stocks|retirement|banking|credit|debt|loans|savings|personal finance|insurance|econ|ecom|business|retail|occupation|sale|job|ma"&amp;"rketing""), ""Finance"",
  REGEXMATCH(LOWER(VLOOKUP(A443, Data1_Raw_Slack!A:B, 2, FALSE)), ""auto|automotive""), ""Auto"",
  REGEXMATCH(LOWER(VLOOKUP(A443, Data1_Raw_Slack!A:B, 2, FALSE)), ""parenting|moms|dads|kids|toddlers|baby|parent|children""), ""Par"&amp;"enting"",
  REGEXMATCH(LOWER(VLOOKUP(A443, Data1_Raw_Slack!A:B, 2, FALSE)), ""education|students|learning|school|teachers|college|university|academics""), ""Education"",
  REGEXMATCH(LOWER(VLOOKUP(A443, Data1_Raw_Slack!A:B, 2, FALSE)), ""age|gender|dem"&amp;"ographic|family|household""), ""Demographics"",
  REGEXMATCH(LOWER(VLOOKUP(A443, Data1_Raw_Slack!A:B, 2, FALSE)), ""mortgage|real estate""), ""Real Estate"",REGEXMATCH(LOWER(VLOOKUP(A443, Data1_Raw_Slack!A:B, 2, FALSE)), ""technology|tech|gadgets|smartpho"&amp;"ne|electro|apps|devices|computing|ai|robots|software|computer|internet|tele|mobile|tablet""), ""Technology"", REGEXMATCH(LOWER(VLOOKUP(A443, Data1_Raw_Slack!A:B, 2, FALSE)), ""entertainment|purchas|movies|tv|netflix|streaming|celebrity|movie lovers|tv fan"&amp;"s|media|hobb|photo|art|shop""), ""Entertainment"", REGEXMATCH(LOWER(VLOOKUP(A443, Data1_Raw_Slack!A:B, 2, FALSE)), ""law|government|""), ""Law and Government"",
  TRUE, ""Other""
)"),"Sports")</f>
        <v>Sports</v>
      </c>
      <c r="G443" s="9" t="s">
        <v>154</v>
      </c>
      <c r="H443" s="9" t="s">
        <v>32</v>
      </c>
      <c r="I443" s="9" t="s">
        <v>1621</v>
      </c>
      <c r="J443" s="9" t="s">
        <v>62</v>
      </c>
      <c r="K443" s="9" t="s">
        <v>56</v>
      </c>
      <c r="L443" s="9" t="s">
        <v>57</v>
      </c>
      <c r="M443" s="10" t="s">
        <v>1622</v>
      </c>
      <c r="N443" s="9" t="str">
        <f ca="1">IFERROR(__xludf.DUMMYFUNCTION("REGEXEXTRACT(LOWER(M443), ""([a-z0-9\-]+)\.(?:co|net|org|io|gg)"")"),"heraldweekly")</f>
        <v>heraldweekly</v>
      </c>
      <c r="O443" s="9" t="s">
        <v>317</v>
      </c>
      <c r="P443" s="9" t="s">
        <v>39</v>
      </c>
      <c r="Q443" s="9">
        <v>13655</v>
      </c>
      <c r="R443" s="9">
        <v>66</v>
      </c>
      <c r="S443" s="9">
        <v>9519</v>
      </c>
      <c r="T443" s="9">
        <v>13041</v>
      </c>
      <c r="U443" s="9">
        <v>3</v>
      </c>
      <c r="V443" s="11">
        <v>1475.2451189999999</v>
      </c>
      <c r="W443" s="12">
        <f t="shared" si="7"/>
        <v>491.74837299999996</v>
      </c>
      <c r="X443" s="12">
        <f t="shared" si="8"/>
        <v>0.48333943610399122</v>
      </c>
      <c r="Y443" s="12">
        <f t="shared" si="9"/>
        <v>69.71072867081655</v>
      </c>
      <c r="Z443" s="12">
        <f t="shared" si="10"/>
        <v>154.97900189095492</v>
      </c>
      <c r="AA443" s="12">
        <f t="shared" si="11"/>
        <v>108.03699150494324</v>
      </c>
      <c r="AB443" s="12">
        <f t="shared" si="12"/>
        <v>22.35219877272727</v>
      </c>
      <c r="AC443" s="12">
        <f t="shared" si="13"/>
        <v>4.5454545454545459</v>
      </c>
      <c r="AE443" s="13"/>
      <c r="AF443" s="13"/>
    </row>
    <row r="444" spans="1:32">
      <c r="A444" s="8" t="s">
        <v>1623</v>
      </c>
      <c r="B444" s="9" t="s">
        <v>200</v>
      </c>
      <c r="C444" s="9" t="s">
        <v>1624</v>
      </c>
      <c r="D444" s="9" t="s">
        <v>1625</v>
      </c>
      <c r="E444" s="9"/>
      <c r="F444" s="9" t="str">
        <f ca="1">IFERROR(__xludf.DUMMYFUNCTION("IFS(
  REGEXMATCH(LOWER(VLOOKUP(A444, Data1_Raw_Slack!A:B, 2, FALSE)), ""news|weather""), ""News and Weather"", REGEXMATCH(LOWER(VLOOKUP(A444, Data1_Raw_Slack!A:B, 2, FALSE)), ""sports|ufc|nba|nfl|mlb|soccer|sports fans""), ""Sports"",
  REGEXMATCH(LOWER("&amp;"VLOOKUP(A444, Data1_Raw_Slack!A:B, 2, FALSE)), ""fashion|style|clothing|apparel|shoes|accessories|beauty|cosmetics|fashionistas""), ""Fashion and Beauty"",
  REGEXMATCH(LOWER(VLOOKUP(A444, Data1_Raw_Slack!A:B, 2, FALSE)), ""food|cooking|recipe|restaurant|"&amp;"snack|grocery|foodies""), ""Food"",
  REGEXMATCH(LOWER(VLOOKUP(A444, Data1_Raw_Slack!A:B, 2, FALSE)), ""travel|vacation|airline|hotel|trip|flights|travelers""), ""Travel"",
  REGEXMATCH(LOWER(VLOOKUP(A444, Data1_Raw_Slack!A:B, 2, FALSE)), ""fitness|workou"&amp;"t|gym|exercise|yoga|wellness|fitness enthusiasts""), ""Fitness"",
  REGEXMATCH(LOWER(VLOOKUP(A444, Data1_Raw_Slack!A:B, 2, FALSE)), ""health|medical|pharmacy|mental health|doctor|health-conscious""), ""Health"",
  REGEXMATCH(LOWER(VLOOKUP(A444, Data1_Raw_"&amp;"Slack!A:B, 2, FALSE)), ""pets|dogs|cats|animals|pet care|pet lovers""), ""Pets"",
  REGEXMATCH(LOWER(VLOOKUP(A444, Data1_Raw_Slack!A:B, 2, FALSE)), ""games|gaming|game|xbox|playstation|nintendo|gamers""), ""Gaming"",
  REGEXMATCH(LOWER(VLOOKUP(A444, Data1"&amp;"_Raw_Slack!A:B, 2, FALSE)), ""entertainment|movies|tv|netflix|streaming|celebrity|movie lovers|tv fans|hobb|photo|art""), ""Entertainment"",
  REGEXMATCH(LOWER(VLOOKUP(A444, Data1_Raw_Slack!A:B, 2, FALSE)), ""lifestyle|home|interior|decor|living|lifestyle"&amp;" enthusiasts""), ""Lifestyle"",
  REGEXMATCH(LOWER(VLOOKUP(A444, Data1_Raw_Slack!A:B, 2, FALSE)), ""financial|finance|investing|stocks|retirement|banking|credit|debt|loans|savings|personal finance|insurance|econ|ecom|business|retail|occupation|sale|job|ma"&amp;"rketing""), ""Finance"",
  REGEXMATCH(LOWER(VLOOKUP(A444, Data1_Raw_Slack!A:B, 2, FALSE)), ""auto|automotive""), ""Auto"",
  REGEXMATCH(LOWER(VLOOKUP(A444, Data1_Raw_Slack!A:B, 2, FALSE)), ""parenting|moms|dads|kids|toddlers|baby|parent|children""), ""Par"&amp;"enting"",
  REGEXMATCH(LOWER(VLOOKUP(A444, Data1_Raw_Slack!A:B, 2, FALSE)), ""education|students|learning|school|teachers|college|university|academics""), ""Education"",
  REGEXMATCH(LOWER(VLOOKUP(A444, Data1_Raw_Slack!A:B, 2, FALSE)), ""age|gender|dem"&amp;"ographic|family|household""), ""Demographics"",
  REGEXMATCH(LOWER(VLOOKUP(A444, Data1_Raw_Slack!A:B, 2, FALSE)), ""mortgage|real estate""), ""Real Estate"",REGEXMATCH(LOWER(VLOOKUP(A444, Data1_Raw_Slack!A:B, 2, FALSE)), ""technology|tech|gadgets|smartpho"&amp;"ne|electro|apps|devices|computing|ai|robots|software|computer|internet|tele|mobile|tablet""), ""Technology"", REGEXMATCH(LOWER(VLOOKUP(A444, Data1_Raw_Slack!A:B, 2, FALSE)), ""entertainment|purchas|movies|tv|netflix|streaming|celebrity|movie lovers|tv fan"&amp;"s|media|hobb|photo|art|shop""), ""Entertainment"", REGEXMATCH(LOWER(VLOOKUP(A444, Data1_Raw_Slack!A:B, 2, FALSE)), ""law|government|""), ""Law and Government"",
  TRUE, ""Other""
)"),"Real Estate")</f>
        <v>Real Estate</v>
      </c>
      <c r="G444" s="9" t="s">
        <v>209</v>
      </c>
      <c r="H444" s="9" t="s">
        <v>44</v>
      </c>
      <c r="I444" s="9" t="s">
        <v>802</v>
      </c>
      <c r="J444" s="9" t="s">
        <v>34</v>
      </c>
      <c r="K444" s="9" t="s">
        <v>236</v>
      </c>
      <c r="L444" s="9" t="s">
        <v>82</v>
      </c>
      <c r="M444" s="10" t="s">
        <v>372</v>
      </c>
      <c r="N444" s="9" t="str">
        <f ca="1">IFERROR(__xludf.DUMMYFUNCTION("REGEXEXTRACT(LOWER(M444), ""([a-z0-9\-]+)\.(?:co|net|org|io|gg)"")"),"accuweather")</f>
        <v>accuweather</v>
      </c>
      <c r="O444" s="9" t="s">
        <v>50</v>
      </c>
      <c r="P444" s="9" t="s">
        <v>75</v>
      </c>
      <c r="Q444" s="9">
        <v>49250</v>
      </c>
      <c r="R444" s="9">
        <v>220</v>
      </c>
      <c r="S444" s="9">
        <v>9205</v>
      </c>
      <c r="T444" s="9">
        <v>43535</v>
      </c>
      <c r="U444" s="9">
        <v>15</v>
      </c>
      <c r="V444" s="11">
        <v>1694.4709769999999</v>
      </c>
      <c r="W444" s="12">
        <f t="shared" si="7"/>
        <v>112.9647318</v>
      </c>
      <c r="X444" s="12">
        <f t="shared" si="8"/>
        <v>0.4467005076142132</v>
      </c>
      <c r="Y444" s="12">
        <f t="shared" si="9"/>
        <v>18.690355329949238</v>
      </c>
      <c r="Z444" s="12">
        <f t="shared" si="10"/>
        <v>184.08158359587179</v>
      </c>
      <c r="AA444" s="12">
        <f t="shared" si="11"/>
        <v>34.405502071065989</v>
      </c>
      <c r="AB444" s="12">
        <f t="shared" si="12"/>
        <v>7.7021408045454542</v>
      </c>
      <c r="AC444" s="12">
        <f t="shared" si="13"/>
        <v>6.8181818181818175</v>
      </c>
      <c r="AE444" s="13"/>
      <c r="AF444" s="13"/>
    </row>
    <row r="445" spans="1:32">
      <c r="A445" s="8" t="s">
        <v>1626</v>
      </c>
      <c r="B445" s="9" t="s">
        <v>41</v>
      </c>
      <c r="C445" s="9" t="s">
        <v>253</v>
      </c>
      <c r="D445" s="9" t="s">
        <v>1189</v>
      </c>
      <c r="E445" s="9"/>
      <c r="F445" s="9" t="str">
        <f ca="1">IFERROR(__xludf.DUMMYFUNCTION("IFS(
  REGEXMATCH(LOWER(VLOOKUP(A445, Data1_Raw_Slack!A:B, 2, FALSE)), ""news|weather""), ""News and Weather"", REGEXMATCH(LOWER(VLOOKUP(A445, Data1_Raw_Slack!A:B, 2, FALSE)), ""sports|ufc|nba|nfl|mlb|soccer|sports fans""), ""Sports"",
  REGEXMATCH(LOWER("&amp;"VLOOKUP(A445, Data1_Raw_Slack!A:B, 2, FALSE)), ""fashion|style|clothing|apparel|shoes|accessories|beauty|cosmetics|fashionistas""), ""Fashion and Beauty"",
  REGEXMATCH(LOWER(VLOOKUP(A445, Data1_Raw_Slack!A:B, 2, FALSE)), ""food|cooking|recipe|restaurant|"&amp;"snack|grocery|foodies""), ""Food"",
  REGEXMATCH(LOWER(VLOOKUP(A445, Data1_Raw_Slack!A:B, 2, FALSE)), ""travel|vacation|airline|hotel|trip|flights|travelers""), ""Travel"",
  REGEXMATCH(LOWER(VLOOKUP(A445, Data1_Raw_Slack!A:B, 2, FALSE)), ""fitness|workou"&amp;"t|gym|exercise|yoga|wellness|fitness enthusiasts""), ""Fitness"",
  REGEXMATCH(LOWER(VLOOKUP(A445, Data1_Raw_Slack!A:B, 2, FALSE)), ""health|medical|pharmacy|mental health|doctor|health-conscious""), ""Health"",
  REGEXMATCH(LOWER(VLOOKUP(A445, Data1_Raw_"&amp;"Slack!A:B, 2, FALSE)), ""pets|dogs|cats|animals|pet care|pet lovers""), ""Pets"",
  REGEXMATCH(LOWER(VLOOKUP(A445, Data1_Raw_Slack!A:B, 2, FALSE)), ""games|gaming|game|xbox|playstation|nintendo|gamers""), ""Gaming"",
  REGEXMATCH(LOWER(VLOOKUP(A445, Data1"&amp;"_Raw_Slack!A:B, 2, FALSE)), ""entertainment|movies|tv|netflix|streaming|celebrity|movie lovers|tv fans|hobb|photo|art""), ""Entertainment"",
  REGEXMATCH(LOWER(VLOOKUP(A445, Data1_Raw_Slack!A:B, 2, FALSE)), ""lifestyle|home|interior|decor|living|lifestyle"&amp;" enthusiasts""), ""Lifestyle"",
  REGEXMATCH(LOWER(VLOOKUP(A445, Data1_Raw_Slack!A:B, 2, FALSE)), ""financial|finance|investing|stocks|retirement|banking|credit|debt|loans|savings|personal finance|insurance|econ|ecom|business|retail|occupation|sale|job|ma"&amp;"rketing""), ""Finance"",
  REGEXMATCH(LOWER(VLOOKUP(A445, Data1_Raw_Slack!A:B, 2, FALSE)), ""auto|automotive""), ""Auto"",
  REGEXMATCH(LOWER(VLOOKUP(A445, Data1_Raw_Slack!A:B, 2, FALSE)), ""parenting|moms|dads|kids|toddlers|baby|parent|children""), ""Par"&amp;"enting"",
  REGEXMATCH(LOWER(VLOOKUP(A445, Data1_Raw_Slack!A:B, 2, FALSE)), ""education|students|learning|school|teachers|college|university|academics""), ""Education"",
  REGEXMATCH(LOWER(VLOOKUP(A445, Data1_Raw_Slack!A:B, 2, FALSE)), ""age|gender|dem"&amp;"ographic|family|household""), ""Demographics"",
  REGEXMATCH(LOWER(VLOOKUP(A445, Data1_Raw_Slack!A:B, 2, FALSE)), ""mortgage|real estate""), ""Real Estate"",REGEXMATCH(LOWER(VLOOKUP(A445, Data1_Raw_Slack!A:B, 2, FALSE)), ""technology|tech|gadgets|smartpho"&amp;"ne|electro|apps|devices|computing|ai|robots|software|computer|internet|tele|mobile|tablet""), ""Technology"", REGEXMATCH(LOWER(VLOOKUP(A445, Data1_Raw_Slack!A:B, 2, FALSE)), ""entertainment|purchas|movies|tv|netflix|streaming|celebrity|movie lovers|tv fan"&amp;"s|media|hobb|photo|art|shop""), ""Entertainment"", REGEXMATCH(LOWER(VLOOKUP(A445, Data1_Raw_Slack!A:B, 2, FALSE)), ""law|government|""), ""Law and Government"",
  TRUE, ""Other""
)"),"Entertainment")</f>
        <v>Entertainment</v>
      </c>
      <c r="G445" s="9"/>
      <c r="H445" s="9" t="s">
        <v>32</v>
      </c>
      <c r="I445" s="9" t="s">
        <v>1627</v>
      </c>
      <c r="J445" s="9" t="s">
        <v>34</v>
      </c>
      <c r="K445" s="9" t="s">
        <v>170</v>
      </c>
      <c r="L445" s="9" t="s">
        <v>72</v>
      </c>
      <c r="M445" s="10" t="s">
        <v>472</v>
      </c>
      <c r="N445" s="9" t="str">
        <f ca="1">IFERROR(__xludf.DUMMYFUNCTION("REGEXEXTRACT(LOWER(M445), ""([a-z0-9\-]+)\.(?:co|net|org|io|gg)"")"),"investopedia")</f>
        <v>investopedia</v>
      </c>
      <c r="O445" s="9" t="s">
        <v>50</v>
      </c>
      <c r="P445" s="9" t="s">
        <v>39</v>
      </c>
      <c r="Q445" s="9">
        <v>7687</v>
      </c>
      <c r="R445" s="9">
        <v>10</v>
      </c>
      <c r="S445" s="9">
        <v>5311</v>
      </c>
      <c r="T445" s="9">
        <v>7266</v>
      </c>
      <c r="U445" s="9">
        <v>6</v>
      </c>
      <c r="V445" s="11">
        <v>6486.8539090000004</v>
      </c>
      <c r="W445" s="12">
        <f t="shared" si="7"/>
        <v>1081.1423181666667</v>
      </c>
      <c r="X445" s="12">
        <f t="shared" si="8"/>
        <v>0.13008976193573565</v>
      </c>
      <c r="Y445" s="12">
        <f t="shared" si="9"/>
        <v>69.090672564069209</v>
      </c>
      <c r="Z445" s="12">
        <f t="shared" si="10"/>
        <v>1221.3997192619092</v>
      </c>
      <c r="AA445" s="12">
        <f t="shared" si="11"/>
        <v>843.87328073370622</v>
      </c>
      <c r="AB445" s="12">
        <f t="shared" si="12"/>
        <v>648.68539090000002</v>
      </c>
      <c r="AC445" s="12">
        <f t="shared" si="13"/>
        <v>60</v>
      </c>
      <c r="AE445" s="13"/>
      <c r="AF445" s="13"/>
    </row>
    <row r="446" spans="1:32">
      <c r="A446" s="8" t="s">
        <v>1628</v>
      </c>
      <c r="B446" s="9" t="s">
        <v>41</v>
      </c>
      <c r="C446" s="9" t="s">
        <v>193</v>
      </c>
      <c r="D446" s="9" t="s">
        <v>267</v>
      </c>
      <c r="E446" s="9" t="s">
        <v>1629</v>
      </c>
      <c r="F446" s="9" t="str">
        <f ca="1">IFERROR(__xludf.DUMMYFUNCTION("IFS(
  REGEXMATCH(LOWER(VLOOKUP(A446, Data1_Raw_Slack!A:B, 2, FALSE)), ""news|weather""), ""News and Weather"", REGEXMATCH(LOWER(VLOOKUP(A446, Data1_Raw_Slack!A:B, 2, FALSE)), ""sports|ufc|nba|nfl|mlb|soccer|sports fans""), ""Sports"",
  REGEXMATCH(LOWER("&amp;"VLOOKUP(A446, Data1_Raw_Slack!A:B, 2, FALSE)), ""fashion|style|clothing|apparel|shoes|accessories|beauty|cosmetics|fashionistas""), ""Fashion and Beauty"",
  REGEXMATCH(LOWER(VLOOKUP(A446, Data1_Raw_Slack!A:B, 2, FALSE)), ""food|cooking|recipe|restaurant|"&amp;"snack|grocery|foodies""), ""Food"",
  REGEXMATCH(LOWER(VLOOKUP(A446, Data1_Raw_Slack!A:B, 2, FALSE)), ""travel|vacation|airline|hotel|trip|flights|travelers""), ""Travel"",
  REGEXMATCH(LOWER(VLOOKUP(A446, Data1_Raw_Slack!A:B, 2, FALSE)), ""fitness|workou"&amp;"t|gym|exercise|yoga|wellness|fitness enthusiasts""), ""Fitness"",
  REGEXMATCH(LOWER(VLOOKUP(A446, Data1_Raw_Slack!A:B, 2, FALSE)), ""health|medical|pharmacy|mental health|doctor|health-conscious""), ""Health"",
  REGEXMATCH(LOWER(VLOOKUP(A446, Data1_Raw_"&amp;"Slack!A:B, 2, FALSE)), ""pets|dogs|cats|animals|pet care|pet lovers""), ""Pets"",
  REGEXMATCH(LOWER(VLOOKUP(A446, Data1_Raw_Slack!A:B, 2, FALSE)), ""games|gaming|game|xbox|playstation|nintendo|gamers""), ""Gaming"",
  REGEXMATCH(LOWER(VLOOKUP(A446, Data1"&amp;"_Raw_Slack!A:B, 2, FALSE)), ""entertainment|movies|tv|netflix|streaming|celebrity|movie lovers|tv fans|hobb|photo|art""), ""Entertainment"",
  REGEXMATCH(LOWER(VLOOKUP(A446, Data1_Raw_Slack!A:B, 2, FALSE)), ""lifestyle|home|interior|decor|living|lifestyle"&amp;" enthusiasts""), ""Lifestyle"",
  REGEXMATCH(LOWER(VLOOKUP(A446, Data1_Raw_Slack!A:B, 2, FALSE)), ""financial|finance|investing|stocks|retirement|banking|credit|debt|loans|savings|personal finance|insurance|econ|ecom|business|retail|occupation|sale|job|ma"&amp;"rketing""), ""Finance"",
  REGEXMATCH(LOWER(VLOOKUP(A446, Data1_Raw_Slack!A:B, 2, FALSE)), ""auto|automotive""), ""Auto"",
  REGEXMATCH(LOWER(VLOOKUP(A446, Data1_Raw_Slack!A:B, 2, FALSE)), ""parenting|moms|dads|kids|toddlers|baby|parent|children""), ""Par"&amp;"enting"",
  REGEXMATCH(LOWER(VLOOKUP(A446, Data1_Raw_Slack!A:B, 2, FALSE)), ""education|students|learning|school|teachers|college|university|academics""), ""Education"",
  REGEXMATCH(LOWER(VLOOKUP(A446, Data1_Raw_Slack!A:B, 2, FALSE)), ""age|gender|dem"&amp;"ographic|family|household""), ""Demographics"",
  REGEXMATCH(LOWER(VLOOKUP(A446, Data1_Raw_Slack!A:B, 2, FALSE)), ""mortgage|real estate""), ""Real Estate"",REGEXMATCH(LOWER(VLOOKUP(A446, Data1_Raw_Slack!A:B, 2, FALSE)), ""technology|tech|gadgets|smartpho"&amp;"ne|electro|apps|devices|computing|ai|robots|software|computer|internet|tele|mobile|tablet""), ""Technology"", REGEXMATCH(LOWER(VLOOKUP(A446, Data1_Raw_Slack!A:B, 2, FALSE)), ""entertainment|purchas|movies|tv|netflix|streaming|celebrity|movie lovers|tv fan"&amp;"s|media|hobb|photo|art|shop""), ""Entertainment"", REGEXMATCH(LOWER(VLOOKUP(A446, Data1_Raw_Slack!A:B, 2, FALSE)), ""law|government|""), ""Law and Government"",
  TRUE, ""Other""
)"),"Entertainment")</f>
        <v>Entertainment</v>
      </c>
      <c r="G446" s="9" t="s">
        <v>69</v>
      </c>
      <c r="H446" s="9" t="s">
        <v>123</v>
      </c>
      <c r="I446" s="9" t="s">
        <v>1630</v>
      </c>
      <c r="J446" s="9" t="s">
        <v>46</v>
      </c>
      <c r="K446" s="9" t="s">
        <v>35</v>
      </c>
      <c r="L446" s="9" t="s">
        <v>36</v>
      </c>
      <c r="M446" s="10" t="s">
        <v>1003</v>
      </c>
      <c r="N446" s="9" t="str">
        <f ca="1">IFERROR(__xludf.DUMMYFUNCTION("REGEXEXTRACT(LOWER(M446), ""([a-z0-9\-]+)\.(?:co|net|org|io|gg)"")"),"wikihow")</f>
        <v>wikihow</v>
      </c>
      <c r="O446" s="9" t="s">
        <v>131</v>
      </c>
      <c r="P446" s="9" t="s">
        <v>39</v>
      </c>
      <c r="Q446" s="9">
        <v>23488</v>
      </c>
      <c r="R446" s="9">
        <v>75</v>
      </c>
      <c r="S446" s="9">
        <v>4620</v>
      </c>
      <c r="T446" s="9">
        <v>22254</v>
      </c>
      <c r="U446" s="9">
        <v>9</v>
      </c>
      <c r="V446" s="11">
        <v>6667.727715</v>
      </c>
      <c r="W446" s="12">
        <f t="shared" si="7"/>
        <v>740.85863500000005</v>
      </c>
      <c r="X446" s="12">
        <f t="shared" si="8"/>
        <v>0.31931198910081743</v>
      </c>
      <c r="Y446" s="12">
        <f t="shared" si="9"/>
        <v>19.669618528610357</v>
      </c>
      <c r="Z446" s="12">
        <f t="shared" si="10"/>
        <v>1443.2311071428571</v>
      </c>
      <c r="AA446" s="12">
        <f t="shared" si="11"/>
        <v>283.87805326123976</v>
      </c>
      <c r="AB446" s="12">
        <f t="shared" si="12"/>
        <v>88.903036200000003</v>
      </c>
      <c r="AC446" s="12">
        <f t="shared" si="13"/>
        <v>12</v>
      </c>
      <c r="AE446" s="13"/>
      <c r="AF446" s="13"/>
    </row>
    <row r="447" spans="1:32">
      <c r="A447" s="8" t="s">
        <v>1631</v>
      </c>
      <c r="B447" s="9" t="s">
        <v>378</v>
      </c>
      <c r="C447" s="9" t="s">
        <v>1632</v>
      </c>
      <c r="D447" s="9" t="s">
        <v>1633</v>
      </c>
      <c r="E447" s="9"/>
      <c r="F447" s="9" t="str">
        <f ca="1">IFERROR(__xludf.DUMMYFUNCTION("IFS(
  REGEXMATCH(LOWER(VLOOKUP(A447, Data1_Raw_Slack!A:B, 2, FALSE)), ""news|weather""), ""News and Weather"", REGEXMATCH(LOWER(VLOOKUP(A447, Data1_Raw_Slack!A:B, 2, FALSE)), ""sports|ufc|nba|nfl|mlb|soccer|sports fans""), ""Sports"",
  REGEXMATCH(LOWER("&amp;"VLOOKUP(A447, Data1_Raw_Slack!A:B, 2, FALSE)), ""fashion|style|clothing|apparel|shoes|accessories|beauty|cosmetics|fashionistas""), ""Fashion and Beauty"",
  REGEXMATCH(LOWER(VLOOKUP(A447, Data1_Raw_Slack!A:B, 2, FALSE)), ""food|cooking|recipe|restaurant|"&amp;"snack|grocery|foodies""), ""Food"",
  REGEXMATCH(LOWER(VLOOKUP(A447, Data1_Raw_Slack!A:B, 2, FALSE)), ""travel|vacation|airline|hotel|trip|flights|travelers""), ""Travel"",
  REGEXMATCH(LOWER(VLOOKUP(A447, Data1_Raw_Slack!A:B, 2, FALSE)), ""fitness|workou"&amp;"t|gym|exercise|yoga|wellness|fitness enthusiasts""), ""Fitness"",
  REGEXMATCH(LOWER(VLOOKUP(A447, Data1_Raw_Slack!A:B, 2, FALSE)), ""health|medical|pharmacy|mental health|doctor|health-conscious""), ""Health"",
  REGEXMATCH(LOWER(VLOOKUP(A447, Data1_Raw_"&amp;"Slack!A:B, 2, FALSE)), ""pets|dogs|cats|animals|pet care|pet lovers""), ""Pets"",
  REGEXMATCH(LOWER(VLOOKUP(A447, Data1_Raw_Slack!A:B, 2, FALSE)), ""games|gaming|game|xbox|playstation|nintendo|gamers""), ""Gaming"",
  REGEXMATCH(LOWER(VLOOKUP(A447, Data1"&amp;"_Raw_Slack!A:B, 2, FALSE)), ""entertainment|movies|tv|netflix|streaming|celebrity|movie lovers|tv fans|hobb|photo|art""), ""Entertainment"",
  REGEXMATCH(LOWER(VLOOKUP(A447, Data1_Raw_Slack!A:B, 2, FALSE)), ""lifestyle|home|interior|decor|living|lifestyle"&amp;" enthusiasts""), ""Lifestyle"",
  REGEXMATCH(LOWER(VLOOKUP(A447, Data1_Raw_Slack!A:B, 2, FALSE)), ""financial|finance|investing|stocks|retirement|banking|credit|debt|loans|savings|personal finance|insurance|econ|ecom|business|retail|occupation|sale|job|ma"&amp;"rketing""), ""Finance"",
  REGEXMATCH(LOWER(VLOOKUP(A447, Data1_Raw_Slack!A:B, 2, FALSE)), ""auto|automotive""), ""Auto"",
  REGEXMATCH(LOWER(VLOOKUP(A447, Data1_Raw_Slack!A:B, 2, FALSE)), ""parenting|moms|dads|kids|toddlers|baby|parent|children""), ""Par"&amp;"enting"",
  REGEXMATCH(LOWER(VLOOKUP(A447, Data1_Raw_Slack!A:B, 2, FALSE)), ""education|students|learning|school|teachers|college|university|academics""), ""Education"",
  REGEXMATCH(LOWER(VLOOKUP(A447, Data1_Raw_Slack!A:B, 2, FALSE)), ""age|gender|dem"&amp;"ographic|family|household""), ""Demographics"",
  REGEXMATCH(LOWER(VLOOKUP(A447, Data1_Raw_Slack!A:B, 2, FALSE)), ""mortgage|real estate""), ""Real Estate"",REGEXMATCH(LOWER(VLOOKUP(A447, Data1_Raw_Slack!A:B, 2, FALSE)), ""technology|tech|gadgets|smartpho"&amp;"ne|electro|apps|devices|computing|ai|robots|software|computer|internet|tele|mobile|tablet""), ""Technology"", REGEXMATCH(LOWER(VLOOKUP(A447, Data1_Raw_Slack!A:B, 2, FALSE)), ""entertainment|purchas|movies|tv|netflix|streaming|celebrity|movie lovers|tv fan"&amp;"s|media|hobb|photo|art|shop""), ""Entertainment"", REGEXMATCH(LOWER(VLOOKUP(A447, Data1_Raw_Slack!A:B, 2, FALSE)), ""law|government|""), ""Law and Government"",
  TRUE, ""Other""
)"),"Finance")</f>
        <v>Finance</v>
      </c>
      <c r="G447" s="9"/>
      <c r="H447" s="9" t="s">
        <v>44</v>
      </c>
      <c r="I447" s="9" t="s">
        <v>496</v>
      </c>
      <c r="J447" s="9" t="s">
        <v>80</v>
      </c>
      <c r="K447" s="9" t="s">
        <v>438</v>
      </c>
      <c r="L447" s="9" t="s">
        <v>82</v>
      </c>
      <c r="M447" s="10" t="s">
        <v>941</v>
      </c>
      <c r="N447" s="9" t="str">
        <f ca="1">IFERROR(__xludf.DUMMYFUNCTION("REGEXEXTRACT(LOWER(M447), ""([a-z0-9\-]+)\.(?:co|net|org|io|gg)"")"),"fandom")</f>
        <v>fandom</v>
      </c>
      <c r="O447" s="9" t="s">
        <v>157</v>
      </c>
      <c r="P447" s="9" t="s">
        <v>75</v>
      </c>
      <c r="Q447" s="9">
        <v>21143</v>
      </c>
      <c r="R447" s="9">
        <v>56</v>
      </c>
      <c r="S447" s="9">
        <v>3798</v>
      </c>
      <c r="T447" s="9">
        <v>19588</v>
      </c>
      <c r="U447" s="9">
        <v>3</v>
      </c>
      <c r="V447" s="11">
        <v>1500.41822</v>
      </c>
      <c r="W447" s="12">
        <f t="shared" si="7"/>
        <v>500.13940666666667</v>
      </c>
      <c r="X447" s="12">
        <f t="shared" si="8"/>
        <v>0.26486307524949154</v>
      </c>
      <c r="Y447" s="12">
        <f t="shared" si="9"/>
        <v>17.963392139242302</v>
      </c>
      <c r="Z447" s="12">
        <f t="shared" si="10"/>
        <v>395.05482359136391</v>
      </c>
      <c r="AA447" s="12">
        <f t="shared" si="11"/>
        <v>70.965247126708604</v>
      </c>
      <c r="AB447" s="12">
        <f t="shared" si="12"/>
        <v>26.7931825</v>
      </c>
      <c r="AC447" s="12">
        <f t="shared" si="13"/>
        <v>5.3571428571428568</v>
      </c>
      <c r="AE447" s="13"/>
      <c r="AF447" s="13"/>
    </row>
    <row r="448" spans="1:32">
      <c r="A448" s="8" t="s">
        <v>1634</v>
      </c>
      <c r="B448" s="9" t="s">
        <v>67</v>
      </c>
      <c r="C448" s="9" t="s">
        <v>151</v>
      </c>
      <c r="D448" s="9" t="s">
        <v>152</v>
      </c>
      <c r="E448" s="9" t="s">
        <v>1635</v>
      </c>
      <c r="F448" s="9" t="str">
        <f ca="1">IFERROR(__xludf.DUMMYFUNCTION("IFS(
  REGEXMATCH(LOWER(VLOOKUP(A448, Data1_Raw_Slack!A:B, 2, FALSE)), ""news|weather""), ""News and Weather"", REGEXMATCH(LOWER(VLOOKUP(A448, Data1_Raw_Slack!A:B, 2, FALSE)), ""sports|ufc|nba|nfl|mlb|soccer|sports fans""), ""Sports"",
  REGEXMATCH(LOWER("&amp;"VLOOKUP(A448, Data1_Raw_Slack!A:B, 2, FALSE)), ""fashion|style|clothing|apparel|shoes|accessories|beauty|cosmetics|fashionistas""), ""Fashion and Beauty"",
  REGEXMATCH(LOWER(VLOOKUP(A448, Data1_Raw_Slack!A:B, 2, FALSE)), ""food|cooking|recipe|restaurant|"&amp;"snack|grocery|foodies""), ""Food"",
  REGEXMATCH(LOWER(VLOOKUP(A448, Data1_Raw_Slack!A:B, 2, FALSE)), ""travel|vacation|airline|hotel|trip|flights|travelers""), ""Travel"",
  REGEXMATCH(LOWER(VLOOKUP(A448, Data1_Raw_Slack!A:B, 2, FALSE)), ""fitness|workou"&amp;"t|gym|exercise|yoga|wellness|fitness enthusiasts""), ""Fitness"",
  REGEXMATCH(LOWER(VLOOKUP(A448, Data1_Raw_Slack!A:B, 2, FALSE)), ""health|medical|pharmacy|mental health|doctor|health-conscious""), ""Health"",
  REGEXMATCH(LOWER(VLOOKUP(A448, Data1_Raw_"&amp;"Slack!A:B, 2, FALSE)), ""pets|dogs|cats|animals|pet care|pet lovers""), ""Pets"",
  REGEXMATCH(LOWER(VLOOKUP(A448, Data1_Raw_Slack!A:B, 2, FALSE)), ""games|gaming|game|xbox|playstation|nintendo|gamers""), ""Gaming"",
  REGEXMATCH(LOWER(VLOOKUP(A448, Data1"&amp;"_Raw_Slack!A:B, 2, FALSE)), ""entertainment|movies|tv|netflix|streaming|celebrity|movie lovers|tv fans|hobb|photo|art""), ""Entertainment"",
  REGEXMATCH(LOWER(VLOOKUP(A448, Data1_Raw_Slack!A:B, 2, FALSE)), ""lifestyle|home|interior|decor|living|lifestyle"&amp;" enthusiasts""), ""Lifestyle"",
  REGEXMATCH(LOWER(VLOOKUP(A448, Data1_Raw_Slack!A:B, 2, FALSE)), ""financial|finance|investing|stocks|retirement|banking|credit|debt|loans|savings|personal finance|insurance|econ|ecom|business|retail|occupation|sale|job|ma"&amp;"rketing""), ""Finance"",
  REGEXMATCH(LOWER(VLOOKUP(A448, Data1_Raw_Slack!A:B, 2, FALSE)), ""auto|automotive""), ""Auto"",
  REGEXMATCH(LOWER(VLOOKUP(A448, Data1_Raw_Slack!A:B, 2, FALSE)), ""parenting|moms|dads|kids|toddlers|baby|parent|children""), ""Par"&amp;"enting"",
  REGEXMATCH(LOWER(VLOOKUP(A448, Data1_Raw_Slack!A:B, 2, FALSE)), ""education|students|learning|school|teachers|college|university|academics""), ""Education"",
  REGEXMATCH(LOWER(VLOOKUP(A448, Data1_Raw_Slack!A:B, 2, FALSE)), ""age|gender|dem"&amp;"ographic|family|household""), ""Demographics"",
  REGEXMATCH(LOWER(VLOOKUP(A448, Data1_Raw_Slack!A:B, 2, FALSE)), ""mortgage|real estate""), ""Real Estate"",REGEXMATCH(LOWER(VLOOKUP(A448, Data1_Raw_Slack!A:B, 2, FALSE)), ""technology|tech|gadgets|smartpho"&amp;"ne|electro|apps|devices|computing|ai|robots|software|computer|internet|tele|mobile|tablet""), ""Technology"", REGEXMATCH(LOWER(VLOOKUP(A448, Data1_Raw_Slack!A:B, 2, FALSE)), ""entertainment|purchas|movies|tv|netflix|streaming|celebrity|movie lovers|tv fan"&amp;"s|media|hobb|photo|art|shop""), ""Entertainment"", REGEXMATCH(LOWER(VLOOKUP(A448, Data1_Raw_Slack!A:B, 2, FALSE)), ""law|government|""), ""Law and Government"",
  TRUE, ""Other""
)"),"Sports")</f>
        <v>Sports</v>
      </c>
      <c r="G448" s="9" t="s">
        <v>154</v>
      </c>
      <c r="H448" s="9" t="s">
        <v>32</v>
      </c>
      <c r="I448" s="9" t="s">
        <v>490</v>
      </c>
      <c r="J448" s="9" t="s">
        <v>34</v>
      </c>
      <c r="K448" s="9" t="s">
        <v>148</v>
      </c>
      <c r="L448" s="9" t="s">
        <v>89</v>
      </c>
      <c r="M448" s="10" t="s">
        <v>218</v>
      </c>
      <c r="N448" s="9" t="str">
        <f ca="1">IFERROR(__xludf.DUMMYFUNCTION("REGEXEXTRACT(LOWER(M448), ""([a-z0-9\-]+)\.(?:co|net|org|io|gg)"")"),"yahoo")</f>
        <v>yahoo</v>
      </c>
      <c r="O448" s="9" t="s">
        <v>74</v>
      </c>
      <c r="P448" s="9" t="s">
        <v>39</v>
      </c>
      <c r="Q448" s="9">
        <v>73544</v>
      </c>
      <c r="R448" s="9">
        <v>223</v>
      </c>
      <c r="S448" s="9">
        <v>40405</v>
      </c>
      <c r="T448" s="9">
        <v>67406</v>
      </c>
      <c r="U448" s="9">
        <v>1</v>
      </c>
      <c r="V448" s="11">
        <v>1465.8722660000001</v>
      </c>
      <c r="W448" s="12">
        <f t="shared" si="7"/>
        <v>1465.8722660000001</v>
      </c>
      <c r="X448" s="12">
        <f t="shared" si="8"/>
        <v>0.3032198411835092</v>
      </c>
      <c r="Y448" s="12">
        <f t="shared" si="9"/>
        <v>54.939899923855108</v>
      </c>
      <c r="Z448" s="12">
        <f t="shared" si="10"/>
        <v>36.279476945922539</v>
      </c>
      <c r="AA448" s="12">
        <f t="shared" si="11"/>
        <v>19.931908326987926</v>
      </c>
      <c r="AB448" s="12">
        <f t="shared" si="12"/>
        <v>6.5734182331838564</v>
      </c>
      <c r="AC448" s="12">
        <f t="shared" si="13"/>
        <v>0.44843049327354262</v>
      </c>
      <c r="AE448" s="13"/>
      <c r="AF448" s="13"/>
    </row>
    <row r="449" spans="1:32">
      <c r="A449" s="8" t="s">
        <v>1636</v>
      </c>
      <c r="B449" s="9" t="s">
        <v>41</v>
      </c>
      <c r="C449" s="9" t="s">
        <v>209</v>
      </c>
      <c r="D449" s="9" t="s">
        <v>1637</v>
      </c>
      <c r="E449" s="9"/>
      <c r="F449" s="9" t="str">
        <f ca="1">IFERROR(__xludf.DUMMYFUNCTION("IFS(
  REGEXMATCH(LOWER(VLOOKUP(A449, Data1_Raw_Slack!A:B, 2, FALSE)), ""news|weather""), ""News and Weather"", REGEXMATCH(LOWER(VLOOKUP(A449, Data1_Raw_Slack!A:B, 2, FALSE)), ""sports|ufc|nba|nfl|mlb|soccer|sports fans""), ""Sports"",
  REGEXMATCH(LOWER("&amp;"VLOOKUP(A449, Data1_Raw_Slack!A:B, 2, FALSE)), ""fashion|style|clothing|apparel|shoes|accessories|beauty|cosmetics|fashionistas""), ""Fashion and Beauty"",
  REGEXMATCH(LOWER(VLOOKUP(A449, Data1_Raw_Slack!A:B, 2, FALSE)), ""food|cooking|recipe|restaurant|"&amp;"snack|grocery|foodies""), ""Food"",
  REGEXMATCH(LOWER(VLOOKUP(A449, Data1_Raw_Slack!A:B, 2, FALSE)), ""travel|vacation|airline|hotel|trip|flights|travelers""), ""Travel"",
  REGEXMATCH(LOWER(VLOOKUP(A449, Data1_Raw_Slack!A:B, 2, FALSE)), ""fitness|workou"&amp;"t|gym|exercise|yoga|wellness|fitness enthusiasts""), ""Fitness"",
  REGEXMATCH(LOWER(VLOOKUP(A449, Data1_Raw_Slack!A:B, 2, FALSE)), ""health|medical|pharmacy|mental health|doctor|health-conscious""), ""Health"",
  REGEXMATCH(LOWER(VLOOKUP(A449, Data1_Raw_"&amp;"Slack!A:B, 2, FALSE)), ""pets|dogs|cats|animals|pet care|pet lovers""), ""Pets"",
  REGEXMATCH(LOWER(VLOOKUP(A449, Data1_Raw_Slack!A:B, 2, FALSE)), ""games|gaming|game|xbox|playstation|nintendo|gamers""), ""Gaming"",
  REGEXMATCH(LOWER(VLOOKUP(A449, Data1"&amp;"_Raw_Slack!A:B, 2, FALSE)), ""entertainment|movies|tv|netflix|streaming|celebrity|movie lovers|tv fans|hobb|photo|art""), ""Entertainment"",
  REGEXMATCH(LOWER(VLOOKUP(A449, Data1_Raw_Slack!A:B, 2, FALSE)), ""lifestyle|home|interior|decor|living|lifestyle"&amp;" enthusiasts""), ""Lifestyle"",
  REGEXMATCH(LOWER(VLOOKUP(A449, Data1_Raw_Slack!A:B, 2, FALSE)), ""financial|finance|investing|stocks|retirement|banking|credit|debt|loans|savings|personal finance|insurance|econ|ecom|business|retail|occupation|sale|job|ma"&amp;"rketing""), ""Finance"",
  REGEXMATCH(LOWER(VLOOKUP(A449, Data1_Raw_Slack!A:B, 2, FALSE)), ""auto|automotive""), ""Auto"",
  REGEXMATCH(LOWER(VLOOKUP(A449, Data1_Raw_Slack!A:B, 2, FALSE)), ""parenting|moms|dads|kids|toddlers|baby|parent|children""), ""Par"&amp;"enting"",
  REGEXMATCH(LOWER(VLOOKUP(A449, Data1_Raw_Slack!A:B, 2, FALSE)), ""education|students|learning|school|teachers|college|university|academics""), ""Education"",
  REGEXMATCH(LOWER(VLOOKUP(A449, Data1_Raw_Slack!A:B, 2, FALSE)), ""age|gender|dem"&amp;"ographic|family|household""), ""Demographics"",
  REGEXMATCH(LOWER(VLOOKUP(A449, Data1_Raw_Slack!A:B, 2, FALSE)), ""mortgage|real estate""), ""Real Estate"",REGEXMATCH(LOWER(VLOOKUP(A449, Data1_Raw_Slack!A:B, 2, FALSE)), ""technology|tech|gadgets|smartpho"&amp;"ne|electro|apps|devices|computing|ai|robots|software|computer|internet|tele|mobile|tablet""), ""Technology"", REGEXMATCH(LOWER(VLOOKUP(A449, Data1_Raw_Slack!A:B, 2, FALSE)), ""entertainment|purchas|movies|tv|netflix|streaming|celebrity|movie lovers|tv fan"&amp;"s|media|hobb|photo|art|shop""), ""Entertainment"", REGEXMATCH(LOWER(VLOOKUP(A449, Data1_Raw_Slack!A:B, 2, FALSE)), ""law|government|""), ""Law and Government"",
  TRUE, ""Other""
)"),"Finance")</f>
        <v>Finance</v>
      </c>
      <c r="G449" s="9" t="s">
        <v>209</v>
      </c>
      <c r="H449" s="9" t="s">
        <v>32</v>
      </c>
      <c r="I449" s="9" t="s">
        <v>1638</v>
      </c>
      <c r="J449" s="9" t="s">
        <v>46</v>
      </c>
      <c r="K449" s="9" t="s">
        <v>443</v>
      </c>
      <c r="L449" s="9" t="s">
        <v>72</v>
      </c>
      <c r="M449" s="10" t="s">
        <v>284</v>
      </c>
      <c r="N449" s="9" t="str">
        <f ca="1">IFERROR(__xludf.DUMMYFUNCTION("REGEXEXTRACT(LOWER(M449), ""([a-z0-9\-]+)\.(?:co|net|org|io|gg)"")"),"bbc")</f>
        <v>bbc</v>
      </c>
      <c r="O449" s="9" t="s">
        <v>50</v>
      </c>
      <c r="P449" s="9" t="s">
        <v>39</v>
      </c>
      <c r="Q449" s="9">
        <v>17752</v>
      </c>
      <c r="R449" s="9">
        <v>98</v>
      </c>
      <c r="S449" s="9">
        <v>5855</v>
      </c>
      <c r="T449" s="9">
        <v>15753</v>
      </c>
      <c r="U449" s="9">
        <v>5</v>
      </c>
      <c r="V449" s="11">
        <v>2200.297094</v>
      </c>
      <c r="W449" s="12">
        <f t="shared" si="7"/>
        <v>440.0594188</v>
      </c>
      <c r="X449" s="12">
        <f t="shared" si="8"/>
        <v>0.55205047318611988</v>
      </c>
      <c r="Y449" s="12">
        <f t="shared" si="9"/>
        <v>32.982199188823799</v>
      </c>
      <c r="Z449" s="12">
        <f t="shared" si="10"/>
        <v>375.79796652433816</v>
      </c>
      <c r="AA449" s="12">
        <f t="shared" si="11"/>
        <v>123.94643386660658</v>
      </c>
      <c r="AB449" s="12">
        <f t="shared" si="12"/>
        <v>22.452011163265308</v>
      </c>
      <c r="AC449" s="12">
        <f t="shared" si="13"/>
        <v>5.1020408163265305</v>
      </c>
      <c r="AE449" s="13"/>
      <c r="AF449" s="13"/>
    </row>
    <row r="450" spans="1:32">
      <c r="A450" s="8" t="s">
        <v>1639</v>
      </c>
      <c r="B450" s="9" t="s">
        <v>41</v>
      </c>
      <c r="C450" s="9" t="s">
        <v>120</v>
      </c>
      <c r="D450" s="9" t="s">
        <v>220</v>
      </c>
      <c r="E450" s="9"/>
      <c r="F450" s="9" t="str">
        <f ca="1">IFERROR(__xludf.DUMMYFUNCTION("IFS(
  REGEXMATCH(LOWER(VLOOKUP(A450, Data1_Raw_Slack!A:B, 2, FALSE)), ""news|weather""), ""News and Weather"", REGEXMATCH(LOWER(VLOOKUP(A450, Data1_Raw_Slack!A:B, 2, FALSE)), ""sports|ufc|nba|nfl|mlb|soccer|sports fans""), ""Sports"",
  REGEXMATCH(LOWER("&amp;"VLOOKUP(A450, Data1_Raw_Slack!A:B, 2, FALSE)), ""fashion|style|clothing|apparel|shoes|accessories|beauty|cosmetics|fashionistas""), ""Fashion and Beauty"",
  REGEXMATCH(LOWER(VLOOKUP(A450, Data1_Raw_Slack!A:B, 2, FALSE)), ""food|cooking|recipe|restaurant|"&amp;"snack|grocery|foodies""), ""Food"",
  REGEXMATCH(LOWER(VLOOKUP(A450, Data1_Raw_Slack!A:B, 2, FALSE)), ""travel|vacation|airline|hotel|trip|flights|travelers""), ""Travel"",
  REGEXMATCH(LOWER(VLOOKUP(A450, Data1_Raw_Slack!A:B, 2, FALSE)), ""fitness|workou"&amp;"t|gym|exercise|yoga|wellness|fitness enthusiasts""), ""Fitness"",
  REGEXMATCH(LOWER(VLOOKUP(A450, Data1_Raw_Slack!A:B, 2, FALSE)), ""health|medical|pharmacy|mental health|doctor|health-conscious""), ""Health"",
  REGEXMATCH(LOWER(VLOOKUP(A450, Data1_Raw_"&amp;"Slack!A:B, 2, FALSE)), ""pets|dogs|cats|animals|pet care|pet lovers""), ""Pets"",
  REGEXMATCH(LOWER(VLOOKUP(A450, Data1_Raw_Slack!A:B, 2, FALSE)), ""games|gaming|game|xbox|playstation|nintendo|gamers""), ""Gaming"",
  REGEXMATCH(LOWER(VLOOKUP(A450, Data1"&amp;"_Raw_Slack!A:B, 2, FALSE)), ""entertainment|movies|tv|netflix|streaming|celebrity|movie lovers|tv fans|hobb|photo|art""), ""Entertainment"",
  REGEXMATCH(LOWER(VLOOKUP(A450, Data1_Raw_Slack!A:B, 2, FALSE)), ""lifestyle|home|interior|decor|living|lifestyle"&amp;" enthusiasts""), ""Lifestyle"",
  REGEXMATCH(LOWER(VLOOKUP(A450, Data1_Raw_Slack!A:B, 2, FALSE)), ""financial|finance|investing|stocks|retirement|banking|credit|debt|loans|savings|personal finance|insurance|econ|ecom|business|retail|occupation|sale|job|ma"&amp;"rketing""), ""Finance"",
  REGEXMATCH(LOWER(VLOOKUP(A450, Data1_Raw_Slack!A:B, 2, FALSE)), ""auto|automotive""), ""Auto"",
  REGEXMATCH(LOWER(VLOOKUP(A450, Data1_Raw_Slack!A:B, 2, FALSE)), ""parenting|moms|dads|kids|toddlers|baby|parent|children""), ""Par"&amp;"enting"",
  REGEXMATCH(LOWER(VLOOKUP(A450, Data1_Raw_Slack!A:B, 2, FALSE)), ""education|students|learning|school|teachers|college|university|academics""), ""Education"",
  REGEXMATCH(LOWER(VLOOKUP(A450, Data1_Raw_Slack!A:B, 2, FALSE)), ""age|gender|dem"&amp;"ographic|family|household""), ""Demographics"",
  REGEXMATCH(LOWER(VLOOKUP(A450, Data1_Raw_Slack!A:B, 2, FALSE)), ""mortgage|real estate""), ""Real Estate"",REGEXMATCH(LOWER(VLOOKUP(A450, Data1_Raw_Slack!A:B, 2, FALSE)), ""technology|tech|gadgets|smartpho"&amp;"ne|electro|apps|devices|computing|ai|robots|software|computer|internet|tele|mobile|tablet""), ""Technology"", REGEXMATCH(LOWER(VLOOKUP(A450, Data1_Raw_Slack!A:B, 2, FALSE)), ""entertainment|purchas|movies|tv|netflix|streaming|celebrity|movie lovers|tv fan"&amp;"s|media|hobb|photo|art|shop""), ""Entertainment"", REGEXMATCH(LOWER(VLOOKUP(A450, Data1_Raw_Slack!A:B, 2, FALSE)), ""law|government|""), ""Law and Government"",
  TRUE, ""Other""
)"),"Auto")</f>
        <v>Auto</v>
      </c>
      <c r="G450" s="9" t="s">
        <v>122</v>
      </c>
      <c r="H450" s="9" t="s">
        <v>32</v>
      </c>
      <c r="I450" s="9" t="s">
        <v>1640</v>
      </c>
      <c r="J450" s="9" t="s">
        <v>62</v>
      </c>
      <c r="K450" s="9" t="s">
        <v>236</v>
      </c>
      <c r="L450" s="9" t="s">
        <v>82</v>
      </c>
      <c r="M450" s="10" t="s">
        <v>1641</v>
      </c>
      <c r="N450" s="9" t="str">
        <f ca="1">IFERROR(__xludf.DUMMYFUNCTION("REGEXEXTRACT(LOWER(M450), ""([a-z0-9\-]+)\.(?:co|net|org|io|gg)"")"),"todaysnyc")</f>
        <v>todaysnyc</v>
      </c>
      <c r="O450" s="9" t="s">
        <v>50</v>
      </c>
      <c r="P450" s="9" t="s">
        <v>39</v>
      </c>
      <c r="Q450" s="9">
        <v>17317</v>
      </c>
      <c r="R450" s="9">
        <v>68</v>
      </c>
      <c r="S450" s="9">
        <v>8055</v>
      </c>
      <c r="T450" s="9">
        <v>12724</v>
      </c>
      <c r="U450" s="9">
        <v>12</v>
      </c>
      <c r="V450" s="11">
        <v>5668.8570790000003</v>
      </c>
      <c r="W450" s="12">
        <f t="shared" si="7"/>
        <v>472.40475658333338</v>
      </c>
      <c r="X450" s="12">
        <f t="shared" si="8"/>
        <v>0.39267771553964315</v>
      </c>
      <c r="Y450" s="12">
        <f t="shared" si="9"/>
        <v>46.514985274585669</v>
      </c>
      <c r="Z450" s="12">
        <f t="shared" si="10"/>
        <v>703.7687248913719</v>
      </c>
      <c r="AA450" s="12">
        <f t="shared" si="11"/>
        <v>327.35791875036091</v>
      </c>
      <c r="AB450" s="12">
        <f t="shared" si="12"/>
        <v>83.365545279411776</v>
      </c>
      <c r="AC450" s="12">
        <f t="shared" si="13"/>
        <v>17.647058823529413</v>
      </c>
      <c r="AE450" s="13"/>
      <c r="AF450" s="13"/>
    </row>
    <row r="451" spans="1:32">
      <c r="A451" s="8" t="s">
        <v>1642</v>
      </c>
      <c r="B451" s="9" t="s">
        <v>768</v>
      </c>
      <c r="C451" s="9" t="s">
        <v>769</v>
      </c>
      <c r="D451" s="9" t="s">
        <v>770</v>
      </c>
      <c r="E451" s="9" t="s">
        <v>1643</v>
      </c>
      <c r="F451" s="9" t="str">
        <f ca="1">IFERROR(__xludf.DUMMYFUNCTION("IFS(
  REGEXMATCH(LOWER(VLOOKUP(A451, Data1_Raw_Slack!A:B, 2, FALSE)), ""news|weather""), ""News and Weather"", REGEXMATCH(LOWER(VLOOKUP(A451, Data1_Raw_Slack!A:B, 2, FALSE)), ""sports|ufc|nba|nfl|mlb|soccer|sports fans""), ""Sports"",
  REGEXMATCH(LOWER("&amp;"VLOOKUP(A451, Data1_Raw_Slack!A:B, 2, FALSE)), ""fashion|style|clothing|apparel|shoes|accessories|beauty|cosmetics|fashionistas""), ""Fashion and Beauty"",
  REGEXMATCH(LOWER(VLOOKUP(A451, Data1_Raw_Slack!A:B, 2, FALSE)), ""food|cooking|recipe|restaurant|"&amp;"snack|grocery|foodies""), ""Food"",
  REGEXMATCH(LOWER(VLOOKUP(A451, Data1_Raw_Slack!A:B, 2, FALSE)), ""travel|vacation|airline|hotel|trip|flights|travelers""), ""Travel"",
  REGEXMATCH(LOWER(VLOOKUP(A451, Data1_Raw_Slack!A:B, 2, FALSE)), ""fitness|workou"&amp;"t|gym|exercise|yoga|wellness|fitness enthusiasts""), ""Fitness"",
  REGEXMATCH(LOWER(VLOOKUP(A451, Data1_Raw_Slack!A:B, 2, FALSE)), ""health|medical|pharmacy|mental health|doctor|health-conscious""), ""Health"",
  REGEXMATCH(LOWER(VLOOKUP(A451, Data1_Raw_"&amp;"Slack!A:B, 2, FALSE)), ""pets|dogs|cats|animals|pet care|pet lovers""), ""Pets"",
  REGEXMATCH(LOWER(VLOOKUP(A451, Data1_Raw_Slack!A:B, 2, FALSE)), ""games|gaming|game|xbox|playstation|nintendo|gamers""), ""Gaming"",
  REGEXMATCH(LOWER(VLOOKUP(A451, Data1"&amp;"_Raw_Slack!A:B, 2, FALSE)), ""entertainment|movies|tv|netflix|streaming|celebrity|movie lovers|tv fans|hobb|photo|art""), ""Entertainment"",
  REGEXMATCH(LOWER(VLOOKUP(A451, Data1_Raw_Slack!A:B, 2, FALSE)), ""lifestyle|home|interior|decor|living|lifestyle"&amp;" enthusiasts""), ""Lifestyle"",
  REGEXMATCH(LOWER(VLOOKUP(A451, Data1_Raw_Slack!A:B, 2, FALSE)), ""financial|finance|investing|stocks|retirement|banking|credit|debt|loans|savings|personal finance|insurance|econ|ecom|business|retail|occupation|sale|job|ma"&amp;"rketing""), ""Finance"",
  REGEXMATCH(LOWER(VLOOKUP(A451, Data1_Raw_Slack!A:B, 2, FALSE)), ""auto|automotive""), ""Auto"",
  REGEXMATCH(LOWER(VLOOKUP(A451, Data1_Raw_Slack!A:B, 2, FALSE)), ""parenting|moms|dads|kids|toddlers|baby|parent|children""), ""Par"&amp;"enting"",
  REGEXMATCH(LOWER(VLOOKUP(A451, Data1_Raw_Slack!A:B, 2, FALSE)), ""education|students|learning|school|teachers|college|university|academics""), ""Education"",
  REGEXMATCH(LOWER(VLOOKUP(A451, Data1_Raw_Slack!A:B, 2, FALSE)), ""age|gender|dem"&amp;"ographic|family|household""), ""Demographics"",
  REGEXMATCH(LOWER(VLOOKUP(A451, Data1_Raw_Slack!A:B, 2, FALSE)), ""mortgage|real estate""), ""Real Estate"",REGEXMATCH(LOWER(VLOOKUP(A451, Data1_Raw_Slack!A:B, 2, FALSE)), ""technology|tech|gadgets|smartpho"&amp;"ne|electro|apps|devices|computing|ai|robots|software|computer|internet|tele|mobile|tablet""), ""Technology"", REGEXMATCH(LOWER(VLOOKUP(A451, Data1_Raw_Slack!A:B, 2, FALSE)), ""entertainment|purchas|movies|tv|netflix|streaming|celebrity|movie lovers|tv fan"&amp;"s|media|hobb|photo|art|shop""), ""Entertainment"", REGEXMATCH(LOWER(VLOOKUP(A451, Data1_Raw_Slack!A:B, 2, FALSE)), ""law|government|""), ""Law and Government"",
  TRUE, ""Other""
)"),"Food")</f>
        <v>Food</v>
      </c>
      <c r="G451" s="9" t="s">
        <v>385</v>
      </c>
      <c r="H451" s="9" t="s">
        <v>44</v>
      </c>
      <c r="I451" s="9" t="s">
        <v>1238</v>
      </c>
      <c r="J451" s="9" t="s">
        <v>34</v>
      </c>
      <c r="K451" s="9" t="s">
        <v>88</v>
      </c>
      <c r="L451" s="9" t="s">
        <v>89</v>
      </c>
      <c r="M451" s="10" t="s">
        <v>90</v>
      </c>
      <c r="N451" s="9" t="str">
        <f ca="1">IFERROR(__xludf.DUMMYFUNCTION("REGEXEXTRACT(LOWER(M451), ""([a-z0-9\-]+)\.(?:co|net|org|io|gg)"")"),"live")</f>
        <v>live</v>
      </c>
      <c r="O451" s="9" t="s">
        <v>103</v>
      </c>
      <c r="P451" s="9" t="s">
        <v>64</v>
      </c>
      <c r="Q451" s="9">
        <v>87245</v>
      </c>
      <c r="R451" s="9">
        <v>350</v>
      </c>
      <c r="S451" s="9">
        <v>71903</v>
      </c>
      <c r="T451" s="9">
        <v>80390</v>
      </c>
      <c r="U451" s="9">
        <v>2</v>
      </c>
      <c r="V451" s="11">
        <v>1500.838771</v>
      </c>
      <c r="W451" s="12">
        <f t="shared" si="7"/>
        <v>750.41938549999998</v>
      </c>
      <c r="X451" s="12">
        <f t="shared" si="8"/>
        <v>0.40116912143962408</v>
      </c>
      <c r="Y451" s="12">
        <f t="shared" si="9"/>
        <v>82.415038111066536</v>
      </c>
      <c r="Z451" s="12">
        <f t="shared" si="10"/>
        <v>20.873103639625608</v>
      </c>
      <c r="AA451" s="12">
        <f t="shared" si="11"/>
        <v>17.20257631955986</v>
      </c>
      <c r="AB451" s="12">
        <f t="shared" si="12"/>
        <v>4.2881107742857143</v>
      </c>
      <c r="AC451" s="12">
        <f t="shared" si="13"/>
        <v>0.5714285714285714</v>
      </c>
      <c r="AE451" s="13"/>
      <c r="AF451" s="13"/>
    </row>
    <row r="452" spans="1:32">
      <c r="A452" s="8" t="s">
        <v>1644</v>
      </c>
      <c r="B452" s="9" t="s">
        <v>41</v>
      </c>
      <c r="C452" s="9" t="s">
        <v>154</v>
      </c>
      <c r="D452" s="9" t="s">
        <v>469</v>
      </c>
      <c r="E452" s="9" t="s">
        <v>1645</v>
      </c>
      <c r="F452" s="9" t="str">
        <f ca="1">IFERROR(__xludf.DUMMYFUNCTION("IFS(
  REGEXMATCH(LOWER(VLOOKUP(A452, Data1_Raw_Slack!A:B, 2, FALSE)), ""news|weather""), ""News and Weather"", REGEXMATCH(LOWER(VLOOKUP(A452, Data1_Raw_Slack!A:B, 2, FALSE)), ""sports|ufc|nba|nfl|mlb|soccer|sports fans""), ""Sports"",
  REGEXMATCH(LOWER("&amp;"VLOOKUP(A452, Data1_Raw_Slack!A:B, 2, FALSE)), ""fashion|style|clothing|apparel|shoes|accessories|beauty|cosmetics|fashionistas""), ""Fashion and Beauty"",
  REGEXMATCH(LOWER(VLOOKUP(A452, Data1_Raw_Slack!A:B, 2, FALSE)), ""food|cooking|recipe|restaurant|"&amp;"snack|grocery|foodies""), ""Food"",
  REGEXMATCH(LOWER(VLOOKUP(A452, Data1_Raw_Slack!A:B, 2, FALSE)), ""travel|vacation|airline|hotel|trip|flights|travelers""), ""Travel"",
  REGEXMATCH(LOWER(VLOOKUP(A452, Data1_Raw_Slack!A:B, 2, FALSE)), ""fitness|workou"&amp;"t|gym|exercise|yoga|wellness|fitness enthusiasts""), ""Fitness"",
  REGEXMATCH(LOWER(VLOOKUP(A452, Data1_Raw_Slack!A:B, 2, FALSE)), ""health|medical|pharmacy|mental health|doctor|health-conscious""), ""Health"",
  REGEXMATCH(LOWER(VLOOKUP(A452, Data1_Raw_"&amp;"Slack!A:B, 2, FALSE)), ""pets|dogs|cats|animals|pet care|pet lovers""), ""Pets"",
  REGEXMATCH(LOWER(VLOOKUP(A452, Data1_Raw_Slack!A:B, 2, FALSE)), ""games|gaming|game|xbox|playstation|nintendo|gamers""), ""Gaming"",
  REGEXMATCH(LOWER(VLOOKUP(A452, Data1"&amp;"_Raw_Slack!A:B, 2, FALSE)), ""entertainment|movies|tv|netflix|streaming|celebrity|movie lovers|tv fans|hobb|photo|art""), ""Entertainment"",
  REGEXMATCH(LOWER(VLOOKUP(A452, Data1_Raw_Slack!A:B, 2, FALSE)), ""lifestyle|home|interior|decor|living|lifestyle"&amp;" enthusiasts""), ""Lifestyle"",
  REGEXMATCH(LOWER(VLOOKUP(A452, Data1_Raw_Slack!A:B, 2, FALSE)), ""financial|finance|investing|stocks|retirement|banking|credit|debt|loans|savings|personal finance|insurance|econ|ecom|business|retail|occupation|sale|job|ma"&amp;"rketing""), ""Finance"",
  REGEXMATCH(LOWER(VLOOKUP(A452, Data1_Raw_Slack!A:B, 2, FALSE)), ""auto|automotive""), ""Auto"",
  REGEXMATCH(LOWER(VLOOKUP(A452, Data1_Raw_Slack!A:B, 2, FALSE)), ""parenting|moms|dads|kids|toddlers|baby|parent|children""), ""Par"&amp;"enting"",
  REGEXMATCH(LOWER(VLOOKUP(A452, Data1_Raw_Slack!A:B, 2, FALSE)), ""education|students|learning|school|teachers|college|university|academics""), ""Education"",
  REGEXMATCH(LOWER(VLOOKUP(A452, Data1_Raw_Slack!A:B, 2, FALSE)), ""age|gender|dem"&amp;"ographic|family|household""), ""Demographics"",
  REGEXMATCH(LOWER(VLOOKUP(A452, Data1_Raw_Slack!A:B, 2, FALSE)), ""mortgage|real estate""), ""Real Estate"",REGEXMATCH(LOWER(VLOOKUP(A452, Data1_Raw_Slack!A:B, 2, FALSE)), ""technology|tech|gadgets|smartpho"&amp;"ne|electro|apps|devices|computing|ai|robots|software|computer|internet|tele|mobile|tablet""), ""Technology"", REGEXMATCH(LOWER(VLOOKUP(A452, Data1_Raw_Slack!A:B, 2, FALSE)), ""entertainment|purchas|movies|tv|netflix|streaming|celebrity|movie lovers|tv fan"&amp;"s|media|hobb|photo|art|shop""), ""Entertainment"", REGEXMATCH(LOWER(VLOOKUP(A452, Data1_Raw_Slack!A:B, 2, FALSE)), ""law|government|""), ""Law and Government"",
  TRUE, ""Other""
)"),"Sports")</f>
        <v>Sports</v>
      </c>
      <c r="G452" s="9" t="s">
        <v>154</v>
      </c>
      <c r="H452" s="9" t="s">
        <v>44</v>
      </c>
      <c r="I452" s="9" t="s">
        <v>607</v>
      </c>
      <c r="J452" s="9" t="s">
        <v>46</v>
      </c>
      <c r="K452" s="9" t="s">
        <v>274</v>
      </c>
      <c r="L452" s="9" t="s">
        <v>48</v>
      </c>
      <c r="M452" s="10" t="s">
        <v>73</v>
      </c>
      <c r="N452" s="9" t="str">
        <f ca="1">IFERROR(__xludf.DUMMYFUNCTION("REGEXEXTRACT(LOWER(M452), ""([a-z0-9\-]+)\.(?:co|net|org|io|gg)"")"),"aol")</f>
        <v>aol</v>
      </c>
      <c r="O452" s="9" t="s">
        <v>349</v>
      </c>
      <c r="P452" s="9" t="s">
        <v>75</v>
      </c>
      <c r="Q452" s="9">
        <v>30460</v>
      </c>
      <c r="R452" s="9">
        <v>95</v>
      </c>
      <c r="S452" s="9">
        <v>21830</v>
      </c>
      <c r="T452" s="9">
        <v>27750</v>
      </c>
      <c r="U452" s="9">
        <v>25</v>
      </c>
      <c r="V452" s="11">
        <v>6643.9665420000001</v>
      </c>
      <c r="W452" s="12">
        <f t="shared" si="7"/>
        <v>265.75866167999999</v>
      </c>
      <c r="X452" s="12">
        <f t="shared" si="8"/>
        <v>0.31188443860801052</v>
      </c>
      <c r="Y452" s="12">
        <f t="shared" si="9"/>
        <v>71.667760998030204</v>
      </c>
      <c r="Z452" s="12">
        <f t="shared" si="10"/>
        <v>304.3502767750802</v>
      </c>
      <c r="AA452" s="12">
        <f t="shared" si="11"/>
        <v>218.12102895600788</v>
      </c>
      <c r="AB452" s="12">
        <f t="shared" si="12"/>
        <v>69.93648991578948</v>
      </c>
      <c r="AC452" s="12">
        <f t="shared" si="13"/>
        <v>26.315789473684209</v>
      </c>
      <c r="AE452" s="13"/>
      <c r="AF452" s="13"/>
    </row>
    <row r="453" spans="1:32">
      <c r="A453" s="8" t="s">
        <v>1646</v>
      </c>
      <c r="B453" s="9" t="s">
        <v>498</v>
      </c>
      <c r="C453" s="9" t="s">
        <v>135</v>
      </c>
      <c r="D453" s="9" t="s">
        <v>1647</v>
      </c>
      <c r="E453" s="9"/>
      <c r="F453" s="9" t="str">
        <f ca="1">IFERROR(__xludf.DUMMYFUNCTION("IFS(
  REGEXMATCH(LOWER(VLOOKUP(A453, Data1_Raw_Slack!A:B, 2, FALSE)), ""news|weather""), ""News and Weather"", REGEXMATCH(LOWER(VLOOKUP(A453, Data1_Raw_Slack!A:B, 2, FALSE)), ""sports|ufc|nba|nfl|mlb|soccer|sports fans""), ""Sports"",
  REGEXMATCH(LOWER("&amp;"VLOOKUP(A453, Data1_Raw_Slack!A:B, 2, FALSE)), ""fashion|style|clothing|apparel|shoes|accessories|beauty|cosmetics|fashionistas""), ""Fashion and Beauty"",
  REGEXMATCH(LOWER(VLOOKUP(A453, Data1_Raw_Slack!A:B, 2, FALSE)), ""food|cooking|recipe|restaurant|"&amp;"snack|grocery|foodies""), ""Food"",
  REGEXMATCH(LOWER(VLOOKUP(A453, Data1_Raw_Slack!A:B, 2, FALSE)), ""travel|vacation|airline|hotel|trip|flights|travelers""), ""Travel"",
  REGEXMATCH(LOWER(VLOOKUP(A453, Data1_Raw_Slack!A:B, 2, FALSE)), ""fitness|workou"&amp;"t|gym|exercise|yoga|wellness|fitness enthusiasts""), ""Fitness"",
  REGEXMATCH(LOWER(VLOOKUP(A453, Data1_Raw_Slack!A:B, 2, FALSE)), ""health|medical|pharmacy|mental health|doctor|health-conscious""), ""Health"",
  REGEXMATCH(LOWER(VLOOKUP(A453, Data1_Raw_"&amp;"Slack!A:B, 2, FALSE)), ""pets|dogs|cats|animals|pet care|pet lovers""), ""Pets"",
  REGEXMATCH(LOWER(VLOOKUP(A453, Data1_Raw_Slack!A:B, 2, FALSE)), ""games|gaming|game|xbox|playstation|nintendo|gamers""), ""Gaming"",
  REGEXMATCH(LOWER(VLOOKUP(A453, Data1"&amp;"_Raw_Slack!A:B, 2, FALSE)), ""entertainment|movies|tv|netflix|streaming|celebrity|movie lovers|tv fans|hobb|photo|art""), ""Entertainment"",
  REGEXMATCH(LOWER(VLOOKUP(A453, Data1_Raw_Slack!A:B, 2, FALSE)), ""lifestyle|home|interior|decor|living|lifestyle"&amp;" enthusiasts""), ""Lifestyle"",
  REGEXMATCH(LOWER(VLOOKUP(A453, Data1_Raw_Slack!A:B, 2, FALSE)), ""financial|finance|investing|stocks|retirement|banking|credit|debt|loans|savings|personal finance|insurance|econ|ecom|business|retail|occupation|sale|job|ma"&amp;"rketing""), ""Finance"",
  REGEXMATCH(LOWER(VLOOKUP(A453, Data1_Raw_Slack!A:B, 2, FALSE)), ""auto|automotive""), ""Auto"",
  REGEXMATCH(LOWER(VLOOKUP(A453, Data1_Raw_Slack!A:B, 2, FALSE)), ""parenting|moms|dads|kids|toddlers|baby|parent|children""), ""Par"&amp;"enting"",
  REGEXMATCH(LOWER(VLOOKUP(A453, Data1_Raw_Slack!A:B, 2, FALSE)), ""education|students|learning|school|teachers|college|university|academics""), ""Education"",
  REGEXMATCH(LOWER(VLOOKUP(A453, Data1_Raw_Slack!A:B, 2, FALSE)), ""age|gender|dem"&amp;"ographic|family|household""), ""Demographics"",
  REGEXMATCH(LOWER(VLOOKUP(A453, Data1_Raw_Slack!A:B, 2, FALSE)), ""mortgage|real estate""), ""Real Estate"",REGEXMATCH(LOWER(VLOOKUP(A453, Data1_Raw_Slack!A:B, 2, FALSE)), ""technology|tech|gadgets|smartpho"&amp;"ne|electro|apps|devices|computing|ai|robots|software|computer|internet|tele|mobile|tablet""), ""Technology"", REGEXMATCH(LOWER(VLOOKUP(A453, Data1_Raw_Slack!A:B, 2, FALSE)), ""entertainment|purchas|movies|tv|netflix|streaming|celebrity|movie lovers|tv fan"&amp;"s|media|hobb|photo|art|shop""), ""Entertainment"", REGEXMATCH(LOWER(VLOOKUP(A453, Data1_Raw_Slack!A:B, 2, FALSE)), ""law|government|""), ""Law and Government"",
  TRUE, ""Other""
)"),"Technology")</f>
        <v>Technology</v>
      </c>
      <c r="G453" s="9" t="s">
        <v>135</v>
      </c>
      <c r="H453" s="9" t="s">
        <v>44</v>
      </c>
      <c r="I453" s="9" t="s">
        <v>263</v>
      </c>
      <c r="J453" s="9" t="s">
        <v>46</v>
      </c>
      <c r="K453" s="9" t="s">
        <v>81</v>
      </c>
      <c r="L453" s="9" t="s">
        <v>82</v>
      </c>
      <c r="M453" s="10" t="s">
        <v>1445</v>
      </c>
      <c r="N453" s="9" t="str">
        <f ca="1">IFERROR(__xludf.DUMMYFUNCTION("REGEXEXTRACT(LOWER(M453), ""([a-z0-9\-]+)\.(?:co|net|org|io|gg)"")"),"insider")</f>
        <v>insider</v>
      </c>
      <c r="O453" s="9" t="s">
        <v>74</v>
      </c>
      <c r="P453" s="9" t="s">
        <v>39</v>
      </c>
      <c r="Q453" s="9">
        <v>39705</v>
      </c>
      <c r="R453" s="9">
        <v>190</v>
      </c>
      <c r="S453" s="9">
        <v>12950</v>
      </c>
      <c r="T453" s="9">
        <v>38030</v>
      </c>
      <c r="U453" s="9">
        <v>3</v>
      </c>
      <c r="V453" s="11">
        <v>1476.4195090000001</v>
      </c>
      <c r="W453" s="12">
        <f t="shared" si="7"/>
        <v>492.13983633333334</v>
      </c>
      <c r="X453" s="12">
        <f t="shared" si="8"/>
        <v>0.4785291524996852</v>
      </c>
      <c r="Y453" s="12">
        <f t="shared" si="9"/>
        <v>32.615539604583802</v>
      </c>
      <c r="Z453" s="12">
        <f t="shared" si="10"/>
        <v>114.0092284942085</v>
      </c>
      <c r="AA453" s="12">
        <f t="shared" si="11"/>
        <v>37.184725072409016</v>
      </c>
      <c r="AB453" s="12">
        <f t="shared" si="12"/>
        <v>7.7706289947368425</v>
      </c>
      <c r="AC453" s="12">
        <f t="shared" si="13"/>
        <v>1.5789473684210527</v>
      </c>
      <c r="AE453" s="13"/>
      <c r="AF453" s="13"/>
    </row>
    <row r="454" spans="1:32">
      <c r="A454" s="8" t="s">
        <v>1648</v>
      </c>
      <c r="B454" s="9" t="s">
        <v>41</v>
      </c>
      <c r="C454" s="9" t="s">
        <v>253</v>
      </c>
      <c r="D454" s="9" t="s">
        <v>1649</v>
      </c>
      <c r="E454" s="9"/>
      <c r="F454" s="9" t="str">
        <f ca="1">IFERROR(__xludf.DUMMYFUNCTION("IFS(
  REGEXMATCH(LOWER(VLOOKUP(A454, Data1_Raw_Slack!A:B, 2, FALSE)), ""news|weather""), ""News and Weather"", REGEXMATCH(LOWER(VLOOKUP(A454, Data1_Raw_Slack!A:B, 2, FALSE)), ""sports|ufc|nba|nfl|mlb|soccer|sports fans""), ""Sports"",
  REGEXMATCH(LOWER("&amp;"VLOOKUP(A454, Data1_Raw_Slack!A:B, 2, FALSE)), ""fashion|style|clothing|apparel|shoes|accessories|beauty|cosmetics|fashionistas""), ""Fashion and Beauty"",
  REGEXMATCH(LOWER(VLOOKUP(A454, Data1_Raw_Slack!A:B, 2, FALSE)), ""food|cooking|recipe|restaurant|"&amp;"snack|grocery|foodies""), ""Food"",
  REGEXMATCH(LOWER(VLOOKUP(A454, Data1_Raw_Slack!A:B, 2, FALSE)), ""travel|vacation|airline|hotel|trip|flights|travelers""), ""Travel"",
  REGEXMATCH(LOWER(VLOOKUP(A454, Data1_Raw_Slack!A:B, 2, FALSE)), ""fitness|workou"&amp;"t|gym|exercise|yoga|wellness|fitness enthusiasts""), ""Fitness"",
  REGEXMATCH(LOWER(VLOOKUP(A454, Data1_Raw_Slack!A:B, 2, FALSE)), ""health|medical|pharmacy|mental health|doctor|health-conscious""), ""Health"",
  REGEXMATCH(LOWER(VLOOKUP(A454, Data1_Raw_"&amp;"Slack!A:B, 2, FALSE)), ""pets|dogs|cats|animals|pet care|pet lovers""), ""Pets"",
  REGEXMATCH(LOWER(VLOOKUP(A454, Data1_Raw_Slack!A:B, 2, FALSE)), ""games|gaming|game|xbox|playstation|nintendo|gamers""), ""Gaming"",
  REGEXMATCH(LOWER(VLOOKUP(A454, Data1"&amp;"_Raw_Slack!A:B, 2, FALSE)), ""entertainment|movies|tv|netflix|streaming|celebrity|movie lovers|tv fans|hobb|photo|art""), ""Entertainment"",
  REGEXMATCH(LOWER(VLOOKUP(A454, Data1_Raw_Slack!A:B, 2, FALSE)), ""lifestyle|home|interior|decor|living|lifestyle"&amp;" enthusiasts""), ""Lifestyle"",
  REGEXMATCH(LOWER(VLOOKUP(A454, Data1_Raw_Slack!A:B, 2, FALSE)), ""financial|finance|investing|stocks|retirement|banking|credit|debt|loans|savings|personal finance|insurance|econ|ecom|business|retail|occupation|sale|job|ma"&amp;"rketing""), ""Finance"",
  REGEXMATCH(LOWER(VLOOKUP(A454, Data1_Raw_Slack!A:B, 2, FALSE)), ""auto|automotive""), ""Auto"",
  REGEXMATCH(LOWER(VLOOKUP(A454, Data1_Raw_Slack!A:B, 2, FALSE)), ""parenting|moms|dads|kids|toddlers|baby|parent|children""), ""Par"&amp;"enting"",
  REGEXMATCH(LOWER(VLOOKUP(A454, Data1_Raw_Slack!A:B, 2, FALSE)), ""education|students|learning|school|teachers|college|university|academics""), ""Education"",
  REGEXMATCH(LOWER(VLOOKUP(A454, Data1_Raw_Slack!A:B, 2, FALSE)), ""age|gender|dem"&amp;"ographic|family|household""), ""Demographics"",
  REGEXMATCH(LOWER(VLOOKUP(A454, Data1_Raw_Slack!A:B, 2, FALSE)), ""mortgage|real estate""), ""Real Estate"",REGEXMATCH(LOWER(VLOOKUP(A454, Data1_Raw_Slack!A:B, 2, FALSE)), ""technology|tech|gadgets|smartpho"&amp;"ne|electro|apps|devices|computing|ai|robots|software|computer|internet|tele|mobile|tablet""), ""Technology"", REGEXMATCH(LOWER(VLOOKUP(A454, Data1_Raw_Slack!A:B, 2, FALSE)), ""entertainment|purchas|movies|tv|netflix|streaming|celebrity|movie lovers|tv fan"&amp;"s|media|hobb|photo|art|shop""), ""Entertainment"", REGEXMATCH(LOWER(VLOOKUP(A454, Data1_Raw_Slack!A:B, 2, FALSE)), ""law|government|""), ""Law and Government"",
  TRUE, ""Other""
)"),"Fashion and Beauty")</f>
        <v>Fashion and Beauty</v>
      </c>
      <c r="G454" s="9"/>
      <c r="H454" s="9" t="s">
        <v>32</v>
      </c>
      <c r="I454" s="9" t="s">
        <v>1326</v>
      </c>
      <c r="J454" s="9" t="s">
        <v>80</v>
      </c>
      <c r="K454" s="9" t="s">
        <v>236</v>
      </c>
      <c r="L454" s="9" t="s">
        <v>82</v>
      </c>
      <c r="M454" s="10" t="s">
        <v>130</v>
      </c>
      <c r="N454" s="9" t="str">
        <f ca="1">IFERROR(__xludf.DUMMYFUNCTION("REGEXEXTRACT(LOWER(M454), ""([a-z0-9\-]+)\.(?:co|net|org|io|gg)"")"),"weather")</f>
        <v>weather</v>
      </c>
      <c r="O454" s="9" t="s">
        <v>50</v>
      </c>
      <c r="P454" s="9" t="s">
        <v>39</v>
      </c>
      <c r="Q454" s="9">
        <v>43327</v>
      </c>
      <c r="R454" s="9">
        <v>140</v>
      </c>
      <c r="S454" s="9">
        <v>4689</v>
      </c>
      <c r="T454" s="9">
        <v>31363</v>
      </c>
      <c r="U454" s="9">
        <v>14</v>
      </c>
      <c r="V454" s="11">
        <v>4554.8768840000002</v>
      </c>
      <c r="W454" s="12">
        <f t="shared" si="7"/>
        <v>325.34834885714287</v>
      </c>
      <c r="X454" s="12">
        <f t="shared" si="8"/>
        <v>0.3231241489140721</v>
      </c>
      <c r="Y454" s="12">
        <f t="shared" si="9"/>
        <v>10.822350958986314</v>
      </c>
      <c r="Z454" s="12">
        <f t="shared" si="10"/>
        <v>971.3962217956921</v>
      </c>
      <c r="AA454" s="12">
        <f t="shared" si="11"/>
        <v>105.1279083250629</v>
      </c>
      <c r="AB454" s="12">
        <f t="shared" si="12"/>
        <v>32.534834885714289</v>
      </c>
      <c r="AC454" s="12">
        <f t="shared" si="13"/>
        <v>10</v>
      </c>
      <c r="AE454" s="13"/>
      <c r="AF454" s="13"/>
    </row>
    <row r="455" spans="1:32">
      <c r="A455" s="8" t="s">
        <v>1650</v>
      </c>
      <c r="B455" s="9" t="s">
        <v>290</v>
      </c>
      <c r="C455" s="9" t="s">
        <v>1651</v>
      </c>
      <c r="D455" s="9" t="s">
        <v>1380</v>
      </c>
      <c r="E455" s="9"/>
      <c r="F455" s="9" t="str">
        <f ca="1">IFERROR(__xludf.DUMMYFUNCTION("IFS(
  REGEXMATCH(LOWER(VLOOKUP(A455, Data1_Raw_Slack!A:B, 2, FALSE)), ""news|weather""), ""News and Weather"", REGEXMATCH(LOWER(VLOOKUP(A455, Data1_Raw_Slack!A:B, 2, FALSE)), ""sports|ufc|nba|nfl|mlb|soccer|sports fans""), ""Sports"",
  REGEXMATCH(LOWER("&amp;"VLOOKUP(A455, Data1_Raw_Slack!A:B, 2, FALSE)), ""fashion|style|clothing|apparel|shoes|accessories|beauty|cosmetics|fashionistas""), ""Fashion and Beauty"",
  REGEXMATCH(LOWER(VLOOKUP(A455, Data1_Raw_Slack!A:B, 2, FALSE)), ""food|cooking|recipe|restaurant|"&amp;"snack|grocery|foodies""), ""Food"",
  REGEXMATCH(LOWER(VLOOKUP(A455, Data1_Raw_Slack!A:B, 2, FALSE)), ""travel|vacation|airline|hotel|trip|flights|travelers""), ""Travel"",
  REGEXMATCH(LOWER(VLOOKUP(A455, Data1_Raw_Slack!A:B, 2, FALSE)), ""fitness|workou"&amp;"t|gym|exercise|yoga|wellness|fitness enthusiasts""), ""Fitness"",
  REGEXMATCH(LOWER(VLOOKUP(A455, Data1_Raw_Slack!A:B, 2, FALSE)), ""health|medical|pharmacy|mental health|doctor|health-conscious""), ""Health"",
  REGEXMATCH(LOWER(VLOOKUP(A455, Data1_Raw_"&amp;"Slack!A:B, 2, FALSE)), ""pets|dogs|cats|animals|pet care|pet lovers""), ""Pets"",
  REGEXMATCH(LOWER(VLOOKUP(A455, Data1_Raw_Slack!A:B, 2, FALSE)), ""games|gaming|game|xbox|playstation|nintendo|gamers""), ""Gaming"",
  REGEXMATCH(LOWER(VLOOKUP(A455, Data1"&amp;"_Raw_Slack!A:B, 2, FALSE)), ""entertainment|movies|tv|netflix|streaming|celebrity|movie lovers|tv fans|hobb|photo|art""), ""Entertainment"",
  REGEXMATCH(LOWER(VLOOKUP(A455, Data1_Raw_Slack!A:B, 2, FALSE)), ""lifestyle|home|interior|decor|living|lifestyle"&amp;" enthusiasts""), ""Lifestyle"",
  REGEXMATCH(LOWER(VLOOKUP(A455, Data1_Raw_Slack!A:B, 2, FALSE)), ""financial|finance|investing|stocks|retirement|banking|credit|debt|loans|savings|personal finance|insurance|econ|ecom|business|retail|occupation|sale|job|ma"&amp;"rketing""), ""Finance"",
  REGEXMATCH(LOWER(VLOOKUP(A455, Data1_Raw_Slack!A:B, 2, FALSE)), ""auto|automotive""), ""Auto"",
  REGEXMATCH(LOWER(VLOOKUP(A455, Data1_Raw_Slack!A:B, 2, FALSE)), ""parenting|moms|dads|kids|toddlers|baby|parent|children""), ""Par"&amp;"enting"",
  REGEXMATCH(LOWER(VLOOKUP(A455, Data1_Raw_Slack!A:B, 2, FALSE)), ""education|students|learning|school|teachers|college|university|academics""), ""Education"",
  REGEXMATCH(LOWER(VLOOKUP(A455, Data1_Raw_Slack!A:B, 2, FALSE)), ""age|gender|dem"&amp;"ographic|family|household""), ""Demographics"",
  REGEXMATCH(LOWER(VLOOKUP(A455, Data1_Raw_Slack!A:B, 2, FALSE)), ""mortgage|real estate""), ""Real Estate"",REGEXMATCH(LOWER(VLOOKUP(A455, Data1_Raw_Slack!A:B, 2, FALSE)), ""technology|tech|gadgets|smartpho"&amp;"ne|electro|apps|devices|computing|ai|robots|software|computer|internet|tele|mobile|tablet""), ""Technology"", REGEXMATCH(LOWER(VLOOKUP(A455, Data1_Raw_Slack!A:B, 2, FALSE)), ""entertainment|purchas|movies|tv|netflix|streaming|celebrity|movie lovers|tv fan"&amp;"s|media|hobb|photo|art|shop""), ""Entertainment"", REGEXMATCH(LOWER(VLOOKUP(A455, Data1_Raw_Slack!A:B, 2, FALSE)), ""law|government|""), ""Law and Government"",
  TRUE, ""Other""
)"),"Technology")</f>
        <v>Technology</v>
      </c>
      <c r="G455" s="9" t="s">
        <v>135</v>
      </c>
      <c r="H455" s="9" t="s">
        <v>44</v>
      </c>
      <c r="I455" s="9" t="s">
        <v>1652</v>
      </c>
      <c r="J455" s="9" t="s">
        <v>34</v>
      </c>
      <c r="K455" s="9" t="s">
        <v>176</v>
      </c>
      <c r="L455" s="9" t="s">
        <v>36</v>
      </c>
      <c r="M455" s="10" t="s">
        <v>676</v>
      </c>
      <c r="N455" s="9" t="str">
        <f ca="1">IFERROR(__xludf.DUMMYFUNCTION("REGEXEXTRACT(LOWER(M455), ""([a-z0-9\-]+)\.(?:co|net|org|io|gg)"")"),"medicalnewstoday")</f>
        <v>medicalnewstoday</v>
      </c>
      <c r="O455" s="9" t="s">
        <v>103</v>
      </c>
      <c r="P455" s="9" t="s">
        <v>64</v>
      </c>
      <c r="Q455" s="9">
        <v>17645</v>
      </c>
      <c r="R455" s="9">
        <v>40</v>
      </c>
      <c r="S455" s="9">
        <v>9673</v>
      </c>
      <c r="T455" s="9">
        <v>15088</v>
      </c>
      <c r="U455" s="9">
        <v>15</v>
      </c>
      <c r="V455" s="11">
        <v>1591.772246</v>
      </c>
      <c r="W455" s="12">
        <f t="shared" si="7"/>
        <v>106.11814973333334</v>
      </c>
      <c r="X455" s="12">
        <f t="shared" si="8"/>
        <v>0.22669311419665628</v>
      </c>
      <c r="Y455" s="12">
        <f t="shared" si="9"/>
        <v>54.820062340606398</v>
      </c>
      <c r="Z455" s="12">
        <f t="shared" si="10"/>
        <v>164.55828036803473</v>
      </c>
      <c r="AA455" s="12">
        <f t="shared" si="11"/>
        <v>90.210951884386503</v>
      </c>
      <c r="AB455" s="12">
        <f t="shared" si="12"/>
        <v>39.794306149999997</v>
      </c>
      <c r="AC455" s="12">
        <f t="shared" si="13"/>
        <v>37.5</v>
      </c>
      <c r="AE455" s="13"/>
      <c r="AF455" s="13"/>
    </row>
    <row r="456" spans="1:32">
      <c r="A456" s="8" t="s">
        <v>1653</v>
      </c>
      <c r="B456" s="9" t="s">
        <v>905</v>
      </c>
      <c r="C456" s="9" t="s">
        <v>85</v>
      </c>
      <c r="D456" s="9" t="s">
        <v>1654</v>
      </c>
      <c r="E456" s="9" t="s">
        <v>1655</v>
      </c>
      <c r="F456" s="9" t="str">
        <f ca="1">IFERROR(__xludf.DUMMYFUNCTION("IFS(
  REGEXMATCH(LOWER(VLOOKUP(A456, Data1_Raw_Slack!A:B, 2, FALSE)), ""news|weather""), ""News and Weather"", REGEXMATCH(LOWER(VLOOKUP(A456, Data1_Raw_Slack!A:B, 2, FALSE)), ""sports|ufc|nba|nfl|mlb|soccer|sports fans""), ""Sports"",
  REGEXMATCH(LOWER("&amp;"VLOOKUP(A456, Data1_Raw_Slack!A:B, 2, FALSE)), ""fashion|style|clothing|apparel|shoes|accessories|beauty|cosmetics|fashionistas""), ""Fashion and Beauty"",
  REGEXMATCH(LOWER(VLOOKUP(A456, Data1_Raw_Slack!A:B, 2, FALSE)), ""food|cooking|recipe|restaurant|"&amp;"snack|grocery|foodies""), ""Food"",
  REGEXMATCH(LOWER(VLOOKUP(A456, Data1_Raw_Slack!A:B, 2, FALSE)), ""travel|vacation|airline|hotel|trip|flights|travelers""), ""Travel"",
  REGEXMATCH(LOWER(VLOOKUP(A456, Data1_Raw_Slack!A:B, 2, FALSE)), ""fitness|workou"&amp;"t|gym|exercise|yoga|wellness|fitness enthusiasts""), ""Fitness"",
  REGEXMATCH(LOWER(VLOOKUP(A456, Data1_Raw_Slack!A:B, 2, FALSE)), ""health|medical|pharmacy|mental health|doctor|health-conscious""), ""Health"",
  REGEXMATCH(LOWER(VLOOKUP(A456, Data1_Raw_"&amp;"Slack!A:B, 2, FALSE)), ""pets|dogs|cats|animals|pet care|pet lovers""), ""Pets"",
  REGEXMATCH(LOWER(VLOOKUP(A456, Data1_Raw_Slack!A:B, 2, FALSE)), ""games|gaming|game|xbox|playstation|nintendo|gamers""), ""Gaming"",
  REGEXMATCH(LOWER(VLOOKUP(A456, Data1"&amp;"_Raw_Slack!A:B, 2, FALSE)), ""entertainment|movies|tv|netflix|streaming|celebrity|movie lovers|tv fans|hobb|photo|art""), ""Entertainment"",
  REGEXMATCH(LOWER(VLOOKUP(A456, Data1_Raw_Slack!A:B, 2, FALSE)), ""lifestyle|home|interior|decor|living|lifestyle"&amp;" enthusiasts""), ""Lifestyle"",
  REGEXMATCH(LOWER(VLOOKUP(A456, Data1_Raw_Slack!A:B, 2, FALSE)), ""financial|finance|investing|stocks|retirement|banking|credit|debt|loans|savings|personal finance|insurance|econ|ecom|business|retail|occupation|sale|job|ma"&amp;"rketing""), ""Finance"",
  REGEXMATCH(LOWER(VLOOKUP(A456, Data1_Raw_Slack!A:B, 2, FALSE)), ""auto|automotive""), ""Auto"",
  REGEXMATCH(LOWER(VLOOKUP(A456, Data1_Raw_Slack!A:B, 2, FALSE)), ""parenting|moms|dads|kids|toddlers|baby|parent|children""), ""Par"&amp;"enting"",
  REGEXMATCH(LOWER(VLOOKUP(A456, Data1_Raw_Slack!A:B, 2, FALSE)), ""education|students|learning|school|teachers|college|university|academics""), ""Education"",
  REGEXMATCH(LOWER(VLOOKUP(A456, Data1_Raw_Slack!A:B, 2, FALSE)), ""age|gender|dem"&amp;"ographic|family|household""), ""Demographics"",
  REGEXMATCH(LOWER(VLOOKUP(A456, Data1_Raw_Slack!A:B, 2, FALSE)), ""mortgage|real estate""), ""Real Estate"",REGEXMATCH(LOWER(VLOOKUP(A456, Data1_Raw_Slack!A:B, 2, FALSE)), ""technology|tech|gadgets|smartpho"&amp;"ne|electro|apps|devices|computing|ai|robots|software|computer|internet|tele|mobile|tablet""), ""Technology"", REGEXMATCH(LOWER(VLOOKUP(A456, Data1_Raw_Slack!A:B, 2, FALSE)), ""entertainment|purchas|movies|tv|netflix|streaming|celebrity|movie lovers|tv fan"&amp;"s|media|hobb|photo|art|shop""), ""Entertainment"", REGEXMATCH(LOWER(VLOOKUP(A456, Data1_Raw_Slack!A:B, 2, FALSE)), ""law|government|""), ""Law and Government"",
  TRUE, ""Other""
)"),"Travel")</f>
        <v>Travel</v>
      </c>
      <c r="G456" s="9" t="s">
        <v>85</v>
      </c>
      <c r="H456" s="9" t="s">
        <v>32</v>
      </c>
      <c r="I456" s="9" t="s">
        <v>1656</v>
      </c>
      <c r="J456" s="9" t="s">
        <v>80</v>
      </c>
      <c r="K456" s="9" t="s">
        <v>142</v>
      </c>
      <c r="L456" s="9" t="s">
        <v>72</v>
      </c>
      <c r="M456" s="10" t="s">
        <v>125</v>
      </c>
      <c r="N456" s="9" t="str">
        <f ca="1">IFERROR(__xludf.DUMMYFUNCTION("REGEXEXTRACT(LOWER(M456), ""([a-z0-9\-]+)\.(?:co|net|org|io|gg)"")"),"hindustantimes")</f>
        <v>hindustantimes</v>
      </c>
      <c r="O456" s="9" t="s">
        <v>50</v>
      </c>
      <c r="P456" s="9" t="s">
        <v>39</v>
      </c>
      <c r="Q456" s="9">
        <v>16580</v>
      </c>
      <c r="R456" s="9">
        <v>84</v>
      </c>
      <c r="S456" s="9">
        <v>11928</v>
      </c>
      <c r="T456" s="9">
        <v>14527</v>
      </c>
      <c r="U456" s="9">
        <v>6</v>
      </c>
      <c r="V456" s="11">
        <v>1965.7389470000001</v>
      </c>
      <c r="W456" s="12">
        <f t="shared" si="7"/>
        <v>327.62315783333332</v>
      </c>
      <c r="X456" s="12">
        <f t="shared" si="8"/>
        <v>0.50663449939686367</v>
      </c>
      <c r="Y456" s="12">
        <f t="shared" si="9"/>
        <v>71.942098914354645</v>
      </c>
      <c r="Z456" s="12">
        <f t="shared" si="10"/>
        <v>164.80038120389</v>
      </c>
      <c r="AA456" s="12">
        <f t="shared" si="11"/>
        <v>118.56085325693607</v>
      </c>
      <c r="AB456" s="12">
        <f t="shared" si="12"/>
        <v>23.40165413095238</v>
      </c>
      <c r="AC456" s="12">
        <f t="shared" si="13"/>
        <v>7.1428571428571423</v>
      </c>
      <c r="AE456" s="13"/>
      <c r="AF456" s="13"/>
    </row>
    <row r="457" spans="1:32">
      <c r="A457" s="8" t="s">
        <v>1657</v>
      </c>
      <c r="B457" s="9" t="s">
        <v>41</v>
      </c>
      <c r="C457" s="9" t="s">
        <v>127</v>
      </c>
      <c r="D457" s="9" t="s">
        <v>1658</v>
      </c>
      <c r="E457" s="9" t="s">
        <v>1659</v>
      </c>
      <c r="F457" s="9" t="str">
        <f ca="1">IFERROR(__xludf.DUMMYFUNCTION("IFS(
  REGEXMATCH(LOWER(VLOOKUP(A457, Data1_Raw_Slack!A:B, 2, FALSE)), ""news|weather""), ""News and Weather"", REGEXMATCH(LOWER(VLOOKUP(A457, Data1_Raw_Slack!A:B, 2, FALSE)), ""sports|ufc|nba|nfl|mlb|soccer|sports fans""), ""Sports"",
  REGEXMATCH(LOWER("&amp;"VLOOKUP(A457, Data1_Raw_Slack!A:B, 2, FALSE)), ""fashion|style|clothing|apparel|shoes|accessories|beauty|cosmetics|fashionistas""), ""Fashion and Beauty"",
  REGEXMATCH(LOWER(VLOOKUP(A457, Data1_Raw_Slack!A:B, 2, FALSE)), ""food|cooking|recipe|restaurant|"&amp;"snack|grocery|foodies""), ""Food"",
  REGEXMATCH(LOWER(VLOOKUP(A457, Data1_Raw_Slack!A:B, 2, FALSE)), ""travel|vacation|airline|hotel|trip|flights|travelers""), ""Travel"",
  REGEXMATCH(LOWER(VLOOKUP(A457, Data1_Raw_Slack!A:B, 2, FALSE)), ""fitness|workou"&amp;"t|gym|exercise|yoga|wellness|fitness enthusiasts""), ""Fitness"",
  REGEXMATCH(LOWER(VLOOKUP(A457, Data1_Raw_Slack!A:B, 2, FALSE)), ""health|medical|pharmacy|mental health|doctor|health-conscious""), ""Health"",
  REGEXMATCH(LOWER(VLOOKUP(A457, Data1_Raw_"&amp;"Slack!A:B, 2, FALSE)), ""pets|dogs|cats|animals|pet care|pet lovers""), ""Pets"",
  REGEXMATCH(LOWER(VLOOKUP(A457, Data1_Raw_Slack!A:B, 2, FALSE)), ""games|gaming|game|xbox|playstation|nintendo|gamers""), ""Gaming"",
  REGEXMATCH(LOWER(VLOOKUP(A457, Data1"&amp;"_Raw_Slack!A:B, 2, FALSE)), ""entertainment|movies|tv|netflix|streaming|celebrity|movie lovers|tv fans|hobb|photo|art""), ""Entertainment"",
  REGEXMATCH(LOWER(VLOOKUP(A457, Data1_Raw_Slack!A:B, 2, FALSE)), ""lifestyle|home|interior|decor|living|lifestyle"&amp;" enthusiasts""), ""Lifestyle"",
  REGEXMATCH(LOWER(VLOOKUP(A457, Data1_Raw_Slack!A:B, 2, FALSE)), ""financial|finance|investing|stocks|retirement|banking|credit|debt|loans|savings|personal finance|insurance|econ|ecom|business|retail|occupation|sale|job|ma"&amp;"rketing""), ""Finance"",
  REGEXMATCH(LOWER(VLOOKUP(A457, Data1_Raw_Slack!A:B, 2, FALSE)), ""auto|automotive""), ""Auto"",
  REGEXMATCH(LOWER(VLOOKUP(A457, Data1_Raw_Slack!A:B, 2, FALSE)), ""parenting|moms|dads|kids|toddlers|baby|parent|children""), ""Par"&amp;"enting"",
  REGEXMATCH(LOWER(VLOOKUP(A457, Data1_Raw_Slack!A:B, 2, FALSE)), ""education|students|learning|school|teachers|college|university|academics""), ""Education"",
  REGEXMATCH(LOWER(VLOOKUP(A457, Data1_Raw_Slack!A:B, 2, FALSE)), ""age|gender|dem"&amp;"ographic|family|household""), ""Demographics"",
  REGEXMATCH(LOWER(VLOOKUP(A457, Data1_Raw_Slack!A:B, 2, FALSE)), ""mortgage|real estate""), ""Real Estate"",REGEXMATCH(LOWER(VLOOKUP(A457, Data1_Raw_Slack!A:B, 2, FALSE)), ""technology|tech|gadgets|smartpho"&amp;"ne|electro|apps|devices|computing|ai|robots|software|computer|internet|tele|mobile|tablet""), ""Technology"", REGEXMATCH(LOWER(VLOOKUP(A457, Data1_Raw_Slack!A:B, 2, FALSE)), ""entertainment|purchas|movies|tv|netflix|streaming|celebrity|movie lovers|tv fan"&amp;"s|media|hobb|photo|art|shop""), ""Entertainment"", REGEXMATCH(LOWER(VLOOKUP(A457, Data1_Raw_Slack!A:B, 2, FALSE)), ""law|government|""), ""Law and Government"",
  TRUE, ""Other""
)"),"Finance")</f>
        <v>Finance</v>
      </c>
      <c r="G457" s="9" t="s">
        <v>127</v>
      </c>
      <c r="H457" s="9" t="s">
        <v>123</v>
      </c>
      <c r="I457" s="9" t="s">
        <v>1660</v>
      </c>
      <c r="J457" s="9" t="s">
        <v>62</v>
      </c>
      <c r="K457" s="9" t="s">
        <v>443</v>
      </c>
      <c r="L457" s="9" t="s">
        <v>72</v>
      </c>
      <c r="M457" s="10" t="s">
        <v>73</v>
      </c>
      <c r="N457" s="9" t="str">
        <f ca="1">IFERROR(__xludf.DUMMYFUNCTION("REGEXEXTRACT(LOWER(M457), ""([a-z0-9\-]+)\.(?:co|net|org|io|gg)"")"),"aol")</f>
        <v>aol</v>
      </c>
      <c r="O457" s="9" t="s">
        <v>50</v>
      </c>
      <c r="P457" s="9" t="s">
        <v>39</v>
      </c>
      <c r="Q457" s="9">
        <v>39844</v>
      </c>
      <c r="R457" s="9">
        <v>101</v>
      </c>
      <c r="S457" s="9">
        <v>28001</v>
      </c>
      <c r="T457" s="9">
        <v>36335</v>
      </c>
      <c r="U457" s="9">
        <v>3</v>
      </c>
      <c r="V457" s="11">
        <v>4439.368082</v>
      </c>
      <c r="W457" s="12">
        <f t="shared" si="7"/>
        <v>1479.7893606666667</v>
      </c>
      <c r="X457" s="12">
        <f t="shared" si="8"/>
        <v>0.25348860556169062</v>
      </c>
      <c r="Y457" s="12">
        <f t="shared" si="9"/>
        <v>70.276578656761373</v>
      </c>
      <c r="Z457" s="12">
        <f t="shared" si="10"/>
        <v>158.54319781436377</v>
      </c>
      <c r="AA457" s="12">
        <f t="shared" si="11"/>
        <v>111.41873511695613</v>
      </c>
      <c r="AB457" s="12">
        <f t="shared" si="12"/>
        <v>43.954139425742575</v>
      </c>
      <c r="AC457" s="12">
        <f t="shared" si="13"/>
        <v>2.9702970297029703</v>
      </c>
      <c r="AE457" s="13"/>
      <c r="AF457" s="13"/>
    </row>
    <row r="458" spans="1:32">
      <c r="A458" s="8" t="s">
        <v>1661</v>
      </c>
      <c r="B458" s="9" t="s">
        <v>92</v>
      </c>
      <c r="C458" s="9" t="s">
        <v>851</v>
      </c>
      <c r="D458" s="9" t="s">
        <v>1662</v>
      </c>
      <c r="E458" s="9"/>
      <c r="F458" s="9" t="str">
        <f ca="1">IFERROR(__xludf.DUMMYFUNCTION("IFS(
  REGEXMATCH(LOWER(VLOOKUP(A458, Data1_Raw_Slack!A:B, 2, FALSE)), ""news|weather""), ""News and Weather"", REGEXMATCH(LOWER(VLOOKUP(A458, Data1_Raw_Slack!A:B, 2, FALSE)), ""sports|ufc|nba|nfl|mlb|soccer|sports fans""), ""Sports"",
  REGEXMATCH(LOWER("&amp;"VLOOKUP(A458, Data1_Raw_Slack!A:B, 2, FALSE)), ""fashion|style|clothing|apparel|shoes|accessories|beauty|cosmetics|fashionistas""), ""Fashion and Beauty"",
  REGEXMATCH(LOWER(VLOOKUP(A458, Data1_Raw_Slack!A:B, 2, FALSE)), ""food|cooking|recipe|restaurant|"&amp;"snack|grocery|foodies""), ""Food"",
  REGEXMATCH(LOWER(VLOOKUP(A458, Data1_Raw_Slack!A:B, 2, FALSE)), ""travel|vacation|airline|hotel|trip|flights|travelers""), ""Travel"",
  REGEXMATCH(LOWER(VLOOKUP(A458, Data1_Raw_Slack!A:B, 2, FALSE)), ""fitness|workou"&amp;"t|gym|exercise|yoga|wellness|fitness enthusiasts""), ""Fitness"",
  REGEXMATCH(LOWER(VLOOKUP(A458, Data1_Raw_Slack!A:B, 2, FALSE)), ""health|medical|pharmacy|mental health|doctor|health-conscious""), ""Health"",
  REGEXMATCH(LOWER(VLOOKUP(A458, Data1_Raw_"&amp;"Slack!A:B, 2, FALSE)), ""pets|dogs|cats|animals|pet care|pet lovers""), ""Pets"",
  REGEXMATCH(LOWER(VLOOKUP(A458, Data1_Raw_Slack!A:B, 2, FALSE)), ""games|gaming|game|xbox|playstation|nintendo|gamers""), ""Gaming"",
  REGEXMATCH(LOWER(VLOOKUP(A458, Data1"&amp;"_Raw_Slack!A:B, 2, FALSE)), ""entertainment|movies|tv|netflix|streaming|celebrity|movie lovers|tv fans|hobb|photo|art""), ""Entertainment"",
  REGEXMATCH(LOWER(VLOOKUP(A458, Data1_Raw_Slack!A:B, 2, FALSE)), ""lifestyle|home|interior|decor|living|lifestyle"&amp;" enthusiasts""), ""Lifestyle"",
  REGEXMATCH(LOWER(VLOOKUP(A458, Data1_Raw_Slack!A:B, 2, FALSE)), ""financial|finance|investing|stocks|retirement|banking|credit|debt|loans|savings|personal finance|insurance|econ|ecom|business|retail|occupation|sale|job|ma"&amp;"rketing""), ""Finance"",
  REGEXMATCH(LOWER(VLOOKUP(A458, Data1_Raw_Slack!A:B, 2, FALSE)), ""auto|automotive""), ""Auto"",
  REGEXMATCH(LOWER(VLOOKUP(A458, Data1_Raw_Slack!A:B, 2, FALSE)), ""parenting|moms|dads|kids|toddlers|baby|parent|children""), ""Par"&amp;"enting"",
  REGEXMATCH(LOWER(VLOOKUP(A458, Data1_Raw_Slack!A:B, 2, FALSE)), ""education|students|learning|school|teachers|college|university|academics""), ""Education"",
  REGEXMATCH(LOWER(VLOOKUP(A458, Data1_Raw_Slack!A:B, 2, FALSE)), ""age|gender|dem"&amp;"ographic|family|household""), ""Demographics"",
  REGEXMATCH(LOWER(VLOOKUP(A458, Data1_Raw_Slack!A:B, 2, FALSE)), ""mortgage|real estate""), ""Real Estate"",REGEXMATCH(LOWER(VLOOKUP(A458, Data1_Raw_Slack!A:B, 2, FALSE)), ""technology|tech|gadgets|smartpho"&amp;"ne|electro|apps|devices|computing|ai|robots|software|computer|internet|tele|mobile|tablet""), ""Technology"", REGEXMATCH(LOWER(VLOOKUP(A458, Data1_Raw_Slack!A:B, 2, FALSE)), ""entertainment|purchas|movies|tv|netflix|streaming|celebrity|movie lovers|tv fan"&amp;"s|media|hobb|photo|art|shop""), ""Entertainment"", REGEXMATCH(LOWER(VLOOKUP(A458, Data1_Raw_Slack!A:B, 2, FALSE)), ""law|government|""), ""Law and Government"",
  TRUE, ""Other""
)"),"Demographics")</f>
        <v>Demographics</v>
      </c>
      <c r="G458" s="9"/>
      <c r="H458" s="9" t="s">
        <v>32</v>
      </c>
      <c r="I458" s="9" t="s">
        <v>1663</v>
      </c>
      <c r="J458" s="9" t="s">
        <v>34</v>
      </c>
      <c r="K458" s="9" t="s">
        <v>88</v>
      </c>
      <c r="L458" s="9" t="s">
        <v>89</v>
      </c>
      <c r="M458" s="10" t="s">
        <v>1664</v>
      </c>
      <c r="N458" s="9" t="str">
        <f ca="1">IFERROR(__xludf.DUMMYFUNCTION("REGEXEXTRACT(LOWER(M458), ""([a-z0-9\-]+)\.(?:co|net|org|io|gg)"")"),"culinaryhill")</f>
        <v>culinaryhill</v>
      </c>
      <c r="O458" s="9" t="s">
        <v>50</v>
      </c>
      <c r="P458" s="9" t="s">
        <v>39</v>
      </c>
      <c r="Q458" s="9">
        <v>10093</v>
      </c>
      <c r="R458" s="9">
        <v>65</v>
      </c>
      <c r="S458" s="9">
        <v>3901</v>
      </c>
      <c r="T458" s="9">
        <v>9645</v>
      </c>
      <c r="U458" s="9">
        <v>2</v>
      </c>
      <c r="V458" s="11">
        <v>3105.2830039999999</v>
      </c>
      <c r="W458" s="12">
        <f t="shared" si="7"/>
        <v>1552.6415019999999</v>
      </c>
      <c r="X458" s="12">
        <f t="shared" si="8"/>
        <v>0.64401070048548492</v>
      </c>
      <c r="Y458" s="12">
        <f t="shared" si="9"/>
        <v>38.650549886059643</v>
      </c>
      <c r="Z458" s="12">
        <f t="shared" si="10"/>
        <v>796.02230299923099</v>
      </c>
      <c r="AA458" s="12">
        <f t="shared" si="11"/>
        <v>307.66699732487859</v>
      </c>
      <c r="AB458" s="12">
        <f t="shared" si="12"/>
        <v>47.773584676923072</v>
      </c>
      <c r="AC458" s="12">
        <f t="shared" si="13"/>
        <v>3.0769230769230771</v>
      </c>
      <c r="AE458" s="13"/>
      <c r="AF458" s="13"/>
    </row>
    <row r="459" spans="1:32">
      <c r="A459" s="8" t="s">
        <v>1665</v>
      </c>
      <c r="B459" s="9" t="s">
        <v>41</v>
      </c>
      <c r="C459" s="9" t="s">
        <v>154</v>
      </c>
      <c r="D459" s="9" t="s">
        <v>1666</v>
      </c>
      <c r="E459" s="9"/>
      <c r="F459" s="9" t="str">
        <f ca="1">IFERROR(__xludf.DUMMYFUNCTION("IFS(
  REGEXMATCH(LOWER(VLOOKUP(A459, Data1_Raw_Slack!A:B, 2, FALSE)), ""news|weather""), ""News and Weather"", REGEXMATCH(LOWER(VLOOKUP(A459, Data1_Raw_Slack!A:B, 2, FALSE)), ""sports|ufc|nba|nfl|mlb|soccer|sports fans""), ""Sports"",
  REGEXMATCH(LOWER("&amp;"VLOOKUP(A459, Data1_Raw_Slack!A:B, 2, FALSE)), ""fashion|style|clothing|apparel|shoes|accessories|beauty|cosmetics|fashionistas""), ""Fashion and Beauty"",
  REGEXMATCH(LOWER(VLOOKUP(A459, Data1_Raw_Slack!A:B, 2, FALSE)), ""food|cooking|recipe|restaurant|"&amp;"snack|grocery|foodies""), ""Food"",
  REGEXMATCH(LOWER(VLOOKUP(A459, Data1_Raw_Slack!A:B, 2, FALSE)), ""travel|vacation|airline|hotel|trip|flights|travelers""), ""Travel"",
  REGEXMATCH(LOWER(VLOOKUP(A459, Data1_Raw_Slack!A:B, 2, FALSE)), ""fitness|workou"&amp;"t|gym|exercise|yoga|wellness|fitness enthusiasts""), ""Fitness"",
  REGEXMATCH(LOWER(VLOOKUP(A459, Data1_Raw_Slack!A:B, 2, FALSE)), ""health|medical|pharmacy|mental health|doctor|health-conscious""), ""Health"",
  REGEXMATCH(LOWER(VLOOKUP(A459, Data1_Raw_"&amp;"Slack!A:B, 2, FALSE)), ""pets|dogs|cats|animals|pet care|pet lovers""), ""Pets"",
  REGEXMATCH(LOWER(VLOOKUP(A459, Data1_Raw_Slack!A:B, 2, FALSE)), ""games|gaming|game|xbox|playstation|nintendo|gamers""), ""Gaming"",
  REGEXMATCH(LOWER(VLOOKUP(A459, Data1"&amp;"_Raw_Slack!A:B, 2, FALSE)), ""entertainment|movies|tv|netflix|streaming|celebrity|movie lovers|tv fans|hobb|photo|art""), ""Entertainment"",
  REGEXMATCH(LOWER(VLOOKUP(A459, Data1_Raw_Slack!A:B, 2, FALSE)), ""lifestyle|home|interior|decor|living|lifestyle"&amp;" enthusiasts""), ""Lifestyle"",
  REGEXMATCH(LOWER(VLOOKUP(A459, Data1_Raw_Slack!A:B, 2, FALSE)), ""financial|finance|investing|stocks|retirement|banking|credit|debt|loans|savings|personal finance|insurance|econ|ecom|business|retail|occupation|sale|job|ma"&amp;"rketing""), ""Finance"",
  REGEXMATCH(LOWER(VLOOKUP(A459, Data1_Raw_Slack!A:B, 2, FALSE)), ""auto|automotive""), ""Auto"",
  REGEXMATCH(LOWER(VLOOKUP(A459, Data1_Raw_Slack!A:B, 2, FALSE)), ""parenting|moms|dads|kids|toddlers|baby|parent|children""), ""Par"&amp;"enting"",
  REGEXMATCH(LOWER(VLOOKUP(A459, Data1_Raw_Slack!A:B, 2, FALSE)), ""education|students|learning|school|teachers|college|university|academics""), ""Education"",
  REGEXMATCH(LOWER(VLOOKUP(A459, Data1_Raw_Slack!A:B, 2, FALSE)), ""age|gender|dem"&amp;"ographic|family|household""), ""Demographics"",
  REGEXMATCH(LOWER(VLOOKUP(A459, Data1_Raw_Slack!A:B, 2, FALSE)), ""mortgage|real estate""), ""Real Estate"",REGEXMATCH(LOWER(VLOOKUP(A459, Data1_Raw_Slack!A:B, 2, FALSE)), ""technology|tech|gadgets|smartpho"&amp;"ne|electro|apps|devices|computing|ai|robots|software|computer|internet|tele|mobile|tablet""), ""Technology"", REGEXMATCH(LOWER(VLOOKUP(A459, Data1_Raw_Slack!A:B, 2, FALSE)), ""entertainment|purchas|movies|tv|netflix|streaming|celebrity|movie lovers|tv fan"&amp;"s|media|hobb|photo|art|shop""), ""Entertainment"", REGEXMATCH(LOWER(VLOOKUP(A459, Data1_Raw_Slack!A:B, 2, FALSE)), ""law|government|""), ""Law and Government"",
  TRUE, ""Other""
)"),"Sports")</f>
        <v>Sports</v>
      </c>
      <c r="G459" s="9" t="s">
        <v>154</v>
      </c>
      <c r="H459" s="9" t="s">
        <v>44</v>
      </c>
      <c r="I459" s="9" t="s">
        <v>357</v>
      </c>
      <c r="J459" s="9" t="s">
        <v>34</v>
      </c>
      <c r="K459" s="9" t="s">
        <v>148</v>
      </c>
      <c r="L459" s="9" t="s">
        <v>89</v>
      </c>
      <c r="M459" s="10" t="s">
        <v>130</v>
      </c>
      <c r="N459" s="9" t="str">
        <f ca="1">IFERROR(__xludf.DUMMYFUNCTION("REGEXEXTRACT(LOWER(M459), ""([a-z0-9\-]+)\.(?:co|net|org|io|gg)"")"),"weather")</f>
        <v>weather</v>
      </c>
      <c r="O459" s="9" t="s">
        <v>131</v>
      </c>
      <c r="P459" s="9" t="s">
        <v>39</v>
      </c>
      <c r="Q459" s="9">
        <v>1109184</v>
      </c>
      <c r="R459" s="9">
        <v>3142</v>
      </c>
      <c r="S459" s="9">
        <v>83035</v>
      </c>
      <c r="T459" s="9">
        <v>782482</v>
      </c>
      <c r="U459" s="9">
        <v>25</v>
      </c>
      <c r="V459" s="11">
        <v>7490.8607789999996</v>
      </c>
      <c r="W459" s="12">
        <f t="shared" si="7"/>
        <v>299.63443115999996</v>
      </c>
      <c r="X459" s="12">
        <f t="shared" si="8"/>
        <v>0.28327130575269749</v>
      </c>
      <c r="Y459" s="12">
        <f t="shared" si="9"/>
        <v>7.4861339507241356</v>
      </c>
      <c r="Z459" s="12">
        <f t="shared" si="10"/>
        <v>90.21329293671343</v>
      </c>
      <c r="AA459" s="12">
        <f t="shared" si="11"/>
        <v>6.7534879506015226</v>
      </c>
      <c r="AB459" s="12">
        <f t="shared" si="12"/>
        <v>2.3841059131126672</v>
      </c>
      <c r="AC459" s="12">
        <f t="shared" si="13"/>
        <v>0.79567154678548691</v>
      </c>
      <c r="AE459" s="13"/>
      <c r="AF459" s="13"/>
    </row>
    <row r="460" spans="1:32">
      <c r="A460" s="8" t="s">
        <v>1667</v>
      </c>
      <c r="B460" s="9" t="s">
        <v>41</v>
      </c>
      <c r="C460" s="9" t="s">
        <v>996</v>
      </c>
      <c r="D460" s="9" t="s">
        <v>1668</v>
      </c>
      <c r="E460" s="9"/>
      <c r="F460" s="9" t="str">
        <f ca="1">IFERROR(__xludf.DUMMYFUNCTION("IFS(
  REGEXMATCH(LOWER(VLOOKUP(A460, Data1_Raw_Slack!A:B, 2, FALSE)), ""news|weather""), ""News and Weather"", REGEXMATCH(LOWER(VLOOKUP(A460, Data1_Raw_Slack!A:B, 2, FALSE)), ""sports|ufc|nba|nfl|mlb|soccer|sports fans""), ""Sports"",
  REGEXMATCH(LOWER("&amp;"VLOOKUP(A460, Data1_Raw_Slack!A:B, 2, FALSE)), ""fashion|style|clothing|apparel|shoes|accessories|beauty|cosmetics|fashionistas""), ""Fashion and Beauty"",
  REGEXMATCH(LOWER(VLOOKUP(A460, Data1_Raw_Slack!A:B, 2, FALSE)), ""food|cooking|recipe|restaurant|"&amp;"snack|grocery|foodies""), ""Food"",
  REGEXMATCH(LOWER(VLOOKUP(A460, Data1_Raw_Slack!A:B, 2, FALSE)), ""travel|vacation|airline|hotel|trip|flights|travelers""), ""Travel"",
  REGEXMATCH(LOWER(VLOOKUP(A460, Data1_Raw_Slack!A:B, 2, FALSE)), ""fitness|workou"&amp;"t|gym|exercise|yoga|wellness|fitness enthusiasts""), ""Fitness"",
  REGEXMATCH(LOWER(VLOOKUP(A460, Data1_Raw_Slack!A:B, 2, FALSE)), ""health|medical|pharmacy|mental health|doctor|health-conscious""), ""Health"",
  REGEXMATCH(LOWER(VLOOKUP(A460, Data1_Raw_"&amp;"Slack!A:B, 2, FALSE)), ""pets|dogs|cats|animals|pet care|pet lovers""), ""Pets"",
  REGEXMATCH(LOWER(VLOOKUP(A460, Data1_Raw_Slack!A:B, 2, FALSE)), ""games|gaming|game|xbox|playstation|nintendo|gamers""), ""Gaming"",
  REGEXMATCH(LOWER(VLOOKUP(A460, Data1"&amp;"_Raw_Slack!A:B, 2, FALSE)), ""entertainment|movies|tv|netflix|streaming|celebrity|movie lovers|tv fans|hobb|photo|art""), ""Entertainment"",
  REGEXMATCH(LOWER(VLOOKUP(A460, Data1_Raw_Slack!A:B, 2, FALSE)), ""lifestyle|home|interior|decor|living|lifestyle"&amp;" enthusiasts""), ""Lifestyle"",
  REGEXMATCH(LOWER(VLOOKUP(A460, Data1_Raw_Slack!A:B, 2, FALSE)), ""financial|finance|investing|stocks|retirement|banking|credit|debt|loans|savings|personal finance|insurance|econ|ecom|business|retail|occupation|sale|job|ma"&amp;"rketing""), ""Finance"",
  REGEXMATCH(LOWER(VLOOKUP(A460, Data1_Raw_Slack!A:B, 2, FALSE)), ""auto|automotive""), ""Auto"",
  REGEXMATCH(LOWER(VLOOKUP(A460, Data1_Raw_Slack!A:B, 2, FALSE)), ""parenting|moms|dads|kids|toddlers|baby|parent|children""), ""Par"&amp;"enting"",
  REGEXMATCH(LOWER(VLOOKUP(A460, Data1_Raw_Slack!A:B, 2, FALSE)), ""education|students|learning|school|teachers|college|university|academics""), ""Education"",
  REGEXMATCH(LOWER(VLOOKUP(A460, Data1_Raw_Slack!A:B, 2, FALSE)), ""age|gender|dem"&amp;"ographic|family|household""), ""Demographics"",
  REGEXMATCH(LOWER(VLOOKUP(A460, Data1_Raw_Slack!A:B, 2, FALSE)), ""mortgage|real estate""), ""Real Estate"",REGEXMATCH(LOWER(VLOOKUP(A460, Data1_Raw_Slack!A:B, 2, FALSE)), ""technology|tech|gadgets|smartpho"&amp;"ne|electro|apps|devices|computing|ai|robots|software|computer|internet|tele|mobile|tablet""), ""Technology"", REGEXMATCH(LOWER(VLOOKUP(A460, Data1_Raw_Slack!A:B, 2, FALSE)), ""entertainment|purchas|movies|tv|netflix|streaming|celebrity|movie lovers|tv fan"&amp;"s|media|hobb|photo|art|shop""), ""Entertainment"", REGEXMATCH(LOWER(VLOOKUP(A460, Data1_Raw_Slack!A:B, 2, FALSE)), ""law|government|""), ""Law and Government"",
  TRUE, ""Other""
)"),"Lifestyle")</f>
        <v>Lifestyle</v>
      </c>
      <c r="G460" s="9"/>
      <c r="H460" s="9" t="s">
        <v>44</v>
      </c>
      <c r="I460" s="9" t="s">
        <v>1374</v>
      </c>
      <c r="J460" s="9" t="s">
        <v>80</v>
      </c>
      <c r="K460" s="9" t="s">
        <v>148</v>
      </c>
      <c r="L460" s="9" t="s">
        <v>89</v>
      </c>
      <c r="M460" s="10" t="s">
        <v>869</v>
      </c>
      <c r="N460" s="9" t="str">
        <f ca="1">IFERROR(__xludf.DUMMYFUNCTION("REGEXEXTRACT(LOWER(M460), ""([a-z0-9\-]+)\.(?:co|net|org|io|gg)"")"),"w3schools")</f>
        <v>w3schools</v>
      </c>
      <c r="O460" s="9" t="s">
        <v>186</v>
      </c>
      <c r="P460" s="9" t="s">
        <v>39</v>
      </c>
      <c r="Q460" s="9">
        <v>11607</v>
      </c>
      <c r="R460" s="9">
        <v>184</v>
      </c>
      <c r="S460" s="9">
        <v>5218</v>
      </c>
      <c r="T460" s="9">
        <v>10763</v>
      </c>
      <c r="U460" s="9">
        <v>12</v>
      </c>
      <c r="V460" s="11">
        <v>6909.7323180000003</v>
      </c>
      <c r="W460" s="12">
        <f t="shared" si="7"/>
        <v>575.81102650000003</v>
      </c>
      <c r="X460" s="12">
        <f t="shared" si="8"/>
        <v>1.5852502800034463</v>
      </c>
      <c r="Y460" s="12">
        <f t="shared" si="9"/>
        <v>44.955630223141206</v>
      </c>
      <c r="Z460" s="12">
        <f t="shared" si="10"/>
        <v>1324.2108696818705</v>
      </c>
      <c r="AA460" s="12">
        <f t="shared" si="11"/>
        <v>595.30734194882405</v>
      </c>
      <c r="AB460" s="12">
        <f t="shared" si="12"/>
        <v>37.552893032608701</v>
      </c>
      <c r="AC460" s="12">
        <f t="shared" si="13"/>
        <v>6.5217391304347823</v>
      </c>
      <c r="AE460" s="13"/>
      <c r="AF460" s="13"/>
    </row>
    <row r="461" spans="1:32">
      <c r="A461" s="8" t="s">
        <v>1669</v>
      </c>
      <c r="B461" s="9" t="s">
        <v>498</v>
      </c>
      <c r="C461" s="9" t="s">
        <v>863</v>
      </c>
      <c r="D461" s="9" t="s">
        <v>1670</v>
      </c>
      <c r="E461" s="9"/>
      <c r="F461" s="9" t="str">
        <f ca="1">IFERROR(__xludf.DUMMYFUNCTION("IFS(
  REGEXMATCH(LOWER(VLOOKUP(A461, Data1_Raw_Slack!A:B, 2, FALSE)), ""news|weather""), ""News and Weather"", REGEXMATCH(LOWER(VLOOKUP(A461, Data1_Raw_Slack!A:B, 2, FALSE)), ""sports|ufc|nba|nfl|mlb|soccer|sports fans""), ""Sports"",
  REGEXMATCH(LOWER("&amp;"VLOOKUP(A461, Data1_Raw_Slack!A:B, 2, FALSE)), ""fashion|style|clothing|apparel|shoes|accessories|beauty|cosmetics|fashionistas""), ""Fashion and Beauty"",
  REGEXMATCH(LOWER(VLOOKUP(A461, Data1_Raw_Slack!A:B, 2, FALSE)), ""food|cooking|recipe|restaurant|"&amp;"snack|grocery|foodies""), ""Food"",
  REGEXMATCH(LOWER(VLOOKUP(A461, Data1_Raw_Slack!A:B, 2, FALSE)), ""travel|vacation|airline|hotel|trip|flights|travelers""), ""Travel"",
  REGEXMATCH(LOWER(VLOOKUP(A461, Data1_Raw_Slack!A:B, 2, FALSE)), ""fitness|workou"&amp;"t|gym|exercise|yoga|wellness|fitness enthusiasts""), ""Fitness"",
  REGEXMATCH(LOWER(VLOOKUP(A461, Data1_Raw_Slack!A:B, 2, FALSE)), ""health|medical|pharmacy|mental health|doctor|health-conscious""), ""Health"",
  REGEXMATCH(LOWER(VLOOKUP(A461, Data1_Raw_"&amp;"Slack!A:B, 2, FALSE)), ""pets|dogs|cats|animals|pet care|pet lovers""), ""Pets"",
  REGEXMATCH(LOWER(VLOOKUP(A461, Data1_Raw_Slack!A:B, 2, FALSE)), ""games|gaming|game|xbox|playstation|nintendo|gamers""), ""Gaming"",
  REGEXMATCH(LOWER(VLOOKUP(A461, Data1"&amp;"_Raw_Slack!A:B, 2, FALSE)), ""entertainment|movies|tv|netflix|streaming|celebrity|movie lovers|tv fans|hobb|photo|art""), ""Entertainment"",
  REGEXMATCH(LOWER(VLOOKUP(A461, Data1_Raw_Slack!A:B, 2, FALSE)), ""lifestyle|home|interior|decor|living|lifestyle"&amp;" enthusiasts""), ""Lifestyle"",
  REGEXMATCH(LOWER(VLOOKUP(A461, Data1_Raw_Slack!A:B, 2, FALSE)), ""financial|finance|investing|stocks|retirement|banking|credit|debt|loans|savings|personal finance|insurance|econ|ecom|business|retail|occupation|sale|job|ma"&amp;"rketing""), ""Finance"",
  REGEXMATCH(LOWER(VLOOKUP(A461, Data1_Raw_Slack!A:B, 2, FALSE)), ""auto|automotive""), ""Auto"",
  REGEXMATCH(LOWER(VLOOKUP(A461, Data1_Raw_Slack!A:B, 2, FALSE)), ""parenting|moms|dads|kids|toddlers|baby|parent|children""), ""Par"&amp;"enting"",
  REGEXMATCH(LOWER(VLOOKUP(A461, Data1_Raw_Slack!A:B, 2, FALSE)), ""education|students|learning|school|teachers|college|university|academics""), ""Education"",
  REGEXMATCH(LOWER(VLOOKUP(A461, Data1_Raw_Slack!A:B, 2, FALSE)), ""age|gender|dem"&amp;"ographic|family|household""), ""Demographics"",
  REGEXMATCH(LOWER(VLOOKUP(A461, Data1_Raw_Slack!A:B, 2, FALSE)), ""mortgage|real estate""), ""Real Estate"",REGEXMATCH(LOWER(VLOOKUP(A461, Data1_Raw_Slack!A:B, 2, FALSE)), ""technology|tech|gadgets|smartpho"&amp;"ne|electro|apps|devices|computing|ai|robots|software|computer|internet|tele|mobile|tablet""), ""Technology"", REGEXMATCH(LOWER(VLOOKUP(A461, Data1_Raw_Slack!A:B, 2, FALSE)), ""entertainment|purchas|movies|tv|netflix|streaming|celebrity|movie lovers|tv fan"&amp;"s|media|hobb|photo|art|shop""), ""Entertainment"", REGEXMATCH(LOWER(VLOOKUP(A461, Data1_Raw_Slack!A:B, 2, FALSE)), ""law|government|""), ""Law and Government"",
  TRUE, ""Other""
)"),"Fashion and Beauty")</f>
        <v>Fashion and Beauty</v>
      </c>
      <c r="G461" s="9" t="s">
        <v>865</v>
      </c>
      <c r="H461" s="9" t="s">
        <v>44</v>
      </c>
      <c r="I461" s="9" t="s">
        <v>1671</v>
      </c>
      <c r="J461" s="9" t="s">
        <v>80</v>
      </c>
      <c r="K461" s="9" t="s">
        <v>35</v>
      </c>
      <c r="L461" s="9" t="s">
        <v>36</v>
      </c>
      <c r="M461" s="10" t="s">
        <v>49</v>
      </c>
      <c r="N461" s="9" t="str">
        <f ca="1">IFERROR(__xludf.DUMMYFUNCTION("REGEXEXTRACT(LOWER(M461), ""([a-z0-9\-]+)\.(?:co|net|org|io|gg)"")"),"yahoo")</f>
        <v>yahoo</v>
      </c>
      <c r="O461" s="9" t="s">
        <v>186</v>
      </c>
      <c r="P461" s="9" t="s">
        <v>39</v>
      </c>
      <c r="Q461" s="9">
        <v>19464</v>
      </c>
      <c r="R461" s="9">
        <v>68</v>
      </c>
      <c r="S461" s="9">
        <v>11814</v>
      </c>
      <c r="T461" s="9">
        <v>17040</v>
      </c>
      <c r="U461" s="9">
        <v>9</v>
      </c>
      <c r="V461" s="11">
        <v>1540.4693500000001</v>
      </c>
      <c r="W461" s="12">
        <f t="shared" si="7"/>
        <v>171.16326111111113</v>
      </c>
      <c r="X461" s="12">
        <f t="shared" si="8"/>
        <v>0.34936292642827788</v>
      </c>
      <c r="Y461" s="12">
        <f t="shared" si="9"/>
        <v>60.696670776818742</v>
      </c>
      <c r="Z461" s="12">
        <f t="shared" si="10"/>
        <v>130.3935457931268</v>
      </c>
      <c r="AA461" s="12">
        <f t="shared" si="11"/>
        <v>79.144541204274574</v>
      </c>
      <c r="AB461" s="12">
        <f t="shared" si="12"/>
        <v>22.653961029411764</v>
      </c>
      <c r="AC461" s="12">
        <f t="shared" si="13"/>
        <v>13.23529411764706</v>
      </c>
      <c r="AE461" s="13"/>
      <c r="AF461" s="13"/>
    </row>
    <row r="462" spans="1:32">
      <c r="A462" s="8" t="s">
        <v>1672</v>
      </c>
      <c r="B462" s="9" t="s">
        <v>67</v>
      </c>
      <c r="C462" s="9" t="s">
        <v>173</v>
      </c>
      <c r="D462" s="9"/>
      <c r="E462" s="9"/>
      <c r="F462" s="9" t="str">
        <f ca="1">IFERROR(__xludf.DUMMYFUNCTION("IFS(
  REGEXMATCH(LOWER(VLOOKUP(A462, Data1_Raw_Slack!A:B, 2, FALSE)), ""news|weather""), ""News and Weather"", REGEXMATCH(LOWER(VLOOKUP(A462, Data1_Raw_Slack!A:B, 2, FALSE)), ""sports|ufc|nba|nfl|mlb|soccer|sports fans""), ""Sports"",
  REGEXMATCH(LOWER("&amp;"VLOOKUP(A462, Data1_Raw_Slack!A:B, 2, FALSE)), ""fashion|style|clothing|apparel|shoes|accessories|beauty|cosmetics|fashionistas""), ""Fashion and Beauty"",
  REGEXMATCH(LOWER(VLOOKUP(A462, Data1_Raw_Slack!A:B, 2, FALSE)), ""food|cooking|recipe|restaurant|"&amp;"snack|grocery|foodies""), ""Food"",
  REGEXMATCH(LOWER(VLOOKUP(A462, Data1_Raw_Slack!A:B, 2, FALSE)), ""travel|vacation|airline|hotel|trip|flights|travelers""), ""Travel"",
  REGEXMATCH(LOWER(VLOOKUP(A462, Data1_Raw_Slack!A:B, 2, FALSE)), ""fitness|workou"&amp;"t|gym|exercise|yoga|wellness|fitness enthusiasts""), ""Fitness"",
  REGEXMATCH(LOWER(VLOOKUP(A462, Data1_Raw_Slack!A:B, 2, FALSE)), ""health|medical|pharmacy|mental health|doctor|health-conscious""), ""Health"",
  REGEXMATCH(LOWER(VLOOKUP(A462, Data1_Raw_"&amp;"Slack!A:B, 2, FALSE)), ""pets|dogs|cats|animals|pet care|pet lovers""), ""Pets"",
  REGEXMATCH(LOWER(VLOOKUP(A462, Data1_Raw_Slack!A:B, 2, FALSE)), ""games|gaming|game|xbox|playstation|nintendo|gamers""), ""Gaming"",
  REGEXMATCH(LOWER(VLOOKUP(A462, Data1"&amp;"_Raw_Slack!A:B, 2, FALSE)), ""entertainment|movies|tv|netflix|streaming|celebrity|movie lovers|tv fans|hobb|photo|art""), ""Entertainment"",
  REGEXMATCH(LOWER(VLOOKUP(A462, Data1_Raw_Slack!A:B, 2, FALSE)), ""lifestyle|home|interior|decor|living|lifestyle"&amp;" enthusiasts""), ""Lifestyle"",
  REGEXMATCH(LOWER(VLOOKUP(A462, Data1_Raw_Slack!A:B, 2, FALSE)), ""financial|finance|investing|stocks|retirement|banking|credit|debt|loans|savings|personal finance|insurance|econ|ecom|business|retail|occupation|sale|job|ma"&amp;"rketing""), ""Finance"",
  REGEXMATCH(LOWER(VLOOKUP(A462, Data1_Raw_Slack!A:B, 2, FALSE)), ""auto|automotive""), ""Auto"",
  REGEXMATCH(LOWER(VLOOKUP(A462, Data1_Raw_Slack!A:B, 2, FALSE)), ""parenting|moms|dads|kids|toddlers|baby|parent|children""), ""Par"&amp;"enting"",
  REGEXMATCH(LOWER(VLOOKUP(A462, Data1_Raw_Slack!A:B, 2, FALSE)), ""education|students|learning|school|teachers|college|university|academics""), ""Education"",
  REGEXMATCH(LOWER(VLOOKUP(A462, Data1_Raw_Slack!A:B, 2, FALSE)), ""age|gender|dem"&amp;"ographic|family|household""), ""Demographics"",
  REGEXMATCH(LOWER(VLOOKUP(A462, Data1_Raw_Slack!A:B, 2, FALSE)), ""mortgage|real estate""), ""Real Estate"",REGEXMATCH(LOWER(VLOOKUP(A462, Data1_Raw_Slack!A:B, 2, FALSE)), ""technology|tech|gadgets|smartpho"&amp;"ne|electro|apps|devices|computing|ai|robots|software|computer|internet|tele|mobile|tablet""), ""Technology"", REGEXMATCH(LOWER(VLOOKUP(A462, Data1_Raw_Slack!A:B, 2, FALSE)), ""entertainment|purchas|movies|tv|netflix|streaming|celebrity|movie lovers|tv fan"&amp;"s|media|hobb|photo|art|shop""), ""Entertainment"", REGEXMATCH(LOWER(VLOOKUP(A462, Data1_Raw_Slack!A:B, 2, FALSE)), ""law|government|""), ""Law and Government"",
  TRUE, ""Other""
)"),"Entertainment")</f>
        <v>Entertainment</v>
      </c>
      <c r="G462" s="9" t="s">
        <v>69</v>
      </c>
      <c r="H462" s="9" t="s">
        <v>44</v>
      </c>
      <c r="I462" s="9" t="s">
        <v>1673</v>
      </c>
      <c r="J462" s="9" t="s">
        <v>62</v>
      </c>
      <c r="K462" s="9" t="s">
        <v>56</v>
      </c>
      <c r="L462" s="9" t="s">
        <v>57</v>
      </c>
      <c r="M462" s="10" t="s">
        <v>1087</v>
      </c>
      <c r="N462" s="9" t="str">
        <f ca="1">IFERROR(__xludf.DUMMYFUNCTION("REGEXEXTRACT(LOWER(M462), ""([a-z0-9\-]+)\.(?:co|net|org|io|gg)"")"),"cnn")</f>
        <v>cnn</v>
      </c>
      <c r="O462" s="9" t="s">
        <v>593</v>
      </c>
      <c r="P462" s="9" t="s">
        <v>39</v>
      </c>
      <c r="Q462" s="9">
        <v>45402</v>
      </c>
      <c r="R462" s="9">
        <v>122</v>
      </c>
      <c r="S462" s="9">
        <v>17284</v>
      </c>
      <c r="T462" s="9">
        <v>27542</v>
      </c>
      <c r="U462" s="9">
        <v>5</v>
      </c>
      <c r="V462" s="11">
        <v>2163.2653460000001</v>
      </c>
      <c r="W462" s="12">
        <f t="shared" si="7"/>
        <v>432.6530692</v>
      </c>
      <c r="X462" s="12">
        <f t="shared" si="8"/>
        <v>0.26871062948768776</v>
      </c>
      <c r="Y462" s="12">
        <f t="shared" si="9"/>
        <v>38.068807541517998</v>
      </c>
      <c r="Z462" s="12">
        <f t="shared" si="10"/>
        <v>125.15999456144411</v>
      </c>
      <c r="AA462" s="12">
        <f t="shared" si="11"/>
        <v>47.646917448570555</v>
      </c>
      <c r="AB462" s="12">
        <f t="shared" si="12"/>
        <v>17.731683163934427</v>
      </c>
      <c r="AC462" s="12">
        <f t="shared" si="13"/>
        <v>4.0983606557377046</v>
      </c>
      <c r="AE462" s="13"/>
      <c r="AF462" s="13"/>
    </row>
    <row r="463" spans="1:32">
      <c r="A463" s="8" t="s">
        <v>1674</v>
      </c>
      <c r="B463" s="9" t="s">
        <v>1137</v>
      </c>
      <c r="C463" s="9" t="s">
        <v>658</v>
      </c>
      <c r="D463" s="9" t="s">
        <v>1675</v>
      </c>
      <c r="E463" s="9"/>
      <c r="F463" s="9" t="str">
        <f ca="1">IFERROR(__xludf.DUMMYFUNCTION("IFS(
  REGEXMATCH(LOWER(VLOOKUP(A463, Data1_Raw_Slack!A:B, 2, FALSE)), ""news|weather""), ""News and Weather"", REGEXMATCH(LOWER(VLOOKUP(A463, Data1_Raw_Slack!A:B, 2, FALSE)), ""sports|ufc|nba|nfl|mlb|soccer|sports fans""), ""Sports"",
  REGEXMATCH(LOWER("&amp;"VLOOKUP(A463, Data1_Raw_Slack!A:B, 2, FALSE)), ""fashion|style|clothing|apparel|shoes|accessories|beauty|cosmetics|fashionistas""), ""Fashion and Beauty"",
  REGEXMATCH(LOWER(VLOOKUP(A463, Data1_Raw_Slack!A:B, 2, FALSE)), ""food|cooking|recipe|restaurant|"&amp;"snack|grocery|foodies""), ""Food"",
  REGEXMATCH(LOWER(VLOOKUP(A463, Data1_Raw_Slack!A:B, 2, FALSE)), ""travel|vacation|airline|hotel|trip|flights|travelers""), ""Travel"",
  REGEXMATCH(LOWER(VLOOKUP(A463, Data1_Raw_Slack!A:B, 2, FALSE)), ""fitness|workou"&amp;"t|gym|exercise|yoga|wellness|fitness enthusiasts""), ""Fitness"",
  REGEXMATCH(LOWER(VLOOKUP(A463, Data1_Raw_Slack!A:B, 2, FALSE)), ""health|medical|pharmacy|mental health|doctor|health-conscious""), ""Health"",
  REGEXMATCH(LOWER(VLOOKUP(A463, Data1_Raw_"&amp;"Slack!A:B, 2, FALSE)), ""pets|dogs|cats|animals|pet care|pet lovers""), ""Pets"",
  REGEXMATCH(LOWER(VLOOKUP(A463, Data1_Raw_Slack!A:B, 2, FALSE)), ""games|gaming|game|xbox|playstation|nintendo|gamers""), ""Gaming"",
  REGEXMATCH(LOWER(VLOOKUP(A463, Data1"&amp;"_Raw_Slack!A:B, 2, FALSE)), ""entertainment|movies|tv|netflix|streaming|celebrity|movie lovers|tv fans|hobb|photo|art""), ""Entertainment"",
  REGEXMATCH(LOWER(VLOOKUP(A463, Data1_Raw_Slack!A:B, 2, FALSE)), ""lifestyle|home|interior|decor|living|lifestyle"&amp;" enthusiasts""), ""Lifestyle"",
  REGEXMATCH(LOWER(VLOOKUP(A463, Data1_Raw_Slack!A:B, 2, FALSE)), ""financial|finance|investing|stocks|retirement|banking|credit|debt|loans|savings|personal finance|insurance|econ|ecom|business|retail|occupation|sale|job|ma"&amp;"rketing""), ""Finance"",
  REGEXMATCH(LOWER(VLOOKUP(A463, Data1_Raw_Slack!A:B, 2, FALSE)), ""auto|automotive""), ""Auto"",
  REGEXMATCH(LOWER(VLOOKUP(A463, Data1_Raw_Slack!A:B, 2, FALSE)), ""parenting|moms|dads|kids|toddlers|baby|parent|children""), ""Par"&amp;"enting"",
  REGEXMATCH(LOWER(VLOOKUP(A463, Data1_Raw_Slack!A:B, 2, FALSE)), ""education|students|learning|school|teachers|college|university|academics""), ""Education"",
  REGEXMATCH(LOWER(VLOOKUP(A463, Data1_Raw_Slack!A:B, 2, FALSE)), ""age|gender|dem"&amp;"ographic|family|household""), ""Demographics"",
  REGEXMATCH(LOWER(VLOOKUP(A463, Data1_Raw_Slack!A:B, 2, FALSE)), ""mortgage|real estate""), ""Real Estate"",REGEXMATCH(LOWER(VLOOKUP(A463, Data1_Raw_Slack!A:B, 2, FALSE)), ""technology|tech|gadgets|smartpho"&amp;"ne|electro|apps|devices|computing|ai|robots|software|computer|internet|tele|mobile|tablet""), ""Technology"", REGEXMATCH(LOWER(VLOOKUP(A463, Data1_Raw_Slack!A:B, 2, FALSE)), ""entertainment|purchas|movies|tv|netflix|streaming|celebrity|movie lovers|tv fan"&amp;"s|media|hobb|photo|art|shop""), ""Entertainment"", REGEXMATCH(LOWER(VLOOKUP(A463, Data1_Raw_Slack!A:B, 2, FALSE)), ""law|government|""), ""Law and Government"",
  TRUE, ""Other""
)"),"Education")</f>
        <v>Education</v>
      </c>
      <c r="G463" s="9"/>
      <c r="H463" s="9" t="s">
        <v>32</v>
      </c>
      <c r="I463" s="9" t="s">
        <v>1676</v>
      </c>
      <c r="J463" s="9" t="s">
        <v>62</v>
      </c>
      <c r="K463" s="9" t="s">
        <v>142</v>
      </c>
      <c r="L463" s="9" t="s">
        <v>72</v>
      </c>
      <c r="M463" s="10" t="s">
        <v>1677</v>
      </c>
      <c r="N463" s="9" t="str">
        <f ca="1">IFERROR(__xludf.DUMMYFUNCTION("REGEXEXTRACT(LOWER(M463), ""([a-z0-9\-]+)\.(?:co|net|org|io|gg)"")"),"essentiallysports")</f>
        <v>essentiallysports</v>
      </c>
      <c r="O463" s="9" t="s">
        <v>103</v>
      </c>
      <c r="P463" s="9" t="s">
        <v>39</v>
      </c>
      <c r="Q463" s="9">
        <v>82916</v>
      </c>
      <c r="R463" s="9">
        <v>199</v>
      </c>
      <c r="S463" s="9">
        <v>24951</v>
      </c>
      <c r="T463" s="9">
        <v>77333</v>
      </c>
      <c r="U463" s="9">
        <v>12</v>
      </c>
      <c r="V463" s="11">
        <v>1584.8212470000001</v>
      </c>
      <c r="W463" s="12">
        <f t="shared" si="7"/>
        <v>132.06843725000002</v>
      </c>
      <c r="X463" s="12">
        <f t="shared" si="8"/>
        <v>0.24000192966375611</v>
      </c>
      <c r="Y463" s="12">
        <f t="shared" si="9"/>
        <v>30.091900236383811</v>
      </c>
      <c r="Z463" s="12">
        <f t="shared" si="10"/>
        <v>63.517343873993035</v>
      </c>
      <c r="AA463" s="12">
        <f t="shared" si="11"/>
        <v>19.113575751362827</v>
      </c>
      <c r="AB463" s="12">
        <f t="shared" si="12"/>
        <v>7.9639258643216086</v>
      </c>
      <c r="AC463" s="12">
        <f t="shared" si="13"/>
        <v>6.0301507537688437</v>
      </c>
      <c r="AE463" s="13"/>
      <c r="AF463" s="13"/>
    </row>
    <row r="464" spans="1:32">
      <c r="A464" s="8" t="s">
        <v>1678</v>
      </c>
      <c r="B464" s="9" t="s">
        <v>41</v>
      </c>
      <c r="C464" s="9" t="s">
        <v>542</v>
      </c>
      <c r="D464" s="9" t="s">
        <v>1679</v>
      </c>
      <c r="E464" s="9"/>
      <c r="F464" s="9" t="str">
        <f ca="1">IFERROR(__xludf.DUMMYFUNCTION("IFS(
  REGEXMATCH(LOWER(VLOOKUP(A464, Data1_Raw_Slack!A:B, 2, FALSE)), ""news|weather""), ""News and Weather"", REGEXMATCH(LOWER(VLOOKUP(A464, Data1_Raw_Slack!A:B, 2, FALSE)), ""sports|ufc|nba|nfl|mlb|soccer|sports fans""), ""Sports"",
  REGEXMATCH(LOWER("&amp;"VLOOKUP(A464, Data1_Raw_Slack!A:B, 2, FALSE)), ""fashion|style|clothing|apparel|shoes|accessories|beauty|cosmetics|fashionistas""), ""Fashion and Beauty"",
  REGEXMATCH(LOWER(VLOOKUP(A464, Data1_Raw_Slack!A:B, 2, FALSE)), ""food|cooking|recipe|restaurant|"&amp;"snack|grocery|foodies""), ""Food"",
  REGEXMATCH(LOWER(VLOOKUP(A464, Data1_Raw_Slack!A:B, 2, FALSE)), ""travel|vacation|airline|hotel|trip|flights|travelers""), ""Travel"",
  REGEXMATCH(LOWER(VLOOKUP(A464, Data1_Raw_Slack!A:B, 2, FALSE)), ""fitness|workou"&amp;"t|gym|exercise|yoga|wellness|fitness enthusiasts""), ""Fitness"",
  REGEXMATCH(LOWER(VLOOKUP(A464, Data1_Raw_Slack!A:B, 2, FALSE)), ""health|medical|pharmacy|mental health|doctor|health-conscious""), ""Health"",
  REGEXMATCH(LOWER(VLOOKUP(A464, Data1_Raw_"&amp;"Slack!A:B, 2, FALSE)), ""pets|dogs|cats|animals|pet care|pet lovers""), ""Pets"",
  REGEXMATCH(LOWER(VLOOKUP(A464, Data1_Raw_Slack!A:B, 2, FALSE)), ""games|gaming|game|xbox|playstation|nintendo|gamers""), ""Gaming"",
  REGEXMATCH(LOWER(VLOOKUP(A464, Data1"&amp;"_Raw_Slack!A:B, 2, FALSE)), ""entertainment|movies|tv|netflix|streaming|celebrity|movie lovers|tv fans|hobb|photo|art""), ""Entertainment"",
  REGEXMATCH(LOWER(VLOOKUP(A464, Data1_Raw_Slack!A:B, 2, FALSE)), ""lifestyle|home|interior|decor|living|lifestyle"&amp;" enthusiasts""), ""Lifestyle"",
  REGEXMATCH(LOWER(VLOOKUP(A464, Data1_Raw_Slack!A:B, 2, FALSE)), ""financial|finance|investing|stocks|retirement|banking|credit|debt|loans|savings|personal finance|insurance|econ|ecom|business|retail|occupation|sale|job|ma"&amp;"rketing""), ""Finance"",
  REGEXMATCH(LOWER(VLOOKUP(A464, Data1_Raw_Slack!A:B, 2, FALSE)), ""auto|automotive""), ""Auto"",
  REGEXMATCH(LOWER(VLOOKUP(A464, Data1_Raw_Slack!A:B, 2, FALSE)), ""parenting|moms|dads|kids|toddlers|baby|parent|children""), ""Par"&amp;"enting"",
  REGEXMATCH(LOWER(VLOOKUP(A464, Data1_Raw_Slack!A:B, 2, FALSE)), ""education|students|learning|school|teachers|college|university|academics""), ""Education"",
  REGEXMATCH(LOWER(VLOOKUP(A464, Data1_Raw_Slack!A:B, 2, FALSE)), ""age|gender|dem"&amp;"ographic|family|household""), ""Demographics"",
  REGEXMATCH(LOWER(VLOOKUP(A464, Data1_Raw_Slack!A:B, 2, FALSE)), ""mortgage|real estate""), ""Real Estate"",REGEXMATCH(LOWER(VLOOKUP(A464, Data1_Raw_Slack!A:B, 2, FALSE)), ""technology|tech|gadgets|smartpho"&amp;"ne|electro|apps|devices|computing|ai|robots|software|computer|internet|tele|mobile|tablet""), ""Technology"", REGEXMATCH(LOWER(VLOOKUP(A464, Data1_Raw_Slack!A:B, 2, FALSE)), ""entertainment|purchas|movies|tv|netflix|streaming|celebrity|movie lovers|tv fan"&amp;"s|media|hobb|photo|art|shop""), ""Entertainment"", REGEXMATCH(LOWER(VLOOKUP(A464, Data1_Raw_Slack!A:B, 2, FALSE)), ""law|government|""), ""Law and Government"",
  TRUE, ""Other""
)"),"Entertainment")</f>
        <v>Entertainment</v>
      </c>
      <c r="G464" s="9"/>
      <c r="H464" s="9" t="s">
        <v>44</v>
      </c>
      <c r="I464" s="9" t="s">
        <v>1680</v>
      </c>
      <c r="J464" s="9" t="s">
        <v>80</v>
      </c>
      <c r="K464" s="9" t="s">
        <v>148</v>
      </c>
      <c r="L464" s="9" t="s">
        <v>89</v>
      </c>
      <c r="M464" s="10" t="s">
        <v>1168</v>
      </c>
      <c r="N464" s="9" t="str">
        <f ca="1">IFERROR(__xludf.DUMMYFUNCTION("REGEXEXTRACT(LOWER(M464), ""([a-z0-9\-]+)\.(?:co|net|org|io|gg)"")"),"geeksforgeeks")</f>
        <v>geeksforgeeks</v>
      </c>
      <c r="O464" s="9" t="s">
        <v>103</v>
      </c>
      <c r="P464" s="9" t="s">
        <v>64</v>
      </c>
      <c r="Q464" s="9">
        <v>120902</v>
      </c>
      <c r="R464" s="9">
        <v>333</v>
      </c>
      <c r="S464" s="9">
        <v>9964</v>
      </c>
      <c r="T464" s="9">
        <v>70015</v>
      </c>
      <c r="U464" s="9">
        <v>15</v>
      </c>
      <c r="V464" s="11">
        <v>4669.0136689999999</v>
      </c>
      <c r="W464" s="12">
        <f t="shared" si="7"/>
        <v>311.26757793333331</v>
      </c>
      <c r="X464" s="12">
        <f t="shared" si="8"/>
        <v>0.27542968685381547</v>
      </c>
      <c r="Y464" s="12">
        <f t="shared" si="9"/>
        <v>8.2413855850192714</v>
      </c>
      <c r="Z464" s="12">
        <f t="shared" si="10"/>
        <v>468.58828472501</v>
      </c>
      <c r="AA464" s="12">
        <f t="shared" si="11"/>
        <v>38.618167350416037</v>
      </c>
      <c r="AB464" s="12">
        <f t="shared" si="12"/>
        <v>14.021062069069069</v>
      </c>
      <c r="AC464" s="12">
        <f t="shared" si="13"/>
        <v>4.5045045045045047</v>
      </c>
      <c r="AE464" s="13"/>
      <c r="AF464" s="13"/>
    </row>
    <row r="465" spans="1:32">
      <c r="A465" s="8" t="s">
        <v>1681</v>
      </c>
      <c r="B465" s="9" t="s">
        <v>905</v>
      </c>
      <c r="C465" s="9" t="s">
        <v>85</v>
      </c>
      <c r="D465" s="9" t="s">
        <v>1493</v>
      </c>
      <c r="E465" s="9" t="s">
        <v>1682</v>
      </c>
      <c r="F465" s="9" t="str">
        <f ca="1">IFERROR(__xludf.DUMMYFUNCTION("IFS(
  REGEXMATCH(LOWER(VLOOKUP(A465, Data1_Raw_Slack!A:B, 2, FALSE)), ""news|weather""), ""News and Weather"", REGEXMATCH(LOWER(VLOOKUP(A465, Data1_Raw_Slack!A:B, 2, FALSE)), ""sports|ufc|nba|nfl|mlb|soccer|sports fans""), ""Sports"",
  REGEXMATCH(LOWER("&amp;"VLOOKUP(A465, Data1_Raw_Slack!A:B, 2, FALSE)), ""fashion|style|clothing|apparel|shoes|accessories|beauty|cosmetics|fashionistas""), ""Fashion and Beauty"",
  REGEXMATCH(LOWER(VLOOKUP(A465, Data1_Raw_Slack!A:B, 2, FALSE)), ""food|cooking|recipe|restaurant|"&amp;"snack|grocery|foodies""), ""Food"",
  REGEXMATCH(LOWER(VLOOKUP(A465, Data1_Raw_Slack!A:B, 2, FALSE)), ""travel|vacation|airline|hotel|trip|flights|travelers""), ""Travel"",
  REGEXMATCH(LOWER(VLOOKUP(A465, Data1_Raw_Slack!A:B, 2, FALSE)), ""fitness|workou"&amp;"t|gym|exercise|yoga|wellness|fitness enthusiasts""), ""Fitness"",
  REGEXMATCH(LOWER(VLOOKUP(A465, Data1_Raw_Slack!A:B, 2, FALSE)), ""health|medical|pharmacy|mental health|doctor|health-conscious""), ""Health"",
  REGEXMATCH(LOWER(VLOOKUP(A465, Data1_Raw_"&amp;"Slack!A:B, 2, FALSE)), ""pets|dogs|cats|animals|pet care|pet lovers""), ""Pets"",
  REGEXMATCH(LOWER(VLOOKUP(A465, Data1_Raw_Slack!A:B, 2, FALSE)), ""games|gaming|game|xbox|playstation|nintendo|gamers""), ""Gaming"",
  REGEXMATCH(LOWER(VLOOKUP(A465, Data1"&amp;"_Raw_Slack!A:B, 2, FALSE)), ""entertainment|movies|tv|netflix|streaming|celebrity|movie lovers|tv fans|hobb|photo|art""), ""Entertainment"",
  REGEXMATCH(LOWER(VLOOKUP(A465, Data1_Raw_Slack!A:B, 2, FALSE)), ""lifestyle|home|interior|decor|living|lifestyle"&amp;" enthusiasts""), ""Lifestyle"",
  REGEXMATCH(LOWER(VLOOKUP(A465, Data1_Raw_Slack!A:B, 2, FALSE)), ""financial|finance|investing|stocks|retirement|banking|credit|debt|loans|savings|personal finance|insurance|econ|ecom|business|retail|occupation|sale|job|ma"&amp;"rketing""), ""Finance"",
  REGEXMATCH(LOWER(VLOOKUP(A465, Data1_Raw_Slack!A:B, 2, FALSE)), ""auto|automotive""), ""Auto"",
  REGEXMATCH(LOWER(VLOOKUP(A465, Data1_Raw_Slack!A:B, 2, FALSE)), ""parenting|moms|dads|kids|toddlers|baby|parent|children""), ""Par"&amp;"enting"",
  REGEXMATCH(LOWER(VLOOKUP(A465, Data1_Raw_Slack!A:B, 2, FALSE)), ""education|students|learning|school|teachers|college|university|academics""), ""Education"",
  REGEXMATCH(LOWER(VLOOKUP(A465, Data1_Raw_Slack!A:B, 2, FALSE)), ""age|gender|dem"&amp;"ographic|family|household""), ""Demographics"",
  REGEXMATCH(LOWER(VLOOKUP(A465, Data1_Raw_Slack!A:B, 2, FALSE)), ""mortgage|real estate""), ""Real Estate"",REGEXMATCH(LOWER(VLOOKUP(A465, Data1_Raw_Slack!A:B, 2, FALSE)), ""technology|tech|gadgets|smartpho"&amp;"ne|electro|apps|devices|computing|ai|robots|software|computer|internet|tele|mobile|tablet""), ""Technology"", REGEXMATCH(LOWER(VLOOKUP(A465, Data1_Raw_Slack!A:B, 2, FALSE)), ""entertainment|purchas|movies|tv|netflix|streaming|celebrity|movie lovers|tv fan"&amp;"s|media|hobb|photo|art|shop""), ""Entertainment"", REGEXMATCH(LOWER(VLOOKUP(A465, Data1_Raw_Slack!A:B, 2, FALSE)), ""law|government|""), ""Law and Government"",
  TRUE, ""Other""
)"),"Travel")</f>
        <v>Travel</v>
      </c>
      <c r="G465" s="9" t="s">
        <v>85</v>
      </c>
      <c r="H465" s="9" t="s">
        <v>32</v>
      </c>
      <c r="I465" s="9" t="s">
        <v>1167</v>
      </c>
      <c r="J465" s="9" t="s">
        <v>46</v>
      </c>
      <c r="K465" s="9" t="s">
        <v>88</v>
      </c>
      <c r="L465" s="9" t="s">
        <v>89</v>
      </c>
      <c r="M465" s="10" t="s">
        <v>73</v>
      </c>
      <c r="N465" s="9" t="str">
        <f ca="1">IFERROR(__xludf.DUMMYFUNCTION("REGEXEXTRACT(LOWER(M465), ""([a-z0-9\-]+)\.(?:co|net|org|io|gg)"")"),"aol")</f>
        <v>aol</v>
      </c>
      <c r="O465" s="9" t="s">
        <v>103</v>
      </c>
      <c r="P465" s="9" t="s">
        <v>39</v>
      </c>
      <c r="Q465" s="9">
        <v>69136</v>
      </c>
      <c r="R465" s="9">
        <v>190</v>
      </c>
      <c r="S465" s="9">
        <v>40571</v>
      </c>
      <c r="T465" s="9">
        <v>63614</v>
      </c>
      <c r="U465" s="9">
        <v>3</v>
      </c>
      <c r="V465" s="11">
        <v>1507.9468509999999</v>
      </c>
      <c r="W465" s="12">
        <f t="shared" si="7"/>
        <v>502.64895033333329</v>
      </c>
      <c r="X465" s="12">
        <f t="shared" si="8"/>
        <v>0.27482064336959039</v>
      </c>
      <c r="Y465" s="12">
        <f t="shared" si="9"/>
        <v>58.682885906040269</v>
      </c>
      <c r="Z465" s="12">
        <f t="shared" si="10"/>
        <v>37.168096694683392</v>
      </c>
      <c r="AA465" s="12">
        <f t="shared" si="11"/>
        <v>21.811311776787779</v>
      </c>
      <c r="AB465" s="12">
        <f t="shared" si="12"/>
        <v>7.9365623736842101</v>
      </c>
      <c r="AC465" s="12">
        <f t="shared" si="13"/>
        <v>1.5789473684210527</v>
      </c>
      <c r="AE465" s="13"/>
      <c r="AF465" s="13"/>
    </row>
    <row r="466" spans="1:32">
      <c r="A466" s="8" t="s">
        <v>1683</v>
      </c>
      <c r="B466" s="9" t="s">
        <v>66</v>
      </c>
      <c r="C466" s="9" t="s">
        <v>1684</v>
      </c>
      <c r="D466" s="9" t="s">
        <v>1685</v>
      </c>
      <c r="E466" s="9"/>
      <c r="F466" s="9" t="str">
        <f ca="1">IFERROR(__xludf.DUMMYFUNCTION("IFS(
  REGEXMATCH(LOWER(VLOOKUP(A466, Data1_Raw_Slack!A:B, 2, FALSE)), ""news|weather""), ""News and Weather"", REGEXMATCH(LOWER(VLOOKUP(A466, Data1_Raw_Slack!A:B, 2, FALSE)), ""sports|ufc|nba|nfl|mlb|soccer|sports fans""), ""Sports"",
  REGEXMATCH(LOWER("&amp;"VLOOKUP(A466, Data1_Raw_Slack!A:B, 2, FALSE)), ""fashion|style|clothing|apparel|shoes|accessories|beauty|cosmetics|fashionistas""), ""Fashion and Beauty"",
  REGEXMATCH(LOWER(VLOOKUP(A466, Data1_Raw_Slack!A:B, 2, FALSE)), ""food|cooking|recipe|restaurant|"&amp;"snack|grocery|foodies""), ""Food"",
  REGEXMATCH(LOWER(VLOOKUP(A466, Data1_Raw_Slack!A:B, 2, FALSE)), ""travel|vacation|airline|hotel|trip|flights|travelers""), ""Travel"",
  REGEXMATCH(LOWER(VLOOKUP(A466, Data1_Raw_Slack!A:B, 2, FALSE)), ""fitness|workou"&amp;"t|gym|exercise|yoga|wellness|fitness enthusiasts""), ""Fitness"",
  REGEXMATCH(LOWER(VLOOKUP(A466, Data1_Raw_Slack!A:B, 2, FALSE)), ""health|medical|pharmacy|mental health|doctor|health-conscious""), ""Health"",
  REGEXMATCH(LOWER(VLOOKUP(A466, Data1_Raw_"&amp;"Slack!A:B, 2, FALSE)), ""pets|dogs|cats|animals|pet care|pet lovers""), ""Pets"",
  REGEXMATCH(LOWER(VLOOKUP(A466, Data1_Raw_Slack!A:B, 2, FALSE)), ""games|gaming|game|xbox|playstation|nintendo|gamers""), ""Gaming"",
  REGEXMATCH(LOWER(VLOOKUP(A466, Data1"&amp;"_Raw_Slack!A:B, 2, FALSE)), ""entertainment|movies|tv|netflix|streaming|celebrity|movie lovers|tv fans|hobb|photo|art""), ""Entertainment"",
  REGEXMATCH(LOWER(VLOOKUP(A466, Data1_Raw_Slack!A:B, 2, FALSE)), ""lifestyle|home|interior|decor|living|lifestyle"&amp;" enthusiasts""), ""Lifestyle"",
  REGEXMATCH(LOWER(VLOOKUP(A466, Data1_Raw_Slack!A:B, 2, FALSE)), ""financial|finance|investing|stocks|retirement|banking|credit|debt|loans|savings|personal finance|insurance|econ|ecom|business|retail|occupation|sale|job|ma"&amp;"rketing""), ""Finance"",
  REGEXMATCH(LOWER(VLOOKUP(A466, Data1_Raw_Slack!A:B, 2, FALSE)), ""auto|automotive""), ""Auto"",
  REGEXMATCH(LOWER(VLOOKUP(A466, Data1_Raw_Slack!A:B, 2, FALSE)), ""parenting|moms|dads|kids|toddlers|baby|parent|children""), ""Par"&amp;"enting"",
  REGEXMATCH(LOWER(VLOOKUP(A466, Data1_Raw_Slack!A:B, 2, FALSE)), ""education|students|learning|school|teachers|college|university|academics""), ""Education"",
  REGEXMATCH(LOWER(VLOOKUP(A466, Data1_Raw_Slack!A:B, 2, FALSE)), ""age|gender|dem"&amp;"ographic|family|household""), ""Demographics"",
  REGEXMATCH(LOWER(VLOOKUP(A466, Data1_Raw_Slack!A:B, 2, FALSE)), ""mortgage|real estate""), ""Real Estate"",REGEXMATCH(LOWER(VLOOKUP(A466, Data1_Raw_Slack!A:B, 2, FALSE)), ""technology|tech|gadgets|smartpho"&amp;"ne|electro|apps|devices|computing|ai|robots|software|computer|internet|tele|mobile|tablet""), ""Technology"", REGEXMATCH(LOWER(VLOOKUP(A466, Data1_Raw_Slack!A:B, 2, FALSE)), ""entertainment|purchas|movies|tv|netflix|streaming|celebrity|movie lovers|tv fan"&amp;"s|media|hobb|photo|art|shop""), ""Entertainment"", REGEXMATCH(LOWER(VLOOKUP(A466, Data1_Raw_Slack!A:B, 2, FALSE)), ""law|government|""), ""Law and Government"",
  TRUE, ""Other""
)"),"Parenting")</f>
        <v>Parenting</v>
      </c>
      <c r="G466" s="9"/>
      <c r="H466" s="9" t="s">
        <v>44</v>
      </c>
      <c r="I466" s="9" t="s">
        <v>1686</v>
      </c>
      <c r="J466" s="9" t="s">
        <v>80</v>
      </c>
      <c r="K466" s="9" t="s">
        <v>56</v>
      </c>
      <c r="L466" s="9" t="s">
        <v>57</v>
      </c>
      <c r="M466" s="10" t="s">
        <v>1567</v>
      </c>
      <c r="N466" s="9" t="str">
        <f ca="1">IFERROR(__xludf.DUMMYFUNCTION("REGEXEXTRACT(LOWER(M466), ""([a-z0-9\-]+)\.(?:co|net|org|io|gg)"")"),"nbcchicago")</f>
        <v>nbcchicago</v>
      </c>
      <c r="O466" s="9" t="s">
        <v>50</v>
      </c>
      <c r="P466" s="9" t="s">
        <v>64</v>
      </c>
      <c r="Q466" s="9">
        <v>50517</v>
      </c>
      <c r="R466" s="9">
        <v>270</v>
      </c>
      <c r="S466" s="9">
        <v>17179</v>
      </c>
      <c r="T466" s="9">
        <v>48389</v>
      </c>
      <c r="U466" s="9">
        <v>2</v>
      </c>
      <c r="V466" s="11">
        <v>1718.4710769999999</v>
      </c>
      <c r="W466" s="12">
        <f t="shared" si="7"/>
        <v>859.23553849999996</v>
      </c>
      <c r="X466" s="12">
        <f t="shared" si="8"/>
        <v>0.53447354355959387</v>
      </c>
      <c r="Y466" s="12">
        <f t="shared" si="9"/>
        <v>34.00637409188986</v>
      </c>
      <c r="Z466" s="12">
        <f t="shared" si="10"/>
        <v>100.0332427382269</v>
      </c>
      <c r="AA466" s="12">
        <f t="shared" si="11"/>
        <v>34.017678741809682</v>
      </c>
      <c r="AB466" s="12">
        <f t="shared" si="12"/>
        <v>6.3647076925925923</v>
      </c>
      <c r="AC466" s="12">
        <f t="shared" si="13"/>
        <v>0.74074074074074081</v>
      </c>
      <c r="AE466" s="13"/>
      <c r="AF466" s="13"/>
    </row>
    <row r="467" spans="1:32">
      <c r="A467" s="8" t="s">
        <v>1687</v>
      </c>
      <c r="B467" s="9" t="s">
        <v>41</v>
      </c>
      <c r="C467" s="9" t="s">
        <v>85</v>
      </c>
      <c r="D467" s="9" t="s">
        <v>1688</v>
      </c>
      <c r="E467" s="9"/>
      <c r="F467" s="9" t="str">
        <f ca="1">IFERROR(__xludf.DUMMYFUNCTION("IFS(
  REGEXMATCH(LOWER(VLOOKUP(A467, Data1_Raw_Slack!A:B, 2, FALSE)), ""news|weather""), ""News and Weather"", REGEXMATCH(LOWER(VLOOKUP(A467, Data1_Raw_Slack!A:B, 2, FALSE)), ""sports|ufc|nba|nfl|mlb|soccer|sports fans""), ""Sports"",
  REGEXMATCH(LOWER("&amp;"VLOOKUP(A467, Data1_Raw_Slack!A:B, 2, FALSE)), ""fashion|style|clothing|apparel|shoes|accessories|beauty|cosmetics|fashionistas""), ""Fashion and Beauty"",
  REGEXMATCH(LOWER(VLOOKUP(A467, Data1_Raw_Slack!A:B, 2, FALSE)), ""food|cooking|recipe|restaurant|"&amp;"snack|grocery|foodies""), ""Food"",
  REGEXMATCH(LOWER(VLOOKUP(A467, Data1_Raw_Slack!A:B, 2, FALSE)), ""travel|vacation|airline|hotel|trip|flights|travelers""), ""Travel"",
  REGEXMATCH(LOWER(VLOOKUP(A467, Data1_Raw_Slack!A:B, 2, FALSE)), ""fitness|workou"&amp;"t|gym|exercise|yoga|wellness|fitness enthusiasts""), ""Fitness"",
  REGEXMATCH(LOWER(VLOOKUP(A467, Data1_Raw_Slack!A:B, 2, FALSE)), ""health|medical|pharmacy|mental health|doctor|health-conscious""), ""Health"",
  REGEXMATCH(LOWER(VLOOKUP(A467, Data1_Raw_"&amp;"Slack!A:B, 2, FALSE)), ""pets|dogs|cats|animals|pet care|pet lovers""), ""Pets"",
  REGEXMATCH(LOWER(VLOOKUP(A467, Data1_Raw_Slack!A:B, 2, FALSE)), ""games|gaming|game|xbox|playstation|nintendo|gamers""), ""Gaming"",
  REGEXMATCH(LOWER(VLOOKUP(A467, Data1"&amp;"_Raw_Slack!A:B, 2, FALSE)), ""entertainment|movies|tv|netflix|streaming|celebrity|movie lovers|tv fans|hobb|photo|art""), ""Entertainment"",
  REGEXMATCH(LOWER(VLOOKUP(A467, Data1_Raw_Slack!A:B, 2, FALSE)), ""lifestyle|home|interior|decor|living|lifestyle"&amp;" enthusiasts""), ""Lifestyle"",
  REGEXMATCH(LOWER(VLOOKUP(A467, Data1_Raw_Slack!A:B, 2, FALSE)), ""financial|finance|investing|stocks|retirement|banking|credit|debt|loans|savings|personal finance|insurance|econ|ecom|business|retail|occupation|sale|job|ma"&amp;"rketing""), ""Finance"",
  REGEXMATCH(LOWER(VLOOKUP(A467, Data1_Raw_Slack!A:B, 2, FALSE)), ""auto|automotive""), ""Auto"",
  REGEXMATCH(LOWER(VLOOKUP(A467, Data1_Raw_Slack!A:B, 2, FALSE)), ""parenting|moms|dads|kids|toddlers|baby|parent|children""), ""Par"&amp;"enting"",
  REGEXMATCH(LOWER(VLOOKUP(A467, Data1_Raw_Slack!A:B, 2, FALSE)), ""education|students|learning|school|teachers|college|university|academics""), ""Education"",
  REGEXMATCH(LOWER(VLOOKUP(A467, Data1_Raw_Slack!A:B, 2, FALSE)), ""age|gender|dem"&amp;"ographic|family|household""), ""Demographics"",
  REGEXMATCH(LOWER(VLOOKUP(A467, Data1_Raw_Slack!A:B, 2, FALSE)), ""mortgage|real estate""), ""Real Estate"",REGEXMATCH(LOWER(VLOOKUP(A467, Data1_Raw_Slack!A:B, 2, FALSE)), ""technology|tech|gadgets|smartpho"&amp;"ne|electro|apps|devices|computing|ai|robots|software|computer|internet|tele|mobile|tablet""), ""Technology"", REGEXMATCH(LOWER(VLOOKUP(A467, Data1_Raw_Slack!A:B, 2, FALSE)), ""entertainment|purchas|movies|tv|netflix|streaming|celebrity|movie lovers|tv fan"&amp;"s|media|hobb|photo|art|shop""), ""Entertainment"", REGEXMATCH(LOWER(VLOOKUP(A467, Data1_Raw_Slack!A:B, 2, FALSE)), ""law|government|""), ""Law and Government"",
  TRUE, ""Other""
)"),"Travel")</f>
        <v>Travel</v>
      </c>
      <c r="G467" s="9" t="s">
        <v>85</v>
      </c>
      <c r="H467" s="9" t="s">
        <v>32</v>
      </c>
      <c r="I467" s="9" t="s">
        <v>1167</v>
      </c>
      <c r="J467" s="9" t="s">
        <v>80</v>
      </c>
      <c r="K467" s="9" t="s">
        <v>88</v>
      </c>
      <c r="L467" s="9" t="s">
        <v>89</v>
      </c>
      <c r="M467" s="10" t="s">
        <v>130</v>
      </c>
      <c r="N467" s="9" t="str">
        <f ca="1">IFERROR(__xludf.DUMMYFUNCTION("REGEXEXTRACT(LOWER(M467), ""([a-z0-9\-]+)\.(?:co|net|org|io|gg)"")"),"weather")</f>
        <v>weather</v>
      </c>
      <c r="O467" s="9" t="s">
        <v>50</v>
      </c>
      <c r="P467" s="9" t="s">
        <v>39</v>
      </c>
      <c r="Q467" s="9">
        <v>212009</v>
      </c>
      <c r="R467" s="9">
        <v>555</v>
      </c>
      <c r="S467" s="9">
        <v>16903</v>
      </c>
      <c r="T467" s="9">
        <v>149653</v>
      </c>
      <c r="U467" s="9">
        <v>15</v>
      </c>
      <c r="V467" s="11">
        <v>3983.6217969999998</v>
      </c>
      <c r="W467" s="12">
        <f t="shared" si="7"/>
        <v>265.57478646666664</v>
      </c>
      <c r="X467" s="12">
        <f t="shared" si="8"/>
        <v>0.26178133947143756</v>
      </c>
      <c r="Y467" s="12">
        <f t="shared" si="9"/>
        <v>7.9727747406949714</v>
      </c>
      <c r="Z467" s="12">
        <f t="shared" si="10"/>
        <v>235.67543021948765</v>
      </c>
      <c r="AA467" s="12">
        <f t="shared" si="11"/>
        <v>18.789871170563515</v>
      </c>
      <c r="AB467" s="12">
        <f t="shared" si="12"/>
        <v>7.1776969315315311</v>
      </c>
      <c r="AC467" s="12">
        <f t="shared" si="13"/>
        <v>2.7027027027027026</v>
      </c>
      <c r="AE467" s="13"/>
      <c r="AF467" s="13"/>
    </row>
    <row r="468" spans="1:32">
      <c r="A468" s="8" t="s">
        <v>1689</v>
      </c>
      <c r="B468" s="9" t="s">
        <v>41</v>
      </c>
      <c r="C468" s="9" t="s">
        <v>407</v>
      </c>
      <c r="D468" s="9" t="s">
        <v>1690</v>
      </c>
      <c r="E468" s="9"/>
      <c r="F468" s="9" t="str">
        <f ca="1">IFERROR(__xludf.DUMMYFUNCTION("IFS(
  REGEXMATCH(LOWER(VLOOKUP(A468, Data1_Raw_Slack!A:B, 2, FALSE)), ""news|weather""), ""News and Weather"", REGEXMATCH(LOWER(VLOOKUP(A468, Data1_Raw_Slack!A:B, 2, FALSE)), ""sports|ufc|nba|nfl|mlb|soccer|sports fans""), ""Sports"",
  REGEXMATCH(LOWER("&amp;"VLOOKUP(A468, Data1_Raw_Slack!A:B, 2, FALSE)), ""fashion|style|clothing|apparel|shoes|accessories|beauty|cosmetics|fashionistas""), ""Fashion and Beauty"",
  REGEXMATCH(LOWER(VLOOKUP(A468, Data1_Raw_Slack!A:B, 2, FALSE)), ""food|cooking|recipe|restaurant|"&amp;"snack|grocery|foodies""), ""Food"",
  REGEXMATCH(LOWER(VLOOKUP(A468, Data1_Raw_Slack!A:B, 2, FALSE)), ""travel|vacation|airline|hotel|trip|flights|travelers""), ""Travel"",
  REGEXMATCH(LOWER(VLOOKUP(A468, Data1_Raw_Slack!A:B, 2, FALSE)), ""fitness|workou"&amp;"t|gym|exercise|yoga|wellness|fitness enthusiasts""), ""Fitness"",
  REGEXMATCH(LOWER(VLOOKUP(A468, Data1_Raw_Slack!A:B, 2, FALSE)), ""health|medical|pharmacy|mental health|doctor|health-conscious""), ""Health"",
  REGEXMATCH(LOWER(VLOOKUP(A468, Data1_Raw_"&amp;"Slack!A:B, 2, FALSE)), ""pets|dogs|cats|animals|pet care|pet lovers""), ""Pets"",
  REGEXMATCH(LOWER(VLOOKUP(A468, Data1_Raw_Slack!A:B, 2, FALSE)), ""games|gaming|game|xbox|playstation|nintendo|gamers""), ""Gaming"",
  REGEXMATCH(LOWER(VLOOKUP(A468, Data1"&amp;"_Raw_Slack!A:B, 2, FALSE)), ""entertainment|movies|tv|netflix|streaming|celebrity|movie lovers|tv fans|hobb|photo|art""), ""Entertainment"",
  REGEXMATCH(LOWER(VLOOKUP(A468, Data1_Raw_Slack!A:B, 2, FALSE)), ""lifestyle|home|interior|decor|living|lifestyle"&amp;" enthusiasts""), ""Lifestyle"",
  REGEXMATCH(LOWER(VLOOKUP(A468, Data1_Raw_Slack!A:B, 2, FALSE)), ""financial|finance|investing|stocks|retirement|banking|credit|debt|loans|savings|personal finance|insurance|econ|ecom|business|retail|occupation|sale|job|ma"&amp;"rketing""), ""Finance"",
  REGEXMATCH(LOWER(VLOOKUP(A468, Data1_Raw_Slack!A:B, 2, FALSE)), ""auto|automotive""), ""Auto"",
  REGEXMATCH(LOWER(VLOOKUP(A468, Data1_Raw_Slack!A:B, 2, FALSE)), ""parenting|moms|dads|kids|toddlers|baby|parent|children""), ""Par"&amp;"enting"",
  REGEXMATCH(LOWER(VLOOKUP(A468, Data1_Raw_Slack!A:B, 2, FALSE)), ""education|students|learning|school|teachers|college|university|academics""), ""Education"",
  REGEXMATCH(LOWER(VLOOKUP(A468, Data1_Raw_Slack!A:B, 2, FALSE)), ""age|gender|dem"&amp;"ographic|family|household""), ""Demographics"",
  REGEXMATCH(LOWER(VLOOKUP(A468, Data1_Raw_Slack!A:B, 2, FALSE)), ""mortgage|real estate""), ""Real Estate"",REGEXMATCH(LOWER(VLOOKUP(A468, Data1_Raw_Slack!A:B, 2, FALSE)), ""technology|tech|gadgets|smartpho"&amp;"ne|electro|apps|devices|computing|ai|robots|software|computer|internet|tele|mobile|tablet""), ""Technology"", REGEXMATCH(LOWER(VLOOKUP(A468, Data1_Raw_Slack!A:B, 2, FALSE)), ""entertainment|purchas|movies|tv|netflix|streaming|celebrity|movie lovers|tv fan"&amp;"s|media|hobb|photo|art|shop""), ""Entertainment"", REGEXMATCH(LOWER(VLOOKUP(A468, Data1_Raw_Slack!A:B, 2, FALSE)), ""law|government|""), ""Law and Government"",
  TRUE, ""Other""
)"),"Finance")</f>
        <v>Finance</v>
      </c>
      <c r="G468" s="9"/>
      <c r="H468" s="9" t="s">
        <v>32</v>
      </c>
      <c r="I468" s="9" t="s">
        <v>1691</v>
      </c>
      <c r="J468" s="9" t="s">
        <v>34</v>
      </c>
      <c r="K468" s="9" t="s">
        <v>71</v>
      </c>
      <c r="L468" s="9" t="s">
        <v>72</v>
      </c>
      <c r="M468" s="10" t="s">
        <v>1692</v>
      </c>
      <c r="N468" s="9" t="str">
        <f ca="1">IFERROR(__xludf.DUMMYFUNCTION("REGEXEXTRACT(LOWER(M468), ""([a-z0-9\-]+)\.(?:co|net|org|io|gg)"")"),"healthline")</f>
        <v>healthline</v>
      </c>
      <c r="O468" s="9" t="s">
        <v>50</v>
      </c>
      <c r="P468" s="9" t="s">
        <v>39</v>
      </c>
      <c r="Q468" s="9">
        <v>26820</v>
      </c>
      <c r="R468" s="9">
        <v>80</v>
      </c>
      <c r="S468" s="9">
        <v>13553</v>
      </c>
      <c r="T468" s="9">
        <v>21192</v>
      </c>
      <c r="U468" s="9">
        <v>12</v>
      </c>
      <c r="V468" s="11">
        <v>6745.1034399999999</v>
      </c>
      <c r="W468" s="12">
        <f t="shared" si="7"/>
        <v>562.09195333333332</v>
      </c>
      <c r="X468" s="12">
        <f t="shared" si="8"/>
        <v>0.29828486204325128</v>
      </c>
      <c r="Y468" s="12">
        <f t="shared" si="9"/>
        <v>50.533184190902311</v>
      </c>
      <c r="Z468" s="12">
        <f t="shared" si="10"/>
        <v>497.68342359625171</v>
      </c>
      <c r="AA468" s="12">
        <f t="shared" si="11"/>
        <v>251.49528113348245</v>
      </c>
      <c r="AB468" s="12">
        <f t="shared" si="12"/>
        <v>84.313793000000004</v>
      </c>
      <c r="AC468" s="12">
        <f t="shared" si="13"/>
        <v>15</v>
      </c>
      <c r="AE468" s="13"/>
      <c r="AF468" s="13"/>
    </row>
    <row r="469" spans="1:32">
      <c r="A469" s="8" t="s">
        <v>1693</v>
      </c>
      <c r="B469" s="9" t="s">
        <v>507</v>
      </c>
      <c r="C469" s="9" t="s">
        <v>1694</v>
      </c>
      <c r="D469" s="9"/>
      <c r="E469" s="9"/>
      <c r="F469" s="9" t="str">
        <f ca="1">IFERROR(__xludf.DUMMYFUNCTION("IFS(
  REGEXMATCH(LOWER(VLOOKUP(A469, Data1_Raw_Slack!A:B, 2, FALSE)), ""news|weather""), ""News and Weather"", REGEXMATCH(LOWER(VLOOKUP(A469, Data1_Raw_Slack!A:B, 2, FALSE)), ""sports|ufc|nba|nfl|mlb|soccer|sports fans""), ""Sports"",
  REGEXMATCH(LOWER("&amp;"VLOOKUP(A469, Data1_Raw_Slack!A:B, 2, FALSE)), ""fashion|style|clothing|apparel|shoes|accessories|beauty|cosmetics|fashionistas""), ""Fashion and Beauty"",
  REGEXMATCH(LOWER(VLOOKUP(A469, Data1_Raw_Slack!A:B, 2, FALSE)), ""food|cooking|recipe|restaurant|"&amp;"snack|grocery|foodies""), ""Food"",
  REGEXMATCH(LOWER(VLOOKUP(A469, Data1_Raw_Slack!A:B, 2, FALSE)), ""travel|vacation|airline|hotel|trip|flights|travelers""), ""Travel"",
  REGEXMATCH(LOWER(VLOOKUP(A469, Data1_Raw_Slack!A:B, 2, FALSE)), ""fitness|workou"&amp;"t|gym|exercise|yoga|wellness|fitness enthusiasts""), ""Fitness"",
  REGEXMATCH(LOWER(VLOOKUP(A469, Data1_Raw_Slack!A:B, 2, FALSE)), ""health|medical|pharmacy|mental health|doctor|health-conscious""), ""Health"",
  REGEXMATCH(LOWER(VLOOKUP(A469, Data1_Raw_"&amp;"Slack!A:B, 2, FALSE)), ""pets|dogs|cats|animals|pet care|pet lovers""), ""Pets"",
  REGEXMATCH(LOWER(VLOOKUP(A469, Data1_Raw_Slack!A:B, 2, FALSE)), ""games|gaming|game|xbox|playstation|nintendo|gamers""), ""Gaming"",
  REGEXMATCH(LOWER(VLOOKUP(A469, Data1"&amp;"_Raw_Slack!A:B, 2, FALSE)), ""entertainment|movies|tv|netflix|streaming|celebrity|movie lovers|tv fans|hobb|photo|art""), ""Entertainment"",
  REGEXMATCH(LOWER(VLOOKUP(A469, Data1_Raw_Slack!A:B, 2, FALSE)), ""lifestyle|home|interior|decor|living|lifestyle"&amp;" enthusiasts""), ""Lifestyle"",
  REGEXMATCH(LOWER(VLOOKUP(A469, Data1_Raw_Slack!A:B, 2, FALSE)), ""financial|finance|investing|stocks|retirement|banking|credit|debt|loans|savings|personal finance|insurance|econ|ecom|business|retail|occupation|sale|job|ma"&amp;"rketing""), ""Finance"",
  REGEXMATCH(LOWER(VLOOKUP(A469, Data1_Raw_Slack!A:B, 2, FALSE)), ""auto|automotive""), ""Auto"",
  REGEXMATCH(LOWER(VLOOKUP(A469, Data1_Raw_Slack!A:B, 2, FALSE)), ""parenting|moms|dads|kids|toddlers|baby|parent|children""), ""Par"&amp;"enting"",
  REGEXMATCH(LOWER(VLOOKUP(A469, Data1_Raw_Slack!A:B, 2, FALSE)), ""education|students|learning|school|teachers|college|university|academics""), ""Education"",
  REGEXMATCH(LOWER(VLOOKUP(A469, Data1_Raw_Slack!A:B, 2, FALSE)), ""age|gender|dem"&amp;"ographic|family|household""), ""Demographics"",
  REGEXMATCH(LOWER(VLOOKUP(A469, Data1_Raw_Slack!A:B, 2, FALSE)), ""mortgage|real estate""), ""Real Estate"",REGEXMATCH(LOWER(VLOOKUP(A469, Data1_Raw_Slack!A:B, 2, FALSE)), ""technology|tech|gadgets|smartpho"&amp;"ne|electro|apps|devices|computing|ai|robots|software|computer|internet|tele|mobile|tablet""), ""Technology"", REGEXMATCH(LOWER(VLOOKUP(A469, Data1_Raw_Slack!A:B, 2, FALSE)), ""entertainment|purchas|movies|tv|netflix|streaming|celebrity|movie lovers|tv fan"&amp;"s|media|hobb|photo|art|shop""), ""Entertainment"", REGEXMATCH(LOWER(VLOOKUP(A469, Data1_Raw_Slack!A:B, 2, FALSE)), ""law|government|""), ""Law and Government"",
  TRUE, ""Other""
)"),"Demographics")</f>
        <v>Demographics</v>
      </c>
      <c r="G469" s="9"/>
      <c r="H469" s="9" t="s">
        <v>123</v>
      </c>
      <c r="I469" s="9" t="s">
        <v>33</v>
      </c>
      <c r="J469" s="9" t="s">
        <v>62</v>
      </c>
      <c r="K469" s="9" t="s">
        <v>35</v>
      </c>
      <c r="L469" s="9" t="s">
        <v>36</v>
      </c>
      <c r="M469" s="10" t="s">
        <v>393</v>
      </c>
      <c r="N469" s="9" t="str">
        <f ca="1">IFERROR(__xludf.DUMMYFUNCTION("REGEXEXTRACT(LOWER(M469), ""([a-z0-9\-]+)\.(?:co|net|org|io|gg)"")"),"thesaurus")</f>
        <v>thesaurus</v>
      </c>
      <c r="O469" s="9" t="s">
        <v>131</v>
      </c>
      <c r="P469" s="9" t="s">
        <v>39</v>
      </c>
      <c r="Q469" s="9">
        <v>20417</v>
      </c>
      <c r="R469" s="9">
        <v>86</v>
      </c>
      <c r="S469" s="9">
        <v>1016</v>
      </c>
      <c r="T469" s="9">
        <v>13468</v>
      </c>
      <c r="U469" s="9">
        <v>5</v>
      </c>
      <c r="V469" s="11">
        <v>1805.6005130000001</v>
      </c>
      <c r="W469" s="12">
        <f t="shared" si="7"/>
        <v>361.1201026</v>
      </c>
      <c r="X469" s="12">
        <f t="shared" si="8"/>
        <v>0.42121761277366898</v>
      </c>
      <c r="Y469" s="12">
        <f t="shared" si="9"/>
        <v>4.9762452857912525</v>
      </c>
      <c r="Z469" s="12">
        <f t="shared" si="10"/>
        <v>1777.1658592519686</v>
      </c>
      <c r="AA469" s="12">
        <f t="shared" si="11"/>
        <v>88.436132291717698</v>
      </c>
      <c r="AB469" s="12">
        <f t="shared" si="12"/>
        <v>20.995354802325583</v>
      </c>
      <c r="AC469" s="12">
        <f t="shared" si="13"/>
        <v>5.8139534883720927</v>
      </c>
      <c r="AE469" s="13"/>
      <c r="AF469" s="13"/>
    </row>
    <row r="470" spans="1:32">
      <c r="A470" s="8" t="s">
        <v>1695</v>
      </c>
      <c r="B470" s="9" t="s">
        <v>41</v>
      </c>
      <c r="C470" s="9" t="s">
        <v>85</v>
      </c>
      <c r="D470" s="9" t="s">
        <v>1696</v>
      </c>
      <c r="E470" s="9"/>
      <c r="F470" s="9" t="str">
        <f ca="1">IFERROR(__xludf.DUMMYFUNCTION("IFS(
  REGEXMATCH(LOWER(VLOOKUP(A470, Data1_Raw_Slack!A:B, 2, FALSE)), ""news|weather""), ""News and Weather"", REGEXMATCH(LOWER(VLOOKUP(A470, Data1_Raw_Slack!A:B, 2, FALSE)), ""sports|ufc|nba|nfl|mlb|soccer|sports fans""), ""Sports"",
  REGEXMATCH(LOWER("&amp;"VLOOKUP(A470, Data1_Raw_Slack!A:B, 2, FALSE)), ""fashion|style|clothing|apparel|shoes|accessories|beauty|cosmetics|fashionistas""), ""Fashion and Beauty"",
  REGEXMATCH(LOWER(VLOOKUP(A470, Data1_Raw_Slack!A:B, 2, FALSE)), ""food|cooking|recipe|restaurant|"&amp;"snack|grocery|foodies""), ""Food"",
  REGEXMATCH(LOWER(VLOOKUP(A470, Data1_Raw_Slack!A:B, 2, FALSE)), ""travel|vacation|airline|hotel|trip|flights|travelers""), ""Travel"",
  REGEXMATCH(LOWER(VLOOKUP(A470, Data1_Raw_Slack!A:B, 2, FALSE)), ""fitness|workou"&amp;"t|gym|exercise|yoga|wellness|fitness enthusiasts""), ""Fitness"",
  REGEXMATCH(LOWER(VLOOKUP(A470, Data1_Raw_Slack!A:B, 2, FALSE)), ""health|medical|pharmacy|mental health|doctor|health-conscious""), ""Health"",
  REGEXMATCH(LOWER(VLOOKUP(A470, Data1_Raw_"&amp;"Slack!A:B, 2, FALSE)), ""pets|dogs|cats|animals|pet care|pet lovers""), ""Pets"",
  REGEXMATCH(LOWER(VLOOKUP(A470, Data1_Raw_Slack!A:B, 2, FALSE)), ""games|gaming|game|xbox|playstation|nintendo|gamers""), ""Gaming"",
  REGEXMATCH(LOWER(VLOOKUP(A470, Data1"&amp;"_Raw_Slack!A:B, 2, FALSE)), ""entertainment|movies|tv|netflix|streaming|celebrity|movie lovers|tv fans|hobb|photo|art""), ""Entertainment"",
  REGEXMATCH(LOWER(VLOOKUP(A470, Data1_Raw_Slack!A:B, 2, FALSE)), ""lifestyle|home|interior|decor|living|lifestyle"&amp;" enthusiasts""), ""Lifestyle"",
  REGEXMATCH(LOWER(VLOOKUP(A470, Data1_Raw_Slack!A:B, 2, FALSE)), ""financial|finance|investing|stocks|retirement|banking|credit|debt|loans|savings|personal finance|insurance|econ|ecom|business|retail|occupation|sale|job|ma"&amp;"rketing""), ""Finance"",
  REGEXMATCH(LOWER(VLOOKUP(A470, Data1_Raw_Slack!A:B, 2, FALSE)), ""auto|automotive""), ""Auto"",
  REGEXMATCH(LOWER(VLOOKUP(A470, Data1_Raw_Slack!A:B, 2, FALSE)), ""parenting|moms|dads|kids|toddlers|baby|parent|children""), ""Par"&amp;"enting"",
  REGEXMATCH(LOWER(VLOOKUP(A470, Data1_Raw_Slack!A:B, 2, FALSE)), ""education|students|learning|school|teachers|college|university|academics""), ""Education"",
  REGEXMATCH(LOWER(VLOOKUP(A470, Data1_Raw_Slack!A:B, 2, FALSE)), ""age|gender|dem"&amp;"ographic|family|household""), ""Demographics"",
  REGEXMATCH(LOWER(VLOOKUP(A470, Data1_Raw_Slack!A:B, 2, FALSE)), ""mortgage|real estate""), ""Real Estate"",REGEXMATCH(LOWER(VLOOKUP(A470, Data1_Raw_Slack!A:B, 2, FALSE)), ""technology|tech|gadgets|smartpho"&amp;"ne|electro|apps|devices|computing|ai|robots|software|computer|internet|tele|mobile|tablet""), ""Technology"", REGEXMATCH(LOWER(VLOOKUP(A470, Data1_Raw_Slack!A:B, 2, FALSE)), ""entertainment|purchas|movies|tv|netflix|streaming|celebrity|movie lovers|tv fan"&amp;"s|media|hobb|photo|art|shop""), ""Entertainment"", REGEXMATCH(LOWER(VLOOKUP(A470, Data1_Raw_Slack!A:B, 2, FALSE)), ""law|government|""), ""Law and Government"",
  TRUE, ""Other""
)"),"Travel")</f>
        <v>Travel</v>
      </c>
      <c r="G470" s="9" t="s">
        <v>85</v>
      </c>
      <c r="H470" s="9" t="s">
        <v>44</v>
      </c>
      <c r="I470" s="9" t="s">
        <v>55</v>
      </c>
      <c r="J470" s="9" t="s">
        <v>80</v>
      </c>
      <c r="K470" s="9" t="s">
        <v>236</v>
      </c>
      <c r="L470" s="9" t="s">
        <v>82</v>
      </c>
      <c r="M470" s="10" t="s">
        <v>1697</v>
      </c>
      <c r="N470" s="9" t="str">
        <f ca="1">IFERROR(__xludf.DUMMYFUNCTION("REGEXEXTRACT(LOWER(M470), ""([a-z0-9\-]+)\.(?:co|net|org|io|gg)"")"),"sallysbakingaddiction")</f>
        <v>sallysbakingaddiction</v>
      </c>
      <c r="O470" s="9" t="s">
        <v>50</v>
      </c>
      <c r="P470" s="9" t="s">
        <v>75</v>
      </c>
      <c r="Q470" s="9">
        <v>26415</v>
      </c>
      <c r="R470" s="9">
        <v>60</v>
      </c>
      <c r="S470" s="9">
        <v>13791</v>
      </c>
      <c r="T470" s="9">
        <v>25315</v>
      </c>
      <c r="U470" s="9">
        <v>11</v>
      </c>
      <c r="V470" s="11">
        <v>6450.9186369999998</v>
      </c>
      <c r="W470" s="12">
        <f t="shared" si="7"/>
        <v>586.44714881818174</v>
      </c>
      <c r="X470" s="12">
        <f t="shared" si="8"/>
        <v>0.22714366837024419</v>
      </c>
      <c r="Y470" s="12">
        <f t="shared" si="9"/>
        <v>52.208972174900623</v>
      </c>
      <c r="Z470" s="12">
        <f t="shared" si="10"/>
        <v>467.76293503009208</v>
      </c>
      <c r="AA470" s="12">
        <f t="shared" si="11"/>
        <v>244.21422059435926</v>
      </c>
      <c r="AB470" s="12">
        <f t="shared" si="12"/>
        <v>107.51531061666667</v>
      </c>
      <c r="AC470" s="12">
        <f t="shared" si="13"/>
        <v>18.333333333333332</v>
      </c>
      <c r="AE470" s="13"/>
      <c r="AF470" s="13"/>
    </row>
    <row r="471" spans="1:32">
      <c r="A471" s="8" t="s">
        <v>1698</v>
      </c>
      <c r="B471" s="9" t="s">
        <v>41</v>
      </c>
      <c r="C471" s="9" t="s">
        <v>253</v>
      </c>
      <c r="D471" s="9" t="s">
        <v>996</v>
      </c>
      <c r="E471" s="9"/>
      <c r="F471" s="9" t="str">
        <f ca="1">IFERROR(__xludf.DUMMYFUNCTION("IFS(
  REGEXMATCH(LOWER(VLOOKUP(A471, Data1_Raw_Slack!A:B, 2, FALSE)), ""news|weather""), ""News and Weather"", REGEXMATCH(LOWER(VLOOKUP(A471, Data1_Raw_Slack!A:B, 2, FALSE)), ""sports|ufc|nba|nfl|mlb|soccer|sports fans""), ""Sports"",
  REGEXMATCH(LOWER("&amp;"VLOOKUP(A471, Data1_Raw_Slack!A:B, 2, FALSE)), ""fashion|style|clothing|apparel|shoes|accessories|beauty|cosmetics|fashionistas""), ""Fashion and Beauty"",
  REGEXMATCH(LOWER(VLOOKUP(A471, Data1_Raw_Slack!A:B, 2, FALSE)), ""food|cooking|recipe|restaurant|"&amp;"snack|grocery|foodies""), ""Food"",
  REGEXMATCH(LOWER(VLOOKUP(A471, Data1_Raw_Slack!A:B, 2, FALSE)), ""travel|vacation|airline|hotel|trip|flights|travelers""), ""Travel"",
  REGEXMATCH(LOWER(VLOOKUP(A471, Data1_Raw_Slack!A:B, 2, FALSE)), ""fitness|workou"&amp;"t|gym|exercise|yoga|wellness|fitness enthusiasts""), ""Fitness"",
  REGEXMATCH(LOWER(VLOOKUP(A471, Data1_Raw_Slack!A:B, 2, FALSE)), ""health|medical|pharmacy|mental health|doctor|health-conscious""), ""Health"",
  REGEXMATCH(LOWER(VLOOKUP(A471, Data1_Raw_"&amp;"Slack!A:B, 2, FALSE)), ""pets|dogs|cats|animals|pet care|pet lovers""), ""Pets"",
  REGEXMATCH(LOWER(VLOOKUP(A471, Data1_Raw_Slack!A:B, 2, FALSE)), ""games|gaming|game|xbox|playstation|nintendo|gamers""), ""Gaming"",
  REGEXMATCH(LOWER(VLOOKUP(A471, Data1"&amp;"_Raw_Slack!A:B, 2, FALSE)), ""entertainment|movies|tv|netflix|streaming|celebrity|movie lovers|tv fans|hobb|photo|art""), ""Entertainment"",
  REGEXMATCH(LOWER(VLOOKUP(A471, Data1_Raw_Slack!A:B, 2, FALSE)), ""lifestyle|home|interior|decor|living|lifestyle"&amp;" enthusiasts""), ""Lifestyle"",
  REGEXMATCH(LOWER(VLOOKUP(A471, Data1_Raw_Slack!A:B, 2, FALSE)), ""financial|finance|investing|stocks|retirement|banking|credit|debt|loans|savings|personal finance|insurance|econ|ecom|business|retail|occupation|sale|job|ma"&amp;"rketing""), ""Finance"",
  REGEXMATCH(LOWER(VLOOKUP(A471, Data1_Raw_Slack!A:B, 2, FALSE)), ""auto|automotive""), ""Auto"",
  REGEXMATCH(LOWER(VLOOKUP(A471, Data1_Raw_Slack!A:B, 2, FALSE)), ""parenting|moms|dads|kids|toddlers|baby|parent|children""), ""Par"&amp;"enting"",
  REGEXMATCH(LOWER(VLOOKUP(A471, Data1_Raw_Slack!A:B, 2, FALSE)), ""education|students|learning|school|teachers|college|university|academics""), ""Education"",
  REGEXMATCH(LOWER(VLOOKUP(A471, Data1_Raw_Slack!A:B, 2, FALSE)), ""age|gender|dem"&amp;"ographic|family|household""), ""Demographics"",
  REGEXMATCH(LOWER(VLOOKUP(A471, Data1_Raw_Slack!A:B, 2, FALSE)), ""mortgage|real estate""), ""Real Estate"",REGEXMATCH(LOWER(VLOOKUP(A471, Data1_Raw_Slack!A:B, 2, FALSE)), ""technology|tech|gadgets|smartpho"&amp;"ne|electro|apps|devices|computing|ai|robots|software|computer|internet|tele|mobile|tablet""), ""Technology"", REGEXMATCH(LOWER(VLOOKUP(A471, Data1_Raw_Slack!A:B, 2, FALSE)), ""entertainment|purchas|movies|tv|netflix|streaming|celebrity|movie lovers|tv fan"&amp;"s|media|hobb|photo|art|shop""), ""Entertainment"", REGEXMATCH(LOWER(VLOOKUP(A471, Data1_Raw_Slack!A:B, 2, FALSE)), ""law|government|""), ""Law and Government"",
  TRUE, ""Other""
)"),"Lifestyle")</f>
        <v>Lifestyle</v>
      </c>
      <c r="G471" s="9"/>
      <c r="H471" s="9" t="s">
        <v>32</v>
      </c>
      <c r="I471" s="9" t="s">
        <v>1699</v>
      </c>
      <c r="J471" s="9" t="s">
        <v>46</v>
      </c>
      <c r="K471" s="9" t="s">
        <v>299</v>
      </c>
      <c r="L471" s="9" t="s">
        <v>72</v>
      </c>
      <c r="M471" s="10" t="s">
        <v>229</v>
      </c>
      <c r="N471" s="9" t="str">
        <f ca="1">IFERROR(__xludf.DUMMYFUNCTION("REGEXEXTRACT(LOWER(M471), ""([a-z0-9\-]+)\.(?:co|net|org|io|gg)"")"),"msn")</f>
        <v>msn</v>
      </c>
      <c r="O471" s="9" t="s">
        <v>50</v>
      </c>
      <c r="P471" s="9" t="s">
        <v>39</v>
      </c>
      <c r="Q471" s="9">
        <v>26270</v>
      </c>
      <c r="R471" s="9">
        <v>63</v>
      </c>
      <c r="S471" s="9">
        <v>12813</v>
      </c>
      <c r="T471" s="9">
        <v>21893</v>
      </c>
      <c r="U471" s="9">
        <v>12</v>
      </c>
      <c r="V471" s="11">
        <v>6417.2645640000001</v>
      </c>
      <c r="W471" s="12">
        <f t="shared" si="7"/>
        <v>534.77204700000004</v>
      </c>
      <c r="X471" s="12">
        <f t="shared" si="8"/>
        <v>0.23981728207080319</v>
      </c>
      <c r="Y471" s="12">
        <f t="shared" si="9"/>
        <v>48.774267224971453</v>
      </c>
      <c r="Z471" s="12">
        <f t="shared" si="10"/>
        <v>500.84012830718802</v>
      </c>
      <c r="AA471" s="12">
        <f t="shared" si="11"/>
        <v>244.28110255043774</v>
      </c>
      <c r="AB471" s="12">
        <f t="shared" si="12"/>
        <v>101.86134228571429</v>
      </c>
      <c r="AC471" s="12">
        <f t="shared" si="13"/>
        <v>19.047619047619047</v>
      </c>
      <c r="AE471" s="13"/>
      <c r="AF471" s="13"/>
    </row>
    <row r="472" spans="1:32">
      <c r="A472" s="8" t="s">
        <v>1700</v>
      </c>
      <c r="B472" s="9" t="s">
        <v>66</v>
      </c>
      <c r="C472" s="9" t="s">
        <v>67</v>
      </c>
      <c r="D472" s="9" t="s">
        <v>1701</v>
      </c>
      <c r="E472" s="9"/>
      <c r="F472" s="9" t="str">
        <f ca="1">IFERROR(__xludf.DUMMYFUNCTION("IFS(
  REGEXMATCH(LOWER(VLOOKUP(A472, Data1_Raw_Slack!A:B, 2, FALSE)), ""news|weather""), ""News and Weather"", REGEXMATCH(LOWER(VLOOKUP(A472, Data1_Raw_Slack!A:B, 2, FALSE)), ""sports|ufc|nba|nfl|mlb|soccer|sports fans""), ""Sports"",
  REGEXMATCH(LOWER("&amp;"VLOOKUP(A472, Data1_Raw_Slack!A:B, 2, FALSE)), ""fashion|style|clothing|apparel|shoes|accessories|beauty|cosmetics|fashionistas""), ""Fashion and Beauty"",
  REGEXMATCH(LOWER(VLOOKUP(A472, Data1_Raw_Slack!A:B, 2, FALSE)), ""food|cooking|recipe|restaurant|"&amp;"snack|grocery|foodies""), ""Food"",
  REGEXMATCH(LOWER(VLOOKUP(A472, Data1_Raw_Slack!A:B, 2, FALSE)), ""travel|vacation|airline|hotel|trip|flights|travelers""), ""Travel"",
  REGEXMATCH(LOWER(VLOOKUP(A472, Data1_Raw_Slack!A:B, 2, FALSE)), ""fitness|workou"&amp;"t|gym|exercise|yoga|wellness|fitness enthusiasts""), ""Fitness"",
  REGEXMATCH(LOWER(VLOOKUP(A472, Data1_Raw_Slack!A:B, 2, FALSE)), ""health|medical|pharmacy|mental health|doctor|health-conscious""), ""Health"",
  REGEXMATCH(LOWER(VLOOKUP(A472, Data1_Raw_"&amp;"Slack!A:B, 2, FALSE)), ""pets|dogs|cats|animals|pet care|pet lovers""), ""Pets"",
  REGEXMATCH(LOWER(VLOOKUP(A472, Data1_Raw_Slack!A:B, 2, FALSE)), ""games|gaming|game|xbox|playstation|nintendo|gamers""), ""Gaming"",
  REGEXMATCH(LOWER(VLOOKUP(A472, Data1"&amp;"_Raw_Slack!A:B, 2, FALSE)), ""entertainment|movies|tv|netflix|streaming|celebrity|movie lovers|tv fans|hobb|photo|art""), ""Entertainment"",
  REGEXMATCH(LOWER(VLOOKUP(A472, Data1_Raw_Slack!A:B, 2, FALSE)), ""lifestyle|home|interior|decor|living|lifestyle"&amp;" enthusiasts""), ""Lifestyle"",
  REGEXMATCH(LOWER(VLOOKUP(A472, Data1_Raw_Slack!A:B, 2, FALSE)), ""financial|finance|investing|stocks|retirement|banking|credit|debt|loans|savings|personal finance|insurance|econ|ecom|business|retail|occupation|sale|job|ma"&amp;"rketing""), ""Finance"",
  REGEXMATCH(LOWER(VLOOKUP(A472, Data1_Raw_Slack!A:B, 2, FALSE)), ""auto|automotive""), ""Auto"",
  REGEXMATCH(LOWER(VLOOKUP(A472, Data1_Raw_Slack!A:B, 2, FALSE)), ""parenting|moms|dads|kids|toddlers|baby|parent|children""), ""Par"&amp;"enting"",
  REGEXMATCH(LOWER(VLOOKUP(A472, Data1_Raw_Slack!A:B, 2, FALSE)), ""education|students|learning|school|teachers|college|university|academics""), ""Education"",
  REGEXMATCH(LOWER(VLOOKUP(A472, Data1_Raw_Slack!A:B, 2, FALSE)), ""age|gender|dem"&amp;"ographic|family|household""), ""Demographics"",
  REGEXMATCH(LOWER(VLOOKUP(A472, Data1_Raw_Slack!A:B, 2, FALSE)), ""mortgage|real estate""), ""Real Estate"",REGEXMATCH(LOWER(VLOOKUP(A472, Data1_Raw_Slack!A:B, 2, FALSE)), ""technology|tech|gadgets|smartpho"&amp;"ne|electro|apps|devices|computing|ai|robots|software|computer|internet|tele|mobile|tablet""), ""Technology"", REGEXMATCH(LOWER(VLOOKUP(A472, Data1_Raw_Slack!A:B, 2, FALSE)), ""entertainment|purchas|movies|tv|netflix|streaming|celebrity|movie lovers|tv fan"&amp;"s|media|hobb|photo|art|shop""), ""Entertainment"", REGEXMATCH(LOWER(VLOOKUP(A472, Data1_Raw_Slack!A:B, 2, FALSE)), ""law|government|""), ""Law and Government"",
  TRUE, ""Other""
)"),"Entertainment")</f>
        <v>Entertainment</v>
      </c>
      <c r="G472" s="9" t="s">
        <v>69</v>
      </c>
      <c r="H472" s="9" t="s">
        <v>32</v>
      </c>
      <c r="I472" s="9" t="s">
        <v>1673</v>
      </c>
      <c r="J472" s="9" t="s">
        <v>62</v>
      </c>
      <c r="K472" s="9" t="s">
        <v>170</v>
      </c>
      <c r="L472" s="9" t="s">
        <v>72</v>
      </c>
      <c r="M472" s="10" t="s">
        <v>295</v>
      </c>
      <c r="N472" s="9" t="str">
        <f ca="1">IFERROR(__xludf.DUMMYFUNCTION("REGEXEXTRACT(LOWER(M472), ""([a-z0-9\-]+)\.(?:co|net|org|io|gg)"")"),"yahoo")</f>
        <v>yahoo</v>
      </c>
      <c r="O472" s="9" t="s">
        <v>50</v>
      </c>
      <c r="P472" s="9" t="s">
        <v>39</v>
      </c>
      <c r="Q472" s="9">
        <v>52582</v>
      </c>
      <c r="R472" s="9">
        <v>140</v>
      </c>
      <c r="S472" s="9">
        <v>22065</v>
      </c>
      <c r="T472" s="9">
        <v>46126</v>
      </c>
      <c r="U472" s="9">
        <v>10</v>
      </c>
      <c r="V472" s="11">
        <v>1631.741712</v>
      </c>
      <c r="W472" s="12">
        <f t="shared" si="7"/>
        <v>163.17417119999999</v>
      </c>
      <c r="X472" s="12">
        <f t="shared" si="8"/>
        <v>0.2662508082613822</v>
      </c>
      <c r="Y472" s="12">
        <f t="shared" si="9"/>
        <v>41.963029173481416</v>
      </c>
      <c r="Z472" s="12">
        <f t="shared" si="10"/>
        <v>73.951584500339905</v>
      </c>
      <c r="AA472" s="12">
        <f t="shared" si="11"/>
        <v>31.032324978129395</v>
      </c>
      <c r="AB472" s="12">
        <f t="shared" si="12"/>
        <v>11.655297942857143</v>
      </c>
      <c r="AC472" s="12">
        <f t="shared" si="13"/>
        <v>7.1428571428571423</v>
      </c>
      <c r="AE472" s="13"/>
      <c r="AF472" s="13"/>
    </row>
    <row r="473" spans="1:32">
      <c r="A473" s="8" t="s">
        <v>1702</v>
      </c>
      <c r="B473" s="9" t="s">
        <v>41</v>
      </c>
      <c r="C473" s="9" t="s">
        <v>127</v>
      </c>
      <c r="D473" s="9" t="s">
        <v>53</v>
      </c>
      <c r="E473" s="9" t="s">
        <v>1703</v>
      </c>
      <c r="F473" s="9" t="str">
        <f ca="1">IFERROR(__xludf.DUMMYFUNCTION("IFS(
  REGEXMATCH(LOWER(VLOOKUP(A473, Data1_Raw_Slack!A:B, 2, FALSE)), ""news|weather""), ""News and Weather"", REGEXMATCH(LOWER(VLOOKUP(A473, Data1_Raw_Slack!A:B, 2, FALSE)), ""sports|ufc|nba|nfl|mlb|soccer|sports fans""), ""Sports"",
  REGEXMATCH(LOWER("&amp;"VLOOKUP(A473, Data1_Raw_Slack!A:B, 2, FALSE)), ""fashion|style|clothing|apparel|shoes|accessories|beauty|cosmetics|fashionistas""), ""Fashion and Beauty"",
  REGEXMATCH(LOWER(VLOOKUP(A473, Data1_Raw_Slack!A:B, 2, FALSE)), ""food|cooking|recipe|restaurant|"&amp;"snack|grocery|foodies""), ""Food"",
  REGEXMATCH(LOWER(VLOOKUP(A473, Data1_Raw_Slack!A:B, 2, FALSE)), ""travel|vacation|airline|hotel|trip|flights|travelers""), ""Travel"",
  REGEXMATCH(LOWER(VLOOKUP(A473, Data1_Raw_Slack!A:B, 2, FALSE)), ""fitness|workou"&amp;"t|gym|exercise|yoga|wellness|fitness enthusiasts""), ""Fitness"",
  REGEXMATCH(LOWER(VLOOKUP(A473, Data1_Raw_Slack!A:B, 2, FALSE)), ""health|medical|pharmacy|mental health|doctor|health-conscious""), ""Health"",
  REGEXMATCH(LOWER(VLOOKUP(A473, Data1_Raw_"&amp;"Slack!A:B, 2, FALSE)), ""pets|dogs|cats|animals|pet care|pet lovers""), ""Pets"",
  REGEXMATCH(LOWER(VLOOKUP(A473, Data1_Raw_Slack!A:B, 2, FALSE)), ""games|gaming|game|xbox|playstation|nintendo|gamers""), ""Gaming"",
  REGEXMATCH(LOWER(VLOOKUP(A473, Data1"&amp;"_Raw_Slack!A:B, 2, FALSE)), ""entertainment|movies|tv|netflix|streaming|celebrity|movie lovers|tv fans|hobb|photo|art""), ""Entertainment"",
  REGEXMATCH(LOWER(VLOOKUP(A473, Data1_Raw_Slack!A:B, 2, FALSE)), ""lifestyle|home|interior|decor|living|lifestyle"&amp;" enthusiasts""), ""Lifestyle"",
  REGEXMATCH(LOWER(VLOOKUP(A473, Data1_Raw_Slack!A:B, 2, FALSE)), ""financial|finance|investing|stocks|retirement|banking|credit|debt|loans|savings|personal finance|insurance|econ|ecom|business|retail|occupation|sale|job|ma"&amp;"rketing""), ""Finance"",
  REGEXMATCH(LOWER(VLOOKUP(A473, Data1_Raw_Slack!A:B, 2, FALSE)), ""auto|automotive""), ""Auto"",
  REGEXMATCH(LOWER(VLOOKUP(A473, Data1_Raw_Slack!A:B, 2, FALSE)), ""parenting|moms|dads|kids|toddlers|baby|parent|children""), ""Par"&amp;"enting"",
  REGEXMATCH(LOWER(VLOOKUP(A473, Data1_Raw_Slack!A:B, 2, FALSE)), ""education|students|learning|school|teachers|college|university|academics""), ""Education"",
  REGEXMATCH(LOWER(VLOOKUP(A473, Data1_Raw_Slack!A:B, 2, FALSE)), ""age|gender|dem"&amp;"ographic|family|household""), ""Demographics"",
  REGEXMATCH(LOWER(VLOOKUP(A473, Data1_Raw_Slack!A:B, 2, FALSE)), ""mortgage|real estate""), ""Real Estate"",REGEXMATCH(LOWER(VLOOKUP(A473, Data1_Raw_Slack!A:B, 2, FALSE)), ""technology|tech|gadgets|smartpho"&amp;"ne|electro|apps|devices|computing|ai|robots|software|computer|internet|tele|mobile|tablet""), ""Technology"", REGEXMATCH(LOWER(VLOOKUP(A473, Data1_Raw_Slack!A:B, 2, FALSE)), ""entertainment|purchas|movies|tv|netflix|streaming|celebrity|movie lovers|tv fan"&amp;"s|media|hobb|photo|art|shop""), ""Entertainment"", REGEXMATCH(LOWER(VLOOKUP(A473, Data1_Raw_Slack!A:B, 2, FALSE)), ""law|government|""), ""Law and Government"",
  TRUE, ""Other""
)"),"Health")</f>
        <v>Health</v>
      </c>
      <c r="G473" s="9" t="s">
        <v>127</v>
      </c>
      <c r="H473" s="9" t="s">
        <v>32</v>
      </c>
      <c r="I473" s="9" t="s">
        <v>1078</v>
      </c>
      <c r="J473" s="9" t="s">
        <v>46</v>
      </c>
      <c r="K473" s="9" t="s">
        <v>88</v>
      </c>
      <c r="L473" s="9" t="s">
        <v>89</v>
      </c>
      <c r="M473" s="10" t="s">
        <v>1704</v>
      </c>
      <c r="N473" s="9" t="str">
        <f ca="1">IFERROR(__xludf.DUMMYFUNCTION("REGEXEXTRACT(LOWER(M473), ""([a-z0-9\-]+)\.(?:co|net|org|io|gg)"")"),"myfitnesspal")</f>
        <v>myfitnesspal</v>
      </c>
      <c r="O473" s="9" t="s">
        <v>74</v>
      </c>
      <c r="P473" s="9" t="s">
        <v>39</v>
      </c>
      <c r="Q473" s="9">
        <v>39881</v>
      </c>
      <c r="R473" s="9">
        <v>125</v>
      </c>
      <c r="S473" s="9">
        <v>6331</v>
      </c>
      <c r="T473" s="9">
        <v>36245</v>
      </c>
      <c r="U473" s="9">
        <v>10</v>
      </c>
      <c r="V473" s="11">
        <v>7098.8897059999999</v>
      </c>
      <c r="W473" s="12">
        <f t="shared" si="7"/>
        <v>709.88897059999999</v>
      </c>
      <c r="X473" s="12">
        <f t="shared" si="8"/>
        <v>0.31343246157318022</v>
      </c>
      <c r="Y473" s="12">
        <f t="shared" si="9"/>
        <v>15.874727313758433</v>
      </c>
      <c r="Z473" s="12">
        <f t="shared" si="10"/>
        <v>1121.2904290001579</v>
      </c>
      <c r="AA473" s="12">
        <f t="shared" si="11"/>
        <v>178.00179799904717</v>
      </c>
      <c r="AB473" s="12">
        <f t="shared" si="12"/>
        <v>56.791117647999997</v>
      </c>
      <c r="AC473" s="12">
        <f t="shared" si="13"/>
        <v>8</v>
      </c>
      <c r="AE473" s="13"/>
      <c r="AF473" s="13"/>
    </row>
    <row r="474" spans="1:32">
      <c r="A474" s="8" t="s">
        <v>1705</v>
      </c>
      <c r="B474" s="9" t="s">
        <v>41</v>
      </c>
      <c r="C474" s="9" t="s">
        <v>154</v>
      </c>
      <c r="D474" s="9" t="s">
        <v>188</v>
      </c>
      <c r="E474" s="9" t="s">
        <v>1706</v>
      </c>
      <c r="F474" s="9" t="str">
        <f ca="1">IFERROR(__xludf.DUMMYFUNCTION("IFS(
  REGEXMATCH(LOWER(VLOOKUP(A474, Data1_Raw_Slack!A:B, 2, FALSE)), ""news|weather""), ""News and Weather"", REGEXMATCH(LOWER(VLOOKUP(A474, Data1_Raw_Slack!A:B, 2, FALSE)), ""sports|ufc|nba|nfl|mlb|soccer|sports fans""), ""Sports"",
  REGEXMATCH(LOWER("&amp;"VLOOKUP(A474, Data1_Raw_Slack!A:B, 2, FALSE)), ""fashion|style|clothing|apparel|shoes|accessories|beauty|cosmetics|fashionistas""), ""Fashion and Beauty"",
  REGEXMATCH(LOWER(VLOOKUP(A474, Data1_Raw_Slack!A:B, 2, FALSE)), ""food|cooking|recipe|restaurant|"&amp;"snack|grocery|foodies""), ""Food"",
  REGEXMATCH(LOWER(VLOOKUP(A474, Data1_Raw_Slack!A:B, 2, FALSE)), ""travel|vacation|airline|hotel|trip|flights|travelers""), ""Travel"",
  REGEXMATCH(LOWER(VLOOKUP(A474, Data1_Raw_Slack!A:B, 2, FALSE)), ""fitness|workou"&amp;"t|gym|exercise|yoga|wellness|fitness enthusiasts""), ""Fitness"",
  REGEXMATCH(LOWER(VLOOKUP(A474, Data1_Raw_Slack!A:B, 2, FALSE)), ""health|medical|pharmacy|mental health|doctor|health-conscious""), ""Health"",
  REGEXMATCH(LOWER(VLOOKUP(A474, Data1_Raw_"&amp;"Slack!A:B, 2, FALSE)), ""pets|dogs|cats|animals|pet care|pet lovers""), ""Pets"",
  REGEXMATCH(LOWER(VLOOKUP(A474, Data1_Raw_Slack!A:B, 2, FALSE)), ""games|gaming|game|xbox|playstation|nintendo|gamers""), ""Gaming"",
  REGEXMATCH(LOWER(VLOOKUP(A474, Data1"&amp;"_Raw_Slack!A:B, 2, FALSE)), ""entertainment|movies|tv|netflix|streaming|celebrity|movie lovers|tv fans|hobb|photo|art""), ""Entertainment"",
  REGEXMATCH(LOWER(VLOOKUP(A474, Data1_Raw_Slack!A:B, 2, FALSE)), ""lifestyle|home|interior|decor|living|lifestyle"&amp;" enthusiasts""), ""Lifestyle"",
  REGEXMATCH(LOWER(VLOOKUP(A474, Data1_Raw_Slack!A:B, 2, FALSE)), ""financial|finance|investing|stocks|retirement|banking|credit|debt|loans|savings|personal finance|insurance|econ|ecom|business|retail|occupation|sale|job|ma"&amp;"rketing""), ""Finance"",
  REGEXMATCH(LOWER(VLOOKUP(A474, Data1_Raw_Slack!A:B, 2, FALSE)), ""auto|automotive""), ""Auto"",
  REGEXMATCH(LOWER(VLOOKUP(A474, Data1_Raw_Slack!A:B, 2, FALSE)), ""parenting|moms|dads|kids|toddlers|baby|parent|children""), ""Par"&amp;"enting"",
  REGEXMATCH(LOWER(VLOOKUP(A474, Data1_Raw_Slack!A:B, 2, FALSE)), ""education|students|learning|school|teachers|college|university|academics""), ""Education"",
  REGEXMATCH(LOWER(VLOOKUP(A474, Data1_Raw_Slack!A:B, 2, FALSE)), ""age|gender|dem"&amp;"ographic|family|household""), ""Demographics"",
  REGEXMATCH(LOWER(VLOOKUP(A474, Data1_Raw_Slack!A:B, 2, FALSE)), ""mortgage|real estate""), ""Real Estate"",REGEXMATCH(LOWER(VLOOKUP(A474, Data1_Raw_Slack!A:B, 2, FALSE)), ""technology|tech|gadgets|smartpho"&amp;"ne|electro|apps|devices|computing|ai|robots|software|computer|internet|tele|mobile|tablet""), ""Technology"", REGEXMATCH(LOWER(VLOOKUP(A474, Data1_Raw_Slack!A:B, 2, FALSE)), ""entertainment|purchas|movies|tv|netflix|streaming|celebrity|movie lovers|tv fan"&amp;"s|media|hobb|photo|art|shop""), ""Entertainment"", REGEXMATCH(LOWER(VLOOKUP(A474, Data1_Raw_Slack!A:B, 2, FALSE)), ""law|government|""), ""Law and Government"",
  TRUE, ""Other""
)"),"Sports")</f>
        <v>Sports</v>
      </c>
      <c r="G474" s="9" t="s">
        <v>154</v>
      </c>
      <c r="H474" s="9" t="s">
        <v>44</v>
      </c>
      <c r="I474" s="9" t="s">
        <v>1707</v>
      </c>
      <c r="J474" s="9" t="s">
        <v>46</v>
      </c>
      <c r="K474" s="9" t="s">
        <v>236</v>
      </c>
      <c r="L474" s="9" t="s">
        <v>82</v>
      </c>
      <c r="M474" s="10" t="s">
        <v>1094</v>
      </c>
      <c r="N474" s="9" t="str">
        <f ca="1">IFERROR(__xludf.DUMMYFUNCTION("REGEXEXTRACT(LOWER(M474), ""([a-z0-9\-]+)\.(?:co|net|org|io|gg)"")"),"cnet")</f>
        <v>cnet</v>
      </c>
      <c r="O474" s="9" t="s">
        <v>103</v>
      </c>
      <c r="P474" s="9" t="s">
        <v>39</v>
      </c>
      <c r="Q474" s="9">
        <v>8217</v>
      </c>
      <c r="R474" s="9">
        <v>25</v>
      </c>
      <c r="S474" s="9">
        <v>5740</v>
      </c>
      <c r="T474" s="9">
        <v>8009</v>
      </c>
      <c r="U474" s="9">
        <v>11</v>
      </c>
      <c r="V474" s="11">
        <v>6051.3346229999997</v>
      </c>
      <c r="W474" s="12">
        <f t="shared" si="7"/>
        <v>550.12132936363639</v>
      </c>
      <c r="X474" s="12">
        <f t="shared" si="8"/>
        <v>0.30424729219909946</v>
      </c>
      <c r="Y474" s="12">
        <f t="shared" si="9"/>
        <v>69.855178288913237</v>
      </c>
      <c r="Z474" s="12">
        <f t="shared" si="10"/>
        <v>1054.2394813588849</v>
      </c>
      <c r="AA474" s="12">
        <f t="shared" si="11"/>
        <v>736.4408692953632</v>
      </c>
      <c r="AB474" s="12">
        <f t="shared" si="12"/>
        <v>242.05338491999998</v>
      </c>
      <c r="AC474" s="12">
        <f t="shared" si="13"/>
        <v>44</v>
      </c>
      <c r="AE474" s="13"/>
      <c r="AF474" s="13"/>
    </row>
    <row r="475" spans="1:32">
      <c r="A475" s="8" t="s">
        <v>1708</v>
      </c>
      <c r="B475" s="9" t="s">
        <v>67</v>
      </c>
      <c r="C475" s="9" t="s">
        <v>1538</v>
      </c>
      <c r="D475" s="9" t="s">
        <v>1709</v>
      </c>
      <c r="E475" s="9" t="s">
        <v>1710</v>
      </c>
      <c r="F475" s="9" t="str">
        <f ca="1">IFERROR(__xludf.DUMMYFUNCTION("IFS(
  REGEXMATCH(LOWER(VLOOKUP(A475, Data1_Raw_Slack!A:B, 2, FALSE)), ""news|weather""), ""News and Weather"", REGEXMATCH(LOWER(VLOOKUP(A475, Data1_Raw_Slack!A:B, 2, FALSE)), ""sports|ufc|nba|nfl|mlb|soccer|sports fans""), ""Sports"",
  REGEXMATCH(LOWER("&amp;"VLOOKUP(A475, Data1_Raw_Slack!A:B, 2, FALSE)), ""fashion|style|clothing|apparel|shoes|accessories|beauty|cosmetics|fashionistas""), ""Fashion and Beauty"",
  REGEXMATCH(LOWER(VLOOKUP(A475, Data1_Raw_Slack!A:B, 2, FALSE)), ""food|cooking|recipe|restaurant|"&amp;"snack|grocery|foodies""), ""Food"",
  REGEXMATCH(LOWER(VLOOKUP(A475, Data1_Raw_Slack!A:B, 2, FALSE)), ""travel|vacation|airline|hotel|trip|flights|travelers""), ""Travel"",
  REGEXMATCH(LOWER(VLOOKUP(A475, Data1_Raw_Slack!A:B, 2, FALSE)), ""fitness|workou"&amp;"t|gym|exercise|yoga|wellness|fitness enthusiasts""), ""Fitness"",
  REGEXMATCH(LOWER(VLOOKUP(A475, Data1_Raw_Slack!A:B, 2, FALSE)), ""health|medical|pharmacy|mental health|doctor|health-conscious""), ""Health"",
  REGEXMATCH(LOWER(VLOOKUP(A475, Data1_Raw_"&amp;"Slack!A:B, 2, FALSE)), ""pets|dogs|cats|animals|pet care|pet lovers""), ""Pets"",
  REGEXMATCH(LOWER(VLOOKUP(A475, Data1_Raw_Slack!A:B, 2, FALSE)), ""games|gaming|game|xbox|playstation|nintendo|gamers""), ""Gaming"",
  REGEXMATCH(LOWER(VLOOKUP(A475, Data1"&amp;"_Raw_Slack!A:B, 2, FALSE)), ""entertainment|movies|tv|netflix|streaming|celebrity|movie lovers|tv fans|hobb|photo|art""), ""Entertainment"",
  REGEXMATCH(LOWER(VLOOKUP(A475, Data1_Raw_Slack!A:B, 2, FALSE)), ""lifestyle|home|interior|decor|living|lifestyle"&amp;" enthusiasts""), ""Lifestyle"",
  REGEXMATCH(LOWER(VLOOKUP(A475, Data1_Raw_Slack!A:B, 2, FALSE)), ""financial|finance|investing|stocks|retirement|banking|credit|debt|loans|savings|personal finance|insurance|econ|ecom|business|retail|occupation|sale|job|ma"&amp;"rketing""), ""Finance"",
  REGEXMATCH(LOWER(VLOOKUP(A475, Data1_Raw_Slack!A:B, 2, FALSE)), ""auto|automotive""), ""Auto"",
  REGEXMATCH(LOWER(VLOOKUP(A475, Data1_Raw_Slack!A:B, 2, FALSE)), ""parenting|moms|dads|kids|toddlers|baby|parent|children""), ""Par"&amp;"enting"",
  REGEXMATCH(LOWER(VLOOKUP(A475, Data1_Raw_Slack!A:B, 2, FALSE)), ""education|students|learning|school|teachers|college|university|academics""), ""Education"",
  REGEXMATCH(LOWER(VLOOKUP(A475, Data1_Raw_Slack!A:B, 2, FALSE)), ""age|gender|dem"&amp;"ographic|family|household""), ""Demographics"",
  REGEXMATCH(LOWER(VLOOKUP(A475, Data1_Raw_Slack!A:B, 2, FALSE)), ""mortgage|real estate""), ""Real Estate"",REGEXMATCH(LOWER(VLOOKUP(A475, Data1_Raw_Slack!A:B, 2, FALSE)), ""technology|tech|gadgets|smartpho"&amp;"ne|electro|apps|devices|computing|ai|robots|software|computer|internet|tele|mobile|tablet""), ""Technology"", REGEXMATCH(LOWER(VLOOKUP(A475, Data1_Raw_Slack!A:B, 2, FALSE)), ""entertainment|purchas|movies|tv|netflix|streaming|celebrity|movie lovers|tv fan"&amp;"s|media|hobb|photo|art|shop""), ""Entertainment"", REGEXMATCH(LOWER(VLOOKUP(A475, Data1_Raw_Slack!A:B, 2, FALSE)), ""law|government|""), ""Law and Government"",
  TRUE, ""Other""
)"),"Entertainment")</f>
        <v>Entertainment</v>
      </c>
      <c r="G475" s="9" t="s">
        <v>135</v>
      </c>
      <c r="H475" s="9" t="s">
        <v>44</v>
      </c>
      <c r="I475" s="9" t="s">
        <v>1314</v>
      </c>
      <c r="J475" s="9" t="s">
        <v>46</v>
      </c>
      <c r="K475" s="9" t="s">
        <v>443</v>
      </c>
      <c r="L475" s="9" t="s">
        <v>72</v>
      </c>
      <c r="M475" s="10" t="s">
        <v>1711</v>
      </c>
      <c r="N475" s="9" t="str">
        <f ca="1">IFERROR(__xludf.DUMMYFUNCTION("REGEXEXTRACT(LOWER(M475), ""([a-z0-9\-]+)\.(?:co|net|org|io|gg)"")"),"semana")</f>
        <v>semana</v>
      </c>
      <c r="O475" s="9" t="s">
        <v>157</v>
      </c>
      <c r="P475" s="9" t="s">
        <v>75</v>
      </c>
      <c r="Q475" s="9">
        <v>16325</v>
      </c>
      <c r="R475" s="9">
        <v>78</v>
      </c>
      <c r="S475" s="9">
        <v>9558</v>
      </c>
      <c r="T475" s="9">
        <v>15426</v>
      </c>
      <c r="U475" s="9">
        <v>21</v>
      </c>
      <c r="V475" s="11">
        <v>1814.098581</v>
      </c>
      <c r="W475" s="12">
        <f t="shared" si="7"/>
        <v>86.385646714285713</v>
      </c>
      <c r="X475" s="12">
        <f t="shared" si="8"/>
        <v>0.4777947932618683</v>
      </c>
      <c r="Y475" s="12">
        <f t="shared" si="9"/>
        <v>58.548238897396629</v>
      </c>
      <c r="Z475" s="12">
        <f t="shared" si="10"/>
        <v>189.798972693032</v>
      </c>
      <c r="AA475" s="12">
        <f t="shared" si="11"/>
        <v>111.12395595712097</v>
      </c>
      <c r="AB475" s="12">
        <f t="shared" si="12"/>
        <v>23.257674115384614</v>
      </c>
      <c r="AC475" s="12">
        <f t="shared" si="13"/>
        <v>26.923076923076923</v>
      </c>
      <c r="AE475" s="13"/>
      <c r="AF475" s="13"/>
    </row>
    <row r="476" spans="1:32">
      <c r="A476" s="8" t="s">
        <v>1712</v>
      </c>
      <c r="B476" s="9" t="s">
        <v>41</v>
      </c>
      <c r="C476" s="9" t="s">
        <v>214</v>
      </c>
      <c r="D476" s="9" t="s">
        <v>215</v>
      </c>
      <c r="E476" s="9" t="s">
        <v>1713</v>
      </c>
      <c r="F476" s="9" t="str">
        <f ca="1">IFERROR(__xludf.DUMMYFUNCTION("IFS(
  REGEXMATCH(LOWER(VLOOKUP(A476, Data1_Raw_Slack!A:B, 2, FALSE)), ""news|weather""), ""News and Weather"", REGEXMATCH(LOWER(VLOOKUP(A476, Data1_Raw_Slack!A:B, 2, FALSE)), ""sports|ufc|nba|nfl|mlb|soccer|sports fans""), ""Sports"",
  REGEXMATCH(LOWER("&amp;"VLOOKUP(A476, Data1_Raw_Slack!A:B, 2, FALSE)), ""fashion|style|clothing|apparel|shoes|accessories|beauty|cosmetics|fashionistas""), ""Fashion and Beauty"",
  REGEXMATCH(LOWER(VLOOKUP(A476, Data1_Raw_Slack!A:B, 2, FALSE)), ""food|cooking|recipe|restaurant|"&amp;"snack|grocery|foodies""), ""Food"",
  REGEXMATCH(LOWER(VLOOKUP(A476, Data1_Raw_Slack!A:B, 2, FALSE)), ""travel|vacation|airline|hotel|trip|flights|travelers""), ""Travel"",
  REGEXMATCH(LOWER(VLOOKUP(A476, Data1_Raw_Slack!A:B, 2, FALSE)), ""fitness|workou"&amp;"t|gym|exercise|yoga|wellness|fitness enthusiasts""), ""Fitness"",
  REGEXMATCH(LOWER(VLOOKUP(A476, Data1_Raw_Slack!A:B, 2, FALSE)), ""health|medical|pharmacy|mental health|doctor|health-conscious""), ""Health"",
  REGEXMATCH(LOWER(VLOOKUP(A476, Data1_Raw_"&amp;"Slack!A:B, 2, FALSE)), ""pets|dogs|cats|animals|pet care|pet lovers""), ""Pets"",
  REGEXMATCH(LOWER(VLOOKUP(A476, Data1_Raw_Slack!A:B, 2, FALSE)), ""games|gaming|game|xbox|playstation|nintendo|gamers""), ""Gaming"",
  REGEXMATCH(LOWER(VLOOKUP(A476, Data1"&amp;"_Raw_Slack!A:B, 2, FALSE)), ""entertainment|movies|tv|netflix|streaming|celebrity|movie lovers|tv fans|hobb|photo|art""), ""Entertainment"",
  REGEXMATCH(LOWER(VLOOKUP(A476, Data1_Raw_Slack!A:B, 2, FALSE)), ""lifestyle|home|interior|decor|living|lifestyle"&amp;" enthusiasts""), ""Lifestyle"",
  REGEXMATCH(LOWER(VLOOKUP(A476, Data1_Raw_Slack!A:B, 2, FALSE)), ""financial|finance|investing|stocks|retirement|banking|credit|debt|loans|savings|personal finance|insurance|econ|ecom|business|retail|occupation|sale|job|ma"&amp;"rketing""), ""Finance"",
  REGEXMATCH(LOWER(VLOOKUP(A476, Data1_Raw_Slack!A:B, 2, FALSE)), ""auto|automotive""), ""Auto"",
  REGEXMATCH(LOWER(VLOOKUP(A476, Data1_Raw_Slack!A:B, 2, FALSE)), ""parenting|moms|dads|kids|toddlers|baby|parent|children""), ""Par"&amp;"enting"",
  REGEXMATCH(LOWER(VLOOKUP(A476, Data1_Raw_Slack!A:B, 2, FALSE)), ""education|students|learning|school|teachers|college|university|academics""), ""Education"",
  REGEXMATCH(LOWER(VLOOKUP(A476, Data1_Raw_Slack!A:B, 2, FALSE)), ""age|gender|dem"&amp;"ographic|family|household""), ""Demographics"",
  REGEXMATCH(LOWER(VLOOKUP(A476, Data1_Raw_Slack!A:B, 2, FALSE)), ""mortgage|real estate""), ""Real Estate"",REGEXMATCH(LOWER(VLOOKUP(A476, Data1_Raw_Slack!A:B, 2, FALSE)), ""technology|tech|gadgets|smartpho"&amp;"ne|electro|apps|devices|computing|ai|robots|software|computer|internet|tele|mobile|tablet""), ""Technology"", REGEXMATCH(LOWER(VLOOKUP(A476, Data1_Raw_Slack!A:B, 2, FALSE)), ""entertainment|purchas|movies|tv|netflix|streaming|celebrity|movie lovers|tv fan"&amp;"s|media|hobb|photo|art|shop""), ""Entertainment"", REGEXMATCH(LOWER(VLOOKUP(A476, Data1_Raw_Slack!A:B, 2, FALSE)), ""law|government|""), ""Law and Government"",
  TRUE, ""Other""
)"),"Demographics")</f>
        <v>Demographics</v>
      </c>
      <c r="G476" s="9"/>
      <c r="H476" s="9" t="s">
        <v>32</v>
      </c>
      <c r="I476" s="9" t="s">
        <v>1714</v>
      </c>
      <c r="J476" s="9" t="s">
        <v>46</v>
      </c>
      <c r="K476" s="9" t="s">
        <v>56</v>
      </c>
      <c r="L476" s="9" t="s">
        <v>57</v>
      </c>
      <c r="M476" s="10" t="s">
        <v>386</v>
      </c>
      <c r="N476" s="9" t="str">
        <f ca="1">IFERROR(__xludf.DUMMYFUNCTION("REGEXEXTRACT(LOWER(M476), ""([a-z0-9\-]+)\.(?:co|net|org|io|gg)"")"),"timeanddate")</f>
        <v>timeanddate</v>
      </c>
      <c r="O476" s="9" t="s">
        <v>593</v>
      </c>
      <c r="P476" s="9" t="s">
        <v>39</v>
      </c>
      <c r="Q476" s="9">
        <v>44361</v>
      </c>
      <c r="R476" s="9">
        <v>166</v>
      </c>
      <c r="S476" s="9">
        <v>36040</v>
      </c>
      <c r="T476" s="9">
        <v>40684</v>
      </c>
      <c r="U476" s="9">
        <v>17</v>
      </c>
      <c r="V476" s="11">
        <v>5048.8525529999997</v>
      </c>
      <c r="W476" s="12">
        <f t="shared" si="7"/>
        <v>296.99132664705883</v>
      </c>
      <c r="X476" s="12">
        <f t="shared" si="8"/>
        <v>0.37420256531638152</v>
      </c>
      <c r="Y476" s="12">
        <f t="shared" si="9"/>
        <v>81.242532855436082</v>
      </c>
      <c r="Z476" s="12">
        <f t="shared" si="10"/>
        <v>140.09024841842395</v>
      </c>
      <c r="AA476" s="12">
        <f t="shared" si="11"/>
        <v>113.81286609860011</v>
      </c>
      <c r="AB476" s="12">
        <f t="shared" si="12"/>
        <v>30.414774415662649</v>
      </c>
      <c r="AC476" s="12">
        <f t="shared" si="13"/>
        <v>10.240963855421686</v>
      </c>
      <c r="AE476" s="13"/>
      <c r="AF476" s="13"/>
    </row>
    <row r="477" spans="1:32">
      <c r="A477" s="8" t="s">
        <v>1715</v>
      </c>
      <c r="B477" s="9" t="s">
        <v>874</v>
      </c>
      <c r="C477" s="9" t="s">
        <v>122</v>
      </c>
      <c r="D477" s="9" t="s">
        <v>1716</v>
      </c>
      <c r="E477" s="9" t="s">
        <v>1380</v>
      </c>
      <c r="F477" s="9" t="str">
        <f ca="1">IFERROR(__xludf.DUMMYFUNCTION("IFS(
  REGEXMATCH(LOWER(VLOOKUP(A477, Data1_Raw_Slack!A:B, 2, FALSE)), ""news|weather""), ""News and Weather"", REGEXMATCH(LOWER(VLOOKUP(A477, Data1_Raw_Slack!A:B, 2, FALSE)), ""sports|ufc|nba|nfl|mlb|soccer|sports fans""), ""Sports"",
  REGEXMATCH(LOWER("&amp;"VLOOKUP(A477, Data1_Raw_Slack!A:B, 2, FALSE)), ""fashion|style|clothing|apparel|shoes|accessories|beauty|cosmetics|fashionistas""), ""Fashion and Beauty"",
  REGEXMATCH(LOWER(VLOOKUP(A477, Data1_Raw_Slack!A:B, 2, FALSE)), ""food|cooking|recipe|restaurant|"&amp;"snack|grocery|foodies""), ""Food"",
  REGEXMATCH(LOWER(VLOOKUP(A477, Data1_Raw_Slack!A:B, 2, FALSE)), ""travel|vacation|airline|hotel|trip|flights|travelers""), ""Travel"",
  REGEXMATCH(LOWER(VLOOKUP(A477, Data1_Raw_Slack!A:B, 2, FALSE)), ""fitness|workou"&amp;"t|gym|exercise|yoga|wellness|fitness enthusiasts""), ""Fitness"",
  REGEXMATCH(LOWER(VLOOKUP(A477, Data1_Raw_Slack!A:B, 2, FALSE)), ""health|medical|pharmacy|mental health|doctor|health-conscious""), ""Health"",
  REGEXMATCH(LOWER(VLOOKUP(A477, Data1_Raw_"&amp;"Slack!A:B, 2, FALSE)), ""pets|dogs|cats|animals|pet care|pet lovers""), ""Pets"",
  REGEXMATCH(LOWER(VLOOKUP(A477, Data1_Raw_Slack!A:B, 2, FALSE)), ""games|gaming|game|xbox|playstation|nintendo|gamers""), ""Gaming"",
  REGEXMATCH(LOWER(VLOOKUP(A477, Data1"&amp;"_Raw_Slack!A:B, 2, FALSE)), ""entertainment|movies|tv|netflix|streaming|celebrity|movie lovers|tv fans|hobb|photo|art""), ""Entertainment"",
  REGEXMATCH(LOWER(VLOOKUP(A477, Data1_Raw_Slack!A:B, 2, FALSE)), ""lifestyle|home|interior|decor|living|lifestyle"&amp;" enthusiasts""), ""Lifestyle"",
  REGEXMATCH(LOWER(VLOOKUP(A477, Data1_Raw_Slack!A:B, 2, FALSE)), ""financial|finance|investing|stocks|retirement|banking|credit|debt|loans|savings|personal finance|insurance|econ|ecom|business|retail|occupation|sale|job|ma"&amp;"rketing""), ""Finance"",
  REGEXMATCH(LOWER(VLOOKUP(A477, Data1_Raw_Slack!A:B, 2, FALSE)), ""auto|automotive""), ""Auto"",
  REGEXMATCH(LOWER(VLOOKUP(A477, Data1_Raw_Slack!A:B, 2, FALSE)), ""parenting|moms|dads|kids|toddlers|baby|parent|children""), ""Par"&amp;"enting"",
  REGEXMATCH(LOWER(VLOOKUP(A477, Data1_Raw_Slack!A:B, 2, FALSE)), ""education|students|learning|school|teachers|college|university|academics""), ""Education"",
  REGEXMATCH(LOWER(VLOOKUP(A477, Data1_Raw_Slack!A:B, 2, FALSE)), ""age|gender|dem"&amp;"ographic|family|household""), ""Demographics"",
  REGEXMATCH(LOWER(VLOOKUP(A477, Data1_Raw_Slack!A:B, 2, FALSE)), ""mortgage|real estate""), ""Real Estate"",REGEXMATCH(LOWER(VLOOKUP(A477, Data1_Raw_Slack!A:B, 2, FALSE)), ""technology|tech|gadgets|smartpho"&amp;"ne|electro|apps|devices|computing|ai|robots|software|computer|internet|tele|mobile|tablet""), ""Technology"", REGEXMATCH(LOWER(VLOOKUP(A477, Data1_Raw_Slack!A:B, 2, FALSE)), ""entertainment|purchas|movies|tv|netflix|streaming|celebrity|movie lovers|tv fan"&amp;"s|media|hobb|photo|art|shop""), ""Entertainment"", REGEXMATCH(LOWER(VLOOKUP(A477, Data1_Raw_Slack!A:B, 2, FALSE)), ""law|government|""), ""Law and Government"",
  TRUE, ""Other""
)"),"Auto")</f>
        <v>Auto</v>
      </c>
      <c r="G477" s="9" t="s">
        <v>122</v>
      </c>
      <c r="H477" s="9" t="s">
        <v>123</v>
      </c>
      <c r="I477" s="9" t="s">
        <v>1717</v>
      </c>
      <c r="J477" s="9" t="s">
        <v>46</v>
      </c>
      <c r="K477" s="9" t="s">
        <v>236</v>
      </c>
      <c r="L477" s="9" t="s">
        <v>82</v>
      </c>
      <c r="M477" s="10" t="s">
        <v>49</v>
      </c>
      <c r="N477" s="9" t="str">
        <f ca="1">IFERROR(__xludf.DUMMYFUNCTION("REGEXEXTRACT(LOWER(M477), ""([a-z0-9\-]+)\.(?:co|net|org|io|gg)"")"),"yahoo")</f>
        <v>yahoo</v>
      </c>
      <c r="O477" s="9" t="s">
        <v>50</v>
      </c>
      <c r="P477" s="9" t="s">
        <v>39</v>
      </c>
      <c r="Q477" s="9">
        <v>562103</v>
      </c>
      <c r="R477" s="9">
        <v>1450</v>
      </c>
      <c r="S477" s="9">
        <v>340616</v>
      </c>
      <c r="T477" s="9">
        <v>488921</v>
      </c>
      <c r="U477" s="9">
        <v>8</v>
      </c>
      <c r="V477" s="11">
        <v>1733.8301719999999</v>
      </c>
      <c r="W477" s="12">
        <f t="shared" si="7"/>
        <v>216.72877149999999</v>
      </c>
      <c r="X477" s="12">
        <f t="shared" si="8"/>
        <v>0.25795984010047984</v>
      </c>
      <c r="Y477" s="12">
        <f t="shared" si="9"/>
        <v>60.596723376320703</v>
      </c>
      <c r="Z477" s="12">
        <f t="shared" si="10"/>
        <v>5.0902781196420603</v>
      </c>
      <c r="AA477" s="12">
        <f t="shared" si="11"/>
        <v>3.0845417512448785</v>
      </c>
      <c r="AB477" s="12">
        <f t="shared" si="12"/>
        <v>1.1957449462068965</v>
      </c>
      <c r="AC477" s="12">
        <f t="shared" si="13"/>
        <v>0.55172413793103448</v>
      </c>
      <c r="AE477" s="13"/>
      <c r="AF477" s="13"/>
    </row>
    <row r="478" spans="1:32">
      <c r="A478" s="8" t="s">
        <v>1718</v>
      </c>
      <c r="B478" s="9" t="s">
        <v>768</v>
      </c>
      <c r="C478" s="9" t="s">
        <v>1719</v>
      </c>
      <c r="D478" s="9" t="s">
        <v>514</v>
      </c>
      <c r="E478" s="9" t="s">
        <v>1720</v>
      </c>
      <c r="F478" s="9" t="str">
        <f ca="1">IFERROR(__xludf.DUMMYFUNCTION("IFS(
  REGEXMATCH(LOWER(VLOOKUP(A478, Data1_Raw_Slack!A:B, 2, FALSE)), ""news|weather""), ""News and Weather"", REGEXMATCH(LOWER(VLOOKUP(A478, Data1_Raw_Slack!A:B, 2, FALSE)), ""sports|ufc|nba|nfl|mlb|soccer|sports fans""), ""Sports"",
  REGEXMATCH(LOWER("&amp;"VLOOKUP(A478, Data1_Raw_Slack!A:B, 2, FALSE)), ""fashion|style|clothing|apparel|shoes|accessories|beauty|cosmetics|fashionistas""), ""Fashion and Beauty"",
  REGEXMATCH(LOWER(VLOOKUP(A478, Data1_Raw_Slack!A:B, 2, FALSE)), ""food|cooking|recipe|restaurant|"&amp;"snack|grocery|foodies""), ""Food"",
  REGEXMATCH(LOWER(VLOOKUP(A478, Data1_Raw_Slack!A:B, 2, FALSE)), ""travel|vacation|airline|hotel|trip|flights|travelers""), ""Travel"",
  REGEXMATCH(LOWER(VLOOKUP(A478, Data1_Raw_Slack!A:B, 2, FALSE)), ""fitness|workou"&amp;"t|gym|exercise|yoga|wellness|fitness enthusiasts""), ""Fitness"",
  REGEXMATCH(LOWER(VLOOKUP(A478, Data1_Raw_Slack!A:B, 2, FALSE)), ""health|medical|pharmacy|mental health|doctor|health-conscious""), ""Health"",
  REGEXMATCH(LOWER(VLOOKUP(A478, Data1_Raw_"&amp;"Slack!A:B, 2, FALSE)), ""pets|dogs|cats|animals|pet care|pet lovers""), ""Pets"",
  REGEXMATCH(LOWER(VLOOKUP(A478, Data1_Raw_Slack!A:B, 2, FALSE)), ""games|gaming|game|xbox|playstation|nintendo|gamers""), ""Gaming"",
  REGEXMATCH(LOWER(VLOOKUP(A478, Data1"&amp;"_Raw_Slack!A:B, 2, FALSE)), ""entertainment|movies|tv|netflix|streaming|celebrity|movie lovers|tv fans|hobb|photo|art""), ""Entertainment"",
  REGEXMATCH(LOWER(VLOOKUP(A478, Data1_Raw_Slack!A:B, 2, FALSE)), ""lifestyle|home|interior|decor|living|lifestyle"&amp;" enthusiasts""), ""Lifestyle"",
  REGEXMATCH(LOWER(VLOOKUP(A478, Data1_Raw_Slack!A:B, 2, FALSE)), ""financial|finance|investing|stocks|retirement|banking|credit|debt|loans|savings|personal finance|insurance|econ|ecom|business|retail|occupation|sale|job|ma"&amp;"rketing""), ""Finance"",
  REGEXMATCH(LOWER(VLOOKUP(A478, Data1_Raw_Slack!A:B, 2, FALSE)), ""auto|automotive""), ""Auto"",
  REGEXMATCH(LOWER(VLOOKUP(A478, Data1_Raw_Slack!A:B, 2, FALSE)), ""parenting|moms|dads|kids|toddlers|baby|parent|children""), ""Par"&amp;"enting"",
  REGEXMATCH(LOWER(VLOOKUP(A478, Data1_Raw_Slack!A:B, 2, FALSE)), ""education|students|learning|school|teachers|college|university|academics""), ""Education"",
  REGEXMATCH(LOWER(VLOOKUP(A478, Data1_Raw_Slack!A:B, 2, FALSE)), ""age|gender|dem"&amp;"ographic|family|household""), ""Demographics"",
  REGEXMATCH(LOWER(VLOOKUP(A478, Data1_Raw_Slack!A:B, 2, FALSE)), ""mortgage|real estate""), ""Real Estate"",REGEXMATCH(LOWER(VLOOKUP(A478, Data1_Raw_Slack!A:B, 2, FALSE)), ""technology|tech|gadgets|smartpho"&amp;"ne|electro|apps|devices|computing|ai|robots|software|computer|internet|tele|mobile|tablet""), ""Technology"", REGEXMATCH(LOWER(VLOOKUP(A478, Data1_Raw_Slack!A:B, 2, FALSE)), ""entertainment|purchas|movies|tv|netflix|streaming|celebrity|movie lovers|tv fan"&amp;"s|media|hobb|photo|art|shop""), ""Entertainment"", REGEXMATCH(LOWER(VLOOKUP(A478, Data1_Raw_Slack!A:B, 2, FALSE)), ""law|government|""), ""Law and Government"",
  TRUE, ""Other""
)"),"Gaming")</f>
        <v>Gaming</v>
      </c>
      <c r="G478" s="9" t="s">
        <v>69</v>
      </c>
      <c r="H478" s="9" t="s">
        <v>32</v>
      </c>
      <c r="I478" s="9" t="s">
        <v>982</v>
      </c>
      <c r="J478" s="9" t="s">
        <v>80</v>
      </c>
      <c r="K478" s="9" t="s">
        <v>714</v>
      </c>
      <c r="L478" s="9" t="s">
        <v>82</v>
      </c>
      <c r="M478" s="10" t="s">
        <v>300</v>
      </c>
      <c r="N478" s="9" t="str">
        <f ca="1">IFERROR(__xludf.DUMMYFUNCTION("REGEXEXTRACT(LOWER(M478), ""([a-z0-9\-]+)\.(?:co|net|org|io|gg)"")"),"the-sun")</f>
        <v>the-sun</v>
      </c>
      <c r="O478" s="9" t="s">
        <v>131</v>
      </c>
      <c r="P478" s="9" t="s">
        <v>39</v>
      </c>
      <c r="Q478" s="9">
        <v>16372</v>
      </c>
      <c r="R478" s="9">
        <v>90</v>
      </c>
      <c r="S478" s="9">
        <v>4731</v>
      </c>
      <c r="T478" s="9">
        <v>15332</v>
      </c>
      <c r="U478" s="9">
        <v>9</v>
      </c>
      <c r="V478" s="11">
        <v>1704.511123</v>
      </c>
      <c r="W478" s="12">
        <f t="shared" si="7"/>
        <v>189.39012477777777</v>
      </c>
      <c r="X478" s="12">
        <f t="shared" si="8"/>
        <v>0.54971903249450282</v>
      </c>
      <c r="Y478" s="12">
        <f t="shared" si="9"/>
        <v>28.896897141461032</v>
      </c>
      <c r="Z478" s="12">
        <f t="shared" si="10"/>
        <v>360.28558930458678</v>
      </c>
      <c r="AA478" s="12">
        <f t="shared" si="11"/>
        <v>104.11135615685316</v>
      </c>
      <c r="AB478" s="12">
        <f t="shared" si="12"/>
        <v>18.939012477777776</v>
      </c>
      <c r="AC478" s="12">
        <f t="shared" si="13"/>
        <v>10</v>
      </c>
      <c r="AE478" s="13"/>
      <c r="AF478" s="13"/>
    </row>
    <row r="479" spans="1:32">
      <c r="A479" s="8" t="s">
        <v>1721</v>
      </c>
      <c r="B479" s="9" t="s">
        <v>41</v>
      </c>
      <c r="C479" s="9" t="s">
        <v>209</v>
      </c>
      <c r="D479" s="9" t="s">
        <v>1722</v>
      </c>
      <c r="E479" s="9"/>
      <c r="F479" s="9" t="str">
        <f ca="1">IFERROR(__xludf.DUMMYFUNCTION("IFS(
  REGEXMATCH(LOWER(VLOOKUP(A479, Data1_Raw_Slack!A:B, 2, FALSE)), ""news|weather""), ""News and Weather"", REGEXMATCH(LOWER(VLOOKUP(A479, Data1_Raw_Slack!A:B, 2, FALSE)), ""sports|ufc|nba|nfl|mlb|soccer|sports fans""), ""Sports"",
  REGEXMATCH(LOWER("&amp;"VLOOKUP(A479, Data1_Raw_Slack!A:B, 2, FALSE)), ""fashion|style|clothing|apparel|shoes|accessories|beauty|cosmetics|fashionistas""), ""Fashion and Beauty"",
  REGEXMATCH(LOWER(VLOOKUP(A479, Data1_Raw_Slack!A:B, 2, FALSE)), ""food|cooking|recipe|restaurant|"&amp;"snack|grocery|foodies""), ""Food"",
  REGEXMATCH(LOWER(VLOOKUP(A479, Data1_Raw_Slack!A:B, 2, FALSE)), ""travel|vacation|airline|hotel|trip|flights|travelers""), ""Travel"",
  REGEXMATCH(LOWER(VLOOKUP(A479, Data1_Raw_Slack!A:B, 2, FALSE)), ""fitness|workou"&amp;"t|gym|exercise|yoga|wellness|fitness enthusiasts""), ""Fitness"",
  REGEXMATCH(LOWER(VLOOKUP(A479, Data1_Raw_Slack!A:B, 2, FALSE)), ""health|medical|pharmacy|mental health|doctor|health-conscious""), ""Health"",
  REGEXMATCH(LOWER(VLOOKUP(A479, Data1_Raw_"&amp;"Slack!A:B, 2, FALSE)), ""pets|dogs|cats|animals|pet care|pet lovers""), ""Pets"",
  REGEXMATCH(LOWER(VLOOKUP(A479, Data1_Raw_Slack!A:B, 2, FALSE)), ""games|gaming|game|xbox|playstation|nintendo|gamers""), ""Gaming"",
  REGEXMATCH(LOWER(VLOOKUP(A479, Data1"&amp;"_Raw_Slack!A:B, 2, FALSE)), ""entertainment|movies|tv|netflix|streaming|celebrity|movie lovers|tv fans|hobb|photo|art""), ""Entertainment"",
  REGEXMATCH(LOWER(VLOOKUP(A479, Data1_Raw_Slack!A:B, 2, FALSE)), ""lifestyle|home|interior|decor|living|lifestyle"&amp;" enthusiasts""), ""Lifestyle"",
  REGEXMATCH(LOWER(VLOOKUP(A479, Data1_Raw_Slack!A:B, 2, FALSE)), ""financial|finance|investing|stocks|retirement|banking|credit|debt|loans|savings|personal finance|insurance|econ|ecom|business|retail|occupation|sale|job|ma"&amp;"rketing""), ""Finance"",
  REGEXMATCH(LOWER(VLOOKUP(A479, Data1_Raw_Slack!A:B, 2, FALSE)), ""auto|automotive""), ""Auto"",
  REGEXMATCH(LOWER(VLOOKUP(A479, Data1_Raw_Slack!A:B, 2, FALSE)), ""parenting|moms|dads|kids|toddlers|baby|parent|children""), ""Par"&amp;"enting"",
  REGEXMATCH(LOWER(VLOOKUP(A479, Data1_Raw_Slack!A:B, 2, FALSE)), ""education|students|learning|school|teachers|college|university|academics""), ""Education"",
  REGEXMATCH(LOWER(VLOOKUP(A479, Data1_Raw_Slack!A:B, 2, FALSE)), ""age|gender|dem"&amp;"ographic|family|household""), ""Demographics"",
  REGEXMATCH(LOWER(VLOOKUP(A479, Data1_Raw_Slack!A:B, 2, FALSE)), ""mortgage|real estate""), ""Real Estate"",REGEXMATCH(LOWER(VLOOKUP(A479, Data1_Raw_Slack!A:B, 2, FALSE)), ""technology|tech|gadgets|smartpho"&amp;"ne|electro|apps|devices|computing|ai|robots|software|computer|internet|tele|mobile|tablet""), ""Technology"", REGEXMATCH(LOWER(VLOOKUP(A479, Data1_Raw_Slack!A:B, 2, FALSE)), ""entertainment|purchas|movies|tv|netflix|streaming|celebrity|movie lovers|tv fan"&amp;"s|media|hobb|photo|art|shop""), ""Entertainment"", REGEXMATCH(LOWER(VLOOKUP(A479, Data1_Raw_Slack!A:B, 2, FALSE)), ""law|government|""), ""Law and Government"",
  TRUE, ""Other""
)"),"Finance")</f>
        <v>Finance</v>
      </c>
      <c r="G479" s="9" t="s">
        <v>209</v>
      </c>
      <c r="H479" s="9" t="s">
        <v>44</v>
      </c>
      <c r="I479" s="9" t="s">
        <v>649</v>
      </c>
      <c r="J479" s="9" t="s">
        <v>80</v>
      </c>
      <c r="K479" s="9" t="s">
        <v>142</v>
      </c>
      <c r="L479" s="9" t="s">
        <v>72</v>
      </c>
      <c r="M479" s="10" t="s">
        <v>1120</v>
      </c>
      <c r="N479" s="9" t="str">
        <f ca="1">IFERROR(__xludf.DUMMYFUNCTION("REGEXEXTRACT(LOWER(M479), ""([a-z0-9\-]+)\.(?:co|net|org|io|gg)"")"),"yourdailysportfix")</f>
        <v>yourdailysportfix</v>
      </c>
      <c r="O479" s="9" t="s">
        <v>50</v>
      </c>
      <c r="P479" s="9" t="s">
        <v>39</v>
      </c>
      <c r="Q479" s="9">
        <v>11420</v>
      </c>
      <c r="R479" s="9">
        <v>67</v>
      </c>
      <c r="S479" s="9">
        <v>4647</v>
      </c>
      <c r="T479" s="9">
        <v>9909</v>
      </c>
      <c r="U479" s="9">
        <v>9</v>
      </c>
      <c r="V479" s="11">
        <v>3804.64417</v>
      </c>
      <c r="W479" s="12">
        <f t="shared" si="7"/>
        <v>422.73824111111111</v>
      </c>
      <c r="X479" s="12">
        <f t="shared" si="8"/>
        <v>0.58669001751313488</v>
      </c>
      <c r="Y479" s="12">
        <f t="shared" si="9"/>
        <v>40.69176882661997</v>
      </c>
      <c r="Z479" s="12">
        <f t="shared" si="10"/>
        <v>818.73126102862057</v>
      </c>
      <c r="AA479" s="12">
        <f t="shared" si="11"/>
        <v>333.15623204903676</v>
      </c>
      <c r="AB479" s="12">
        <f t="shared" si="12"/>
        <v>56.785733880597014</v>
      </c>
      <c r="AC479" s="12">
        <f t="shared" si="13"/>
        <v>13.432835820895523</v>
      </c>
      <c r="AE479" s="13"/>
      <c r="AF479" s="13"/>
    </row>
    <row r="480" spans="1:32">
      <c r="A480" s="8" t="s">
        <v>1723</v>
      </c>
      <c r="B480" s="9" t="s">
        <v>198</v>
      </c>
      <c r="C480" s="9" t="s">
        <v>1724</v>
      </c>
      <c r="D480" s="9"/>
      <c r="E480" s="9"/>
      <c r="F480" s="9" t="str">
        <f ca="1">IFERROR(__xludf.DUMMYFUNCTION("IFS(
  REGEXMATCH(LOWER(VLOOKUP(A480, Data1_Raw_Slack!A:B, 2, FALSE)), ""news|weather""), ""News and Weather"", REGEXMATCH(LOWER(VLOOKUP(A480, Data1_Raw_Slack!A:B, 2, FALSE)), ""sports|ufc|nba|nfl|mlb|soccer|sports fans""), ""Sports"",
  REGEXMATCH(LOWER("&amp;"VLOOKUP(A480, Data1_Raw_Slack!A:B, 2, FALSE)), ""fashion|style|clothing|apparel|shoes|accessories|beauty|cosmetics|fashionistas""), ""Fashion and Beauty"",
  REGEXMATCH(LOWER(VLOOKUP(A480, Data1_Raw_Slack!A:B, 2, FALSE)), ""food|cooking|recipe|restaurant|"&amp;"snack|grocery|foodies""), ""Food"",
  REGEXMATCH(LOWER(VLOOKUP(A480, Data1_Raw_Slack!A:B, 2, FALSE)), ""travel|vacation|airline|hotel|trip|flights|travelers""), ""Travel"",
  REGEXMATCH(LOWER(VLOOKUP(A480, Data1_Raw_Slack!A:B, 2, FALSE)), ""fitness|workou"&amp;"t|gym|exercise|yoga|wellness|fitness enthusiasts""), ""Fitness"",
  REGEXMATCH(LOWER(VLOOKUP(A480, Data1_Raw_Slack!A:B, 2, FALSE)), ""health|medical|pharmacy|mental health|doctor|health-conscious""), ""Health"",
  REGEXMATCH(LOWER(VLOOKUP(A480, Data1_Raw_"&amp;"Slack!A:B, 2, FALSE)), ""pets|dogs|cats|animals|pet care|pet lovers""), ""Pets"",
  REGEXMATCH(LOWER(VLOOKUP(A480, Data1_Raw_Slack!A:B, 2, FALSE)), ""games|gaming|game|xbox|playstation|nintendo|gamers""), ""Gaming"",
  REGEXMATCH(LOWER(VLOOKUP(A480, Data1"&amp;"_Raw_Slack!A:B, 2, FALSE)), ""entertainment|movies|tv|netflix|streaming|celebrity|movie lovers|tv fans|hobb|photo|art""), ""Entertainment"",
  REGEXMATCH(LOWER(VLOOKUP(A480, Data1_Raw_Slack!A:B, 2, FALSE)), ""lifestyle|home|interior|decor|living|lifestyle"&amp;" enthusiasts""), ""Lifestyle"",
  REGEXMATCH(LOWER(VLOOKUP(A480, Data1_Raw_Slack!A:B, 2, FALSE)), ""financial|finance|investing|stocks|retirement|banking|credit|debt|loans|savings|personal finance|insurance|econ|ecom|business|retail|occupation|sale|job|ma"&amp;"rketing""), ""Finance"",
  REGEXMATCH(LOWER(VLOOKUP(A480, Data1_Raw_Slack!A:B, 2, FALSE)), ""auto|automotive""), ""Auto"",
  REGEXMATCH(LOWER(VLOOKUP(A480, Data1_Raw_Slack!A:B, 2, FALSE)), ""parenting|moms|dads|kids|toddlers|baby|parent|children""), ""Par"&amp;"enting"",
  REGEXMATCH(LOWER(VLOOKUP(A480, Data1_Raw_Slack!A:B, 2, FALSE)), ""education|students|learning|school|teachers|college|university|academics""), ""Education"",
  REGEXMATCH(LOWER(VLOOKUP(A480, Data1_Raw_Slack!A:B, 2, FALSE)), ""age|gender|dem"&amp;"ographic|family|household""), ""Demographics"",
  REGEXMATCH(LOWER(VLOOKUP(A480, Data1_Raw_Slack!A:B, 2, FALSE)), ""mortgage|real estate""), ""Real Estate"",REGEXMATCH(LOWER(VLOOKUP(A480, Data1_Raw_Slack!A:B, 2, FALSE)), ""technology|tech|gadgets|smartpho"&amp;"ne|electro|apps|devices|computing|ai|robots|software|computer|internet|tele|mobile|tablet""), ""Technology"", REGEXMATCH(LOWER(VLOOKUP(A480, Data1_Raw_Slack!A:B, 2, FALSE)), ""entertainment|purchas|movies|tv|netflix|streaming|celebrity|movie lovers|tv fan"&amp;"s|media|hobb|photo|art|shop""), ""Entertainment"", REGEXMATCH(LOWER(VLOOKUP(A480, Data1_Raw_Slack!A:B, 2, FALSE)), ""law|government|""), ""Law and Government"",
  TRUE, ""Other""
)"),"Finance")</f>
        <v>Finance</v>
      </c>
      <c r="G480" s="9"/>
      <c r="H480" s="9" t="s">
        <v>44</v>
      </c>
      <c r="I480" s="9" t="s">
        <v>1725</v>
      </c>
      <c r="J480" s="9" t="s">
        <v>46</v>
      </c>
      <c r="K480" s="9" t="s">
        <v>405</v>
      </c>
      <c r="L480" s="9" t="s">
        <v>72</v>
      </c>
      <c r="M480" s="10" t="s">
        <v>339</v>
      </c>
      <c r="N480" s="9" t="str">
        <f ca="1">IFERROR(__xludf.DUMMYFUNCTION("REGEXEXTRACT(LOWER(M480), ""([a-z0-9\-]+)\.(?:co|net|org|io|gg)"")"),"foxnews")</f>
        <v>foxnews</v>
      </c>
      <c r="O480" s="9" t="s">
        <v>50</v>
      </c>
      <c r="P480" s="9" t="s">
        <v>75</v>
      </c>
      <c r="Q480" s="9">
        <v>19951</v>
      </c>
      <c r="R480" s="9">
        <v>81</v>
      </c>
      <c r="S480" s="9">
        <v>10511</v>
      </c>
      <c r="T480" s="9">
        <v>18132</v>
      </c>
      <c r="U480" s="9">
        <v>15</v>
      </c>
      <c r="V480" s="11">
        <v>1801.14885</v>
      </c>
      <c r="W480" s="12">
        <f t="shared" si="7"/>
        <v>120.07659</v>
      </c>
      <c r="X480" s="12">
        <f t="shared" si="8"/>
        <v>0.40599468698310864</v>
      </c>
      <c r="Y480" s="12">
        <f t="shared" si="9"/>
        <v>52.684075986166114</v>
      </c>
      <c r="Z480" s="12">
        <f t="shared" si="10"/>
        <v>171.35846731995053</v>
      </c>
      <c r="AA480" s="12">
        <f t="shared" si="11"/>
        <v>90.278625131572355</v>
      </c>
      <c r="AB480" s="12">
        <f t="shared" si="12"/>
        <v>22.236405555555557</v>
      </c>
      <c r="AC480" s="12">
        <f t="shared" si="13"/>
        <v>18.518518518518519</v>
      </c>
      <c r="AE480" s="13"/>
      <c r="AF480" s="13"/>
    </row>
    <row r="481" spans="1:32">
      <c r="A481" s="8" t="s">
        <v>1726</v>
      </c>
      <c r="B481" s="9" t="s">
        <v>41</v>
      </c>
      <c r="C481" s="9" t="s">
        <v>42</v>
      </c>
      <c r="D481" s="9" t="s">
        <v>1727</v>
      </c>
      <c r="E481" s="9"/>
      <c r="F481" s="9" t="str">
        <f ca="1">IFERROR(__xludf.DUMMYFUNCTION("IFS(
  REGEXMATCH(LOWER(VLOOKUP(A481, Data1_Raw_Slack!A:B, 2, FALSE)), ""news|weather""), ""News and Weather"", REGEXMATCH(LOWER(VLOOKUP(A481, Data1_Raw_Slack!A:B, 2, FALSE)), ""sports|ufc|nba|nfl|mlb|soccer|sports fans""), ""Sports"",
  REGEXMATCH(LOWER("&amp;"VLOOKUP(A481, Data1_Raw_Slack!A:B, 2, FALSE)), ""fashion|style|clothing|apparel|shoes|accessories|beauty|cosmetics|fashionistas""), ""Fashion and Beauty"",
  REGEXMATCH(LOWER(VLOOKUP(A481, Data1_Raw_Slack!A:B, 2, FALSE)), ""food|cooking|recipe|restaurant|"&amp;"snack|grocery|foodies""), ""Food"",
  REGEXMATCH(LOWER(VLOOKUP(A481, Data1_Raw_Slack!A:B, 2, FALSE)), ""travel|vacation|airline|hotel|trip|flights|travelers""), ""Travel"",
  REGEXMATCH(LOWER(VLOOKUP(A481, Data1_Raw_Slack!A:B, 2, FALSE)), ""fitness|workou"&amp;"t|gym|exercise|yoga|wellness|fitness enthusiasts""), ""Fitness"",
  REGEXMATCH(LOWER(VLOOKUP(A481, Data1_Raw_Slack!A:B, 2, FALSE)), ""health|medical|pharmacy|mental health|doctor|health-conscious""), ""Health"",
  REGEXMATCH(LOWER(VLOOKUP(A481, Data1_Raw_"&amp;"Slack!A:B, 2, FALSE)), ""pets|dogs|cats|animals|pet care|pet lovers""), ""Pets"",
  REGEXMATCH(LOWER(VLOOKUP(A481, Data1_Raw_Slack!A:B, 2, FALSE)), ""games|gaming|game|xbox|playstation|nintendo|gamers""), ""Gaming"",
  REGEXMATCH(LOWER(VLOOKUP(A481, Data1"&amp;"_Raw_Slack!A:B, 2, FALSE)), ""entertainment|movies|tv|netflix|streaming|celebrity|movie lovers|tv fans|hobb|photo|art""), ""Entertainment"",
  REGEXMATCH(LOWER(VLOOKUP(A481, Data1_Raw_Slack!A:B, 2, FALSE)), ""lifestyle|home|interior|decor|living|lifestyle"&amp;" enthusiasts""), ""Lifestyle"",
  REGEXMATCH(LOWER(VLOOKUP(A481, Data1_Raw_Slack!A:B, 2, FALSE)), ""financial|finance|investing|stocks|retirement|banking|credit|debt|loans|savings|personal finance|insurance|econ|ecom|business|retail|occupation|sale|job|ma"&amp;"rketing""), ""Finance"",
  REGEXMATCH(LOWER(VLOOKUP(A481, Data1_Raw_Slack!A:B, 2, FALSE)), ""auto|automotive""), ""Auto"",
  REGEXMATCH(LOWER(VLOOKUP(A481, Data1_Raw_Slack!A:B, 2, FALSE)), ""parenting|moms|dads|kids|toddlers|baby|parent|children""), ""Par"&amp;"enting"",
  REGEXMATCH(LOWER(VLOOKUP(A481, Data1_Raw_Slack!A:B, 2, FALSE)), ""education|students|learning|school|teachers|college|university|academics""), ""Education"",
  REGEXMATCH(LOWER(VLOOKUP(A481, Data1_Raw_Slack!A:B, 2, FALSE)), ""age|gender|dem"&amp;"ographic|family|household""), ""Demographics"",
  REGEXMATCH(LOWER(VLOOKUP(A481, Data1_Raw_Slack!A:B, 2, FALSE)), ""mortgage|real estate""), ""Real Estate"",REGEXMATCH(LOWER(VLOOKUP(A481, Data1_Raw_Slack!A:B, 2, FALSE)), ""technology|tech|gadgets|smartpho"&amp;"ne|electro|apps|devices|computing|ai|robots|software|computer|internet|tele|mobile|tablet""), ""Technology"", REGEXMATCH(LOWER(VLOOKUP(A481, Data1_Raw_Slack!A:B, 2, FALSE)), ""entertainment|purchas|movies|tv|netflix|streaming|celebrity|movie lovers|tv fan"&amp;"s|media|hobb|photo|art|shop""), ""Entertainment"", REGEXMATCH(LOWER(VLOOKUP(A481, Data1_Raw_Slack!A:B, 2, FALSE)), ""law|government|""), ""Law and Government"",
  TRUE, ""Other""
)"),"Lifestyle")</f>
        <v>Lifestyle</v>
      </c>
      <c r="G481" s="9"/>
      <c r="H481" s="9" t="s">
        <v>32</v>
      </c>
      <c r="I481" s="9" t="s">
        <v>1728</v>
      </c>
      <c r="J481" s="9" t="s">
        <v>62</v>
      </c>
      <c r="K481" s="9" t="s">
        <v>56</v>
      </c>
      <c r="L481" s="9" t="s">
        <v>57</v>
      </c>
      <c r="M481" s="10" t="s">
        <v>1168</v>
      </c>
      <c r="N481" s="9" t="str">
        <f ca="1">IFERROR(__xludf.DUMMYFUNCTION("REGEXEXTRACT(LOWER(M481), ""([a-z0-9\-]+)\.(?:co|net|org|io|gg)"")"),"geeksforgeeks")</f>
        <v>geeksforgeeks</v>
      </c>
      <c r="O481" s="9" t="s">
        <v>103</v>
      </c>
      <c r="P481" s="9" t="s">
        <v>39</v>
      </c>
      <c r="Q481" s="9">
        <v>45397</v>
      </c>
      <c r="R481" s="9">
        <v>114</v>
      </c>
      <c r="S481" s="9">
        <v>716</v>
      </c>
      <c r="T481" s="9">
        <v>6867</v>
      </c>
      <c r="U481" s="9">
        <v>15</v>
      </c>
      <c r="V481" s="11">
        <v>4582.4532909999998</v>
      </c>
      <c r="W481" s="12">
        <f t="shared" si="7"/>
        <v>305.49688606666666</v>
      </c>
      <c r="X481" s="12">
        <f t="shared" si="8"/>
        <v>0.25111791528074545</v>
      </c>
      <c r="Y481" s="12">
        <f t="shared" si="9"/>
        <v>1.577196731061524</v>
      </c>
      <c r="Z481" s="12">
        <f t="shared" si="10"/>
        <v>6400.0744287709495</v>
      </c>
      <c r="AA481" s="12">
        <f t="shared" si="11"/>
        <v>100.94176467607991</v>
      </c>
      <c r="AB481" s="12">
        <f t="shared" si="12"/>
        <v>40.196958692982456</v>
      </c>
      <c r="AC481" s="12">
        <f t="shared" si="13"/>
        <v>13.157894736842104</v>
      </c>
      <c r="AE481" s="13"/>
      <c r="AF481" s="13"/>
    </row>
    <row r="482" spans="1:32">
      <c r="A482" s="8" t="s">
        <v>1729</v>
      </c>
      <c r="B482" s="9" t="s">
        <v>41</v>
      </c>
      <c r="C482" s="9" t="s">
        <v>214</v>
      </c>
      <c r="D482" s="9" t="s">
        <v>215</v>
      </c>
      <c r="E482" s="9" t="s">
        <v>1730</v>
      </c>
      <c r="F482" s="9" t="str">
        <f ca="1">IFERROR(__xludf.DUMMYFUNCTION("IFS(
  REGEXMATCH(LOWER(VLOOKUP(A482, Data1_Raw_Slack!A:B, 2, FALSE)), ""news|weather""), ""News and Weather"", REGEXMATCH(LOWER(VLOOKUP(A482, Data1_Raw_Slack!A:B, 2, FALSE)), ""sports|ufc|nba|nfl|mlb|soccer|sports fans""), ""Sports"",
  REGEXMATCH(LOWER("&amp;"VLOOKUP(A482, Data1_Raw_Slack!A:B, 2, FALSE)), ""fashion|style|clothing|apparel|shoes|accessories|beauty|cosmetics|fashionistas""), ""Fashion and Beauty"",
  REGEXMATCH(LOWER(VLOOKUP(A482, Data1_Raw_Slack!A:B, 2, FALSE)), ""food|cooking|recipe|restaurant|"&amp;"snack|grocery|foodies""), ""Food"",
  REGEXMATCH(LOWER(VLOOKUP(A482, Data1_Raw_Slack!A:B, 2, FALSE)), ""travel|vacation|airline|hotel|trip|flights|travelers""), ""Travel"",
  REGEXMATCH(LOWER(VLOOKUP(A482, Data1_Raw_Slack!A:B, 2, FALSE)), ""fitness|workou"&amp;"t|gym|exercise|yoga|wellness|fitness enthusiasts""), ""Fitness"",
  REGEXMATCH(LOWER(VLOOKUP(A482, Data1_Raw_Slack!A:B, 2, FALSE)), ""health|medical|pharmacy|mental health|doctor|health-conscious""), ""Health"",
  REGEXMATCH(LOWER(VLOOKUP(A482, Data1_Raw_"&amp;"Slack!A:B, 2, FALSE)), ""pets|dogs|cats|animals|pet care|pet lovers""), ""Pets"",
  REGEXMATCH(LOWER(VLOOKUP(A482, Data1_Raw_Slack!A:B, 2, FALSE)), ""games|gaming|game|xbox|playstation|nintendo|gamers""), ""Gaming"",
  REGEXMATCH(LOWER(VLOOKUP(A482, Data1"&amp;"_Raw_Slack!A:B, 2, FALSE)), ""entertainment|movies|tv|netflix|streaming|celebrity|movie lovers|tv fans|hobb|photo|art""), ""Entertainment"",
  REGEXMATCH(LOWER(VLOOKUP(A482, Data1_Raw_Slack!A:B, 2, FALSE)), ""lifestyle|home|interior|decor|living|lifestyle"&amp;" enthusiasts""), ""Lifestyle"",
  REGEXMATCH(LOWER(VLOOKUP(A482, Data1_Raw_Slack!A:B, 2, FALSE)), ""financial|finance|investing|stocks|retirement|banking|credit|debt|loans|savings|personal finance|insurance|econ|ecom|business|retail|occupation|sale|job|ma"&amp;"rketing""), ""Finance"",
  REGEXMATCH(LOWER(VLOOKUP(A482, Data1_Raw_Slack!A:B, 2, FALSE)), ""auto|automotive""), ""Auto"",
  REGEXMATCH(LOWER(VLOOKUP(A482, Data1_Raw_Slack!A:B, 2, FALSE)), ""parenting|moms|dads|kids|toddlers|baby|parent|children""), ""Par"&amp;"enting"",
  REGEXMATCH(LOWER(VLOOKUP(A482, Data1_Raw_Slack!A:B, 2, FALSE)), ""education|students|learning|school|teachers|college|university|academics""), ""Education"",
  REGEXMATCH(LOWER(VLOOKUP(A482, Data1_Raw_Slack!A:B, 2, FALSE)), ""age|gender|dem"&amp;"ographic|family|household""), ""Demographics"",
  REGEXMATCH(LOWER(VLOOKUP(A482, Data1_Raw_Slack!A:B, 2, FALSE)), ""mortgage|real estate""), ""Real Estate"",REGEXMATCH(LOWER(VLOOKUP(A482, Data1_Raw_Slack!A:B, 2, FALSE)), ""technology|tech|gadgets|smartpho"&amp;"ne|electro|apps|devices|computing|ai|robots|software|computer|internet|tele|mobile|tablet""), ""Technology"", REGEXMATCH(LOWER(VLOOKUP(A482, Data1_Raw_Slack!A:B, 2, FALSE)), ""entertainment|purchas|movies|tv|netflix|streaming|celebrity|movie lovers|tv fan"&amp;"s|media|hobb|photo|art|shop""), ""Entertainment"", REGEXMATCH(LOWER(VLOOKUP(A482, Data1_Raw_Slack!A:B, 2, FALSE)), ""law|government|""), ""Law and Government"",
  TRUE, ""Other""
)"),"Demographics")</f>
        <v>Demographics</v>
      </c>
      <c r="G482" s="9"/>
      <c r="H482" s="9" t="s">
        <v>32</v>
      </c>
      <c r="I482" s="9" t="s">
        <v>1560</v>
      </c>
      <c r="J482" s="9" t="s">
        <v>62</v>
      </c>
      <c r="K482" s="9" t="s">
        <v>241</v>
      </c>
      <c r="L482" s="9" t="s">
        <v>242</v>
      </c>
      <c r="M482" s="10" t="s">
        <v>49</v>
      </c>
      <c r="N482" s="9" t="str">
        <f ca="1">IFERROR(__xludf.DUMMYFUNCTION("REGEXEXTRACT(LOWER(M482), ""([a-z0-9\-]+)\.(?:co|net|org|io|gg)"")"),"yahoo")</f>
        <v>yahoo</v>
      </c>
      <c r="O482" s="9" t="s">
        <v>74</v>
      </c>
      <c r="P482" s="9" t="s">
        <v>39</v>
      </c>
      <c r="Q482" s="9">
        <v>207685</v>
      </c>
      <c r="R482" s="9">
        <v>512</v>
      </c>
      <c r="S482" s="9">
        <v>20134</v>
      </c>
      <c r="T482" s="9">
        <v>30708</v>
      </c>
      <c r="U482" s="9">
        <v>34</v>
      </c>
      <c r="V482" s="11">
        <v>5239.2047869999997</v>
      </c>
      <c r="W482" s="12">
        <f t="shared" si="7"/>
        <v>154.09425844117646</v>
      </c>
      <c r="X482" s="12">
        <f t="shared" si="8"/>
        <v>0.24652719262344419</v>
      </c>
      <c r="Y482" s="12">
        <f t="shared" si="9"/>
        <v>9.6944892505477043</v>
      </c>
      <c r="Z482" s="12">
        <f t="shared" si="10"/>
        <v>260.21678687791791</v>
      </c>
      <c r="AA482" s="12">
        <f t="shared" si="11"/>
        <v>25.226688432000383</v>
      </c>
      <c r="AB482" s="12">
        <f t="shared" si="12"/>
        <v>10.232821849609374</v>
      </c>
      <c r="AC482" s="12">
        <f t="shared" si="13"/>
        <v>6.640625</v>
      </c>
      <c r="AE482" s="13"/>
      <c r="AF482" s="13"/>
    </row>
    <row r="483" spans="1:32">
      <c r="A483" s="8" t="s">
        <v>1731</v>
      </c>
      <c r="B483" s="9" t="s">
        <v>41</v>
      </c>
      <c r="C483" s="9" t="s">
        <v>657</v>
      </c>
      <c r="D483" s="9" t="s">
        <v>1732</v>
      </c>
      <c r="E483" s="9"/>
      <c r="F483" s="9" t="str">
        <f ca="1">IFERROR(__xludf.DUMMYFUNCTION("IFS(
  REGEXMATCH(LOWER(VLOOKUP(A483, Data1_Raw_Slack!A:B, 2, FALSE)), ""news|weather""), ""News and Weather"", REGEXMATCH(LOWER(VLOOKUP(A483, Data1_Raw_Slack!A:B, 2, FALSE)), ""sports|ufc|nba|nfl|mlb|soccer|sports fans""), ""Sports"",
  REGEXMATCH(LOWER("&amp;"VLOOKUP(A483, Data1_Raw_Slack!A:B, 2, FALSE)), ""fashion|style|clothing|apparel|shoes|accessories|beauty|cosmetics|fashionistas""), ""Fashion and Beauty"",
  REGEXMATCH(LOWER(VLOOKUP(A483, Data1_Raw_Slack!A:B, 2, FALSE)), ""food|cooking|recipe|restaurant|"&amp;"snack|grocery|foodies""), ""Food"",
  REGEXMATCH(LOWER(VLOOKUP(A483, Data1_Raw_Slack!A:B, 2, FALSE)), ""travel|vacation|airline|hotel|trip|flights|travelers""), ""Travel"",
  REGEXMATCH(LOWER(VLOOKUP(A483, Data1_Raw_Slack!A:B, 2, FALSE)), ""fitness|workou"&amp;"t|gym|exercise|yoga|wellness|fitness enthusiasts""), ""Fitness"",
  REGEXMATCH(LOWER(VLOOKUP(A483, Data1_Raw_Slack!A:B, 2, FALSE)), ""health|medical|pharmacy|mental health|doctor|health-conscious""), ""Health"",
  REGEXMATCH(LOWER(VLOOKUP(A483, Data1_Raw_"&amp;"Slack!A:B, 2, FALSE)), ""pets|dogs|cats|animals|pet care|pet lovers""), ""Pets"",
  REGEXMATCH(LOWER(VLOOKUP(A483, Data1_Raw_Slack!A:B, 2, FALSE)), ""games|gaming|game|xbox|playstation|nintendo|gamers""), ""Gaming"",
  REGEXMATCH(LOWER(VLOOKUP(A483, Data1"&amp;"_Raw_Slack!A:B, 2, FALSE)), ""entertainment|movies|tv|netflix|streaming|celebrity|movie lovers|tv fans|hobb|photo|art""), ""Entertainment"",
  REGEXMATCH(LOWER(VLOOKUP(A483, Data1_Raw_Slack!A:B, 2, FALSE)), ""lifestyle|home|interior|decor|living|lifestyle"&amp;" enthusiasts""), ""Lifestyle"",
  REGEXMATCH(LOWER(VLOOKUP(A483, Data1_Raw_Slack!A:B, 2, FALSE)), ""financial|finance|investing|stocks|retirement|banking|credit|debt|loans|savings|personal finance|insurance|econ|ecom|business|retail|occupation|sale|job|ma"&amp;"rketing""), ""Finance"",
  REGEXMATCH(LOWER(VLOOKUP(A483, Data1_Raw_Slack!A:B, 2, FALSE)), ""auto|automotive""), ""Auto"",
  REGEXMATCH(LOWER(VLOOKUP(A483, Data1_Raw_Slack!A:B, 2, FALSE)), ""parenting|moms|dads|kids|toddlers|baby|parent|children""), ""Par"&amp;"enting"",
  REGEXMATCH(LOWER(VLOOKUP(A483, Data1_Raw_Slack!A:B, 2, FALSE)), ""education|students|learning|school|teachers|college|university|academics""), ""Education"",
  REGEXMATCH(LOWER(VLOOKUP(A483, Data1_Raw_Slack!A:B, 2, FALSE)), ""age|gender|dem"&amp;"ographic|family|household""), ""Demographics"",
  REGEXMATCH(LOWER(VLOOKUP(A483, Data1_Raw_Slack!A:B, 2, FALSE)), ""mortgage|real estate""), ""Real Estate"",REGEXMATCH(LOWER(VLOOKUP(A483, Data1_Raw_Slack!A:B, 2, FALSE)), ""technology|tech|gadgets|smartpho"&amp;"ne|electro|apps|devices|computing|ai|robots|software|computer|internet|tele|mobile|tablet""), ""Technology"", REGEXMATCH(LOWER(VLOOKUP(A483, Data1_Raw_Slack!A:B, 2, FALSE)), ""entertainment|purchas|movies|tv|netflix|streaming|celebrity|movie lovers|tv fan"&amp;"s|media|hobb|photo|art|shop""), ""Entertainment"", REGEXMATCH(LOWER(VLOOKUP(A483, Data1_Raw_Slack!A:B, 2, FALSE)), ""law|government|""), ""Law and Government"",
  TRUE, ""Other""
)"),"Finance")</f>
        <v>Finance</v>
      </c>
      <c r="G483" s="9"/>
      <c r="H483" s="9" t="s">
        <v>44</v>
      </c>
      <c r="I483" s="9" t="s">
        <v>1627</v>
      </c>
      <c r="J483" s="9" t="s">
        <v>46</v>
      </c>
      <c r="K483" s="9" t="s">
        <v>170</v>
      </c>
      <c r="L483" s="9" t="s">
        <v>72</v>
      </c>
      <c r="M483" s="10" t="s">
        <v>439</v>
      </c>
      <c r="N483" s="9" t="str">
        <f ca="1">IFERROR(__xludf.DUMMYFUNCTION("REGEXEXTRACT(LOWER(M483), ""([a-z0-9\-]+)\.(?:co|net|org|io|gg)"")"),"people")</f>
        <v>people</v>
      </c>
      <c r="O483" s="9" t="s">
        <v>74</v>
      </c>
      <c r="P483" s="9" t="s">
        <v>39</v>
      </c>
      <c r="Q483" s="9">
        <v>21280</v>
      </c>
      <c r="R483" s="9">
        <v>70</v>
      </c>
      <c r="S483" s="9">
        <v>15309</v>
      </c>
      <c r="T483" s="9">
        <v>20244</v>
      </c>
      <c r="U483" s="9">
        <v>6</v>
      </c>
      <c r="V483" s="11">
        <v>6837.5106020000003</v>
      </c>
      <c r="W483" s="12">
        <f t="shared" si="7"/>
        <v>1139.5851003333335</v>
      </c>
      <c r="X483" s="12">
        <f t="shared" si="8"/>
        <v>0.3289473684210526</v>
      </c>
      <c r="Y483" s="12">
        <f t="shared" si="9"/>
        <v>71.940789473684205</v>
      </c>
      <c r="Z483" s="12">
        <f t="shared" si="10"/>
        <v>446.63339225292316</v>
      </c>
      <c r="AA483" s="12">
        <f t="shared" si="11"/>
        <v>321.31158843984963</v>
      </c>
      <c r="AB483" s="12">
        <f t="shared" si="12"/>
        <v>97.678722885714294</v>
      </c>
      <c r="AC483" s="12">
        <f t="shared" si="13"/>
        <v>8.5714285714285712</v>
      </c>
      <c r="AE483" s="13"/>
      <c r="AF483" s="13"/>
    </row>
    <row r="484" spans="1:32">
      <c r="A484" s="8" t="s">
        <v>1733</v>
      </c>
      <c r="B484" s="9" t="s">
        <v>144</v>
      </c>
      <c r="C484" s="9" t="s">
        <v>1028</v>
      </c>
      <c r="D484" s="9"/>
      <c r="E484" s="9"/>
      <c r="F484" s="9" t="str">
        <f ca="1">IFERROR(__xludf.DUMMYFUNCTION("IFS(
  REGEXMATCH(LOWER(VLOOKUP(A484, Data1_Raw_Slack!A:B, 2, FALSE)), ""news|weather""), ""News and Weather"", REGEXMATCH(LOWER(VLOOKUP(A484, Data1_Raw_Slack!A:B, 2, FALSE)), ""sports|ufc|nba|nfl|mlb|soccer|sports fans""), ""Sports"",
  REGEXMATCH(LOWER("&amp;"VLOOKUP(A484, Data1_Raw_Slack!A:B, 2, FALSE)), ""fashion|style|clothing|apparel|shoes|accessories|beauty|cosmetics|fashionistas""), ""Fashion and Beauty"",
  REGEXMATCH(LOWER(VLOOKUP(A484, Data1_Raw_Slack!A:B, 2, FALSE)), ""food|cooking|recipe|restaurant|"&amp;"snack|grocery|foodies""), ""Food"",
  REGEXMATCH(LOWER(VLOOKUP(A484, Data1_Raw_Slack!A:B, 2, FALSE)), ""travel|vacation|airline|hotel|trip|flights|travelers""), ""Travel"",
  REGEXMATCH(LOWER(VLOOKUP(A484, Data1_Raw_Slack!A:B, 2, FALSE)), ""fitness|workou"&amp;"t|gym|exercise|yoga|wellness|fitness enthusiasts""), ""Fitness"",
  REGEXMATCH(LOWER(VLOOKUP(A484, Data1_Raw_Slack!A:B, 2, FALSE)), ""health|medical|pharmacy|mental health|doctor|health-conscious""), ""Health"",
  REGEXMATCH(LOWER(VLOOKUP(A484, Data1_Raw_"&amp;"Slack!A:B, 2, FALSE)), ""pets|dogs|cats|animals|pet care|pet lovers""), ""Pets"",
  REGEXMATCH(LOWER(VLOOKUP(A484, Data1_Raw_Slack!A:B, 2, FALSE)), ""games|gaming|game|xbox|playstation|nintendo|gamers""), ""Gaming"",
  REGEXMATCH(LOWER(VLOOKUP(A484, Data1"&amp;"_Raw_Slack!A:B, 2, FALSE)), ""entertainment|movies|tv|netflix|streaming|celebrity|movie lovers|tv fans|hobb|photo|art""), ""Entertainment"",
  REGEXMATCH(LOWER(VLOOKUP(A484, Data1_Raw_Slack!A:B, 2, FALSE)), ""lifestyle|home|interior|decor|living|lifestyle"&amp;" enthusiasts""), ""Lifestyle"",
  REGEXMATCH(LOWER(VLOOKUP(A484, Data1_Raw_Slack!A:B, 2, FALSE)), ""financial|finance|investing|stocks|retirement|banking|credit|debt|loans|savings|personal finance|insurance|econ|ecom|business|retail|occupation|sale|job|ma"&amp;"rketing""), ""Finance"",
  REGEXMATCH(LOWER(VLOOKUP(A484, Data1_Raw_Slack!A:B, 2, FALSE)), ""auto|automotive""), ""Auto"",
  REGEXMATCH(LOWER(VLOOKUP(A484, Data1_Raw_Slack!A:B, 2, FALSE)), ""parenting|moms|dads|kids|toddlers|baby|parent|children""), ""Par"&amp;"enting"",
  REGEXMATCH(LOWER(VLOOKUP(A484, Data1_Raw_Slack!A:B, 2, FALSE)), ""education|students|learning|school|teachers|college|university|academics""), ""Education"",
  REGEXMATCH(LOWER(VLOOKUP(A484, Data1_Raw_Slack!A:B, 2, FALSE)), ""age|gender|dem"&amp;"ographic|family|household""), ""Demographics"",
  REGEXMATCH(LOWER(VLOOKUP(A484, Data1_Raw_Slack!A:B, 2, FALSE)), ""mortgage|real estate""), ""Real Estate"",REGEXMATCH(LOWER(VLOOKUP(A484, Data1_Raw_Slack!A:B, 2, FALSE)), ""technology|tech|gadgets|smartpho"&amp;"ne|electro|apps|devices|computing|ai|robots|software|computer|internet|tele|mobile|tablet""), ""Technology"", REGEXMATCH(LOWER(VLOOKUP(A484, Data1_Raw_Slack!A:B, 2, FALSE)), ""entertainment|purchas|movies|tv|netflix|streaming|celebrity|movie lovers|tv fan"&amp;"s|media|hobb|photo|art|shop""), ""Entertainment"", REGEXMATCH(LOWER(VLOOKUP(A484, Data1_Raw_Slack!A:B, 2, FALSE)), ""law|government|""), ""Law and Government"",
  TRUE, ""Other""
)"),"Technology")</f>
        <v>Technology</v>
      </c>
      <c r="G484" s="9" t="s">
        <v>135</v>
      </c>
      <c r="H484" s="9" t="s">
        <v>44</v>
      </c>
      <c r="I484" s="9" t="s">
        <v>376</v>
      </c>
      <c r="J484" s="9" t="s">
        <v>46</v>
      </c>
      <c r="K484" s="9" t="s">
        <v>142</v>
      </c>
      <c r="L484" s="9" t="s">
        <v>72</v>
      </c>
      <c r="M484" s="10" t="s">
        <v>1408</v>
      </c>
      <c r="N484" s="9" t="str">
        <f ca="1">IFERROR(__xludf.DUMMYFUNCTION("REGEXEXTRACT(LOWER(M484), ""([a-z0-9\-]+)\.(?:co|net|org|io|gg)"")"),"politico")</f>
        <v>politico</v>
      </c>
      <c r="O484" s="9" t="s">
        <v>50</v>
      </c>
      <c r="P484" s="9" t="s">
        <v>75</v>
      </c>
      <c r="Q484" s="9">
        <v>22501</v>
      </c>
      <c r="R484" s="9">
        <v>120</v>
      </c>
      <c r="S484" s="9">
        <v>13003</v>
      </c>
      <c r="T484" s="9">
        <v>21286</v>
      </c>
      <c r="U484" s="9">
        <v>9</v>
      </c>
      <c r="V484" s="11">
        <v>1522.517949</v>
      </c>
      <c r="W484" s="12">
        <f t="shared" si="7"/>
        <v>169.16866100000001</v>
      </c>
      <c r="X484" s="12">
        <f t="shared" si="8"/>
        <v>0.53330963068308068</v>
      </c>
      <c r="Y484" s="12">
        <f t="shared" si="9"/>
        <v>57.788542731434156</v>
      </c>
      <c r="Z484" s="12">
        <f t="shared" si="10"/>
        <v>117.0897445974006</v>
      </c>
      <c r="AA484" s="12">
        <f t="shared" si="11"/>
        <v>67.664457090795963</v>
      </c>
      <c r="AB484" s="12">
        <f t="shared" si="12"/>
        <v>12.687649575</v>
      </c>
      <c r="AC484" s="12">
        <f t="shared" si="13"/>
        <v>7.5</v>
      </c>
      <c r="AE484" s="13"/>
      <c r="AF484" s="13"/>
    </row>
    <row r="485" spans="1:32">
      <c r="A485" s="8" t="s">
        <v>1734</v>
      </c>
      <c r="B485" s="9" t="s">
        <v>41</v>
      </c>
      <c r="C485" s="9" t="s">
        <v>209</v>
      </c>
      <c r="D485" s="9" t="s">
        <v>1735</v>
      </c>
      <c r="E485" s="9"/>
      <c r="F485" s="9" t="str">
        <f ca="1">IFERROR(__xludf.DUMMYFUNCTION("IFS(
  REGEXMATCH(LOWER(VLOOKUP(A485, Data1_Raw_Slack!A:B, 2, FALSE)), ""news|weather""), ""News and Weather"", REGEXMATCH(LOWER(VLOOKUP(A485, Data1_Raw_Slack!A:B, 2, FALSE)), ""sports|ufc|nba|nfl|mlb|soccer|sports fans""), ""Sports"",
  REGEXMATCH(LOWER("&amp;"VLOOKUP(A485, Data1_Raw_Slack!A:B, 2, FALSE)), ""fashion|style|clothing|apparel|shoes|accessories|beauty|cosmetics|fashionistas""), ""Fashion and Beauty"",
  REGEXMATCH(LOWER(VLOOKUP(A485, Data1_Raw_Slack!A:B, 2, FALSE)), ""food|cooking|recipe|restaurant|"&amp;"snack|grocery|foodies""), ""Food"",
  REGEXMATCH(LOWER(VLOOKUP(A485, Data1_Raw_Slack!A:B, 2, FALSE)), ""travel|vacation|airline|hotel|trip|flights|travelers""), ""Travel"",
  REGEXMATCH(LOWER(VLOOKUP(A485, Data1_Raw_Slack!A:B, 2, FALSE)), ""fitness|workou"&amp;"t|gym|exercise|yoga|wellness|fitness enthusiasts""), ""Fitness"",
  REGEXMATCH(LOWER(VLOOKUP(A485, Data1_Raw_Slack!A:B, 2, FALSE)), ""health|medical|pharmacy|mental health|doctor|health-conscious""), ""Health"",
  REGEXMATCH(LOWER(VLOOKUP(A485, Data1_Raw_"&amp;"Slack!A:B, 2, FALSE)), ""pets|dogs|cats|animals|pet care|pet lovers""), ""Pets"",
  REGEXMATCH(LOWER(VLOOKUP(A485, Data1_Raw_Slack!A:B, 2, FALSE)), ""games|gaming|game|xbox|playstation|nintendo|gamers""), ""Gaming"",
  REGEXMATCH(LOWER(VLOOKUP(A485, Data1"&amp;"_Raw_Slack!A:B, 2, FALSE)), ""entertainment|movies|tv|netflix|streaming|celebrity|movie lovers|tv fans|hobb|photo|art""), ""Entertainment"",
  REGEXMATCH(LOWER(VLOOKUP(A485, Data1_Raw_Slack!A:B, 2, FALSE)), ""lifestyle|home|interior|decor|living|lifestyle"&amp;" enthusiasts""), ""Lifestyle"",
  REGEXMATCH(LOWER(VLOOKUP(A485, Data1_Raw_Slack!A:B, 2, FALSE)), ""financial|finance|investing|stocks|retirement|banking|credit|debt|loans|savings|personal finance|insurance|econ|ecom|business|retail|occupation|sale|job|ma"&amp;"rketing""), ""Finance"",
  REGEXMATCH(LOWER(VLOOKUP(A485, Data1_Raw_Slack!A:B, 2, FALSE)), ""auto|automotive""), ""Auto"",
  REGEXMATCH(LOWER(VLOOKUP(A485, Data1_Raw_Slack!A:B, 2, FALSE)), ""parenting|moms|dads|kids|toddlers|baby|parent|children""), ""Par"&amp;"enting"",
  REGEXMATCH(LOWER(VLOOKUP(A485, Data1_Raw_Slack!A:B, 2, FALSE)), ""education|students|learning|school|teachers|college|university|academics""), ""Education"",
  REGEXMATCH(LOWER(VLOOKUP(A485, Data1_Raw_Slack!A:B, 2, FALSE)), ""age|gender|dem"&amp;"ographic|family|household""), ""Demographics"",
  REGEXMATCH(LOWER(VLOOKUP(A485, Data1_Raw_Slack!A:B, 2, FALSE)), ""mortgage|real estate""), ""Real Estate"",REGEXMATCH(LOWER(VLOOKUP(A485, Data1_Raw_Slack!A:B, 2, FALSE)), ""technology|tech|gadgets|smartpho"&amp;"ne|electro|apps|devices|computing|ai|robots|software|computer|internet|tele|mobile|tablet""), ""Technology"", REGEXMATCH(LOWER(VLOOKUP(A485, Data1_Raw_Slack!A:B, 2, FALSE)), ""entertainment|purchas|movies|tv|netflix|streaming|celebrity|movie lovers|tv fan"&amp;"s|media|hobb|photo|art|shop""), ""Entertainment"", REGEXMATCH(LOWER(VLOOKUP(A485, Data1_Raw_Slack!A:B, 2, FALSE)), ""law|government|""), ""Law and Government"",
  TRUE, ""Other""
)"),"Finance")</f>
        <v>Finance</v>
      </c>
      <c r="G485" s="9" t="s">
        <v>209</v>
      </c>
      <c r="H485" s="9" t="s">
        <v>44</v>
      </c>
      <c r="I485" s="9" t="s">
        <v>1736</v>
      </c>
      <c r="J485" s="9" t="s">
        <v>62</v>
      </c>
      <c r="K485" s="9" t="s">
        <v>908</v>
      </c>
      <c r="L485" s="9" t="s">
        <v>36</v>
      </c>
      <c r="M485" s="10" t="s">
        <v>207</v>
      </c>
      <c r="N485" s="9" t="str">
        <f ca="1">IFERROR(__xludf.DUMMYFUNCTION("REGEXEXTRACT(LOWER(M485), ""([a-z0-9\-]+)\.(?:co|net|org|io|gg)"")"),"realtor")</f>
        <v>realtor</v>
      </c>
      <c r="O485" s="9" t="s">
        <v>593</v>
      </c>
      <c r="P485" s="9" t="s">
        <v>64</v>
      </c>
      <c r="Q485" s="9">
        <v>114194</v>
      </c>
      <c r="R485" s="9">
        <v>380</v>
      </c>
      <c r="S485" s="9">
        <v>50923</v>
      </c>
      <c r="T485" s="9">
        <v>104074</v>
      </c>
      <c r="U485" s="9">
        <v>2</v>
      </c>
      <c r="V485" s="11">
        <v>4036.0893759999999</v>
      </c>
      <c r="W485" s="12">
        <f t="shared" si="7"/>
        <v>2018.044688</v>
      </c>
      <c r="X485" s="12">
        <f t="shared" si="8"/>
        <v>0.33276704555405712</v>
      </c>
      <c r="Y485" s="12">
        <f t="shared" si="9"/>
        <v>44.593411212498033</v>
      </c>
      <c r="Z485" s="12">
        <f t="shared" si="10"/>
        <v>79.25867242699762</v>
      </c>
      <c r="AA485" s="12">
        <f t="shared" si="11"/>
        <v>35.344145716937845</v>
      </c>
      <c r="AB485" s="12">
        <f t="shared" si="12"/>
        <v>10.621287831578947</v>
      </c>
      <c r="AC485" s="12">
        <f t="shared" si="13"/>
        <v>0.52631578947368418</v>
      </c>
      <c r="AE485" s="13"/>
      <c r="AF485" s="13"/>
    </row>
    <row r="486" spans="1:32">
      <c r="A486" s="8" t="s">
        <v>1737</v>
      </c>
      <c r="B486" s="9"/>
      <c r="C486" s="9" t="s">
        <v>1738</v>
      </c>
      <c r="D486" s="9"/>
      <c r="E486" s="9"/>
      <c r="F486" s="9" t="str">
        <f ca="1">IFERROR(__xludf.DUMMYFUNCTION("IFS(
  REGEXMATCH(LOWER(VLOOKUP(A486, Data1_Raw_Slack!A:B, 2, FALSE)), ""news|weather""), ""News and Weather"", REGEXMATCH(LOWER(VLOOKUP(A486, Data1_Raw_Slack!A:B, 2, FALSE)), ""sports|ufc|nba|nfl|mlb|soccer|sports fans""), ""Sports"",
  REGEXMATCH(LOWER("&amp;"VLOOKUP(A486, Data1_Raw_Slack!A:B, 2, FALSE)), ""fashion|style|clothing|apparel|shoes|accessories|beauty|cosmetics|fashionistas""), ""Fashion and Beauty"",
  REGEXMATCH(LOWER(VLOOKUP(A486, Data1_Raw_Slack!A:B, 2, FALSE)), ""food|cooking|recipe|restaurant|"&amp;"snack|grocery|foodies""), ""Food"",
  REGEXMATCH(LOWER(VLOOKUP(A486, Data1_Raw_Slack!A:B, 2, FALSE)), ""travel|vacation|airline|hotel|trip|flights|travelers""), ""Travel"",
  REGEXMATCH(LOWER(VLOOKUP(A486, Data1_Raw_Slack!A:B, 2, FALSE)), ""fitness|workou"&amp;"t|gym|exercise|yoga|wellness|fitness enthusiasts""), ""Fitness"",
  REGEXMATCH(LOWER(VLOOKUP(A486, Data1_Raw_Slack!A:B, 2, FALSE)), ""health|medical|pharmacy|mental health|doctor|health-conscious""), ""Health"",
  REGEXMATCH(LOWER(VLOOKUP(A486, Data1_Raw_"&amp;"Slack!A:B, 2, FALSE)), ""pets|dogs|cats|animals|pet care|pet lovers""), ""Pets"",
  REGEXMATCH(LOWER(VLOOKUP(A486, Data1_Raw_Slack!A:B, 2, FALSE)), ""games|gaming|game|xbox|playstation|nintendo|gamers""), ""Gaming"",
  REGEXMATCH(LOWER(VLOOKUP(A486, Data1"&amp;"_Raw_Slack!A:B, 2, FALSE)), ""entertainment|movies|tv|netflix|streaming|celebrity|movie lovers|tv fans|hobb|photo|art""), ""Entertainment"",
  REGEXMATCH(LOWER(VLOOKUP(A486, Data1_Raw_Slack!A:B, 2, FALSE)), ""lifestyle|home|interior|decor|living|lifestyle"&amp;" enthusiasts""), ""Lifestyle"",
  REGEXMATCH(LOWER(VLOOKUP(A486, Data1_Raw_Slack!A:B, 2, FALSE)), ""financial|finance|investing|stocks|retirement|banking|credit|debt|loans|savings|personal finance|insurance|econ|ecom|business|retail|occupation|sale|job|ma"&amp;"rketing""), ""Finance"",
  REGEXMATCH(LOWER(VLOOKUP(A486, Data1_Raw_Slack!A:B, 2, FALSE)), ""auto|automotive""), ""Auto"",
  REGEXMATCH(LOWER(VLOOKUP(A486, Data1_Raw_Slack!A:B, 2, FALSE)), ""parenting|moms|dads|kids|toddlers|baby|parent|children""), ""Par"&amp;"enting"",
  REGEXMATCH(LOWER(VLOOKUP(A486, Data1_Raw_Slack!A:B, 2, FALSE)), ""education|students|learning|school|teachers|college|university|academics""), ""Education"",
  REGEXMATCH(LOWER(VLOOKUP(A486, Data1_Raw_Slack!A:B, 2, FALSE)), ""age|gender|dem"&amp;"ographic|family|household""), ""Demographics"",
  REGEXMATCH(LOWER(VLOOKUP(A486, Data1_Raw_Slack!A:B, 2, FALSE)), ""mortgage|real estate""), ""Real Estate"",REGEXMATCH(LOWER(VLOOKUP(A486, Data1_Raw_Slack!A:B, 2, FALSE)), ""technology|tech|gadgets|smartpho"&amp;"ne|electro|apps|devices|computing|ai|robots|software|computer|internet|tele|mobile|tablet""), ""Technology"", REGEXMATCH(LOWER(VLOOKUP(A486, Data1_Raw_Slack!A:B, 2, FALSE)), ""entertainment|purchas|movies|tv|netflix|streaming|celebrity|movie lovers|tv fan"&amp;"s|media|hobb|photo|art|shop""), ""Entertainment"", REGEXMATCH(LOWER(VLOOKUP(A486, Data1_Raw_Slack!A:B, 2, FALSE)), ""law|government|""), ""Law and Government"",
  TRUE, ""Other""
)"),"Law and Government")</f>
        <v>Law and Government</v>
      </c>
      <c r="G486" s="9"/>
      <c r="H486" s="9" t="s">
        <v>32</v>
      </c>
      <c r="I486" s="9" t="s">
        <v>1271</v>
      </c>
      <c r="J486" s="9" t="s">
        <v>80</v>
      </c>
      <c r="K486" s="9" t="s">
        <v>142</v>
      </c>
      <c r="L486" s="9" t="s">
        <v>72</v>
      </c>
      <c r="M486" s="10" t="s">
        <v>102</v>
      </c>
      <c r="N486" s="9" t="str">
        <f ca="1">IFERROR(__xludf.DUMMYFUNCTION("REGEXEXTRACT(LOWER(M486), ""([a-z0-9\-]+)\.(?:co|net|org|io|gg)"")"),"cbsnews")</f>
        <v>cbsnews</v>
      </c>
      <c r="O486" s="9" t="s">
        <v>349</v>
      </c>
      <c r="P486" s="9" t="s">
        <v>39</v>
      </c>
      <c r="Q486" s="9">
        <v>69540</v>
      </c>
      <c r="R486" s="9">
        <v>204</v>
      </c>
      <c r="S486" s="9">
        <v>28713</v>
      </c>
      <c r="T486" s="9">
        <v>62829</v>
      </c>
      <c r="U486" s="9">
        <v>15</v>
      </c>
      <c r="V486" s="11">
        <v>1838.9877300000001</v>
      </c>
      <c r="W486" s="12">
        <f t="shared" si="7"/>
        <v>122.599182</v>
      </c>
      <c r="X486" s="12">
        <f t="shared" si="8"/>
        <v>0.29335634167385677</v>
      </c>
      <c r="Y486" s="12">
        <f t="shared" si="9"/>
        <v>41.28990509059534</v>
      </c>
      <c r="Z486" s="12">
        <f t="shared" si="10"/>
        <v>64.047216591787688</v>
      </c>
      <c r="AA486" s="12">
        <f t="shared" si="11"/>
        <v>26.445034943917168</v>
      </c>
      <c r="AB486" s="12">
        <f t="shared" si="12"/>
        <v>9.0146457352941187</v>
      </c>
      <c r="AC486" s="12">
        <f t="shared" si="13"/>
        <v>7.3529411764705888</v>
      </c>
      <c r="AE486" s="13"/>
      <c r="AF486" s="13"/>
    </row>
    <row r="487" spans="1:32">
      <c r="A487" s="8" t="s">
        <v>1739</v>
      </c>
      <c r="B487" s="9" t="s">
        <v>41</v>
      </c>
      <c r="C487" s="9" t="s">
        <v>127</v>
      </c>
      <c r="D487" s="9" t="s">
        <v>448</v>
      </c>
      <c r="E487" s="9" t="s">
        <v>1740</v>
      </c>
      <c r="F487" s="9" t="str">
        <f ca="1">IFERROR(__xludf.DUMMYFUNCTION("IFS(
  REGEXMATCH(LOWER(VLOOKUP(A487, Data1_Raw_Slack!A:B, 2, FALSE)), ""news|weather""), ""News and Weather"", REGEXMATCH(LOWER(VLOOKUP(A487, Data1_Raw_Slack!A:B, 2, FALSE)), ""sports|ufc|nba|nfl|mlb|soccer|sports fans""), ""Sports"",
  REGEXMATCH(LOWER("&amp;"VLOOKUP(A487, Data1_Raw_Slack!A:B, 2, FALSE)), ""fashion|style|clothing|apparel|shoes|accessories|beauty|cosmetics|fashionistas""), ""Fashion and Beauty"",
  REGEXMATCH(LOWER(VLOOKUP(A487, Data1_Raw_Slack!A:B, 2, FALSE)), ""food|cooking|recipe|restaurant|"&amp;"snack|grocery|foodies""), ""Food"",
  REGEXMATCH(LOWER(VLOOKUP(A487, Data1_Raw_Slack!A:B, 2, FALSE)), ""travel|vacation|airline|hotel|trip|flights|travelers""), ""Travel"",
  REGEXMATCH(LOWER(VLOOKUP(A487, Data1_Raw_Slack!A:B, 2, FALSE)), ""fitness|workou"&amp;"t|gym|exercise|yoga|wellness|fitness enthusiasts""), ""Fitness"",
  REGEXMATCH(LOWER(VLOOKUP(A487, Data1_Raw_Slack!A:B, 2, FALSE)), ""health|medical|pharmacy|mental health|doctor|health-conscious""), ""Health"",
  REGEXMATCH(LOWER(VLOOKUP(A487, Data1_Raw_"&amp;"Slack!A:B, 2, FALSE)), ""pets|dogs|cats|animals|pet care|pet lovers""), ""Pets"",
  REGEXMATCH(LOWER(VLOOKUP(A487, Data1_Raw_Slack!A:B, 2, FALSE)), ""games|gaming|game|xbox|playstation|nintendo|gamers""), ""Gaming"",
  REGEXMATCH(LOWER(VLOOKUP(A487, Data1"&amp;"_Raw_Slack!A:B, 2, FALSE)), ""entertainment|movies|tv|netflix|streaming|celebrity|movie lovers|tv fans|hobb|photo|art""), ""Entertainment"",
  REGEXMATCH(LOWER(VLOOKUP(A487, Data1_Raw_Slack!A:B, 2, FALSE)), ""lifestyle|home|interior|decor|living|lifestyle"&amp;" enthusiasts""), ""Lifestyle"",
  REGEXMATCH(LOWER(VLOOKUP(A487, Data1_Raw_Slack!A:B, 2, FALSE)), ""financial|finance|investing|stocks|retirement|banking|credit|debt|loans|savings|personal finance|insurance|econ|ecom|business|retail|occupation|sale|job|ma"&amp;"rketing""), ""Finance"",
  REGEXMATCH(LOWER(VLOOKUP(A487, Data1_Raw_Slack!A:B, 2, FALSE)), ""auto|automotive""), ""Auto"",
  REGEXMATCH(LOWER(VLOOKUP(A487, Data1_Raw_Slack!A:B, 2, FALSE)), ""parenting|moms|dads|kids|toddlers|baby|parent|children""), ""Par"&amp;"enting"",
  REGEXMATCH(LOWER(VLOOKUP(A487, Data1_Raw_Slack!A:B, 2, FALSE)), ""education|students|learning|school|teachers|college|university|academics""), ""Education"",
  REGEXMATCH(LOWER(VLOOKUP(A487, Data1_Raw_Slack!A:B, 2, FALSE)), ""age|gender|dem"&amp;"ographic|family|household""), ""Demographics"",
  REGEXMATCH(LOWER(VLOOKUP(A487, Data1_Raw_Slack!A:B, 2, FALSE)), ""mortgage|real estate""), ""Real Estate"",REGEXMATCH(LOWER(VLOOKUP(A487, Data1_Raw_Slack!A:B, 2, FALSE)), ""technology|tech|gadgets|smartpho"&amp;"ne|electro|apps|devices|computing|ai|robots|software|computer|internet|tele|mobile|tablet""), ""Technology"", REGEXMATCH(LOWER(VLOOKUP(A487, Data1_Raw_Slack!A:B, 2, FALSE)), ""entertainment|purchas|movies|tv|netflix|streaming|celebrity|movie lovers|tv fan"&amp;"s|media|hobb|photo|art|shop""), ""Entertainment"", REGEXMATCH(LOWER(VLOOKUP(A487, Data1_Raw_Slack!A:B, 2, FALSE)), ""law|government|""), ""Law and Government"",
  TRUE, ""Other""
)"),"Finance")</f>
        <v>Finance</v>
      </c>
      <c r="G487" s="9" t="s">
        <v>127</v>
      </c>
      <c r="H487" s="9" t="s">
        <v>32</v>
      </c>
      <c r="I487" s="9" t="s">
        <v>1161</v>
      </c>
      <c r="J487" s="9" t="s">
        <v>46</v>
      </c>
      <c r="K487" s="9" t="s">
        <v>236</v>
      </c>
      <c r="L487" s="9" t="s">
        <v>82</v>
      </c>
      <c r="M487" s="10" t="s">
        <v>642</v>
      </c>
      <c r="N487" s="9" t="str">
        <f ca="1">IFERROR(__xludf.DUMMYFUNCTION("REGEXEXTRACT(LOWER(M487), ""([a-z0-9\-]+)\.(?:co|net|org|io|gg)"")"),"investing")</f>
        <v>investing</v>
      </c>
      <c r="O487" s="9" t="s">
        <v>186</v>
      </c>
      <c r="P487" s="9" t="s">
        <v>39</v>
      </c>
      <c r="Q487" s="9">
        <v>115673</v>
      </c>
      <c r="R487" s="9">
        <v>410</v>
      </c>
      <c r="S487" s="9">
        <v>52475</v>
      </c>
      <c r="T487" s="9">
        <v>97166</v>
      </c>
      <c r="U487" s="9">
        <v>22</v>
      </c>
      <c r="V487" s="11">
        <v>5045.9379300000001</v>
      </c>
      <c r="W487" s="12">
        <f t="shared" si="7"/>
        <v>229.360815</v>
      </c>
      <c r="X487" s="12">
        <f t="shared" si="8"/>
        <v>0.35444745100412367</v>
      </c>
      <c r="Y487" s="12">
        <f t="shared" si="9"/>
        <v>45.364951198637534</v>
      </c>
      <c r="Z487" s="12">
        <f t="shared" si="10"/>
        <v>96.158893377798961</v>
      </c>
      <c r="AA487" s="12">
        <f t="shared" si="11"/>
        <v>43.622435053988397</v>
      </c>
      <c r="AB487" s="12">
        <f t="shared" si="12"/>
        <v>12.307165682926829</v>
      </c>
      <c r="AC487" s="12">
        <f t="shared" si="13"/>
        <v>5.3658536585365857</v>
      </c>
      <c r="AE487" s="13"/>
      <c r="AF487" s="13"/>
    </row>
    <row r="488" spans="1:32">
      <c r="A488" s="8" t="s">
        <v>1741</v>
      </c>
      <c r="B488" s="9" t="s">
        <v>41</v>
      </c>
      <c r="C488" s="9" t="s">
        <v>193</v>
      </c>
      <c r="D488" s="9" t="s">
        <v>1742</v>
      </c>
      <c r="E488" s="9"/>
      <c r="F488" s="9" t="str">
        <f ca="1">IFERROR(__xludf.DUMMYFUNCTION("IFS(
  REGEXMATCH(LOWER(VLOOKUP(A488, Data1_Raw_Slack!A:B, 2, FALSE)), ""news|weather""), ""News and Weather"", REGEXMATCH(LOWER(VLOOKUP(A488, Data1_Raw_Slack!A:B, 2, FALSE)), ""sports|ufc|nba|nfl|mlb|soccer|sports fans""), ""Sports"",
  REGEXMATCH(LOWER("&amp;"VLOOKUP(A488, Data1_Raw_Slack!A:B, 2, FALSE)), ""fashion|style|clothing|apparel|shoes|accessories|beauty|cosmetics|fashionistas""), ""Fashion and Beauty"",
  REGEXMATCH(LOWER(VLOOKUP(A488, Data1_Raw_Slack!A:B, 2, FALSE)), ""food|cooking|recipe|restaurant|"&amp;"snack|grocery|foodies""), ""Food"",
  REGEXMATCH(LOWER(VLOOKUP(A488, Data1_Raw_Slack!A:B, 2, FALSE)), ""travel|vacation|airline|hotel|trip|flights|travelers""), ""Travel"",
  REGEXMATCH(LOWER(VLOOKUP(A488, Data1_Raw_Slack!A:B, 2, FALSE)), ""fitness|workou"&amp;"t|gym|exercise|yoga|wellness|fitness enthusiasts""), ""Fitness"",
  REGEXMATCH(LOWER(VLOOKUP(A488, Data1_Raw_Slack!A:B, 2, FALSE)), ""health|medical|pharmacy|mental health|doctor|health-conscious""), ""Health"",
  REGEXMATCH(LOWER(VLOOKUP(A488, Data1_Raw_"&amp;"Slack!A:B, 2, FALSE)), ""pets|dogs|cats|animals|pet care|pet lovers""), ""Pets"",
  REGEXMATCH(LOWER(VLOOKUP(A488, Data1_Raw_Slack!A:B, 2, FALSE)), ""games|gaming|game|xbox|playstation|nintendo|gamers""), ""Gaming"",
  REGEXMATCH(LOWER(VLOOKUP(A488, Data1"&amp;"_Raw_Slack!A:B, 2, FALSE)), ""entertainment|movies|tv|netflix|streaming|celebrity|movie lovers|tv fans|hobb|photo|art""), ""Entertainment"",
  REGEXMATCH(LOWER(VLOOKUP(A488, Data1_Raw_Slack!A:B, 2, FALSE)), ""lifestyle|home|interior|decor|living|lifestyle"&amp;" enthusiasts""), ""Lifestyle"",
  REGEXMATCH(LOWER(VLOOKUP(A488, Data1_Raw_Slack!A:B, 2, FALSE)), ""financial|finance|investing|stocks|retirement|banking|credit|debt|loans|savings|personal finance|insurance|econ|ecom|business|retail|occupation|sale|job|ma"&amp;"rketing""), ""Finance"",
  REGEXMATCH(LOWER(VLOOKUP(A488, Data1_Raw_Slack!A:B, 2, FALSE)), ""auto|automotive""), ""Auto"",
  REGEXMATCH(LOWER(VLOOKUP(A488, Data1_Raw_Slack!A:B, 2, FALSE)), ""parenting|moms|dads|kids|toddlers|baby|parent|children""), ""Par"&amp;"enting"",
  REGEXMATCH(LOWER(VLOOKUP(A488, Data1_Raw_Slack!A:B, 2, FALSE)), ""education|students|learning|school|teachers|college|university|academics""), ""Education"",
  REGEXMATCH(LOWER(VLOOKUP(A488, Data1_Raw_Slack!A:B, 2, FALSE)), ""age|gender|dem"&amp;"ographic|family|household""), ""Demographics"",
  REGEXMATCH(LOWER(VLOOKUP(A488, Data1_Raw_Slack!A:B, 2, FALSE)), ""mortgage|real estate""), ""Real Estate"",REGEXMATCH(LOWER(VLOOKUP(A488, Data1_Raw_Slack!A:B, 2, FALSE)), ""technology|tech|gadgets|smartpho"&amp;"ne|electro|apps|devices|computing|ai|robots|software|computer|internet|tele|mobile|tablet""), ""Technology"", REGEXMATCH(LOWER(VLOOKUP(A488, Data1_Raw_Slack!A:B, 2, FALSE)), ""entertainment|purchas|movies|tv|netflix|streaming|celebrity|movie lovers|tv fan"&amp;"s|media|hobb|photo|art|shop""), ""Entertainment"", REGEXMATCH(LOWER(VLOOKUP(A488, Data1_Raw_Slack!A:B, 2, FALSE)), ""law|government|""), ""Law and Government"",
  TRUE, ""Other""
)"),"Entertainment")</f>
        <v>Entertainment</v>
      </c>
      <c r="G488" s="9" t="s">
        <v>69</v>
      </c>
      <c r="H488" s="9" t="s">
        <v>44</v>
      </c>
      <c r="I488" s="9" t="s">
        <v>675</v>
      </c>
      <c r="J488" s="9" t="s">
        <v>80</v>
      </c>
      <c r="K488" s="9" t="s">
        <v>176</v>
      </c>
      <c r="L488" s="9" t="s">
        <v>36</v>
      </c>
      <c r="M488" s="10" t="s">
        <v>1743</v>
      </c>
      <c r="N488" s="9" t="str">
        <f ca="1">IFERROR(__xludf.DUMMYFUNCTION("REGEXEXTRACT(LOWER(M488), ""([a-z0-9\-]+)\.(?:co|net|org|io|gg)"")"),"fox59")</f>
        <v>fox59</v>
      </c>
      <c r="O488" s="9" t="s">
        <v>50</v>
      </c>
      <c r="P488" s="9" t="s">
        <v>39</v>
      </c>
      <c r="Q488" s="9">
        <v>7583</v>
      </c>
      <c r="R488" s="9">
        <v>45</v>
      </c>
      <c r="S488" s="9">
        <v>4608</v>
      </c>
      <c r="T488" s="9">
        <v>5881</v>
      </c>
      <c r="U488" s="9">
        <v>1</v>
      </c>
      <c r="V488" s="11">
        <v>5033.4825780000001</v>
      </c>
      <c r="W488" s="12">
        <f t="shared" si="7"/>
        <v>5033.4825780000001</v>
      </c>
      <c r="X488" s="12">
        <f t="shared" si="8"/>
        <v>0.59343267835948832</v>
      </c>
      <c r="Y488" s="12">
        <f t="shared" si="9"/>
        <v>60.767506264011608</v>
      </c>
      <c r="Z488" s="12">
        <f t="shared" si="10"/>
        <v>1092.3356289062501</v>
      </c>
      <c r="AA488" s="12">
        <f t="shared" si="11"/>
        <v>663.78512171963598</v>
      </c>
      <c r="AB488" s="12">
        <f t="shared" si="12"/>
        <v>111.8551684</v>
      </c>
      <c r="AC488" s="12">
        <f t="shared" si="13"/>
        <v>2.2222222222222223</v>
      </c>
      <c r="AE488" s="13"/>
      <c r="AF488" s="13"/>
    </row>
    <row r="489" spans="1:32">
      <c r="A489" s="8" t="s">
        <v>1744</v>
      </c>
      <c r="B489" s="9" t="s">
        <v>41</v>
      </c>
      <c r="C489" s="9" t="s">
        <v>486</v>
      </c>
      <c r="D489" s="9" t="s">
        <v>193</v>
      </c>
      <c r="E489" s="9"/>
      <c r="F489" s="9" t="str">
        <f ca="1">IFERROR(__xludf.DUMMYFUNCTION("IFS(
  REGEXMATCH(LOWER(VLOOKUP(A489, Data1_Raw_Slack!A:B, 2, FALSE)), ""news|weather""), ""News and Weather"", REGEXMATCH(LOWER(VLOOKUP(A489, Data1_Raw_Slack!A:B, 2, FALSE)), ""sports|ufc|nba|nfl|mlb|soccer|sports fans""), ""Sports"",
  REGEXMATCH(LOWER("&amp;"VLOOKUP(A489, Data1_Raw_Slack!A:B, 2, FALSE)), ""fashion|style|clothing|apparel|shoes|accessories|beauty|cosmetics|fashionistas""), ""Fashion and Beauty"",
  REGEXMATCH(LOWER(VLOOKUP(A489, Data1_Raw_Slack!A:B, 2, FALSE)), ""food|cooking|recipe|restaurant|"&amp;"snack|grocery|foodies""), ""Food"",
  REGEXMATCH(LOWER(VLOOKUP(A489, Data1_Raw_Slack!A:B, 2, FALSE)), ""travel|vacation|airline|hotel|trip|flights|travelers""), ""Travel"",
  REGEXMATCH(LOWER(VLOOKUP(A489, Data1_Raw_Slack!A:B, 2, FALSE)), ""fitness|workou"&amp;"t|gym|exercise|yoga|wellness|fitness enthusiasts""), ""Fitness"",
  REGEXMATCH(LOWER(VLOOKUP(A489, Data1_Raw_Slack!A:B, 2, FALSE)), ""health|medical|pharmacy|mental health|doctor|health-conscious""), ""Health"",
  REGEXMATCH(LOWER(VLOOKUP(A489, Data1_Raw_"&amp;"Slack!A:B, 2, FALSE)), ""pets|dogs|cats|animals|pet care|pet lovers""), ""Pets"",
  REGEXMATCH(LOWER(VLOOKUP(A489, Data1_Raw_Slack!A:B, 2, FALSE)), ""games|gaming|game|xbox|playstation|nintendo|gamers""), ""Gaming"",
  REGEXMATCH(LOWER(VLOOKUP(A489, Data1"&amp;"_Raw_Slack!A:B, 2, FALSE)), ""entertainment|movies|tv|netflix|streaming|celebrity|movie lovers|tv fans|hobb|photo|art""), ""Entertainment"",
  REGEXMATCH(LOWER(VLOOKUP(A489, Data1_Raw_Slack!A:B, 2, FALSE)), ""lifestyle|home|interior|decor|living|lifestyle"&amp;" enthusiasts""), ""Lifestyle"",
  REGEXMATCH(LOWER(VLOOKUP(A489, Data1_Raw_Slack!A:B, 2, FALSE)), ""financial|finance|investing|stocks|retirement|banking|credit|debt|loans|savings|personal finance|insurance|econ|ecom|business|retail|occupation|sale|job|ma"&amp;"rketing""), ""Finance"",
  REGEXMATCH(LOWER(VLOOKUP(A489, Data1_Raw_Slack!A:B, 2, FALSE)), ""auto|automotive""), ""Auto"",
  REGEXMATCH(LOWER(VLOOKUP(A489, Data1_Raw_Slack!A:B, 2, FALSE)), ""parenting|moms|dads|kids|toddlers|baby|parent|children""), ""Par"&amp;"enting"",
  REGEXMATCH(LOWER(VLOOKUP(A489, Data1_Raw_Slack!A:B, 2, FALSE)), ""education|students|learning|school|teachers|college|university|academics""), ""Education"",
  REGEXMATCH(LOWER(VLOOKUP(A489, Data1_Raw_Slack!A:B, 2, FALSE)), ""age|gender|dem"&amp;"ographic|family|household""), ""Demographics"",
  REGEXMATCH(LOWER(VLOOKUP(A489, Data1_Raw_Slack!A:B, 2, FALSE)), ""mortgage|real estate""), ""Real Estate"",REGEXMATCH(LOWER(VLOOKUP(A489, Data1_Raw_Slack!A:B, 2, FALSE)), ""technology|tech|gadgets|smartpho"&amp;"ne|electro|apps|devices|computing|ai|robots|software|computer|internet|tele|mobile|tablet""), ""Technology"", REGEXMATCH(LOWER(VLOOKUP(A489, Data1_Raw_Slack!A:B, 2, FALSE)), ""entertainment|purchas|movies|tv|netflix|streaming|celebrity|movie lovers|tv fan"&amp;"s|media|hobb|photo|art|shop""), ""Entertainment"", REGEXMATCH(LOWER(VLOOKUP(A489, Data1_Raw_Slack!A:B, 2, FALSE)), ""law|government|""), ""Law and Government"",
  TRUE, ""Other""
)"),"Entertainment")</f>
        <v>Entertainment</v>
      </c>
      <c r="G489" s="9" t="s">
        <v>69</v>
      </c>
      <c r="H489" s="9" t="s">
        <v>44</v>
      </c>
      <c r="I489" s="9" t="s">
        <v>1745</v>
      </c>
      <c r="J489" s="9" t="s">
        <v>46</v>
      </c>
      <c r="K489" s="9" t="s">
        <v>236</v>
      </c>
      <c r="L489" s="9" t="s">
        <v>82</v>
      </c>
      <c r="M489" s="10" t="s">
        <v>229</v>
      </c>
      <c r="N489" s="9" t="str">
        <f ca="1">IFERROR(__xludf.DUMMYFUNCTION("REGEXEXTRACT(LOWER(M489), ""([a-z0-9\-]+)\.(?:co|net|org|io|gg)"")"),"msn")</f>
        <v>msn</v>
      </c>
      <c r="O489" s="9" t="s">
        <v>50</v>
      </c>
      <c r="P489" s="9" t="s">
        <v>64</v>
      </c>
      <c r="Q489" s="9">
        <v>29834</v>
      </c>
      <c r="R489" s="9">
        <v>99</v>
      </c>
      <c r="S489" s="9">
        <v>14599</v>
      </c>
      <c r="T489" s="9">
        <v>24656</v>
      </c>
      <c r="U489" s="9">
        <v>14</v>
      </c>
      <c r="V489" s="11">
        <v>6032.8371139999999</v>
      </c>
      <c r="W489" s="12">
        <f t="shared" si="7"/>
        <v>430.91693671428573</v>
      </c>
      <c r="X489" s="12">
        <f t="shared" si="8"/>
        <v>0.33183616008580813</v>
      </c>
      <c r="Y489" s="12">
        <f t="shared" si="9"/>
        <v>48.934102031239526</v>
      </c>
      <c r="Z489" s="12">
        <f t="shared" si="10"/>
        <v>413.236325364751</v>
      </c>
      <c r="AA489" s="12">
        <f t="shared" si="11"/>
        <v>202.2134850841322</v>
      </c>
      <c r="AB489" s="12">
        <f t="shared" si="12"/>
        <v>60.937748626262625</v>
      </c>
      <c r="AC489" s="12">
        <f t="shared" si="13"/>
        <v>14.14141414141414</v>
      </c>
      <c r="AE489" s="13"/>
      <c r="AF489" s="13"/>
    </row>
    <row r="490" spans="1:32">
      <c r="A490" s="8" t="s">
        <v>1746</v>
      </c>
      <c r="B490" s="9" t="s">
        <v>66</v>
      </c>
      <c r="C490" s="9" t="s">
        <v>420</v>
      </c>
      <c r="D490" s="9" t="s">
        <v>421</v>
      </c>
      <c r="E490" s="9" t="s">
        <v>1747</v>
      </c>
      <c r="F490" s="9" t="str">
        <f ca="1">IFERROR(__xludf.DUMMYFUNCTION("IFS(
  REGEXMATCH(LOWER(VLOOKUP(A490, Data1_Raw_Slack!A:B, 2, FALSE)), ""news|weather""), ""News and Weather"", REGEXMATCH(LOWER(VLOOKUP(A490, Data1_Raw_Slack!A:B, 2, FALSE)), ""sports|ufc|nba|nfl|mlb|soccer|sports fans""), ""Sports"",
  REGEXMATCH(LOWER("&amp;"VLOOKUP(A490, Data1_Raw_Slack!A:B, 2, FALSE)), ""fashion|style|clothing|apparel|shoes|accessories|beauty|cosmetics|fashionistas""), ""Fashion and Beauty"",
  REGEXMATCH(LOWER(VLOOKUP(A490, Data1_Raw_Slack!A:B, 2, FALSE)), ""food|cooking|recipe|restaurant|"&amp;"snack|grocery|foodies""), ""Food"",
  REGEXMATCH(LOWER(VLOOKUP(A490, Data1_Raw_Slack!A:B, 2, FALSE)), ""travel|vacation|airline|hotel|trip|flights|travelers""), ""Travel"",
  REGEXMATCH(LOWER(VLOOKUP(A490, Data1_Raw_Slack!A:B, 2, FALSE)), ""fitness|workou"&amp;"t|gym|exercise|yoga|wellness|fitness enthusiasts""), ""Fitness"",
  REGEXMATCH(LOWER(VLOOKUP(A490, Data1_Raw_Slack!A:B, 2, FALSE)), ""health|medical|pharmacy|mental health|doctor|health-conscious""), ""Health"",
  REGEXMATCH(LOWER(VLOOKUP(A490, Data1_Raw_"&amp;"Slack!A:B, 2, FALSE)), ""pets|dogs|cats|animals|pet care|pet lovers""), ""Pets"",
  REGEXMATCH(LOWER(VLOOKUP(A490, Data1_Raw_Slack!A:B, 2, FALSE)), ""games|gaming|game|xbox|playstation|nintendo|gamers""), ""Gaming"",
  REGEXMATCH(LOWER(VLOOKUP(A490, Data1"&amp;"_Raw_Slack!A:B, 2, FALSE)), ""entertainment|movies|tv|netflix|streaming|celebrity|movie lovers|tv fans|hobb|photo|art""), ""Entertainment"",
  REGEXMATCH(LOWER(VLOOKUP(A490, Data1_Raw_Slack!A:B, 2, FALSE)), ""lifestyle|home|interior|decor|living|lifestyle"&amp;" enthusiasts""), ""Lifestyle"",
  REGEXMATCH(LOWER(VLOOKUP(A490, Data1_Raw_Slack!A:B, 2, FALSE)), ""financial|finance|investing|stocks|retirement|banking|credit|debt|loans|savings|personal finance|insurance|econ|ecom|business|retail|occupation|sale|job|ma"&amp;"rketing""), ""Finance"",
  REGEXMATCH(LOWER(VLOOKUP(A490, Data1_Raw_Slack!A:B, 2, FALSE)), ""auto|automotive""), ""Auto"",
  REGEXMATCH(LOWER(VLOOKUP(A490, Data1_Raw_Slack!A:B, 2, FALSE)), ""parenting|moms|dads|kids|toddlers|baby|parent|children""), ""Par"&amp;"enting"",
  REGEXMATCH(LOWER(VLOOKUP(A490, Data1_Raw_Slack!A:B, 2, FALSE)), ""education|students|learning|school|teachers|college|university|academics""), ""Education"",
  REGEXMATCH(LOWER(VLOOKUP(A490, Data1_Raw_Slack!A:B, 2, FALSE)), ""age|gender|dem"&amp;"ographic|family|household""), ""Demographics"",
  REGEXMATCH(LOWER(VLOOKUP(A490, Data1_Raw_Slack!A:B, 2, FALSE)), ""mortgage|real estate""), ""Real Estate"",REGEXMATCH(LOWER(VLOOKUP(A490, Data1_Raw_Slack!A:B, 2, FALSE)), ""technology|tech|gadgets|smartpho"&amp;"ne|electro|apps|devices|computing|ai|robots|software|computer|internet|tele|mobile|tablet""), ""Technology"", REGEXMATCH(LOWER(VLOOKUP(A490, Data1_Raw_Slack!A:B, 2, FALSE)), ""entertainment|purchas|movies|tv|netflix|streaming|celebrity|movie lovers|tv fan"&amp;"s|media|hobb|photo|art|shop""), ""Entertainment"", REGEXMATCH(LOWER(VLOOKUP(A490, Data1_Raw_Slack!A:B, 2, FALSE)), ""law|government|""), ""Law and Government"",
  TRUE, ""Other""
)"),"Fashion and Beauty")</f>
        <v>Fashion and Beauty</v>
      </c>
      <c r="G490" s="9"/>
      <c r="H490" s="9" t="s">
        <v>44</v>
      </c>
      <c r="I490" s="9" t="s">
        <v>1748</v>
      </c>
      <c r="J490" s="9" t="s">
        <v>62</v>
      </c>
      <c r="K490" s="9" t="s">
        <v>895</v>
      </c>
      <c r="L490" s="9" t="s">
        <v>265</v>
      </c>
      <c r="M490" s="10" t="s">
        <v>574</v>
      </c>
      <c r="N490" s="9" t="str">
        <f ca="1">IFERROR(__xludf.DUMMYFUNCTION("REGEXEXTRACT(LOWER(M490), ""([a-z0-9\-]+)\.(?:co|net|org|io|gg)"")"),"dailymail")</f>
        <v>dailymail</v>
      </c>
      <c r="O490" s="9" t="s">
        <v>74</v>
      </c>
      <c r="P490" s="9" t="s">
        <v>39</v>
      </c>
      <c r="Q490" s="9">
        <v>14922</v>
      </c>
      <c r="R490" s="9">
        <v>99</v>
      </c>
      <c r="S490" s="9">
        <v>10713</v>
      </c>
      <c r="T490" s="9">
        <v>13992</v>
      </c>
      <c r="U490" s="9">
        <v>5</v>
      </c>
      <c r="V490" s="11">
        <v>1578.876432</v>
      </c>
      <c r="W490" s="12">
        <f t="shared" si="7"/>
        <v>315.77528640000003</v>
      </c>
      <c r="X490" s="12">
        <f t="shared" si="8"/>
        <v>0.66344993968636912</v>
      </c>
      <c r="Y490" s="12">
        <f t="shared" si="9"/>
        <v>71.793325291515885</v>
      </c>
      <c r="Z490" s="12">
        <f t="shared" si="10"/>
        <v>147.37948585830298</v>
      </c>
      <c r="AA490" s="12">
        <f t="shared" si="11"/>
        <v>105.80863369521512</v>
      </c>
      <c r="AB490" s="12">
        <f t="shared" si="12"/>
        <v>15.948246787878787</v>
      </c>
      <c r="AC490" s="12">
        <f t="shared" si="13"/>
        <v>5.0505050505050502</v>
      </c>
      <c r="AE490" s="13"/>
      <c r="AF490" s="13"/>
    </row>
    <row r="491" spans="1:32">
      <c r="A491" s="8" t="s">
        <v>1749</v>
      </c>
      <c r="B491" s="9"/>
      <c r="C491" s="9" t="s">
        <v>1750</v>
      </c>
      <c r="D491" s="9"/>
      <c r="E491" s="9"/>
      <c r="F491" s="9" t="str">
        <f ca="1">IFERROR(__xludf.DUMMYFUNCTION("IFS(
  REGEXMATCH(LOWER(VLOOKUP(A491, Data1_Raw_Slack!A:B, 2, FALSE)), ""news|weather""), ""News and Weather"", REGEXMATCH(LOWER(VLOOKUP(A491, Data1_Raw_Slack!A:B, 2, FALSE)), ""sports|ufc|nba|nfl|mlb|soccer|sports fans""), ""Sports"",
  REGEXMATCH(LOWER("&amp;"VLOOKUP(A491, Data1_Raw_Slack!A:B, 2, FALSE)), ""fashion|style|clothing|apparel|shoes|accessories|beauty|cosmetics|fashionistas""), ""Fashion and Beauty"",
  REGEXMATCH(LOWER(VLOOKUP(A491, Data1_Raw_Slack!A:B, 2, FALSE)), ""food|cooking|recipe|restaurant|"&amp;"snack|grocery|foodies""), ""Food"",
  REGEXMATCH(LOWER(VLOOKUP(A491, Data1_Raw_Slack!A:B, 2, FALSE)), ""travel|vacation|airline|hotel|trip|flights|travelers""), ""Travel"",
  REGEXMATCH(LOWER(VLOOKUP(A491, Data1_Raw_Slack!A:B, 2, FALSE)), ""fitness|workou"&amp;"t|gym|exercise|yoga|wellness|fitness enthusiasts""), ""Fitness"",
  REGEXMATCH(LOWER(VLOOKUP(A491, Data1_Raw_Slack!A:B, 2, FALSE)), ""health|medical|pharmacy|mental health|doctor|health-conscious""), ""Health"",
  REGEXMATCH(LOWER(VLOOKUP(A491, Data1_Raw_"&amp;"Slack!A:B, 2, FALSE)), ""pets|dogs|cats|animals|pet care|pet lovers""), ""Pets"",
  REGEXMATCH(LOWER(VLOOKUP(A491, Data1_Raw_Slack!A:B, 2, FALSE)), ""games|gaming|game|xbox|playstation|nintendo|gamers""), ""Gaming"",
  REGEXMATCH(LOWER(VLOOKUP(A491, Data1"&amp;"_Raw_Slack!A:B, 2, FALSE)), ""entertainment|movies|tv|netflix|streaming|celebrity|movie lovers|tv fans|hobb|photo|art""), ""Entertainment"",
  REGEXMATCH(LOWER(VLOOKUP(A491, Data1_Raw_Slack!A:B, 2, FALSE)), ""lifestyle|home|interior|decor|living|lifestyle"&amp;" enthusiasts""), ""Lifestyle"",
  REGEXMATCH(LOWER(VLOOKUP(A491, Data1_Raw_Slack!A:B, 2, FALSE)), ""financial|finance|investing|stocks|retirement|banking|credit|debt|loans|savings|personal finance|insurance|econ|ecom|business|retail|occupation|sale|job|ma"&amp;"rketing""), ""Finance"",
  REGEXMATCH(LOWER(VLOOKUP(A491, Data1_Raw_Slack!A:B, 2, FALSE)), ""auto|automotive""), ""Auto"",
  REGEXMATCH(LOWER(VLOOKUP(A491, Data1_Raw_Slack!A:B, 2, FALSE)), ""parenting|moms|dads|kids|toddlers|baby|parent|children""), ""Par"&amp;"enting"",
  REGEXMATCH(LOWER(VLOOKUP(A491, Data1_Raw_Slack!A:B, 2, FALSE)), ""education|students|learning|school|teachers|college|university|academics""), ""Education"",
  REGEXMATCH(LOWER(VLOOKUP(A491, Data1_Raw_Slack!A:B, 2, FALSE)), ""age|gender|dem"&amp;"ographic|family|household""), ""Demographics"",
  REGEXMATCH(LOWER(VLOOKUP(A491, Data1_Raw_Slack!A:B, 2, FALSE)), ""mortgage|real estate""), ""Real Estate"",REGEXMATCH(LOWER(VLOOKUP(A491, Data1_Raw_Slack!A:B, 2, FALSE)), ""technology|tech|gadgets|smartpho"&amp;"ne|electro|apps|devices|computing|ai|robots|software|computer|internet|tele|mobile|tablet""), ""Technology"", REGEXMATCH(LOWER(VLOOKUP(A491, Data1_Raw_Slack!A:B, 2, FALSE)), ""entertainment|purchas|movies|tv|netflix|streaming|celebrity|movie lovers|tv fan"&amp;"s|media|hobb|photo|art|shop""), ""Entertainment"", REGEXMATCH(LOWER(VLOOKUP(A491, Data1_Raw_Slack!A:B, 2, FALSE)), ""law|government|""), ""Law and Government"",
  TRUE, ""Other""
)"),"Technology")</f>
        <v>Technology</v>
      </c>
      <c r="G491" s="9" t="s">
        <v>135</v>
      </c>
      <c r="H491" s="9" t="s">
        <v>32</v>
      </c>
      <c r="I491" s="9" t="s">
        <v>1751</v>
      </c>
      <c r="J491" s="9" t="s">
        <v>46</v>
      </c>
      <c r="K491" s="9" t="s">
        <v>142</v>
      </c>
      <c r="L491" s="9" t="s">
        <v>72</v>
      </c>
      <c r="M491" s="10" t="s">
        <v>166</v>
      </c>
      <c r="N491" s="9" t="str">
        <f ca="1">IFERROR(__xludf.DUMMYFUNCTION("REGEXEXTRACT(LOWER(M491), ""([a-z0-9\-]+)\.(?:co|net|org|io|gg)"")"),"nypost")</f>
        <v>nypost</v>
      </c>
      <c r="O491" s="9" t="s">
        <v>50</v>
      </c>
      <c r="P491" s="9" t="s">
        <v>39</v>
      </c>
      <c r="Q491" s="9">
        <v>29092</v>
      </c>
      <c r="R491" s="9">
        <v>75</v>
      </c>
      <c r="S491" s="9">
        <v>16986</v>
      </c>
      <c r="T491" s="9">
        <v>26606</v>
      </c>
      <c r="U491" s="9">
        <v>15</v>
      </c>
      <c r="V491" s="11">
        <v>1801.0581110000001</v>
      </c>
      <c r="W491" s="12">
        <f t="shared" si="7"/>
        <v>120.07054073333333</v>
      </c>
      <c r="X491" s="12">
        <f t="shared" si="8"/>
        <v>0.25780283239378521</v>
      </c>
      <c r="Y491" s="12">
        <f t="shared" si="9"/>
        <v>58.387185480544481</v>
      </c>
      <c r="Z491" s="12">
        <f t="shared" si="10"/>
        <v>106.03191516543035</v>
      </c>
      <c r="AA491" s="12">
        <f t="shared" si="11"/>
        <v>61.909050976213393</v>
      </c>
      <c r="AB491" s="12">
        <f t="shared" si="12"/>
        <v>24.014108146666668</v>
      </c>
      <c r="AC491" s="12">
        <f t="shared" si="13"/>
        <v>20</v>
      </c>
      <c r="AE491" s="13"/>
      <c r="AF491" s="13"/>
    </row>
    <row r="492" spans="1:32">
      <c r="A492" s="8" t="s">
        <v>1752</v>
      </c>
      <c r="B492" s="9" t="s">
        <v>41</v>
      </c>
      <c r="C492" s="9" t="s">
        <v>162</v>
      </c>
      <c r="D492" s="9" t="s">
        <v>163</v>
      </c>
      <c r="E492" s="9" t="s">
        <v>1364</v>
      </c>
      <c r="F492" s="9" t="str">
        <f ca="1">IFERROR(__xludf.DUMMYFUNCTION("IFS(
  REGEXMATCH(LOWER(VLOOKUP(A492, Data1_Raw_Slack!A:B, 2, FALSE)), ""news|weather""), ""News and Weather"", REGEXMATCH(LOWER(VLOOKUP(A492, Data1_Raw_Slack!A:B, 2, FALSE)), ""sports|ufc|nba|nfl|mlb|soccer|sports fans""), ""Sports"",
  REGEXMATCH(LOWER("&amp;"VLOOKUP(A492, Data1_Raw_Slack!A:B, 2, FALSE)), ""fashion|style|clothing|apparel|shoes|accessories|beauty|cosmetics|fashionistas""), ""Fashion and Beauty"",
  REGEXMATCH(LOWER(VLOOKUP(A492, Data1_Raw_Slack!A:B, 2, FALSE)), ""food|cooking|recipe|restaurant|"&amp;"snack|grocery|foodies""), ""Food"",
  REGEXMATCH(LOWER(VLOOKUP(A492, Data1_Raw_Slack!A:B, 2, FALSE)), ""travel|vacation|airline|hotel|trip|flights|travelers""), ""Travel"",
  REGEXMATCH(LOWER(VLOOKUP(A492, Data1_Raw_Slack!A:B, 2, FALSE)), ""fitness|workou"&amp;"t|gym|exercise|yoga|wellness|fitness enthusiasts""), ""Fitness"",
  REGEXMATCH(LOWER(VLOOKUP(A492, Data1_Raw_Slack!A:B, 2, FALSE)), ""health|medical|pharmacy|mental health|doctor|health-conscious""), ""Health"",
  REGEXMATCH(LOWER(VLOOKUP(A492, Data1_Raw_"&amp;"Slack!A:B, 2, FALSE)), ""pets|dogs|cats|animals|pet care|pet lovers""), ""Pets"",
  REGEXMATCH(LOWER(VLOOKUP(A492, Data1_Raw_Slack!A:B, 2, FALSE)), ""games|gaming|game|xbox|playstation|nintendo|gamers""), ""Gaming"",
  REGEXMATCH(LOWER(VLOOKUP(A492, Data1"&amp;"_Raw_Slack!A:B, 2, FALSE)), ""entertainment|movies|tv|netflix|streaming|celebrity|movie lovers|tv fans|hobb|photo|art""), ""Entertainment"",
  REGEXMATCH(LOWER(VLOOKUP(A492, Data1_Raw_Slack!A:B, 2, FALSE)), ""lifestyle|home|interior|decor|living|lifestyle"&amp;" enthusiasts""), ""Lifestyle"",
  REGEXMATCH(LOWER(VLOOKUP(A492, Data1_Raw_Slack!A:B, 2, FALSE)), ""financial|finance|investing|stocks|retirement|banking|credit|debt|loans|savings|personal finance|insurance|econ|ecom|business|retail|occupation|sale|job|ma"&amp;"rketing""), ""Finance"",
  REGEXMATCH(LOWER(VLOOKUP(A492, Data1_Raw_Slack!A:B, 2, FALSE)), ""auto|automotive""), ""Auto"",
  REGEXMATCH(LOWER(VLOOKUP(A492, Data1_Raw_Slack!A:B, 2, FALSE)), ""parenting|moms|dads|kids|toddlers|baby|parent|children""), ""Par"&amp;"enting"",
  REGEXMATCH(LOWER(VLOOKUP(A492, Data1_Raw_Slack!A:B, 2, FALSE)), ""education|students|learning|school|teachers|college|university|academics""), ""Education"",
  REGEXMATCH(LOWER(VLOOKUP(A492, Data1_Raw_Slack!A:B, 2, FALSE)), ""age|gender|dem"&amp;"ographic|family|household""), ""Demographics"",
  REGEXMATCH(LOWER(VLOOKUP(A492, Data1_Raw_Slack!A:B, 2, FALSE)), ""mortgage|real estate""), ""Real Estate"",REGEXMATCH(LOWER(VLOOKUP(A492, Data1_Raw_Slack!A:B, 2, FALSE)), ""technology|tech|gadgets|smartpho"&amp;"ne|electro|apps|devices|computing|ai|robots|software|computer|internet|tele|mobile|tablet""), ""Technology"", REGEXMATCH(LOWER(VLOOKUP(A492, Data1_Raw_Slack!A:B, 2, FALSE)), ""entertainment|purchas|movies|tv|netflix|streaming|celebrity|movie lovers|tv fan"&amp;"s|media|hobb|photo|art|shop""), ""Entertainment"", REGEXMATCH(LOWER(VLOOKUP(A492, Data1_Raw_Slack!A:B, 2, FALSE)), ""law|government|""), ""Law and Government"",
  TRUE, ""Other""
)"),"Auto")</f>
        <v>Auto</v>
      </c>
      <c r="G492" s="9" t="s">
        <v>122</v>
      </c>
      <c r="H492" s="9" t="s">
        <v>44</v>
      </c>
      <c r="I492" s="9" t="s">
        <v>1753</v>
      </c>
      <c r="J492" s="9" t="s">
        <v>62</v>
      </c>
      <c r="K492" s="9" t="s">
        <v>142</v>
      </c>
      <c r="L492" s="9" t="s">
        <v>72</v>
      </c>
      <c r="M492" s="10" t="s">
        <v>1754</v>
      </c>
      <c r="N492" s="9" t="str">
        <f ca="1">IFERROR(__xludf.DUMMYFUNCTION("REGEXEXTRACT(LOWER(M492), ""([a-z0-9\-]+)\.(?:co|net|org|io|gg)"")"),"iflscience")</f>
        <v>iflscience</v>
      </c>
      <c r="O492" s="9" t="s">
        <v>50</v>
      </c>
      <c r="P492" s="9" t="s">
        <v>39</v>
      </c>
      <c r="Q492" s="9">
        <v>11672</v>
      </c>
      <c r="R492" s="9">
        <v>84</v>
      </c>
      <c r="S492" s="9">
        <v>7619</v>
      </c>
      <c r="T492" s="9">
        <v>9999</v>
      </c>
      <c r="U492" s="9">
        <v>7</v>
      </c>
      <c r="V492" s="11">
        <v>5284.2770399999999</v>
      </c>
      <c r="W492" s="12">
        <f t="shared" si="7"/>
        <v>754.89671999999996</v>
      </c>
      <c r="X492" s="12">
        <f t="shared" si="8"/>
        <v>0.71967100753941049</v>
      </c>
      <c r="Y492" s="12">
        <f t="shared" si="9"/>
        <v>65.275873886223451</v>
      </c>
      <c r="Z492" s="12">
        <f t="shared" si="10"/>
        <v>693.5656962856018</v>
      </c>
      <c r="AA492" s="12">
        <f t="shared" si="11"/>
        <v>452.73106922549687</v>
      </c>
      <c r="AB492" s="12">
        <f t="shared" si="12"/>
        <v>62.908059999999999</v>
      </c>
      <c r="AC492" s="12">
        <f t="shared" si="13"/>
        <v>8.3333333333333321</v>
      </c>
      <c r="AE492" s="13"/>
      <c r="AF492" s="13"/>
    </row>
    <row r="493" spans="1:32">
      <c r="A493" s="8" t="s">
        <v>1755</v>
      </c>
      <c r="B493" s="9" t="s">
        <v>1756</v>
      </c>
      <c r="C493" s="9" t="s">
        <v>1756</v>
      </c>
      <c r="D493" s="9" t="s">
        <v>1757</v>
      </c>
      <c r="E493" s="9"/>
      <c r="F493" s="9" t="str">
        <f ca="1">IFERROR(__xludf.DUMMYFUNCTION("IFS(
  REGEXMATCH(LOWER(VLOOKUP(A493, Data1_Raw_Slack!A:B, 2, FALSE)), ""news|weather""), ""News and Weather"", REGEXMATCH(LOWER(VLOOKUP(A493, Data1_Raw_Slack!A:B, 2, FALSE)), ""sports|ufc|nba|nfl|mlb|soccer|sports fans""), ""Sports"",
  REGEXMATCH(LOWER("&amp;"VLOOKUP(A493, Data1_Raw_Slack!A:B, 2, FALSE)), ""fashion|style|clothing|apparel|shoes|accessories|beauty|cosmetics|fashionistas""), ""Fashion and Beauty"",
  REGEXMATCH(LOWER(VLOOKUP(A493, Data1_Raw_Slack!A:B, 2, FALSE)), ""food|cooking|recipe|restaurant|"&amp;"snack|grocery|foodies""), ""Food"",
  REGEXMATCH(LOWER(VLOOKUP(A493, Data1_Raw_Slack!A:B, 2, FALSE)), ""travel|vacation|airline|hotel|trip|flights|travelers""), ""Travel"",
  REGEXMATCH(LOWER(VLOOKUP(A493, Data1_Raw_Slack!A:B, 2, FALSE)), ""fitness|workou"&amp;"t|gym|exercise|yoga|wellness|fitness enthusiasts""), ""Fitness"",
  REGEXMATCH(LOWER(VLOOKUP(A493, Data1_Raw_Slack!A:B, 2, FALSE)), ""health|medical|pharmacy|mental health|doctor|health-conscious""), ""Health"",
  REGEXMATCH(LOWER(VLOOKUP(A493, Data1_Raw_"&amp;"Slack!A:B, 2, FALSE)), ""pets|dogs|cats|animals|pet care|pet lovers""), ""Pets"",
  REGEXMATCH(LOWER(VLOOKUP(A493, Data1_Raw_Slack!A:B, 2, FALSE)), ""games|gaming|game|xbox|playstation|nintendo|gamers""), ""Gaming"",
  REGEXMATCH(LOWER(VLOOKUP(A493, Data1"&amp;"_Raw_Slack!A:B, 2, FALSE)), ""entertainment|movies|tv|netflix|streaming|celebrity|movie lovers|tv fans|hobb|photo|art""), ""Entertainment"",
  REGEXMATCH(LOWER(VLOOKUP(A493, Data1_Raw_Slack!A:B, 2, FALSE)), ""lifestyle|home|interior|decor|living|lifestyle"&amp;" enthusiasts""), ""Lifestyle"",
  REGEXMATCH(LOWER(VLOOKUP(A493, Data1_Raw_Slack!A:B, 2, FALSE)), ""financial|finance|investing|stocks|retirement|banking|credit|debt|loans|savings|personal finance|insurance|econ|ecom|business|retail|occupation|sale|job|ma"&amp;"rketing""), ""Finance"",
  REGEXMATCH(LOWER(VLOOKUP(A493, Data1_Raw_Slack!A:B, 2, FALSE)), ""auto|automotive""), ""Auto"",
  REGEXMATCH(LOWER(VLOOKUP(A493, Data1_Raw_Slack!A:B, 2, FALSE)), ""parenting|moms|dads|kids|toddlers|baby|parent|children""), ""Par"&amp;"enting"",
  REGEXMATCH(LOWER(VLOOKUP(A493, Data1_Raw_Slack!A:B, 2, FALSE)), ""education|students|learning|school|teachers|college|university|academics""), ""Education"",
  REGEXMATCH(LOWER(VLOOKUP(A493, Data1_Raw_Slack!A:B, 2, FALSE)), ""age|gender|dem"&amp;"ographic|family|household""), ""Demographics"",
  REGEXMATCH(LOWER(VLOOKUP(A493, Data1_Raw_Slack!A:B, 2, FALSE)), ""mortgage|real estate""), ""Real Estate"",REGEXMATCH(LOWER(VLOOKUP(A493, Data1_Raw_Slack!A:B, 2, FALSE)), ""technology|tech|gadgets|smartpho"&amp;"ne|electro|apps|devices|computing|ai|robots|software|computer|internet|tele|mobile|tablet""), ""Technology"", REGEXMATCH(LOWER(VLOOKUP(A493, Data1_Raw_Slack!A:B, 2, FALSE)), ""entertainment|purchas|movies|tv|netflix|streaming|celebrity|movie lovers|tv fan"&amp;"s|media|hobb|photo|art|shop""), ""Entertainment"", REGEXMATCH(LOWER(VLOOKUP(A493, Data1_Raw_Slack!A:B, 2, FALSE)), ""law|government|""), ""Law and Government"",
  TRUE, ""Other""
)"),"Demographics")</f>
        <v>Demographics</v>
      </c>
      <c r="G493" s="9"/>
      <c r="H493" s="9" t="s">
        <v>32</v>
      </c>
      <c r="I493" s="9" t="s">
        <v>1758</v>
      </c>
      <c r="J493" s="9" t="s">
        <v>46</v>
      </c>
      <c r="K493" s="9" t="s">
        <v>236</v>
      </c>
      <c r="L493" s="9" t="s">
        <v>82</v>
      </c>
      <c r="M493" s="10" t="s">
        <v>1759</v>
      </c>
      <c r="N493" s="9" t="str">
        <f ca="1">IFERROR(__xludf.DUMMYFUNCTION("REGEXEXTRACT(LOWER(M493), ""([a-z0-9\-]+)\.(?:co|net|org|io|gg)"")"),"behindthevoiceactors")</f>
        <v>behindthevoiceactors</v>
      </c>
      <c r="O493" s="9" t="s">
        <v>50</v>
      </c>
      <c r="P493" s="9" t="s">
        <v>39</v>
      </c>
      <c r="Q493" s="9">
        <v>15322</v>
      </c>
      <c r="R493" s="9">
        <v>55</v>
      </c>
      <c r="S493" s="9">
        <v>6416</v>
      </c>
      <c r="T493" s="9">
        <v>14049</v>
      </c>
      <c r="U493" s="9">
        <v>5</v>
      </c>
      <c r="V493" s="11">
        <v>1850.464205</v>
      </c>
      <c r="W493" s="12">
        <f t="shared" si="7"/>
        <v>370.09284100000002</v>
      </c>
      <c r="X493" s="12">
        <f t="shared" si="8"/>
        <v>0.35896097115259101</v>
      </c>
      <c r="Y493" s="12">
        <f t="shared" si="9"/>
        <v>41.874428925727713</v>
      </c>
      <c r="Z493" s="12">
        <f t="shared" si="10"/>
        <v>288.41399703865341</v>
      </c>
      <c r="AA493" s="12">
        <f t="shared" si="11"/>
        <v>120.77171420180133</v>
      </c>
      <c r="AB493" s="12">
        <f t="shared" si="12"/>
        <v>33.64480372727273</v>
      </c>
      <c r="AC493" s="12">
        <f t="shared" si="13"/>
        <v>9.0909090909090917</v>
      </c>
      <c r="AE493" s="13"/>
      <c r="AF493" s="13"/>
    </row>
    <row r="494" spans="1:32">
      <c r="A494" s="8" t="s">
        <v>1760</v>
      </c>
      <c r="B494" s="9" t="s">
        <v>41</v>
      </c>
      <c r="C494" s="9" t="s">
        <v>193</v>
      </c>
      <c r="D494" s="9" t="s">
        <v>267</v>
      </c>
      <c r="E494" s="9" t="s">
        <v>1761</v>
      </c>
      <c r="F494" s="9" t="str">
        <f ca="1">IFERROR(__xludf.DUMMYFUNCTION("IFS(
  REGEXMATCH(LOWER(VLOOKUP(A494, Data1_Raw_Slack!A:B, 2, FALSE)), ""news|weather""), ""News and Weather"", REGEXMATCH(LOWER(VLOOKUP(A494, Data1_Raw_Slack!A:B, 2, FALSE)), ""sports|ufc|nba|nfl|mlb|soccer|sports fans""), ""Sports"",
  REGEXMATCH(LOWER("&amp;"VLOOKUP(A494, Data1_Raw_Slack!A:B, 2, FALSE)), ""fashion|style|clothing|apparel|shoes|accessories|beauty|cosmetics|fashionistas""), ""Fashion and Beauty"",
  REGEXMATCH(LOWER(VLOOKUP(A494, Data1_Raw_Slack!A:B, 2, FALSE)), ""food|cooking|recipe|restaurant|"&amp;"snack|grocery|foodies""), ""Food"",
  REGEXMATCH(LOWER(VLOOKUP(A494, Data1_Raw_Slack!A:B, 2, FALSE)), ""travel|vacation|airline|hotel|trip|flights|travelers""), ""Travel"",
  REGEXMATCH(LOWER(VLOOKUP(A494, Data1_Raw_Slack!A:B, 2, FALSE)), ""fitness|workou"&amp;"t|gym|exercise|yoga|wellness|fitness enthusiasts""), ""Fitness"",
  REGEXMATCH(LOWER(VLOOKUP(A494, Data1_Raw_Slack!A:B, 2, FALSE)), ""health|medical|pharmacy|mental health|doctor|health-conscious""), ""Health"",
  REGEXMATCH(LOWER(VLOOKUP(A494, Data1_Raw_"&amp;"Slack!A:B, 2, FALSE)), ""pets|dogs|cats|animals|pet care|pet lovers""), ""Pets"",
  REGEXMATCH(LOWER(VLOOKUP(A494, Data1_Raw_Slack!A:B, 2, FALSE)), ""games|gaming|game|xbox|playstation|nintendo|gamers""), ""Gaming"",
  REGEXMATCH(LOWER(VLOOKUP(A494, Data1"&amp;"_Raw_Slack!A:B, 2, FALSE)), ""entertainment|movies|tv|netflix|streaming|celebrity|movie lovers|tv fans|hobb|photo|art""), ""Entertainment"",
  REGEXMATCH(LOWER(VLOOKUP(A494, Data1_Raw_Slack!A:B, 2, FALSE)), ""lifestyle|home|interior|decor|living|lifestyle"&amp;" enthusiasts""), ""Lifestyle"",
  REGEXMATCH(LOWER(VLOOKUP(A494, Data1_Raw_Slack!A:B, 2, FALSE)), ""financial|finance|investing|stocks|retirement|banking|credit|debt|loans|savings|personal finance|insurance|econ|ecom|business|retail|occupation|sale|job|ma"&amp;"rketing""), ""Finance"",
  REGEXMATCH(LOWER(VLOOKUP(A494, Data1_Raw_Slack!A:B, 2, FALSE)), ""auto|automotive""), ""Auto"",
  REGEXMATCH(LOWER(VLOOKUP(A494, Data1_Raw_Slack!A:B, 2, FALSE)), ""parenting|moms|dads|kids|toddlers|baby|parent|children""), ""Par"&amp;"enting"",
  REGEXMATCH(LOWER(VLOOKUP(A494, Data1_Raw_Slack!A:B, 2, FALSE)), ""education|students|learning|school|teachers|college|university|academics""), ""Education"",
  REGEXMATCH(LOWER(VLOOKUP(A494, Data1_Raw_Slack!A:B, 2, FALSE)), ""age|gender|dem"&amp;"ographic|family|household""), ""Demographics"",
  REGEXMATCH(LOWER(VLOOKUP(A494, Data1_Raw_Slack!A:B, 2, FALSE)), ""mortgage|real estate""), ""Real Estate"",REGEXMATCH(LOWER(VLOOKUP(A494, Data1_Raw_Slack!A:B, 2, FALSE)), ""technology|tech|gadgets|smartpho"&amp;"ne|electro|apps|devices|computing|ai|robots|software|computer|internet|tele|mobile|tablet""), ""Technology"", REGEXMATCH(LOWER(VLOOKUP(A494, Data1_Raw_Slack!A:B, 2, FALSE)), ""entertainment|purchas|movies|tv|netflix|streaming|celebrity|movie lovers|tv fan"&amp;"s|media|hobb|photo|art|shop""), ""Entertainment"", REGEXMATCH(LOWER(VLOOKUP(A494, Data1_Raw_Slack!A:B, 2, FALSE)), ""law|government|""), ""Law and Government"",
  TRUE, ""Other""
)"),"Entertainment")</f>
        <v>Entertainment</v>
      </c>
      <c r="G494" s="9" t="s">
        <v>69</v>
      </c>
      <c r="H494" s="9" t="s">
        <v>44</v>
      </c>
      <c r="I494" s="9" t="s">
        <v>1762</v>
      </c>
      <c r="J494" s="9" t="s">
        <v>62</v>
      </c>
      <c r="K494" s="9" t="s">
        <v>236</v>
      </c>
      <c r="L494" s="9" t="s">
        <v>82</v>
      </c>
      <c r="M494" s="10" t="s">
        <v>1031</v>
      </c>
      <c r="N494" s="9" t="str">
        <f ca="1">IFERROR(__xludf.DUMMYFUNCTION("REGEXEXTRACT(LOWER(M494), ""([a-z0-9\-]+)\.(?:co|net|org|io|gg)"")"),"activebeat")</f>
        <v>activebeat</v>
      </c>
      <c r="O494" s="9" t="s">
        <v>131</v>
      </c>
      <c r="P494" s="9" t="s">
        <v>75</v>
      </c>
      <c r="Q494" s="9">
        <v>81905</v>
      </c>
      <c r="R494" s="9">
        <v>220</v>
      </c>
      <c r="S494" s="9">
        <v>61995</v>
      </c>
      <c r="T494" s="9">
        <v>71110</v>
      </c>
      <c r="U494" s="9">
        <v>24</v>
      </c>
      <c r="V494" s="11">
        <v>7065.6692800000001</v>
      </c>
      <c r="W494" s="12">
        <f t="shared" si="7"/>
        <v>294.40288666666669</v>
      </c>
      <c r="X494" s="12">
        <f t="shared" si="8"/>
        <v>0.2686038703375862</v>
      </c>
      <c r="Y494" s="12">
        <f t="shared" si="9"/>
        <v>75.691349734448437</v>
      </c>
      <c r="Z494" s="12">
        <f t="shared" si="10"/>
        <v>113.97159899991935</v>
      </c>
      <c r="AA494" s="12">
        <f t="shared" si="11"/>
        <v>86.266641596972107</v>
      </c>
      <c r="AB494" s="12">
        <f t="shared" si="12"/>
        <v>32.116678545454548</v>
      </c>
      <c r="AC494" s="12">
        <f t="shared" si="13"/>
        <v>10.909090909090908</v>
      </c>
      <c r="AE494" s="13"/>
      <c r="AF494" s="13"/>
    </row>
    <row r="495" spans="1:32">
      <c r="A495" s="8" t="s">
        <v>1763</v>
      </c>
      <c r="B495" s="9" t="s">
        <v>41</v>
      </c>
      <c r="C495" s="9" t="s">
        <v>120</v>
      </c>
      <c r="D495" s="9" t="s">
        <v>1764</v>
      </c>
      <c r="E495" s="9"/>
      <c r="F495" s="9" t="str">
        <f ca="1">IFERROR(__xludf.DUMMYFUNCTION("IFS(
  REGEXMATCH(LOWER(VLOOKUP(A495, Data1_Raw_Slack!A:B, 2, FALSE)), ""news|weather""), ""News and Weather"", REGEXMATCH(LOWER(VLOOKUP(A495, Data1_Raw_Slack!A:B, 2, FALSE)), ""sports|ufc|nba|nfl|mlb|soccer|sports fans""), ""Sports"",
  REGEXMATCH(LOWER("&amp;"VLOOKUP(A495, Data1_Raw_Slack!A:B, 2, FALSE)), ""fashion|style|clothing|apparel|shoes|accessories|beauty|cosmetics|fashionistas""), ""Fashion and Beauty"",
  REGEXMATCH(LOWER(VLOOKUP(A495, Data1_Raw_Slack!A:B, 2, FALSE)), ""food|cooking|recipe|restaurant|"&amp;"snack|grocery|foodies""), ""Food"",
  REGEXMATCH(LOWER(VLOOKUP(A495, Data1_Raw_Slack!A:B, 2, FALSE)), ""travel|vacation|airline|hotel|trip|flights|travelers""), ""Travel"",
  REGEXMATCH(LOWER(VLOOKUP(A495, Data1_Raw_Slack!A:B, 2, FALSE)), ""fitness|workou"&amp;"t|gym|exercise|yoga|wellness|fitness enthusiasts""), ""Fitness"",
  REGEXMATCH(LOWER(VLOOKUP(A495, Data1_Raw_Slack!A:B, 2, FALSE)), ""health|medical|pharmacy|mental health|doctor|health-conscious""), ""Health"",
  REGEXMATCH(LOWER(VLOOKUP(A495, Data1_Raw_"&amp;"Slack!A:B, 2, FALSE)), ""pets|dogs|cats|animals|pet care|pet lovers""), ""Pets"",
  REGEXMATCH(LOWER(VLOOKUP(A495, Data1_Raw_Slack!A:B, 2, FALSE)), ""games|gaming|game|xbox|playstation|nintendo|gamers""), ""Gaming"",
  REGEXMATCH(LOWER(VLOOKUP(A495, Data1"&amp;"_Raw_Slack!A:B, 2, FALSE)), ""entertainment|movies|tv|netflix|streaming|celebrity|movie lovers|tv fans|hobb|photo|art""), ""Entertainment"",
  REGEXMATCH(LOWER(VLOOKUP(A495, Data1_Raw_Slack!A:B, 2, FALSE)), ""lifestyle|home|interior|decor|living|lifestyle"&amp;" enthusiasts""), ""Lifestyle"",
  REGEXMATCH(LOWER(VLOOKUP(A495, Data1_Raw_Slack!A:B, 2, FALSE)), ""financial|finance|investing|stocks|retirement|banking|credit|debt|loans|savings|personal finance|insurance|econ|ecom|business|retail|occupation|sale|job|ma"&amp;"rketing""), ""Finance"",
  REGEXMATCH(LOWER(VLOOKUP(A495, Data1_Raw_Slack!A:B, 2, FALSE)), ""auto|automotive""), ""Auto"",
  REGEXMATCH(LOWER(VLOOKUP(A495, Data1_Raw_Slack!A:B, 2, FALSE)), ""parenting|moms|dads|kids|toddlers|baby|parent|children""), ""Par"&amp;"enting"",
  REGEXMATCH(LOWER(VLOOKUP(A495, Data1_Raw_Slack!A:B, 2, FALSE)), ""education|students|learning|school|teachers|college|university|academics""), ""Education"",
  REGEXMATCH(LOWER(VLOOKUP(A495, Data1_Raw_Slack!A:B, 2, FALSE)), ""age|gender|dem"&amp;"ographic|family|household""), ""Demographics"",
  REGEXMATCH(LOWER(VLOOKUP(A495, Data1_Raw_Slack!A:B, 2, FALSE)), ""mortgage|real estate""), ""Real Estate"",REGEXMATCH(LOWER(VLOOKUP(A495, Data1_Raw_Slack!A:B, 2, FALSE)), ""technology|tech|gadgets|smartpho"&amp;"ne|electro|apps|devices|computing|ai|robots|software|computer|internet|tele|mobile|tablet""), ""Technology"", REGEXMATCH(LOWER(VLOOKUP(A495, Data1_Raw_Slack!A:B, 2, FALSE)), ""entertainment|purchas|movies|tv|netflix|streaming|celebrity|movie lovers|tv fan"&amp;"s|media|hobb|photo|art|shop""), ""Entertainment"", REGEXMATCH(LOWER(VLOOKUP(A495, Data1_Raw_Slack!A:B, 2, FALSE)), ""law|government|""), ""Law and Government"",
  TRUE, ""Other""
)"),"Finance")</f>
        <v>Finance</v>
      </c>
      <c r="G495" s="9" t="s">
        <v>122</v>
      </c>
      <c r="H495" s="9" t="s">
        <v>32</v>
      </c>
      <c r="I495" s="9" t="s">
        <v>1765</v>
      </c>
      <c r="J495" s="9" t="s">
        <v>46</v>
      </c>
      <c r="K495" s="9" t="s">
        <v>56</v>
      </c>
      <c r="L495" s="9" t="s">
        <v>57</v>
      </c>
      <c r="M495" s="10" t="s">
        <v>1766</v>
      </c>
      <c r="N495" s="9" t="str">
        <f ca="1">IFERROR(__xludf.DUMMYFUNCTION("REGEXEXTRACT(LOWER(M495), ""([a-z0-9\-]+)\.(?:co|net|org|io|gg)"")"),"nbcnews")</f>
        <v>nbcnews</v>
      </c>
      <c r="O495" s="9" t="s">
        <v>50</v>
      </c>
      <c r="P495" s="9" t="s">
        <v>39</v>
      </c>
      <c r="Q495" s="9">
        <v>92764</v>
      </c>
      <c r="R495" s="9">
        <v>320</v>
      </c>
      <c r="S495" s="9">
        <v>19625</v>
      </c>
      <c r="T495" s="9">
        <v>76531</v>
      </c>
      <c r="U495" s="9">
        <v>14</v>
      </c>
      <c r="V495" s="11">
        <v>6730.012549</v>
      </c>
      <c r="W495" s="12">
        <f t="shared" si="7"/>
        <v>480.71518207142856</v>
      </c>
      <c r="X495" s="12">
        <f t="shared" si="8"/>
        <v>0.34496140744254233</v>
      </c>
      <c r="Y495" s="12">
        <f t="shared" si="9"/>
        <v>21.155836315812167</v>
      </c>
      <c r="Z495" s="12">
        <f t="shared" si="10"/>
        <v>342.93057574522294</v>
      </c>
      <c r="AA495" s="12">
        <f t="shared" si="11"/>
        <v>72.549831281531624</v>
      </c>
      <c r="AB495" s="12">
        <f t="shared" si="12"/>
        <v>21.031289215625002</v>
      </c>
      <c r="AC495" s="12">
        <f t="shared" si="13"/>
        <v>4.375</v>
      </c>
      <c r="AE495" s="13"/>
      <c r="AF495" s="13"/>
    </row>
    <row r="496" spans="1:32">
      <c r="A496" s="8" t="s">
        <v>1767</v>
      </c>
      <c r="B496" s="9" t="s">
        <v>768</v>
      </c>
      <c r="C496" s="9" t="s">
        <v>769</v>
      </c>
      <c r="D496" s="9" t="s">
        <v>770</v>
      </c>
      <c r="E496" s="9" t="s">
        <v>1768</v>
      </c>
      <c r="F496" s="9" t="str">
        <f ca="1">IFERROR(__xludf.DUMMYFUNCTION("IFS(
  REGEXMATCH(LOWER(VLOOKUP(A496, Data1_Raw_Slack!A:B, 2, FALSE)), ""news|weather""), ""News and Weather"", REGEXMATCH(LOWER(VLOOKUP(A496, Data1_Raw_Slack!A:B, 2, FALSE)), ""sports|ufc|nba|nfl|mlb|soccer|sports fans""), ""Sports"",
  REGEXMATCH(LOWER("&amp;"VLOOKUP(A496, Data1_Raw_Slack!A:B, 2, FALSE)), ""fashion|style|clothing|apparel|shoes|accessories|beauty|cosmetics|fashionistas""), ""Fashion and Beauty"",
  REGEXMATCH(LOWER(VLOOKUP(A496, Data1_Raw_Slack!A:B, 2, FALSE)), ""food|cooking|recipe|restaurant|"&amp;"snack|grocery|foodies""), ""Food"",
  REGEXMATCH(LOWER(VLOOKUP(A496, Data1_Raw_Slack!A:B, 2, FALSE)), ""travel|vacation|airline|hotel|trip|flights|travelers""), ""Travel"",
  REGEXMATCH(LOWER(VLOOKUP(A496, Data1_Raw_Slack!A:B, 2, FALSE)), ""fitness|workou"&amp;"t|gym|exercise|yoga|wellness|fitness enthusiasts""), ""Fitness"",
  REGEXMATCH(LOWER(VLOOKUP(A496, Data1_Raw_Slack!A:B, 2, FALSE)), ""health|medical|pharmacy|mental health|doctor|health-conscious""), ""Health"",
  REGEXMATCH(LOWER(VLOOKUP(A496, Data1_Raw_"&amp;"Slack!A:B, 2, FALSE)), ""pets|dogs|cats|animals|pet care|pet lovers""), ""Pets"",
  REGEXMATCH(LOWER(VLOOKUP(A496, Data1_Raw_Slack!A:B, 2, FALSE)), ""games|gaming|game|xbox|playstation|nintendo|gamers""), ""Gaming"",
  REGEXMATCH(LOWER(VLOOKUP(A496, Data1"&amp;"_Raw_Slack!A:B, 2, FALSE)), ""entertainment|movies|tv|netflix|streaming|celebrity|movie lovers|tv fans|hobb|photo|art""), ""Entertainment"",
  REGEXMATCH(LOWER(VLOOKUP(A496, Data1_Raw_Slack!A:B, 2, FALSE)), ""lifestyle|home|interior|decor|living|lifestyle"&amp;" enthusiasts""), ""Lifestyle"",
  REGEXMATCH(LOWER(VLOOKUP(A496, Data1_Raw_Slack!A:B, 2, FALSE)), ""financial|finance|investing|stocks|retirement|banking|credit|debt|loans|savings|personal finance|insurance|econ|ecom|business|retail|occupation|sale|job|ma"&amp;"rketing""), ""Finance"",
  REGEXMATCH(LOWER(VLOOKUP(A496, Data1_Raw_Slack!A:B, 2, FALSE)), ""auto|automotive""), ""Auto"",
  REGEXMATCH(LOWER(VLOOKUP(A496, Data1_Raw_Slack!A:B, 2, FALSE)), ""parenting|moms|dads|kids|toddlers|baby|parent|children""), ""Par"&amp;"enting"",
  REGEXMATCH(LOWER(VLOOKUP(A496, Data1_Raw_Slack!A:B, 2, FALSE)), ""education|students|learning|school|teachers|college|university|academics""), ""Education"",
  REGEXMATCH(LOWER(VLOOKUP(A496, Data1_Raw_Slack!A:B, 2, FALSE)), ""age|gender|dem"&amp;"ographic|family|household""), ""Demographics"",
  REGEXMATCH(LOWER(VLOOKUP(A496, Data1_Raw_Slack!A:B, 2, FALSE)), ""mortgage|real estate""), ""Real Estate"",REGEXMATCH(LOWER(VLOOKUP(A496, Data1_Raw_Slack!A:B, 2, FALSE)), ""technology|tech|gadgets|smartpho"&amp;"ne|electro|apps|devices|computing|ai|robots|software|computer|internet|tele|mobile|tablet""), ""Technology"", REGEXMATCH(LOWER(VLOOKUP(A496, Data1_Raw_Slack!A:B, 2, FALSE)), ""entertainment|purchas|movies|tv|netflix|streaming|celebrity|movie lovers|tv fan"&amp;"s|media|hobb|photo|art|shop""), ""Entertainment"", REGEXMATCH(LOWER(VLOOKUP(A496, Data1_Raw_Slack!A:B, 2, FALSE)), ""law|government|""), ""Law and Government"",
  TRUE, ""Other""
)"),"Food")</f>
        <v>Food</v>
      </c>
      <c r="G496" s="9" t="s">
        <v>385</v>
      </c>
      <c r="H496" s="9" t="s">
        <v>44</v>
      </c>
      <c r="I496" s="9" t="s">
        <v>1769</v>
      </c>
      <c r="J496" s="9" t="s">
        <v>80</v>
      </c>
      <c r="K496" s="9" t="s">
        <v>88</v>
      </c>
      <c r="L496" s="9" t="s">
        <v>89</v>
      </c>
      <c r="M496" s="10" t="s">
        <v>1770</v>
      </c>
      <c r="N496" s="9" t="str">
        <f ca="1">IFERROR(__xludf.DUMMYFUNCTION("REGEXEXTRACT(LOWER(M496), ""([a-z0-9\-]+)\.(?:co|net|org|io|gg)"")"),"evite")</f>
        <v>evite</v>
      </c>
      <c r="O496" s="9" t="s">
        <v>50</v>
      </c>
      <c r="P496" s="9" t="s">
        <v>75</v>
      </c>
      <c r="Q496" s="9">
        <v>16354</v>
      </c>
      <c r="R496" s="9">
        <v>40</v>
      </c>
      <c r="S496" s="9">
        <v>8061</v>
      </c>
      <c r="T496" s="9">
        <v>15667</v>
      </c>
      <c r="U496" s="9">
        <v>4</v>
      </c>
      <c r="V496" s="11">
        <v>1610.3199770000001</v>
      </c>
      <c r="W496" s="12">
        <f t="shared" si="7"/>
        <v>402.57999425000003</v>
      </c>
      <c r="X496" s="12">
        <f t="shared" si="8"/>
        <v>0.24458847988259752</v>
      </c>
      <c r="Y496" s="12">
        <f t="shared" si="9"/>
        <v>49.290693408340466</v>
      </c>
      <c r="Z496" s="12">
        <f t="shared" si="10"/>
        <v>199.76677546210149</v>
      </c>
      <c r="AA496" s="12">
        <f t="shared" si="11"/>
        <v>98.466428824752356</v>
      </c>
      <c r="AB496" s="12">
        <f t="shared" si="12"/>
        <v>40.257999425000001</v>
      </c>
      <c r="AC496" s="12">
        <f t="shared" si="13"/>
        <v>10</v>
      </c>
      <c r="AE496" s="13"/>
      <c r="AF496" s="13"/>
    </row>
    <row r="497" spans="1:32">
      <c r="A497" s="8" t="s">
        <v>1771</v>
      </c>
      <c r="B497" s="9" t="s">
        <v>41</v>
      </c>
      <c r="C497" s="9" t="s">
        <v>214</v>
      </c>
      <c r="D497" s="9" t="s">
        <v>326</v>
      </c>
      <c r="E497" s="9" t="s">
        <v>1772</v>
      </c>
      <c r="F497" s="9" t="str">
        <f ca="1">IFERROR(__xludf.DUMMYFUNCTION("IFS(
  REGEXMATCH(LOWER(VLOOKUP(A497, Data1_Raw_Slack!A:B, 2, FALSE)), ""news|weather""), ""News and Weather"", REGEXMATCH(LOWER(VLOOKUP(A497, Data1_Raw_Slack!A:B, 2, FALSE)), ""sports|ufc|nba|nfl|mlb|soccer|sports fans""), ""Sports"",
  REGEXMATCH(LOWER("&amp;"VLOOKUP(A497, Data1_Raw_Slack!A:B, 2, FALSE)), ""fashion|style|clothing|apparel|shoes|accessories|beauty|cosmetics|fashionistas""), ""Fashion and Beauty"",
  REGEXMATCH(LOWER(VLOOKUP(A497, Data1_Raw_Slack!A:B, 2, FALSE)), ""food|cooking|recipe|restaurant|"&amp;"snack|grocery|foodies""), ""Food"",
  REGEXMATCH(LOWER(VLOOKUP(A497, Data1_Raw_Slack!A:B, 2, FALSE)), ""travel|vacation|airline|hotel|trip|flights|travelers""), ""Travel"",
  REGEXMATCH(LOWER(VLOOKUP(A497, Data1_Raw_Slack!A:B, 2, FALSE)), ""fitness|workou"&amp;"t|gym|exercise|yoga|wellness|fitness enthusiasts""), ""Fitness"",
  REGEXMATCH(LOWER(VLOOKUP(A497, Data1_Raw_Slack!A:B, 2, FALSE)), ""health|medical|pharmacy|mental health|doctor|health-conscious""), ""Health"",
  REGEXMATCH(LOWER(VLOOKUP(A497, Data1_Raw_"&amp;"Slack!A:B, 2, FALSE)), ""pets|dogs|cats|animals|pet care|pet lovers""), ""Pets"",
  REGEXMATCH(LOWER(VLOOKUP(A497, Data1_Raw_Slack!A:B, 2, FALSE)), ""games|gaming|game|xbox|playstation|nintendo|gamers""), ""Gaming"",
  REGEXMATCH(LOWER(VLOOKUP(A497, Data1"&amp;"_Raw_Slack!A:B, 2, FALSE)), ""entertainment|movies|tv|netflix|streaming|celebrity|movie lovers|tv fans|hobb|photo|art""), ""Entertainment"",
  REGEXMATCH(LOWER(VLOOKUP(A497, Data1_Raw_Slack!A:B, 2, FALSE)), ""lifestyle|home|interior|decor|living|lifestyle"&amp;" enthusiasts""), ""Lifestyle"",
  REGEXMATCH(LOWER(VLOOKUP(A497, Data1_Raw_Slack!A:B, 2, FALSE)), ""financial|finance|investing|stocks|retirement|banking|credit|debt|loans|savings|personal finance|insurance|econ|ecom|business|retail|occupation|sale|job|ma"&amp;"rketing""), ""Finance"",
  REGEXMATCH(LOWER(VLOOKUP(A497, Data1_Raw_Slack!A:B, 2, FALSE)), ""auto|automotive""), ""Auto"",
  REGEXMATCH(LOWER(VLOOKUP(A497, Data1_Raw_Slack!A:B, 2, FALSE)), ""parenting|moms|dads|kids|toddlers|baby|parent|children""), ""Par"&amp;"enting"",
  REGEXMATCH(LOWER(VLOOKUP(A497, Data1_Raw_Slack!A:B, 2, FALSE)), ""education|students|learning|school|teachers|college|university|academics""), ""Education"",
  REGEXMATCH(LOWER(VLOOKUP(A497, Data1_Raw_Slack!A:B, 2, FALSE)), ""age|gender|dem"&amp;"ographic|family|household""), ""Demographics"",
  REGEXMATCH(LOWER(VLOOKUP(A497, Data1_Raw_Slack!A:B, 2, FALSE)), ""mortgage|real estate""), ""Real Estate"",REGEXMATCH(LOWER(VLOOKUP(A497, Data1_Raw_Slack!A:B, 2, FALSE)), ""technology|tech|gadgets|smartpho"&amp;"ne|electro|apps|devices|computing|ai|robots|software|computer|internet|tele|mobile|tablet""), ""Technology"", REGEXMATCH(LOWER(VLOOKUP(A497, Data1_Raw_Slack!A:B, 2, FALSE)), ""entertainment|purchas|movies|tv|netflix|streaming|celebrity|movie lovers|tv fan"&amp;"s|media|hobb|photo|art|shop""), ""Entertainment"", REGEXMATCH(LOWER(VLOOKUP(A497, Data1_Raw_Slack!A:B, 2, FALSE)), ""law|government|""), ""Law and Government"",
  TRUE, ""Other""
)"),"Demographics")</f>
        <v>Demographics</v>
      </c>
      <c r="G497" s="9"/>
      <c r="H497" s="9" t="s">
        <v>123</v>
      </c>
      <c r="I497" s="9" t="s">
        <v>911</v>
      </c>
      <c r="J497" s="9" t="s">
        <v>46</v>
      </c>
      <c r="K497" s="9" t="s">
        <v>274</v>
      </c>
      <c r="L497" s="9" t="s">
        <v>48</v>
      </c>
      <c r="M497" s="10" t="s">
        <v>1773</v>
      </c>
      <c r="N497" s="9" t="str">
        <f ca="1">IFERROR(__xludf.DUMMYFUNCTION("REGEXEXTRACT(LOWER(M497), ""([a-z0-9\-]+)\.(?:co|net|org|io|gg)"")"),"cheapoair")</f>
        <v>cheapoair</v>
      </c>
      <c r="O497" s="9" t="s">
        <v>74</v>
      </c>
      <c r="P497" s="9" t="s">
        <v>39</v>
      </c>
      <c r="Q497" s="9">
        <v>114723</v>
      </c>
      <c r="R497" s="9">
        <v>350</v>
      </c>
      <c r="S497" s="9">
        <v>14623</v>
      </c>
      <c r="T497" s="9">
        <v>92063</v>
      </c>
      <c r="U497" s="9">
        <v>6</v>
      </c>
      <c r="V497" s="11">
        <v>4742.0086369999999</v>
      </c>
      <c r="W497" s="12">
        <f t="shared" si="7"/>
        <v>790.33477283333332</v>
      </c>
      <c r="X497" s="12">
        <f t="shared" si="8"/>
        <v>0.30508267740557693</v>
      </c>
      <c r="Y497" s="12">
        <f t="shared" si="9"/>
        <v>12.746354262005003</v>
      </c>
      <c r="Z497" s="12">
        <f t="shared" si="10"/>
        <v>324.28425336798193</v>
      </c>
      <c r="AA497" s="12">
        <f t="shared" si="11"/>
        <v>41.334419750180871</v>
      </c>
      <c r="AB497" s="12">
        <f t="shared" si="12"/>
        <v>13.548596105714285</v>
      </c>
      <c r="AC497" s="12">
        <f t="shared" si="13"/>
        <v>1.7142857142857144</v>
      </c>
      <c r="AE497" s="13"/>
      <c r="AF497" s="13"/>
    </row>
    <row r="498" spans="1:32">
      <c r="A498" s="8" t="s">
        <v>1774</v>
      </c>
      <c r="B498" s="9" t="s">
        <v>52</v>
      </c>
      <c r="C498" s="9" t="s">
        <v>53</v>
      </c>
      <c r="D498" s="9" t="s">
        <v>1775</v>
      </c>
      <c r="E498" s="9"/>
      <c r="F498" s="9" t="str">
        <f ca="1">IFERROR(__xludf.DUMMYFUNCTION("IFS(
  REGEXMATCH(LOWER(VLOOKUP(A498, Data1_Raw_Slack!A:B, 2, FALSE)), ""news|weather""), ""News and Weather"", REGEXMATCH(LOWER(VLOOKUP(A498, Data1_Raw_Slack!A:B, 2, FALSE)), ""sports|ufc|nba|nfl|mlb|soccer|sports fans""), ""Sports"",
  REGEXMATCH(LOWER("&amp;"VLOOKUP(A498, Data1_Raw_Slack!A:B, 2, FALSE)), ""fashion|style|clothing|apparel|shoes|accessories|beauty|cosmetics|fashionistas""), ""Fashion and Beauty"",
  REGEXMATCH(LOWER(VLOOKUP(A498, Data1_Raw_Slack!A:B, 2, FALSE)), ""food|cooking|recipe|restaurant|"&amp;"snack|grocery|foodies""), ""Food"",
  REGEXMATCH(LOWER(VLOOKUP(A498, Data1_Raw_Slack!A:B, 2, FALSE)), ""travel|vacation|airline|hotel|trip|flights|travelers""), ""Travel"",
  REGEXMATCH(LOWER(VLOOKUP(A498, Data1_Raw_Slack!A:B, 2, FALSE)), ""fitness|workou"&amp;"t|gym|exercise|yoga|wellness|fitness enthusiasts""), ""Fitness"",
  REGEXMATCH(LOWER(VLOOKUP(A498, Data1_Raw_Slack!A:B, 2, FALSE)), ""health|medical|pharmacy|mental health|doctor|health-conscious""), ""Health"",
  REGEXMATCH(LOWER(VLOOKUP(A498, Data1_Raw_"&amp;"Slack!A:B, 2, FALSE)), ""pets|dogs|cats|animals|pet care|pet lovers""), ""Pets"",
  REGEXMATCH(LOWER(VLOOKUP(A498, Data1_Raw_Slack!A:B, 2, FALSE)), ""games|gaming|game|xbox|playstation|nintendo|gamers""), ""Gaming"",
  REGEXMATCH(LOWER(VLOOKUP(A498, Data1"&amp;"_Raw_Slack!A:B, 2, FALSE)), ""entertainment|movies|tv|netflix|streaming|celebrity|movie lovers|tv fans|hobb|photo|art""), ""Entertainment"",
  REGEXMATCH(LOWER(VLOOKUP(A498, Data1_Raw_Slack!A:B, 2, FALSE)), ""lifestyle|home|interior|decor|living|lifestyle"&amp;" enthusiasts""), ""Lifestyle"",
  REGEXMATCH(LOWER(VLOOKUP(A498, Data1_Raw_Slack!A:B, 2, FALSE)), ""financial|finance|investing|stocks|retirement|banking|credit|debt|loans|savings|personal finance|insurance|econ|ecom|business|retail|occupation|sale|job|ma"&amp;"rketing""), ""Finance"",
  REGEXMATCH(LOWER(VLOOKUP(A498, Data1_Raw_Slack!A:B, 2, FALSE)), ""auto|automotive""), ""Auto"",
  REGEXMATCH(LOWER(VLOOKUP(A498, Data1_Raw_Slack!A:B, 2, FALSE)), ""parenting|moms|dads|kids|toddlers|baby|parent|children""), ""Par"&amp;"enting"",
  REGEXMATCH(LOWER(VLOOKUP(A498, Data1_Raw_Slack!A:B, 2, FALSE)), ""education|students|learning|school|teachers|college|university|academics""), ""Education"",
  REGEXMATCH(LOWER(VLOOKUP(A498, Data1_Raw_Slack!A:B, 2, FALSE)), ""age|gender|dem"&amp;"ographic|family|household""), ""Demographics"",
  REGEXMATCH(LOWER(VLOOKUP(A498, Data1_Raw_Slack!A:B, 2, FALSE)), ""mortgage|real estate""), ""Real Estate"",REGEXMATCH(LOWER(VLOOKUP(A498, Data1_Raw_Slack!A:B, 2, FALSE)), ""technology|tech|gadgets|smartpho"&amp;"ne|electro|apps|devices|computing|ai|robots|software|computer|internet|tele|mobile|tablet""), ""Technology"", REGEXMATCH(LOWER(VLOOKUP(A498, Data1_Raw_Slack!A:B, 2, FALSE)), ""entertainment|purchas|movies|tv|netflix|streaming|celebrity|movie lovers|tv fan"&amp;"s|media|hobb|photo|art|shop""), ""Entertainment"", REGEXMATCH(LOWER(VLOOKUP(A498, Data1_Raw_Slack!A:B, 2, FALSE)), ""law|government|""), ""Law and Government"",
  TRUE, ""Other""
)"),"Finance")</f>
        <v>Finance</v>
      </c>
      <c r="G498" s="9"/>
      <c r="H498" s="9" t="s">
        <v>44</v>
      </c>
      <c r="I498" s="9" t="s">
        <v>1776</v>
      </c>
      <c r="J498" s="9" t="s">
        <v>34</v>
      </c>
      <c r="K498" s="9" t="s">
        <v>236</v>
      </c>
      <c r="L498" s="9" t="s">
        <v>82</v>
      </c>
      <c r="M498" s="10" t="s">
        <v>354</v>
      </c>
      <c r="N498" s="9" t="str">
        <f ca="1">IFERROR(__xludf.DUMMYFUNCTION("REGEXEXTRACT(LOWER(M498), ""([a-z0-9\-]+)\.(?:co|net|org|io|gg)"")"),"yahoo")</f>
        <v>yahoo</v>
      </c>
      <c r="O498" s="9" t="s">
        <v>50</v>
      </c>
      <c r="P498" s="9" t="s">
        <v>64</v>
      </c>
      <c r="Q498" s="9">
        <v>598460</v>
      </c>
      <c r="R498" s="9">
        <v>1654</v>
      </c>
      <c r="S498" s="9">
        <v>201153</v>
      </c>
      <c r="T498" s="9">
        <v>557263</v>
      </c>
      <c r="U498" s="9">
        <v>13</v>
      </c>
      <c r="V498" s="11">
        <v>1689.7445070000001</v>
      </c>
      <c r="W498" s="12">
        <f t="shared" si="7"/>
        <v>129.98034669230771</v>
      </c>
      <c r="X498" s="12">
        <f t="shared" si="8"/>
        <v>0.27637603181499182</v>
      </c>
      <c r="Y498" s="12">
        <f t="shared" si="9"/>
        <v>33.611770210206195</v>
      </c>
      <c r="Z498" s="12">
        <f t="shared" si="10"/>
        <v>8.4002948352746412</v>
      </c>
      <c r="AA498" s="12">
        <f t="shared" si="11"/>
        <v>2.8234877970123318</v>
      </c>
      <c r="AB498" s="12">
        <f t="shared" si="12"/>
        <v>1.0216109474002419</v>
      </c>
      <c r="AC498" s="12">
        <f t="shared" si="13"/>
        <v>0.78597339782345821</v>
      </c>
      <c r="AE498" s="13"/>
      <c r="AF498" s="13"/>
    </row>
    <row r="499" spans="1:32">
      <c r="A499" s="8" t="s">
        <v>1777</v>
      </c>
      <c r="B499" s="9" t="s">
        <v>41</v>
      </c>
      <c r="C499" s="9" t="s">
        <v>542</v>
      </c>
      <c r="D499" s="9" t="s">
        <v>1778</v>
      </c>
      <c r="E499" s="9"/>
      <c r="F499" s="9" t="str">
        <f ca="1">IFERROR(__xludf.DUMMYFUNCTION("IFS(
  REGEXMATCH(LOWER(VLOOKUP(A499, Data1_Raw_Slack!A:B, 2, FALSE)), ""news|weather""), ""News and Weather"", REGEXMATCH(LOWER(VLOOKUP(A499, Data1_Raw_Slack!A:B, 2, FALSE)), ""sports|ufc|nba|nfl|mlb|soccer|sports fans""), ""Sports"",
  REGEXMATCH(LOWER("&amp;"VLOOKUP(A499, Data1_Raw_Slack!A:B, 2, FALSE)), ""fashion|style|clothing|apparel|shoes|accessories|beauty|cosmetics|fashionistas""), ""Fashion and Beauty"",
  REGEXMATCH(LOWER(VLOOKUP(A499, Data1_Raw_Slack!A:B, 2, FALSE)), ""food|cooking|recipe|restaurant|"&amp;"snack|grocery|foodies""), ""Food"",
  REGEXMATCH(LOWER(VLOOKUP(A499, Data1_Raw_Slack!A:B, 2, FALSE)), ""travel|vacation|airline|hotel|trip|flights|travelers""), ""Travel"",
  REGEXMATCH(LOWER(VLOOKUP(A499, Data1_Raw_Slack!A:B, 2, FALSE)), ""fitness|workou"&amp;"t|gym|exercise|yoga|wellness|fitness enthusiasts""), ""Fitness"",
  REGEXMATCH(LOWER(VLOOKUP(A499, Data1_Raw_Slack!A:B, 2, FALSE)), ""health|medical|pharmacy|mental health|doctor|health-conscious""), ""Health"",
  REGEXMATCH(LOWER(VLOOKUP(A499, Data1_Raw_"&amp;"Slack!A:B, 2, FALSE)), ""pets|dogs|cats|animals|pet care|pet lovers""), ""Pets"",
  REGEXMATCH(LOWER(VLOOKUP(A499, Data1_Raw_Slack!A:B, 2, FALSE)), ""games|gaming|game|xbox|playstation|nintendo|gamers""), ""Gaming"",
  REGEXMATCH(LOWER(VLOOKUP(A499, Data1"&amp;"_Raw_Slack!A:B, 2, FALSE)), ""entertainment|movies|tv|netflix|streaming|celebrity|movie lovers|tv fans|hobb|photo|art""), ""Entertainment"",
  REGEXMATCH(LOWER(VLOOKUP(A499, Data1_Raw_Slack!A:B, 2, FALSE)), ""lifestyle|home|interior|decor|living|lifestyle"&amp;" enthusiasts""), ""Lifestyle"",
  REGEXMATCH(LOWER(VLOOKUP(A499, Data1_Raw_Slack!A:B, 2, FALSE)), ""financial|finance|investing|stocks|retirement|banking|credit|debt|loans|savings|personal finance|insurance|econ|ecom|business|retail|occupation|sale|job|ma"&amp;"rketing""), ""Finance"",
  REGEXMATCH(LOWER(VLOOKUP(A499, Data1_Raw_Slack!A:B, 2, FALSE)), ""auto|automotive""), ""Auto"",
  REGEXMATCH(LOWER(VLOOKUP(A499, Data1_Raw_Slack!A:B, 2, FALSE)), ""parenting|moms|dads|kids|toddlers|baby|parent|children""), ""Par"&amp;"enting"",
  REGEXMATCH(LOWER(VLOOKUP(A499, Data1_Raw_Slack!A:B, 2, FALSE)), ""education|students|learning|school|teachers|college|university|academics""), ""Education"",
  REGEXMATCH(LOWER(VLOOKUP(A499, Data1_Raw_Slack!A:B, 2, FALSE)), ""age|gender|dem"&amp;"ographic|family|household""), ""Demographics"",
  REGEXMATCH(LOWER(VLOOKUP(A499, Data1_Raw_Slack!A:B, 2, FALSE)), ""mortgage|real estate""), ""Real Estate"",REGEXMATCH(LOWER(VLOOKUP(A499, Data1_Raw_Slack!A:B, 2, FALSE)), ""technology|tech|gadgets|smartpho"&amp;"ne|electro|apps|devices|computing|ai|robots|software|computer|internet|tele|mobile|tablet""), ""Technology"", REGEXMATCH(LOWER(VLOOKUP(A499, Data1_Raw_Slack!A:B, 2, FALSE)), ""entertainment|purchas|movies|tv|netflix|streaming|celebrity|movie lovers|tv fan"&amp;"s|media|hobb|photo|art|shop""), ""Entertainment"", REGEXMATCH(LOWER(VLOOKUP(A499, Data1_Raw_Slack!A:B, 2, FALSE)), ""law|government|""), ""Law and Government"",
  TRUE, ""Other""
)"),"Entertainment")</f>
        <v>Entertainment</v>
      </c>
      <c r="G499" s="9"/>
      <c r="H499" s="9" t="s">
        <v>44</v>
      </c>
      <c r="I499" s="9" t="s">
        <v>1329</v>
      </c>
      <c r="J499" s="9" t="s">
        <v>80</v>
      </c>
      <c r="K499" s="9" t="s">
        <v>88</v>
      </c>
      <c r="L499" s="9" t="s">
        <v>89</v>
      </c>
      <c r="M499" s="10" t="s">
        <v>372</v>
      </c>
      <c r="N499" s="9" t="str">
        <f ca="1">IFERROR(__xludf.DUMMYFUNCTION("REGEXEXTRACT(LOWER(M499), ""([a-z0-9\-]+)\.(?:co|net|org|io|gg)"")"),"accuweather")</f>
        <v>accuweather</v>
      </c>
      <c r="O499" s="9" t="s">
        <v>50</v>
      </c>
      <c r="P499" s="9" t="s">
        <v>39</v>
      </c>
      <c r="Q499" s="9">
        <v>7862</v>
      </c>
      <c r="R499" s="9">
        <v>20</v>
      </c>
      <c r="S499" s="9">
        <v>2152</v>
      </c>
      <c r="T499" s="9">
        <v>6039</v>
      </c>
      <c r="U499" s="9">
        <v>2</v>
      </c>
      <c r="V499" s="11">
        <v>6506.4336869999997</v>
      </c>
      <c r="W499" s="12">
        <f t="shared" si="7"/>
        <v>3253.2168434999999</v>
      </c>
      <c r="X499" s="12">
        <f t="shared" si="8"/>
        <v>0.25438819638768762</v>
      </c>
      <c r="Y499" s="12">
        <f t="shared" si="9"/>
        <v>27.372169931315188</v>
      </c>
      <c r="Z499" s="12">
        <f t="shared" si="10"/>
        <v>3023.4357281598514</v>
      </c>
      <c r="AA499" s="12">
        <f t="shared" si="11"/>
        <v>827.57996527601119</v>
      </c>
      <c r="AB499" s="12">
        <f t="shared" si="12"/>
        <v>325.32168435</v>
      </c>
      <c r="AC499" s="12">
        <f t="shared" si="13"/>
        <v>10</v>
      </c>
      <c r="AE499" s="13"/>
      <c r="AF499" s="13"/>
    </row>
    <row r="500" spans="1:32">
      <c r="A500" s="8" t="s">
        <v>1779</v>
      </c>
      <c r="B500" s="9" t="s">
        <v>67</v>
      </c>
      <c r="C500" s="9" t="s">
        <v>151</v>
      </c>
      <c r="D500" s="9" t="s">
        <v>1780</v>
      </c>
      <c r="E500" s="9"/>
      <c r="F500" s="9" t="str">
        <f ca="1">IFERROR(__xludf.DUMMYFUNCTION("IFS(
  REGEXMATCH(LOWER(VLOOKUP(A500, Data1_Raw_Slack!A:B, 2, FALSE)), ""news|weather""), ""News and Weather"", REGEXMATCH(LOWER(VLOOKUP(A500, Data1_Raw_Slack!A:B, 2, FALSE)), ""sports|ufc|nba|nfl|mlb|soccer|sports fans""), ""Sports"",
  REGEXMATCH(LOWER("&amp;"VLOOKUP(A500, Data1_Raw_Slack!A:B, 2, FALSE)), ""fashion|style|clothing|apparel|shoes|accessories|beauty|cosmetics|fashionistas""), ""Fashion and Beauty"",
  REGEXMATCH(LOWER(VLOOKUP(A500, Data1_Raw_Slack!A:B, 2, FALSE)), ""food|cooking|recipe|restaurant|"&amp;"snack|grocery|foodies""), ""Food"",
  REGEXMATCH(LOWER(VLOOKUP(A500, Data1_Raw_Slack!A:B, 2, FALSE)), ""travel|vacation|airline|hotel|trip|flights|travelers""), ""Travel"",
  REGEXMATCH(LOWER(VLOOKUP(A500, Data1_Raw_Slack!A:B, 2, FALSE)), ""fitness|workou"&amp;"t|gym|exercise|yoga|wellness|fitness enthusiasts""), ""Fitness"",
  REGEXMATCH(LOWER(VLOOKUP(A500, Data1_Raw_Slack!A:B, 2, FALSE)), ""health|medical|pharmacy|mental health|doctor|health-conscious""), ""Health"",
  REGEXMATCH(LOWER(VLOOKUP(A500, Data1_Raw_"&amp;"Slack!A:B, 2, FALSE)), ""pets|dogs|cats|animals|pet care|pet lovers""), ""Pets"",
  REGEXMATCH(LOWER(VLOOKUP(A500, Data1_Raw_Slack!A:B, 2, FALSE)), ""games|gaming|game|xbox|playstation|nintendo|gamers""), ""Gaming"",
  REGEXMATCH(LOWER(VLOOKUP(A500, Data1"&amp;"_Raw_Slack!A:B, 2, FALSE)), ""entertainment|movies|tv|netflix|streaming|celebrity|movie lovers|tv fans|hobb|photo|art""), ""Entertainment"",
  REGEXMATCH(LOWER(VLOOKUP(A500, Data1_Raw_Slack!A:B, 2, FALSE)), ""lifestyle|home|interior|decor|living|lifestyle"&amp;" enthusiasts""), ""Lifestyle"",
  REGEXMATCH(LOWER(VLOOKUP(A500, Data1_Raw_Slack!A:B, 2, FALSE)), ""financial|finance|investing|stocks|retirement|banking|credit|debt|loans|savings|personal finance|insurance|econ|ecom|business|retail|occupation|sale|job|ma"&amp;"rketing""), ""Finance"",
  REGEXMATCH(LOWER(VLOOKUP(A500, Data1_Raw_Slack!A:B, 2, FALSE)), ""auto|automotive""), ""Auto"",
  REGEXMATCH(LOWER(VLOOKUP(A500, Data1_Raw_Slack!A:B, 2, FALSE)), ""parenting|moms|dads|kids|toddlers|baby|parent|children""), ""Par"&amp;"enting"",
  REGEXMATCH(LOWER(VLOOKUP(A500, Data1_Raw_Slack!A:B, 2, FALSE)), ""education|students|learning|school|teachers|college|university|academics""), ""Education"",
  REGEXMATCH(LOWER(VLOOKUP(A500, Data1_Raw_Slack!A:B, 2, FALSE)), ""age|gender|dem"&amp;"ographic|family|household""), ""Demographics"",
  REGEXMATCH(LOWER(VLOOKUP(A500, Data1_Raw_Slack!A:B, 2, FALSE)), ""mortgage|real estate""), ""Real Estate"",REGEXMATCH(LOWER(VLOOKUP(A500, Data1_Raw_Slack!A:B, 2, FALSE)), ""technology|tech|gadgets|smartpho"&amp;"ne|electro|apps|devices|computing|ai|robots|software|computer|internet|tele|mobile|tablet""), ""Technology"", REGEXMATCH(LOWER(VLOOKUP(A500, Data1_Raw_Slack!A:B, 2, FALSE)), ""entertainment|purchas|movies|tv|netflix|streaming|celebrity|movie lovers|tv fan"&amp;"s|media|hobb|photo|art|shop""), ""Entertainment"", REGEXMATCH(LOWER(VLOOKUP(A500, Data1_Raw_Slack!A:B, 2, FALSE)), ""law|government|""), ""Law and Government"",
  TRUE, ""Other""
)"),"Sports")</f>
        <v>Sports</v>
      </c>
      <c r="G500" s="9" t="s">
        <v>154</v>
      </c>
      <c r="H500" s="9" t="s">
        <v>32</v>
      </c>
      <c r="I500" s="9" t="s">
        <v>1781</v>
      </c>
      <c r="J500" s="9" t="s">
        <v>34</v>
      </c>
      <c r="K500" s="9" t="s">
        <v>148</v>
      </c>
      <c r="L500" s="9" t="s">
        <v>89</v>
      </c>
      <c r="M500" s="10" t="s">
        <v>1782</v>
      </c>
      <c r="N500" s="9" t="str">
        <f ca="1">IFERROR(__xludf.DUMMYFUNCTION("REGEXEXTRACT(LOWER(M500), ""([a-z0-9\-]+)\.(?:co|net|org|io|gg)"")"),"npr")</f>
        <v>npr</v>
      </c>
      <c r="O500" s="9" t="s">
        <v>349</v>
      </c>
      <c r="P500" s="9" t="s">
        <v>39</v>
      </c>
      <c r="Q500" s="9">
        <v>13592</v>
      </c>
      <c r="R500" s="9">
        <v>85</v>
      </c>
      <c r="S500" s="9">
        <v>7747</v>
      </c>
      <c r="T500" s="9">
        <v>10690</v>
      </c>
      <c r="U500" s="9">
        <v>1</v>
      </c>
      <c r="V500" s="11">
        <v>1555.1120780000001</v>
      </c>
      <c r="W500" s="12">
        <f t="shared" si="7"/>
        <v>1555.1120780000001</v>
      </c>
      <c r="X500" s="12">
        <f t="shared" si="8"/>
        <v>0.62536786344908768</v>
      </c>
      <c r="Y500" s="12">
        <f t="shared" si="9"/>
        <v>56.996762801648025</v>
      </c>
      <c r="Z500" s="12">
        <f t="shared" si="10"/>
        <v>200.73732773977025</v>
      </c>
      <c r="AA500" s="12">
        <f t="shared" si="11"/>
        <v>114.41377854620366</v>
      </c>
      <c r="AB500" s="12">
        <f t="shared" si="12"/>
        <v>18.295436211764706</v>
      </c>
      <c r="AC500" s="12">
        <f t="shared" si="13"/>
        <v>1.1764705882352942</v>
      </c>
      <c r="AE500" s="13"/>
      <c r="AF500" s="13"/>
    </row>
    <row r="501" spans="1:32">
      <c r="A501" s="8" t="s">
        <v>1783</v>
      </c>
      <c r="B501" s="9"/>
      <c r="C501" s="9" t="s">
        <v>933</v>
      </c>
      <c r="D501" s="9" t="s">
        <v>610</v>
      </c>
      <c r="E501" s="9" t="s">
        <v>1784</v>
      </c>
      <c r="F501" s="9" t="str">
        <f ca="1">IFERROR(__xludf.DUMMYFUNCTION("IFS(
  REGEXMATCH(LOWER(VLOOKUP(A501, Data1_Raw_Slack!A:B, 2, FALSE)), ""news|weather""), ""News and Weather"", REGEXMATCH(LOWER(VLOOKUP(A501, Data1_Raw_Slack!A:B, 2, FALSE)), ""sports|ufc|nba|nfl|mlb|soccer|sports fans""), ""Sports"",
  REGEXMATCH(LOWER("&amp;"VLOOKUP(A501, Data1_Raw_Slack!A:B, 2, FALSE)), ""fashion|style|clothing|apparel|shoes|accessories|beauty|cosmetics|fashionistas""), ""Fashion and Beauty"",
  REGEXMATCH(LOWER(VLOOKUP(A501, Data1_Raw_Slack!A:B, 2, FALSE)), ""food|cooking|recipe|restaurant|"&amp;"snack|grocery|foodies""), ""Food"",
  REGEXMATCH(LOWER(VLOOKUP(A501, Data1_Raw_Slack!A:B, 2, FALSE)), ""travel|vacation|airline|hotel|trip|flights|travelers""), ""Travel"",
  REGEXMATCH(LOWER(VLOOKUP(A501, Data1_Raw_Slack!A:B, 2, FALSE)), ""fitness|workou"&amp;"t|gym|exercise|yoga|wellness|fitness enthusiasts""), ""Fitness"",
  REGEXMATCH(LOWER(VLOOKUP(A501, Data1_Raw_Slack!A:B, 2, FALSE)), ""health|medical|pharmacy|mental health|doctor|health-conscious""), ""Health"",
  REGEXMATCH(LOWER(VLOOKUP(A501, Data1_Raw_"&amp;"Slack!A:B, 2, FALSE)), ""pets|dogs|cats|animals|pet care|pet lovers""), ""Pets"",
  REGEXMATCH(LOWER(VLOOKUP(A501, Data1_Raw_Slack!A:B, 2, FALSE)), ""games|gaming|game|xbox|playstation|nintendo|gamers""), ""Gaming"",
  REGEXMATCH(LOWER(VLOOKUP(A501, Data1"&amp;"_Raw_Slack!A:B, 2, FALSE)), ""entertainment|movies|tv|netflix|streaming|celebrity|movie lovers|tv fans|hobb|photo|art""), ""Entertainment"",
  REGEXMATCH(LOWER(VLOOKUP(A501, Data1_Raw_Slack!A:B, 2, FALSE)), ""lifestyle|home|interior|decor|living|lifestyle"&amp;" enthusiasts""), ""Lifestyle"",
  REGEXMATCH(LOWER(VLOOKUP(A501, Data1_Raw_Slack!A:B, 2, FALSE)), ""financial|finance|investing|stocks|retirement|banking|credit|debt|loans|savings|personal finance|insurance|econ|ecom|business|retail|occupation|sale|job|ma"&amp;"rketing""), ""Finance"",
  REGEXMATCH(LOWER(VLOOKUP(A501, Data1_Raw_Slack!A:B, 2, FALSE)), ""auto|automotive""), ""Auto"",
  REGEXMATCH(LOWER(VLOOKUP(A501, Data1_Raw_Slack!A:B, 2, FALSE)), ""parenting|moms|dads|kids|toddlers|baby|parent|children""), ""Par"&amp;"enting"",
  REGEXMATCH(LOWER(VLOOKUP(A501, Data1_Raw_Slack!A:B, 2, FALSE)), ""education|students|learning|school|teachers|college|university|academics""), ""Education"",
  REGEXMATCH(LOWER(VLOOKUP(A501, Data1_Raw_Slack!A:B, 2, FALSE)), ""age|gender|dem"&amp;"ographic|family|household""), ""Demographics"",
  REGEXMATCH(LOWER(VLOOKUP(A501, Data1_Raw_Slack!A:B, 2, FALSE)), ""mortgage|real estate""), ""Real Estate"",REGEXMATCH(LOWER(VLOOKUP(A501, Data1_Raw_Slack!A:B, 2, FALSE)), ""technology|tech|gadgets|smartpho"&amp;"ne|electro|apps|devices|computing|ai|robots|software|computer|internet|tele|mobile|tablet""), ""Technology"", REGEXMATCH(LOWER(VLOOKUP(A501, Data1_Raw_Slack!A:B, 2, FALSE)), ""entertainment|purchas|movies|tv|netflix|streaming|celebrity|movie lovers|tv fan"&amp;"s|media|hobb|photo|art|shop""), ""Entertainment"", REGEXMATCH(LOWER(VLOOKUP(A501, Data1_Raw_Slack!A:B, 2, FALSE)), ""law|government|""), ""Law and Government"",
  TRUE, ""Other""
)"),"Food")</f>
        <v>Food</v>
      </c>
      <c r="G501" s="9"/>
      <c r="H501" s="9" t="s">
        <v>32</v>
      </c>
      <c r="I501" s="9" t="s">
        <v>1785</v>
      </c>
      <c r="J501" s="9" t="s">
        <v>80</v>
      </c>
      <c r="K501" s="9" t="s">
        <v>299</v>
      </c>
      <c r="L501" s="9" t="s">
        <v>72</v>
      </c>
      <c r="M501" s="10" t="s">
        <v>1786</v>
      </c>
      <c r="N501" s="9" t="str">
        <f ca="1">IFERROR(__xludf.DUMMYFUNCTION("REGEXEXTRACT(LOWER(M501), ""([a-z0-9\-]+)\.(?:co|net|org|io|gg)"")"),"ajc")</f>
        <v>ajc</v>
      </c>
      <c r="O501" s="9" t="s">
        <v>74</v>
      </c>
      <c r="P501" s="9" t="s">
        <v>39</v>
      </c>
      <c r="Q501" s="9">
        <v>12592</v>
      </c>
      <c r="R501" s="9">
        <v>63</v>
      </c>
      <c r="S501" s="9">
        <v>7472</v>
      </c>
      <c r="T501" s="9">
        <v>11687</v>
      </c>
      <c r="U501" s="9">
        <v>4</v>
      </c>
      <c r="V501" s="11">
        <v>1521.185189</v>
      </c>
      <c r="W501" s="12">
        <f t="shared" si="7"/>
        <v>380.29629725000001</v>
      </c>
      <c r="X501" s="12">
        <f t="shared" si="8"/>
        <v>0.50031766200762395</v>
      </c>
      <c r="Y501" s="12">
        <f t="shared" si="9"/>
        <v>59.339263024142305</v>
      </c>
      <c r="Z501" s="12">
        <f t="shared" si="10"/>
        <v>203.5847415685225</v>
      </c>
      <c r="AA501" s="12">
        <f t="shared" si="11"/>
        <v>120.80568527636595</v>
      </c>
      <c r="AB501" s="12">
        <f t="shared" si="12"/>
        <v>24.145796650793653</v>
      </c>
      <c r="AC501" s="12">
        <f t="shared" si="13"/>
        <v>6.3492063492063489</v>
      </c>
      <c r="AE501" s="13"/>
      <c r="AF501" s="13"/>
    </row>
    <row r="502" spans="1:32">
      <c r="A502" s="8" t="s">
        <v>1787</v>
      </c>
      <c r="B502" s="9" t="s">
        <v>198</v>
      </c>
      <c r="C502" s="9" t="s">
        <v>1788</v>
      </c>
      <c r="D502" s="9"/>
      <c r="E502" s="9"/>
      <c r="F502" s="9" t="str">
        <f ca="1">IFERROR(__xludf.DUMMYFUNCTION("IFS(
  REGEXMATCH(LOWER(VLOOKUP(A502, Data1_Raw_Slack!A:B, 2, FALSE)), ""news|weather""), ""News and Weather"", REGEXMATCH(LOWER(VLOOKUP(A502, Data1_Raw_Slack!A:B, 2, FALSE)), ""sports|ufc|nba|nfl|mlb|soccer|sports fans""), ""Sports"",
  REGEXMATCH(LOWER("&amp;"VLOOKUP(A502, Data1_Raw_Slack!A:B, 2, FALSE)), ""fashion|style|clothing|apparel|shoes|accessories|beauty|cosmetics|fashionistas""), ""Fashion and Beauty"",
  REGEXMATCH(LOWER(VLOOKUP(A502, Data1_Raw_Slack!A:B, 2, FALSE)), ""food|cooking|recipe|restaurant|"&amp;"snack|grocery|foodies""), ""Food"",
  REGEXMATCH(LOWER(VLOOKUP(A502, Data1_Raw_Slack!A:B, 2, FALSE)), ""travel|vacation|airline|hotel|trip|flights|travelers""), ""Travel"",
  REGEXMATCH(LOWER(VLOOKUP(A502, Data1_Raw_Slack!A:B, 2, FALSE)), ""fitness|workou"&amp;"t|gym|exercise|yoga|wellness|fitness enthusiasts""), ""Fitness"",
  REGEXMATCH(LOWER(VLOOKUP(A502, Data1_Raw_Slack!A:B, 2, FALSE)), ""health|medical|pharmacy|mental health|doctor|health-conscious""), ""Health"",
  REGEXMATCH(LOWER(VLOOKUP(A502, Data1_Raw_"&amp;"Slack!A:B, 2, FALSE)), ""pets|dogs|cats|animals|pet care|pet lovers""), ""Pets"",
  REGEXMATCH(LOWER(VLOOKUP(A502, Data1_Raw_Slack!A:B, 2, FALSE)), ""games|gaming|game|xbox|playstation|nintendo|gamers""), ""Gaming"",
  REGEXMATCH(LOWER(VLOOKUP(A502, Data1"&amp;"_Raw_Slack!A:B, 2, FALSE)), ""entertainment|movies|tv|netflix|streaming|celebrity|movie lovers|tv fans|hobb|photo|art""), ""Entertainment"",
  REGEXMATCH(LOWER(VLOOKUP(A502, Data1_Raw_Slack!A:B, 2, FALSE)), ""lifestyle|home|interior|decor|living|lifestyle"&amp;" enthusiasts""), ""Lifestyle"",
  REGEXMATCH(LOWER(VLOOKUP(A502, Data1_Raw_Slack!A:B, 2, FALSE)), ""financial|finance|investing|stocks|retirement|banking|credit|debt|loans|savings|personal finance|insurance|econ|ecom|business|retail|occupation|sale|job|ma"&amp;"rketing""), ""Finance"",
  REGEXMATCH(LOWER(VLOOKUP(A502, Data1_Raw_Slack!A:B, 2, FALSE)), ""auto|automotive""), ""Auto"",
  REGEXMATCH(LOWER(VLOOKUP(A502, Data1_Raw_Slack!A:B, 2, FALSE)), ""parenting|moms|dads|kids|toddlers|baby|parent|children""), ""Par"&amp;"enting"",
  REGEXMATCH(LOWER(VLOOKUP(A502, Data1_Raw_Slack!A:B, 2, FALSE)), ""education|students|learning|school|teachers|college|university|academics""), ""Education"",
  REGEXMATCH(LOWER(VLOOKUP(A502, Data1_Raw_Slack!A:B, 2, FALSE)), ""age|gender|dem"&amp;"ographic|family|household""), ""Demographics"",
  REGEXMATCH(LOWER(VLOOKUP(A502, Data1_Raw_Slack!A:B, 2, FALSE)), ""mortgage|real estate""), ""Real Estate"",REGEXMATCH(LOWER(VLOOKUP(A502, Data1_Raw_Slack!A:B, 2, FALSE)), ""technology|tech|gadgets|smartpho"&amp;"ne|electro|apps|devices|computing|ai|robots|software|computer|internet|tele|mobile|tablet""), ""Technology"", REGEXMATCH(LOWER(VLOOKUP(A502, Data1_Raw_Slack!A:B, 2, FALSE)), ""entertainment|purchas|movies|tv|netflix|streaming|celebrity|movie lovers|tv fan"&amp;"s|media|hobb|photo|art|shop""), ""Entertainment"", REGEXMATCH(LOWER(VLOOKUP(A502, Data1_Raw_Slack!A:B, 2, FALSE)), ""law|government|""), ""Law and Government"",
  TRUE, ""Other""
)"),"Law and Government")</f>
        <v>Law and Government</v>
      </c>
      <c r="G502" s="9" t="s">
        <v>127</v>
      </c>
      <c r="H502" s="9" t="s">
        <v>32</v>
      </c>
      <c r="I502" s="9" t="s">
        <v>903</v>
      </c>
      <c r="J502" s="9" t="s">
        <v>46</v>
      </c>
      <c r="K502" s="9" t="s">
        <v>142</v>
      </c>
      <c r="L502" s="9" t="s">
        <v>72</v>
      </c>
      <c r="M502" s="10" t="s">
        <v>1789</v>
      </c>
      <c r="N502" s="9" t="str">
        <f ca="1">IFERROR(__xludf.DUMMYFUNCTION("REGEXEXTRACT(LOWER(M502), ""([a-z0-9\-]+)\.(?:co|net|org|io|gg)"")"),"doodle")</f>
        <v>doodle</v>
      </c>
      <c r="O502" s="9" t="s">
        <v>50</v>
      </c>
      <c r="P502" s="9" t="s">
        <v>39</v>
      </c>
      <c r="Q502" s="9">
        <v>12606</v>
      </c>
      <c r="R502" s="9">
        <v>74</v>
      </c>
      <c r="S502" s="9">
        <v>8332</v>
      </c>
      <c r="T502" s="9">
        <v>11170</v>
      </c>
      <c r="U502" s="9">
        <v>5</v>
      </c>
      <c r="V502" s="11">
        <v>2002.5379889999999</v>
      </c>
      <c r="W502" s="12">
        <f t="shared" si="7"/>
        <v>400.50759779999998</v>
      </c>
      <c r="X502" s="12">
        <f t="shared" si="8"/>
        <v>0.58702205299063936</v>
      </c>
      <c r="Y502" s="12">
        <f t="shared" si="9"/>
        <v>66.09551007456767</v>
      </c>
      <c r="Z502" s="12">
        <f t="shared" si="10"/>
        <v>240.34301356216994</v>
      </c>
      <c r="AA502" s="12">
        <f t="shared" si="11"/>
        <v>158.85594074250355</v>
      </c>
      <c r="AB502" s="12">
        <f t="shared" si="12"/>
        <v>27.061324175675676</v>
      </c>
      <c r="AC502" s="12">
        <f t="shared" si="13"/>
        <v>6.756756756756757</v>
      </c>
      <c r="AE502" s="13"/>
      <c r="AF502" s="13"/>
    </row>
    <row r="503" spans="1:32">
      <c r="A503" s="8" t="s">
        <v>1790</v>
      </c>
      <c r="B503" s="9" t="s">
        <v>41</v>
      </c>
      <c r="C503" s="9" t="s">
        <v>162</v>
      </c>
      <c r="D503" s="9" t="s">
        <v>163</v>
      </c>
      <c r="E503" s="9" t="s">
        <v>1129</v>
      </c>
      <c r="F503" s="9" t="str">
        <f ca="1">IFERROR(__xludf.DUMMYFUNCTION("IFS(
  REGEXMATCH(LOWER(VLOOKUP(A503, Data1_Raw_Slack!A:B, 2, FALSE)), ""news|weather""), ""News and Weather"", REGEXMATCH(LOWER(VLOOKUP(A503, Data1_Raw_Slack!A:B, 2, FALSE)), ""sports|ufc|nba|nfl|mlb|soccer|sports fans""), ""Sports"",
  REGEXMATCH(LOWER("&amp;"VLOOKUP(A503, Data1_Raw_Slack!A:B, 2, FALSE)), ""fashion|style|clothing|apparel|shoes|accessories|beauty|cosmetics|fashionistas""), ""Fashion and Beauty"",
  REGEXMATCH(LOWER(VLOOKUP(A503, Data1_Raw_Slack!A:B, 2, FALSE)), ""food|cooking|recipe|restaurant|"&amp;"snack|grocery|foodies""), ""Food"",
  REGEXMATCH(LOWER(VLOOKUP(A503, Data1_Raw_Slack!A:B, 2, FALSE)), ""travel|vacation|airline|hotel|trip|flights|travelers""), ""Travel"",
  REGEXMATCH(LOWER(VLOOKUP(A503, Data1_Raw_Slack!A:B, 2, FALSE)), ""fitness|workou"&amp;"t|gym|exercise|yoga|wellness|fitness enthusiasts""), ""Fitness"",
  REGEXMATCH(LOWER(VLOOKUP(A503, Data1_Raw_Slack!A:B, 2, FALSE)), ""health|medical|pharmacy|mental health|doctor|health-conscious""), ""Health"",
  REGEXMATCH(LOWER(VLOOKUP(A503, Data1_Raw_"&amp;"Slack!A:B, 2, FALSE)), ""pets|dogs|cats|animals|pet care|pet lovers""), ""Pets"",
  REGEXMATCH(LOWER(VLOOKUP(A503, Data1_Raw_Slack!A:B, 2, FALSE)), ""games|gaming|game|xbox|playstation|nintendo|gamers""), ""Gaming"",
  REGEXMATCH(LOWER(VLOOKUP(A503, Data1"&amp;"_Raw_Slack!A:B, 2, FALSE)), ""entertainment|movies|tv|netflix|streaming|celebrity|movie lovers|tv fans|hobb|photo|art""), ""Entertainment"",
  REGEXMATCH(LOWER(VLOOKUP(A503, Data1_Raw_Slack!A:B, 2, FALSE)), ""lifestyle|home|interior|decor|living|lifestyle"&amp;" enthusiasts""), ""Lifestyle"",
  REGEXMATCH(LOWER(VLOOKUP(A503, Data1_Raw_Slack!A:B, 2, FALSE)), ""financial|finance|investing|stocks|retirement|banking|credit|debt|loans|savings|personal finance|insurance|econ|ecom|business|retail|occupation|sale|job|ma"&amp;"rketing""), ""Finance"",
  REGEXMATCH(LOWER(VLOOKUP(A503, Data1_Raw_Slack!A:B, 2, FALSE)), ""auto|automotive""), ""Auto"",
  REGEXMATCH(LOWER(VLOOKUP(A503, Data1_Raw_Slack!A:B, 2, FALSE)), ""parenting|moms|dads|kids|toddlers|baby|parent|children""), ""Par"&amp;"enting"",
  REGEXMATCH(LOWER(VLOOKUP(A503, Data1_Raw_Slack!A:B, 2, FALSE)), ""education|students|learning|school|teachers|college|university|academics""), ""Education"",
  REGEXMATCH(LOWER(VLOOKUP(A503, Data1_Raw_Slack!A:B, 2, FALSE)), ""age|gender|dem"&amp;"ographic|family|household""), ""Demographics"",
  REGEXMATCH(LOWER(VLOOKUP(A503, Data1_Raw_Slack!A:B, 2, FALSE)), ""mortgage|real estate""), ""Real Estate"",REGEXMATCH(LOWER(VLOOKUP(A503, Data1_Raw_Slack!A:B, 2, FALSE)), ""technology|tech|gadgets|smartpho"&amp;"ne|electro|apps|devices|computing|ai|robots|software|computer|internet|tele|mobile|tablet""), ""Technology"", REGEXMATCH(LOWER(VLOOKUP(A503, Data1_Raw_Slack!A:B, 2, FALSE)), ""entertainment|purchas|movies|tv|netflix|streaming|celebrity|movie lovers|tv fan"&amp;"s|media|hobb|photo|art|shop""), ""Entertainment"", REGEXMATCH(LOWER(VLOOKUP(A503, Data1_Raw_Slack!A:B, 2, FALSE)), ""law|government|""), ""Law and Government"",
  TRUE, ""Other""
)"),"Auto")</f>
        <v>Auto</v>
      </c>
      <c r="G503" s="9" t="s">
        <v>122</v>
      </c>
      <c r="H503" s="9" t="s">
        <v>44</v>
      </c>
      <c r="I503" s="9" t="s">
        <v>1791</v>
      </c>
      <c r="J503" s="9" t="s">
        <v>46</v>
      </c>
      <c r="K503" s="9" t="s">
        <v>236</v>
      </c>
      <c r="L503" s="9" t="s">
        <v>82</v>
      </c>
      <c r="M503" s="10" t="s">
        <v>1792</v>
      </c>
      <c r="N503" s="9" t="str">
        <f ca="1">IFERROR(__xludf.DUMMYFUNCTION("REGEXEXTRACT(LOWER(M503), ""([a-z0-9\-]+)\.(?:co|net|org|io|gg)"")"),"androidauthority")</f>
        <v>androidauthority</v>
      </c>
      <c r="O503" s="9" t="s">
        <v>74</v>
      </c>
      <c r="P503" s="9" t="s">
        <v>39</v>
      </c>
      <c r="Q503" s="9">
        <v>14451</v>
      </c>
      <c r="R503" s="9">
        <v>50</v>
      </c>
      <c r="S503" s="9">
        <v>5606</v>
      </c>
      <c r="T503" s="9">
        <v>13461</v>
      </c>
      <c r="U503" s="9">
        <v>8</v>
      </c>
      <c r="V503" s="11">
        <v>6397.6025179999997</v>
      </c>
      <c r="W503" s="12">
        <f t="shared" si="7"/>
        <v>799.70031474999996</v>
      </c>
      <c r="X503" s="12">
        <f t="shared" si="8"/>
        <v>0.34599681682928518</v>
      </c>
      <c r="Y503" s="12">
        <f t="shared" si="9"/>
        <v>38.793163102899456</v>
      </c>
      <c r="Z503" s="12">
        <f t="shared" si="10"/>
        <v>1141.2063000356761</v>
      </c>
      <c r="AA503" s="12">
        <f t="shared" si="11"/>
        <v>442.71002131340384</v>
      </c>
      <c r="AB503" s="12">
        <f t="shared" si="12"/>
        <v>127.95205035999999</v>
      </c>
      <c r="AC503" s="12">
        <f t="shared" si="13"/>
        <v>16</v>
      </c>
      <c r="AE503" s="13"/>
      <c r="AF503" s="13"/>
    </row>
    <row r="504" spans="1:32">
      <c r="A504" s="8" t="s">
        <v>1793</v>
      </c>
      <c r="B504" s="9" t="s">
        <v>41</v>
      </c>
      <c r="C504" s="9" t="s">
        <v>214</v>
      </c>
      <c r="D504" s="9" t="s">
        <v>215</v>
      </c>
      <c r="E504" s="9" t="s">
        <v>1794</v>
      </c>
      <c r="F504" s="9" t="str">
        <f ca="1">IFERROR(__xludf.DUMMYFUNCTION("IFS(
  REGEXMATCH(LOWER(VLOOKUP(A504, Data1_Raw_Slack!A:B, 2, FALSE)), ""news|weather""), ""News and Weather"", REGEXMATCH(LOWER(VLOOKUP(A504, Data1_Raw_Slack!A:B, 2, FALSE)), ""sports|ufc|nba|nfl|mlb|soccer|sports fans""), ""Sports"",
  REGEXMATCH(LOWER("&amp;"VLOOKUP(A504, Data1_Raw_Slack!A:B, 2, FALSE)), ""fashion|style|clothing|apparel|shoes|accessories|beauty|cosmetics|fashionistas""), ""Fashion and Beauty"",
  REGEXMATCH(LOWER(VLOOKUP(A504, Data1_Raw_Slack!A:B, 2, FALSE)), ""food|cooking|recipe|restaurant|"&amp;"snack|grocery|foodies""), ""Food"",
  REGEXMATCH(LOWER(VLOOKUP(A504, Data1_Raw_Slack!A:B, 2, FALSE)), ""travel|vacation|airline|hotel|trip|flights|travelers""), ""Travel"",
  REGEXMATCH(LOWER(VLOOKUP(A504, Data1_Raw_Slack!A:B, 2, FALSE)), ""fitness|workou"&amp;"t|gym|exercise|yoga|wellness|fitness enthusiasts""), ""Fitness"",
  REGEXMATCH(LOWER(VLOOKUP(A504, Data1_Raw_Slack!A:B, 2, FALSE)), ""health|medical|pharmacy|mental health|doctor|health-conscious""), ""Health"",
  REGEXMATCH(LOWER(VLOOKUP(A504, Data1_Raw_"&amp;"Slack!A:B, 2, FALSE)), ""pets|dogs|cats|animals|pet care|pet lovers""), ""Pets"",
  REGEXMATCH(LOWER(VLOOKUP(A504, Data1_Raw_Slack!A:B, 2, FALSE)), ""games|gaming|game|xbox|playstation|nintendo|gamers""), ""Gaming"",
  REGEXMATCH(LOWER(VLOOKUP(A504, Data1"&amp;"_Raw_Slack!A:B, 2, FALSE)), ""entertainment|movies|tv|netflix|streaming|celebrity|movie lovers|tv fans|hobb|photo|art""), ""Entertainment"",
  REGEXMATCH(LOWER(VLOOKUP(A504, Data1_Raw_Slack!A:B, 2, FALSE)), ""lifestyle|home|interior|decor|living|lifestyle"&amp;" enthusiasts""), ""Lifestyle"",
  REGEXMATCH(LOWER(VLOOKUP(A504, Data1_Raw_Slack!A:B, 2, FALSE)), ""financial|finance|investing|stocks|retirement|banking|credit|debt|loans|savings|personal finance|insurance|econ|ecom|business|retail|occupation|sale|job|ma"&amp;"rketing""), ""Finance"",
  REGEXMATCH(LOWER(VLOOKUP(A504, Data1_Raw_Slack!A:B, 2, FALSE)), ""auto|automotive""), ""Auto"",
  REGEXMATCH(LOWER(VLOOKUP(A504, Data1_Raw_Slack!A:B, 2, FALSE)), ""parenting|moms|dads|kids|toddlers|baby|parent|children""), ""Par"&amp;"enting"",
  REGEXMATCH(LOWER(VLOOKUP(A504, Data1_Raw_Slack!A:B, 2, FALSE)), ""education|students|learning|school|teachers|college|university|academics""), ""Education"",
  REGEXMATCH(LOWER(VLOOKUP(A504, Data1_Raw_Slack!A:B, 2, FALSE)), ""age|gender|dem"&amp;"ographic|family|household""), ""Demographics"",
  REGEXMATCH(LOWER(VLOOKUP(A504, Data1_Raw_Slack!A:B, 2, FALSE)), ""mortgage|real estate""), ""Real Estate"",REGEXMATCH(LOWER(VLOOKUP(A504, Data1_Raw_Slack!A:B, 2, FALSE)), ""technology|tech|gadgets|smartpho"&amp;"ne|electro|apps|devices|computing|ai|robots|software|computer|internet|tele|mobile|tablet""), ""Technology"", REGEXMATCH(LOWER(VLOOKUP(A504, Data1_Raw_Slack!A:B, 2, FALSE)), ""entertainment|purchas|movies|tv|netflix|streaming|celebrity|movie lovers|tv fan"&amp;"s|media|hobb|photo|art|shop""), ""Entertainment"", REGEXMATCH(LOWER(VLOOKUP(A504, Data1_Raw_Slack!A:B, 2, FALSE)), ""law|government|""), ""Law and Government"",
  TRUE, ""Other""
)"),"Demographics")</f>
        <v>Demographics</v>
      </c>
      <c r="G504" s="9"/>
      <c r="H504" s="9" t="s">
        <v>44</v>
      </c>
      <c r="I504" s="9" t="s">
        <v>1795</v>
      </c>
      <c r="J504" s="9" t="s">
        <v>62</v>
      </c>
      <c r="K504" s="9" t="s">
        <v>236</v>
      </c>
      <c r="L504" s="9" t="s">
        <v>82</v>
      </c>
      <c r="M504" s="10" t="s">
        <v>300</v>
      </c>
      <c r="N504" s="9" t="str">
        <f ca="1">IFERROR(__xludf.DUMMYFUNCTION("REGEXEXTRACT(LOWER(M504), ""([a-z0-9\-]+)\.(?:co|net|org|io|gg)"")"),"the-sun")</f>
        <v>the-sun</v>
      </c>
      <c r="O504" s="9" t="s">
        <v>186</v>
      </c>
      <c r="P504" s="9" t="s">
        <v>64</v>
      </c>
      <c r="Q504" s="9">
        <v>48707</v>
      </c>
      <c r="R504" s="9">
        <v>185</v>
      </c>
      <c r="S504" s="9">
        <v>25182</v>
      </c>
      <c r="T504" s="9">
        <v>44696</v>
      </c>
      <c r="U504" s="9">
        <v>13</v>
      </c>
      <c r="V504" s="11">
        <v>5600.3556429999999</v>
      </c>
      <c r="W504" s="12">
        <f t="shared" si="7"/>
        <v>430.79658792307691</v>
      </c>
      <c r="X504" s="12">
        <f t="shared" si="8"/>
        <v>0.37982220214753526</v>
      </c>
      <c r="Y504" s="12">
        <f t="shared" si="9"/>
        <v>51.700987537725581</v>
      </c>
      <c r="Z504" s="12">
        <f t="shared" si="10"/>
        <v>222.39518874592963</v>
      </c>
      <c r="AA504" s="12">
        <f t="shared" si="11"/>
        <v>114.98050881803437</v>
      </c>
      <c r="AB504" s="12">
        <f t="shared" si="12"/>
        <v>30.272192664864864</v>
      </c>
      <c r="AC504" s="12">
        <f t="shared" si="13"/>
        <v>7.0270270270270272</v>
      </c>
      <c r="AE504" s="13"/>
      <c r="AF504" s="13"/>
    </row>
    <row r="505" spans="1:32">
      <c r="A505" s="8" t="s">
        <v>1796</v>
      </c>
      <c r="B505" s="9" t="s">
        <v>198</v>
      </c>
      <c r="C505" s="9" t="s">
        <v>1797</v>
      </c>
      <c r="D505" s="9"/>
      <c r="E505" s="9"/>
      <c r="F505" s="9" t="str">
        <f ca="1">IFERROR(__xludf.DUMMYFUNCTION("IFS(
  REGEXMATCH(LOWER(VLOOKUP(A505, Data1_Raw_Slack!A:B, 2, FALSE)), ""news|weather""), ""News and Weather"", REGEXMATCH(LOWER(VLOOKUP(A505, Data1_Raw_Slack!A:B, 2, FALSE)), ""sports|ufc|nba|nfl|mlb|soccer|sports fans""), ""Sports"",
  REGEXMATCH(LOWER("&amp;"VLOOKUP(A505, Data1_Raw_Slack!A:B, 2, FALSE)), ""fashion|style|clothing|apparel|shoes|accessories|beauty|cosmetics|fashionistas""), ""Fashion and Beauty"",
  REGEXMATCH(LOWER(VLOOKUP(A505, Data1_Raw_Slack!A:B, 2, FALSE)), ""food|cooking|recipe|restaurant|"&amp;"snack|grocery|foodies""), ""Food"",
  REGEXMATCH(LOWER(VLOOKUP(A505, Data1_Raw_Slack!A:B, 2, FALSE)), ""travel|vacation|airline|hotel|trip|flights|travelers""), ""Travel"",
  REGEXMATCH(LOWER(VLOOKUP(A505, Data1_Raw_Slack!A:B, 2, FALSE)), ""fitness|workou"&amp;"t|gym|exercise|yoga|wellness|fitness enthusiasts""), ""Fitness"",
  REGEXMATCH(LOWER(VLOOKUP(A505, Data1_Raw_Slack!A:B, 2, FALSE)), ""health|medical|pharmacy|mental health|doctor|health-conscious""), ""Health"",
  REGEXMATCH(LOWER(VLOOKUP(A505, Data1_Raw_"&amp;"Slack!A:B, 2, FALSE)), ""pets|dogs|cats|animals|pet care|pet lovers""), ""Pets"",
  REGEXMATCH(LOWER(VLOOKUP(A505, Data1_Raw_Slack!A:B, 2, FALSE)), ""games|gaming|game|xbox|playstation|nintendo|gamers""), ""Gaming"",
  REGEXMATCH(LOWER(VLOOKUP(A505, Data1"&amp;"_Raw_Slack!A:B, 2, FALSE)), ""entertainment|movies|tv|netflix|streaming|celebrity|movie lovers|tv fans|hobb|photo|art""), ""Entertainment"",
  REGEXMATCH(LOWER(VLOOKUP(A505, Data1_Raw_Slack!A:B, 2, FALSE)), ""lifestyle|home|interior|decor|living|lifestyle"&amp;" enthusiasts""), ""Lifestyle"",
  REGEXMATCH(LOWER(VLOOKUP(A505, Data1_Raw_Slack!A:B, 2, FALSE)), ""financial|finance|investing|stocks|retirement|banking|credit|debt|loans|savings|personal finance|insurance|econ|ecom|business|retail|occupation|sale|job|ma"&amp;"rketing""), ""Finance"",
  REGEXMATCH(LOWER(VLOOKUP(A505, Data1_Raw_Slack!A:B, 2, FALSE)), ""auto|automotive""), ""Auto"",
  REGEXMATCH(LOWER(VLOOKUP(A505, Data1_Raw_Slack!A:B, 2, FALSE)), ""parenting|moms|dads|kids|toddlers|baby|parent|children""), ""Par"&amp;"enting"",
  REGEXMATCH(LOWER(VLOOKUP(A505, Data1_Raw_Slack!A:B, 2, FALSE)), ""education|students|learning|school|teachers|college|university|academics""), ""Education"",
  REGEXMATCH(LOWER(VLOOKUP(A505, Data1_Raw_Slack!A:B, 2, FALSE)), ""age|gender|dem"&amp;"ographic|family|household""), ""Demographics"",
  REGEXMATCH(LOWER(VLOOKUP(A505, Data1_Raw_Slack!A:B, 2, FALSE)), ""mortgage|real estate""), ""Real Estate"",REGEXMATCH(LOWER(VLOOKUP(A505, Data1_Raw_Slack!A:B, 2, FALSE)), ""technology|tech|gadgets|smartpho"&amp;"ne|electro|apps|devices|computing|ai|robots|software|computer|internet|tele|mobile|tablet""), ""Technology"", REGEXMATCH(LOWER(VLOOKUP(A505, Data1_Raw_Slack!A:B, 2, FALSE)), ""entertainment|purchas|movies|tv|netflix|streaming|celebrity|movie lovers|tv fan"&amp;"s|media|hobb|photo|art|shop""), ""Entertainment"", REGEXMATCH(LOWER(VLOOKUP(A505, Data1_Raw_Slack!A:B, 2, FALSE)), ""law|government|""), ""Law and Government"",
  TRUE, ""Other""
)"),"Law and Government")</f>
        <v>Law and Government</v>
      </c>
      <c r="G505" s="9"/>
      <c r="H505" s="9" t="s">
        <v>32</v>
      </c>
      <c r="I505" s="9" t="s">
        <v>616</v>
      </c>
      <c r="J505" s="9" t="s">
        <v>80</v>
      </c>
      <c r="K505" s="9" t="s">
        <v>170</v>
      </c>
      <c r="L505" s="9" t="s">
        <v>72</v>
      </c>
      <c r="M505" s="10" t="s">
        <v>759</v>
      </c>
      <c r="N505" s="9" t="str">
        <f ca="1">IFERROR(__xludf.DUMMYFUNCTION("REGEXEXTRACT(LOWER(M505), ""([a-z0-9\-]+)\.(?:co|net|org|io|gg)"")"),"classmates")</f>
        <v>classmates</v>
      </c>
      <c r="O505" s="9" t="s">
        <v>131</v>
      </c>
      <c r="P505" s="9" t="s">
        <v>39</v>
      </c>
      <c r="Q505" s="9">
        <v>12451</v>
      </c>
      <c r="R505" s="9">
        <v>30</v>
      </c>
      <c r="S505" s="9">
        <v>2987</v>
      </c>
      <c r="T505" s="9">
        <v>11295</v>
      </c>
      <c r="U505" s="9">
        <v>4</v>
      </c>
      <c r="V505" s="11">
        <v>2127.323828</v>
      </c>
      <c r="W505" s="12">
        <f t="shared" si="7"/>
        <v>531.83095700000001</v>
      </c>
      <c r="X505" s="12">
        <f t="shared" si="8"/>
        <v>0.24094450244960242</v>
      </c>
      <c r="Y505" s="12">
        <f t="shared" si="9"/>
        <v>23.990040960565416</v>
      </c>
      <c r="Z505" s="12">
        <f t="shared" si="10"/>
        <v>712.19411717442244</v>
      </c>
      <c r="AA505" s="12">
        <f t="shared" si="11"/>
        <v>170.85566042888124</v>
      </c>
      <c r="AB505" s="12">
        <f t="shared" si="12"/>
        <v>70.91079426666667</v>
      </c>
      <c r="AC505" s="12">
        <f t="shared" si="13"/>
        <v>13.333333333333334</v>
      </c>
      <c r="AE505" s="13"/>
      <c r="AF505" s="13"/>
    </row>
    <row r="506" spans="1:32">
      <c r="A506" s="8" t="s">
        <v>1798</v>
      </c>
      <c r="B506" s="9"/>
      <c r="C506" s="9" t="s">
        <v>499</v>
      </c>
      <c r="D506" s="9" t="s">
        <v>1799</v>
      </c>
      <c r="E506" s="9" t="s">
        <v>1800</v>
      </c>
      <c r="F506" s="9" t="str">
        <f ca="1">IFERROR(__xludf.DUMMYFUNCTION("IFS(
  REGEXMATCH(LOWER(VLOOKUP(A506, Data1_Raw_Slack!A:B, 2, FALSE)), ""news|weather""), ""News and Weather"", REGEXMATCH(LOWER(VLOOKUP(A506, Data1_Raw_Slack!A:B, 2, FALSE)), ""sports|ufc|nba|nfl|mlb|soccer|sports fans""), ""Sports"",
  REGEXMATCH(LOWER("&amp;"VLOOKUP(A506, Data1_Raw_Slack!A:B, 2, FALSE)), ""fashion|style|clothing|apparel|shoes|accessories|beauty|cosmetics|fashionistas""), ""Fashion and Beauty"",
  REGEXMATCH(LOWER(VLOOKUP(A506, Data1_Raw_Slack!A:B, 2, FALSE)), ""food|cooking|recipe|restaurant|"&amp;"snack|grocery|foodies""), ""Food"",
  REGEXMATCH(LOWER(VLOOKUP(A506, Data1_Raw_Slack!A:B, 2, FALSE)), ""travel|vacation|airline|hotel|trip|flights|travelers""), ""Travel"",
  REGEXMATCH(LOWER(VLOOKUP(A506, Data1_Raw_Slack!A:B, 2, FALSE)), ""fitness|workou"&amp;"t|gym|exercise|yoga|wellness|fitness enthusiasts""), ""Fitness"",
  REGEXMATCH(LOWER(VLOOKUP(A506, Data1_Raw_Slack!A:B, 2, FALSE)), ""health|medical|pharmacy|mental health|doctor|health-conscious""), ""Health"",
  REGEXMATCH(LOWER(VLOOKUP(A506, Data1_Raw_"&amp;"Slack!A:B, 2, FALSE)), ""pets|dogs|cats|animals|pet care|pet lovers""), ""Pets"",
  REGEXMATCH(LOWER(VLOOKUP(A506, Data1_Raw_Slack!A:B, 2, FALSE)), ""games|gaming|game|xbox|playstation|nintendo|gamers""), ""Gaming"",
  REGEXMATCH(LOWER(VLOOKUP(A506, Data1"&amp;"_Raw_Slack!A:B, 2, FALSE)), ""entertainment|movies|tv|netflix|streaming|celebrity|movie lovers|tv fans|hobb|photo|art""), ""Entertainment"",
  REGEXMATCH(LOWER(VLOOKUP(A506, Data1_Raw_Slack!A:B, 2, FALSE)), ""lifestyle|home|interior|decor|living|lifestyle"&amp;" enthusiasts""), ""Lifestyle"",
  REGEXMATCH(LOWER(VLOOKUP(A506, Data1_Raw_Slack!A:B, 2, FALSE)), ""financial|finance|investing|stocks|retirement|banking|credit|debt|loans|savings|personal finance|insurance|econ|ecom|business|retail|occupation|sale|job|ma"&amp;"rketing""), ""Finance"",
  REGEXMATCH(LOWER(VLOOKUP(A506, Data1_Raw_Slack!A:B, 2, FALSE)), ""auto|automotive""), ""Auto"",
  REGEXMATCH(LOWER(VLOOKUP(A506, Data1_Raw_Slack!A:B, 2, FALSE)), ""parenting|moms|dads|kids|toddlers|baby|parent|children""), ""Par"&amp;"enting"",
  REGEXMATCH(LOWER(VLOOKUP(A506, Data1_Raw_Slack!A:B, 2, FALSE)), ""education|students|learning|school|teachers|college|university|academics""), ""Education"",
  REGEXMATCH(LOWER(VLOOKUP(A506, Data1_Raw_Slack!A:B, 2, FALSE)), ""age|gender|dem"&amp;"ographic|family|household""), ""Demographics"",
  REGEXMATCH(LOWER(VLOOKUP(A506, Data1_Raw_Slack!A:B, 2, FALSE)), ""mortgage|real estate""), ""Real Estate"",REGEXMATCH(LOWER(VLOOKUP(A506, Data1_Raw_Slack!A:B, 2, FALSE)), ""technology|tech|gadgets|smartpho"&amp;"ne|electro|apps|devices|computing|ai|robots|software|computer|internet|tele|mobile|tablet""), ""Technology"", REGEXMATCH(LOWER(VLOOKUP(A506, Data1_Raw_Slack!A:B, 2, FALSE)), ""entertainment|purchas|movies|tv|netflix|streaming|celebrity|movie lovers|tv fan"&amp;"s|media|hobb|photo|art|shop""), ""Entertainment"", REGEXMATCH(LOWER(VLOOKUP(A506, Data1_Raw_Slack!A:B, 2, FALSE)), ""law|government|""), ""Law and Government"",
  TRUE, ""Other""
)"),"Technology")</f>
        <v>Technology</v>
      </c>
      <c r="G506" s="9"/>
      <c r="H506" s="9" t="s">
        <v>44</v>
      </c>
      <c r="I506" s="9" t="s">
        <v>663</v>
      </c>
      <c r="J506" s="9" t="s">
        <v>62</v>
      </c>
      <c r="K506" s="9" t="s">
        <v>56</v>
      </c>
      <c r="L506" s="9" t="s">
        <v>57</v>
      </c>
      <c r="M506" s="10" t="s">
        <v>202</v>
      </c>
      <c r="N506" s="9" t="str">
        <f ca="1">IFERROR(__xludf.DUMMYFUNCTION("REGEXEXTRACT(LOWER(M506), ""([a-z0-9\-]+)\.(?:co|net|org|io|gg)"")"),"zillow")</f>
        <v>zillow</v>
      </c>
      <c r="O506" s="9" t="s">
        <v>50</v>
      </c>
      <c r="P506" s="9" t="s">
        <v>39</v>
      </c>
      <c r="Q506" s="9">
        <v>312206</v>
      </c>
      <c r="R506" s="9">
        <v>841</v>
      </c>
      <c r="S506" s="9">
        <v>35661</v>
      </c>
      <c r="T506" s="9">
        <v>292992</v>
      </c>
      <c r="U506" s="9">
        <v>5</v>
      </c>
      <c r="V506" s="11">
        <v>1550.938318</v>
      </c>
      <c r="W506" s="12">
        <f t="shared" si="7"/>
        <v>310.18766360000001</v>
      </c>
      <c r="X506" s="12">
        <f t="shared" si="8"/>
        <v>0.26937342651966972</v>
      </c>
      <c r="Y506" s="12">
        <f t="shared" si="9"/>
        <v>11.422266067916697</v>
      </c>
      <c r="Z506" s="12">
        <f t="shared" si="10"/>
        <v>43.491161717282182</v>
      </c>
      <c r="AA506" s="12">
        <f t="shared" si="11"/>
        <v>4.9676762073758995</v>
      </c>
      <c r="AB506" s="12">
        <f t="shared" si="12"/>
        <v>1.8441597122473246</v>
      </c>
      <c r="AC506" s="12">
        <f t="shared" si="13"/>
        <v>0.59453032104637338</v>
      </c>
      <c r="AE506" s="13"/>
      <c r="AF506" s="13"/>
    </row>
    <row r="507" spans="1:32">
      <c r="A507" s="8" t="s">
        <v>1801</v>
      </c>
      <c r="B507" s="9" t="s">
        <v>41</v>
      </c>
      <c r="C507" s="9" t="s">
        <v>319</v>
      </c>
      <c r="D507" s="9" t="s">
        <v>384</v>
      </c>
      <c r="E507" s="9" t="s">
        <v>1802</v>
      </c>
      <c r="F507" s="9" t="str">
        <f ca="1">IFERROR(__xludf.DUMMYFUNCTION("IFS(
  REGEXMATCH(LOWER(VLOOKUP(A507, Data1_Raw_Slack!A:B, 2, FALSE)), ""news|weather""), ""News and Weather"", REGEXMATCH(LOWER(VLOOKUP(A507, Data1_Raw_Slack!A:B, 2, FALSE)), ""sports|ufc|nba|nfl|mlb|soccer|sports fans""), ""Sports"",
  REGEXMATCH(LOWER("&amp;"VLOOKUP(A507, Data1_Raw_Slack!A:B, 2, FALSE)), ""fashion|style|clothing|apparel|shoes|accessories|beauty|cosmetics|fashionistas""), ""Fashion and Beauty"",
  REGEXMATCH(LOWER(VLOOKUP(A507, Data1_Raw_Slack!A:B, 2, FALSE)), ""food|cooking|recipe|restaurant|"&amp;"snack|grocery|foodies""), ""Food"",
  REGEXMATCH(LOWER(VLOOKUP(A507, Data1_Raw_Slack!A:B, 2, FALSE)), ""travel|vacation|airline|hotel|trip|flights|travelers""), ""Travel"",
  REGEXMATCH(LOWER(VLOOKUP(A507, Data1_Raw_Slack!A:B, 2, FALSE)), ""fitness|workou"&amp;"t|gym|exercise|yoga|wellness|fitness enthusiasts""), ""Fitness"",
  REGEXMATCH(LOWER(VLOOKUP(A507, Data1_Raw_Slack!A:B, 2, FALSE)), ""health|medical|pharmacy|mental health|doctor|health-conscious""), ""Health"",
  REGEXMATCH(LOWER(VLOOKUP(A507, Data1_Raw_"&amp;"Slack!A:B, 2, FALSE)), ""pets|dogs|cats|animals|pet care|pet lovers""), ""Pets"",
  REGEXMATCH(LOWER(VLOOKUP(A507, Data1_Raw_Slack!A:B, 2, FALSE)), ""games|gaming|game|xbox|playstation|nintendo|gamers""), ""Gaming"",
  REGEXMATCH(LOWER(VLOOKUP(A507, Data1"&amp;"_Raw_Slack!A:B, 2, FALSE)), ""entertainment|movies|tv|netflix|streaming|celebrity|movie lovers|tv fans|hobb|photo|art""), ""Entertainment"",
  REGEXMATCH(LOWER(VLOOKUP(A507, Data1_Raw_Slack!A:B, 2, FALSE)), ""lifestyle|home|interior|decor|living|lifestyle"&amp;" enthusiasts""), ""Lifestyle"",
  REGEXMATCH(LOWER(VLOOKUP(A507, Data1_Raw_Slack!A:B, 2, FALSE)), ""financial|finance|investing|stocks|retirement|banking|credit|debt|loans|savings|personal finance|insurance|econ|ecom|business|retail|occupation|sale|job|ma"&amp;"rketing""), ""Finance"",
  REGEXMATCH(LOWER(VLOOKUP(A507, Data1_Raw_Slack!A:B, 2, FALSE)), ""auto|automotive""), ""Auto"",
  REGEXMATCH(LOWER(VLOOKUP(A507, Data1_Raw_Slack!A:B, 2, FALSE)), ""parenting|moms|dads|kids|toddlers|baby|parent|children""), ""Par"&amp;"enting"",
  REGEXMATCH(LOWER(VLOOKUP(A507, Data1_Raw_Slack!A:B, 2, FALSE)), ""education|students|learning|school|teachers|college|university|academics""), ""Education"",
  REGEXMATCH(LOWER(VLOOKUP(A507, Data1_Raw_Slack!A:B, 2, FALSE)), ""age|gender|dem"&amp;"ographic|family|household""), ""Demographics"",
  REGEXMATCH(LOWER(VLOOKUP(A507, Data1_Raw_Slack!A:B, 2, FALSE)), ""mortgage|real estate""), ""Real Estate"",REGEXMATCH(LOWER(VLOOKUP(A507, Data1_Raw_Slack!A:B, 2, FALSE)), ""technology|tech|gadgets|smartpho"&amp;"ne|electro|apps|devices|computing|ai|robots|software|computer|internet|tele|mobile|tablet""), ""Technology"", REGEXMATCH(LOWER(VLOOKUP(A507, Data1_Raw_Slack!A:B, 2, FALSE)), ""entertainment|purchas|movies|tv|netflix|streaming|celebrity|movie lovers|tv fan"&amp;"s|media|hobb|photo|art|shop""), ""Entertainment"", REGEXMATCH(LOWER(VLOOKUP(A507, Data1_Raw_Slack!A:B, 2, FALSE)), ""law|government|""), ""Law and Government"",
  TRUE, ""Other""
)"),"Food")</f>
        <v>Food</v>
      </c>
      <c r="G507" s="9"/>
      <c r="H507" s="9" t="s">
        <v>44</v>
      </c>
      <c r="I507" s="9" t="s">
        <v>999</v>
      </c>
      <c r="J507" s="9" t="s">
        <v>34</v>
      </c>
      <c r="K507" s="9" t="s">
        <v>56</v>
      </c>
      <c r="L507" s="9" t="s">
        <v>57</v>
      </c>
      <c r="M507" s="10" t="s">
        <v>393</v>
      </c>
      <c r="N507" s="9" t="str">
        <f ca="1">IFERROR(__xludf.DUMMYFUNCTION("REGEXEXTRACT(LOWER(M507), ""([a-z0-9\-]+)\.(?:co|net|org|io|gg)"")"),"thesaurus")</f>
        <v>thesaurus</v>
      </c>
      <c r="O507" s="9" t="s">
        <v>50</v>
      </c>
      <c r="P507" s="9" t="s">
        <v>75</v>
      </c>
      <c r="Q507" s="9">
        <v>95655</v>
      </c>
      <c r="R507" s="9">
        <v>275</v>
      </c>
      <c r="S507" s="9">
        <v>9202</v>
      </c>
      <c r="T507" s="9">
        <v>85273</v>
      </c>
      <c r="U507" s="9">
        <v>24</v>
      </c>
      <c r="V507" s="11">
        <v>6189.4160819999997</v>
      </c>
      <c r="W507" s="12">
        <f t="shared" si="7"/>
        <v>257.89233674999997</v>
      </c>
      <c r="X507" s="12">
        <f t="shared" si="8"/>
        <v>0.28749150593277928</v>
      </c>
      <c r="Y507" s="12">
        <f t="shared" si="9"/>
        <v>9.6199885003397636</v>
      </c>
      <c r="Z507" s="12">
        <f t="shared" si="10"/>
        <v>672.61639665290147</v>
      </c>
      <c r="AA507" s="12">
        <f t="shared" si="11"/>
        <v>64.705620009408818</v>
      </c>
      <c r="AB507" s="12">
        <f t="shared" si="12"/>
        <v>22.50696757090909</v>
      </c>
      <c r="AC507" s="12">
        <f t="shared" si="13"/>
        <v>8.7272727272727284</v>
      </c>
      <c r="AE507" s="13"/>
      <c r="AF507" s="13"/>
    </row>
    <row r="508" spans="1:32">
      <c r="A508" s="8" t="s">
        <v>1803</v>
      </c>
      <c r="B508" s="9" t="s">
        <v>41</v>
      </c>
      <c r="C508" s="9" t="s">
        <v>154</v>
      </c>
      <c r="D508" s="9" t="s">
        <v>1804</v>
      </c>
      <c r="E508" s="9"/>
      <c r="F508" s="9" t="str">
        <f ca="1">IFERROR(__xludf.DUMMYFUNCTION("IFS(
  REGEXMATCH(LOWER(VLOOKUP(A508, Data1_Raw_Slack!A:B, 2, FALSE)), ""news|weather""), ""News and Weather"", REGEXMATCH(LOWER(VLOOKUP(A508, Data1_Raw_Slack!A:B, 2, FALSE)), ""sports|ufc|nba|nfl|mlb|soccer|sports fans""), ""Sports"",
  REGEXMATCH(LOWER("&amp;"VLOOKUP(A508, Data1_Raw_Slack!A:B, 2, FALSE)), ""fashion|style|clothing|apparel|shoes|accessories|beauty|cosmetics|fashionistas""), ""Fashion and Beauty"",
  REGEXMATCH(LOWER(VLOOKUP(A508, Data1_Raw_Slack!A:B, 2, FALSE)), ""food|cooking|recipe|restaurant|"&amp;"snack|grocery|foodies""), ""Food"",
  REGEXMATCH(LOWER(VLOOKUP(A508, Data1_Raw_Slack!A:B, 2, FALSE)), ""travel|vacation|airline|hotel|trip|flights|travelers""), ""Travel"",
  REGEXMATCH(LOWER(VLOOKUP(A508, Data1_Raw_Slack!A:B, 2, FALSE)), ""fitness|workou"&amp;"t|gym|exercise|yoga|wellness|fitness enthusiasts""), ""Fitness"",
  REGEXMATCH(LOWER(VLOOKUP(A508, Data1_Raw_Slack!A:B, 2, FALSE)), ""health|medical|pharmacy|mental health|doctor|health-conscious""), ""Health"",
  REGEXMATCH(LOWER(VLOOKUP(A508, Data1_Raw_"&amp;"Slack!A:B, 2, FALSE)), ""pets|dogs|cats|animals|pet care|pet lovers""), ""Pets"",
  REGEXMATCH(LOWER(VLOOKUP(A508, Data1_Raw_Slack!A:B, 2, FALSE)), ""games|gaming|game|xbox|playstation|nintendo|gamers""), ""Gaming"",
  REGEXMATCH(LOWER(VLOOKUP(A508, Data1"&amp;"_Raw_Slack!A:B, 2, FALSE)), ""entertainment|movies|tv|netflix|streaming|celebrity|movie lovers|tv fans|hobb|photo|art""), ""Entertainment"",
  REGEXMATCH(LOWER(VLOOKUP(A508, Data1_Raw_Slack!A:B, 2, FALSE)), ""lifestyle|home|interior|decor|living|lifestyle"&amp;" enthusiasts""), ""Lifestyle"",
  REGEXMATCH(LOWER(VLOOKUP(A508, Data1_Raw_Slack!A:B, 2, FALSE)), ""financial|finance|investing|stocks|retirement|banking|credit|debt|loans|savings|personal finance|insurance|econ|ecom|business|retail|occupation|sale|job|ma"&amp;"rketing""), ""Finance"",
  REGEXMATCH(LOWER(VLOOKUP(A508, Data1_Raw_Slack!A:B, 2, FALSE)), ""auto|automotive""), ""Auto"",
  REGEXMATCH(LOWER(VLOOKUP(A508, Data1_Raw_Slack!A:B, 2, FALSE)), ""parenting|moms|dads|kids|toddlers|baby|parent|children""), ""Par"&amp;"enting"",
  REGEXMATCH(LOWER(VLOOKUP(A508, Data1_Raw_Slack!A:B, 2, FALSE)), ""education|students|learning|school|teachers|college|university|academics""), ""Education"",
  REGEXMATCH(LOWER(VLOOKUP(A508, Data1_Raw_Slack!A:B, 2, FALSE)), ""age|gender|dem"&amp;"ographic|family|household""), ""Demographics"",
  REGEXMATCH(LOWER(VLOOKUP(A508, Data1_Raw_Slack!A:B, 2, FALSE)), ""mortgage|real estate""), ""Real Estate"",REGEXMATCH(LOWER(VLOOKUP(A508, Data1_Raw_Slack!A:B, 2, FALSE)), ""technology|tech|gadgets|smartpho"&amp;"ne|electro|apps|devices|computing|ai|robots|software|computer|internet|tele|mobile|tablet""), ""Technology"", REGEXMATCH(LOWER(VLOOKUP(A508, Data1_Raw_Slack!A:B, 2, FALSE)), ""entertainment|purchas|movies|tv|netflix|streaming|celebrity|movie lovers|tv fan"&amp;"s|media|hobb|photo|art|shop""), ""Entertainment"", REGEXMATCH(LOWER(VLOOKUP(A508, Data1_Raw_Slack!A:B, 2, FALSE)), ""law|government|""), ""Law and Government"",
  TRUE, ""Other""
)"),"Sports")</f>
        <v>Sports</v>
      </c>
      <c r="G508" s="9" t="s">
        <v>154</v>
      </c>
      <c r="H508" s="9" t="s">
        <v>44</v>
      </c>
      <c r="I508" s="9" t="s">
        <v>1145</v>
      </c>
      <c r="J508" s="9" t="s">
        <v>80</v>
      </c>
      <c r="K508" s="9" t="s">
        <v>142</v>
      </c>
      <c r="L508" s="9" t="s">
        <v>72</v>
      </c>
      <c r="M508" s="10" t="s">
        <v>1805</v>
      </c>
      <c r="N508" s="9" t="str">
        <f ca="1">IFERROR(__xludf.DUMMYFUNCTION("REGEXEXTRACT(LOWER(M508), ""([a-z0-9\-]+)\.(?:co|net|org|io|gg)"")"),"webmd")</f>
        <v>webmd</v>
      </c>
      <c r="O508" s="9" t="s">
        <v>593</v>
      </c>
      <c r="P508" s="9" t="s">
        <v>39</v>
      </c>
      <c r="Q508" s="9">
        <v>14599</v>
      </c>
      <c r="R508" s="9">
        <v>33</v>
      </c>
      <c r="S508" s="9">
        <v>1779</v>
      </c>
      <c r="T508" s="9">
        <v>12458</v>
      </c>
      <c r="U508" s="9">
        <v>4</v>
      </c>
      <c r="V508" s="11">
        <v>5092.5592150000002</v>
      </c>
      <c r="W508" s="12">
        <f t="shared" si="7"/>
        <v>1273.1398037500001</v>
      </c>
      <c r="X508" s="12">
        <f t="shared" si="8"/>
        <v>0.22604287964929104</v>
      </c>
      <c r="Y508" s="12">
        <f t="shared" si="9"/>
        <v>12.185766148366326</v>
      </c>
      <c r="Z508" s="12">
        <f t="shared" si="10"/>
        <v>2862.596523327712</v>
      </c>
      <c r="AA508" s="12">
        <f t="shared" si="11"/>
        <v>348.82931810397969</v>
      </c>
      <c r="AB508" s="12">
        <f t="shared" si="12"/>
        <v>154.31997621212122</v>
      </c>
      <c r="AC508" s="12">
        <f t="shared" si="13"/>
        <v>12.121212121212121</v>
      </c>
      <c r="AE508" s="13"/>
      <c r="AF508" s="13"/>
    </row>
    <row r="509" spans="1:32">
      <c r="A509" s="8" t="s">
        <v>1806</v>
      </c>
      <c r="B509" s="9" t="s">
        <v>768</v>
      </c>
      <c r="C509" s="9" t="s">
        <v>769</v>
      </c>
      <c r="D509" s="9" t="s">
        <v>770</v>
      </c>
      <c r="E509" s="9" t="s">
        <v>1807</v>
      </c>
      <c r="F509" s="9" t="str">
        <f ca="1">IFERROR(__xludf.DUMMYFUNCTION("IFS(
  REGEXMATCH(LOWER(VLOOKUP(A509, Data1_Raw_Slack!A:B, 2, FALSE)), ""news|weather""), ""News and Weather"", REGEXMATCH(LOWER(VLOOKUP(A509, Data1_Raw_Slack!A:B, 2, FALSE)), ""sports|ufc|nba|nfl|mlb|soccer|sports fans""), ""Sports"",
  REGEXMATCH(LOWER("&amp;"VLOOKUP(A509, Data1_Raw_Slack!A:B, 2, FALSE)), ""fashion|style|clothing|apparel|shoes|accessories|beauty|cosmetics|fashionistas""), ""Fashion and Beauty"",
  REGEXMATCH(LOWER(VLOOKUP(A509, Data1_Raw_Slack!A:B, 2, FALSE)), ""food|cooking|recipe|restaurant|"&amp;"snack|grocery|foodies""), ""Food"",
  REGEXMATCH(LOWER(VLOOKUP(A509, Data1_Raw_Slack!A:B, 2, FALSE)), ""travel|vacation|airline|hotel|trip|flights|travelers""), ""Travel"",
  REGEXMATCH(LOWER(VLOOKUP(A509, Data1_Raw_Slack!A:B, 2, FALSE)), ""fitness|workou"&amp;"t|gym|exercise|yoga|wellness|fitness enthusiasts""), ""Fitness"",
  REGEXMATCH(LOWER(VLOOKUP(A509, Data1_Raw_Slack!A:B, 2, FALSE)), ""health|medical|pharmacy|mental health|doctor|health-conscious""), ""Health"",
  REGEXMATCH(LOWER(VLOOKUP(A509, Data1_Raw_"&amp;"Slack!A:B, 2, FALSE)), ""pets|dogs|cats|animals|pet care|pet lovers""), ""Pets"",
  REGEXMATCH(LOWER(VLOOKUP(A509, Data1_Raw_Slack!A:B, 2, FALSE)), ""games|gaming|game|xbox|playstation|nintendo|gamers""), ""Gaming"",
  REGEXMATCH(LOWER(VLOOKUP(A509, Data1"&amp;"_Raw_Slack!A:B, 2, FALSE)), ""entertainment|movies|tv|netflix|streaming|celebrity|movie lovers|tv fans|hobb|photo|art""), ""Entertainment"",
  REGEXMATCH(LOWER(VLOOKUP(A509, Data1_Raw_Slack!A:B, 2, FALSE)), ""lifestyle|home|interior|decor|living|lifestyle"&amp;" enthusiasts""), ""Lifestyle"",
  REGEXMATCH(LOWER(VLOOKUP(A509, Data1_Raw_Slack!A:B, 2, FALSE)), ""financial|finance|investing|stocks|retirement|banking|credit|debt|loans|savings|personal finance|insurance|econ|ecom|business|retail|occupation|sale|job|ma"&amp;"rketing""), ""Finance"",
  REGEXMATCH(LOWER(VLOOKUP(A509, Data1_Raw_Slack!A:B, 2, FALSE)), ""auto|automotive""), ""Auto"",
  REGEXMATCH(LOWER(VLOOKUP(A509, Data1_Raw_Slack!A:B, 2, FALSE)), ""parenting|moms|dads|kids|toddlers|baby|parent|children""), ""Par"&amp;"enting"",
  REGEXMATCH(LOWER(VLOOKUP(A509, Data1_Raw_Slack!A:B, 2, FALSE)), ""education|students|learning|school|teachers|college|university|academics""), ""Education"",
  REGEXMATCH(LOWER(VLOOKUP(A509, Data1_Raw_Slack!A:B, 2, FALSE)), ""age|gender|dem"&amp;"ographic|family|household""), ""Demographics"",
  REGEXMATCH(LOWER(VLOOKUP(A509, Data1_Raw_Slack!A:B, 2, FALSE)), ""mortgage|real estate""), ""Real Estate"",REGEXMATCH(LOWER(VLOOKUP(A509, Data1_Raw_Slack!A:B, 2, FALSE)), ""technology|tech|gadgets|smartpho"&amp;"ne|electro|apps|devices|computing|ai|robots|software|computer|internet|tele|mobile|tablet""), ""Technology"", REGEXMATCH(LOWER(VLOOKUP(A509, Data1_Raw_Slack!A:B, 2, FALSE)), ""entertainment|purchas|movies|tv|netflix|streaming|celebrity|movie lovers|tv fan"&amp;"s|media|hobb|photo|art|shop""), ""Entertainment"", REGEXMATCH(LOWER(VLOOKUP(A509, Data1_Raw_Slack!A:B, 2, FALSE)), ""law|government|""), ""Law and Government"",
  TRUE, ""Other""
)"),"Food")</f>
        <v>Food</v>
      </c>
      <c r="G509" s="9" t="s">
        <v>385</v>
      </c>
      <c r="H509" s="9" t="s">
        <v>44</v>
      </c>
      <c r="I509" s="9" t="s">
        <v>1808</v>
      </c>
      <c r="J509" s="9" t="s">
        <v>46</v>
      </c>
      <c r="K509" s="9" t="s">
        <v>236</v>
      </c>
      <c r="L509" s="9" t="s">
        <v>82</v>
      </c>
      <c r="M509" s="10" t="s">
        <v>393</v>
      </c>
      <c r="N509" s="9" t="str">
        <f ca="1">IFERROR(__xludf.DUMMYFUNCTION("REGEXEXTRACT(LOWER(M509), ""([a-z0-9\-]+)\.(?:co|net|org|io|gg)"")"),"thesaurus")</f>
        <v>thesaurus</v>
      </c>
      <c r="O509" s="9" t="s">
        <v>103</v>
      </c>
      <c r="P509" s="9" t="s">
        <v>39</v>
      </c>
      <c r="Q509" s="9">
        <v>57917</v>
      </c>
      <c r="R509" s="9">
        <v>212</v>
      </c>
      <c r="S509" s="9">
        <v>3650</v>
      </c>
      <c r="T509" s="9">
        <v>55128</v>
      </c>
      <c r="U509" s="9">
        <v>5</v>
      </c>
      <c r="V509" s="11">
        <v>1669.7289049999999</v>
      </c>
      <c r="W509" s="12">
        <f t="shared" si="7"/>
        <v>333.94578100000001</v>
      </c>
      <c r="X509" s="12">
        <f t="shared" si="8"/>
        <v>0.36604105875649634</v>
      </c>
      <c r="Y509" s="12">
        <f t="shared" si="9"/>
        <v>6.3021220021755271</v>
      </c>
      <c r="Z509" s="12">
        <f t="shared" si="10"/>
        <v>457.45997397260277</v>
      </c>
      <c r="AA509" s="12">
        <f t="shared" si="11"/>
        <v>28.829685670873836</v>
      </c>
      <c r="AB509" s="12">
        <f t="shared" si="12"/>
        <v>7.8760797405660377</v>
      </c>
      <c r="AC509" s="12">
        <f t="shared" si="13"/>
        <v>2.358490566037736</v>
      </c>
      <c r="AE509" s="13"/>
      <c r="AF509" s="13"/>
    </row>
    <row r="510" spans="1:32">
      <c r="A510" s="8" t="s">
        <v>1809</v>
      </c>
      <c r="B510" s="9"/>
      <c r="C510" s="9" t="s">
        <v>1810</v>
      </c>
      <c r="D510" s="9"/>
      <c r="E510" s="9"/>
      <c r="F510" s="9" t="str">
        <f ca="1">IFERROR(__xludf.DUMMYFUNCTION("IFS(
  REGEXMATCH(LOWER(VLOOKUP(A510, Data1_Raw_Slack!A:B, 2, FALSE)), ""news|weather""), ""News and Weather"", REGEXMATCH(LOWER(VLOOKUP(A510, Data1_Raw_Slack!A:B, 2, FALSE)), ""sports|ufc|nba|nfl|mlb|soccer|sports fans""), ""Sports"",
  REGEXMATCH(LOWER("&amp;"VLOOKUP(A510, Data1_Raw_Slack!A:B, 2, FALSE)), ""fashion|style|clothing|apparel|shoes|accessories|beauty|cosmetics|fashionistas""), ""Fashion and Beauty"",
  REGEXMATCH(LOWER(VLOOKUP(A510, Data1_Raw_Slack!A:B, 2, FALSE)), ""food|cooking|recipe|restaurant|"&amp;"snack|grocery|foodies""), ""Food"",
  REGEXMATCH(LOWER(VLOOKUP(A510, Data1_Raw_Slack!A:B, 2, FALSE)), ""travel|vacation|airline|hotel|trip|flights|travelers""), ""Travel"",
  REGEXMATCH(LOWER(VLOOKUP(A510, Data1_Raw_Slack!A:B, 2, FALSE)), ""fitness|workou"&amp;"t|gym|exercise|yoga|wellness|fitness enthusiasts""), ""Fitness"",
  REGEXMATCH(LOWER(VLOOKUP(A510, Data1_Raw_Slack!A:B, 2, FALSE)), ""health|medical|pharmacy|mental health|doctor|health-conscious""), ""Health"",
  REGEXMATCH(LOWER(VLOOKUP(A510, Data1_Raw_"&amp;"Slack!A:B, 2, FALSE)), ""pets|dogs|cats|animals|pet care|pet lovers""), ""Pets"",
  REGEXMATCH(LOWER(VLOOKUP(A510, Data1_Raw_Slack!A:B, 2, FALSE)), ""games|gaming|game|xbox|playstation|nintendo|gamers""), ""Gaming"",
  REGEXMATCH(LOWER(VLOOKUP(A510, Data1"&amp;"_Raw_Slack!A:B, 2, FALSE)), ""entertainment|movies|tv|netflix|streaming|celebrity|movie lovers|tv fans|hobb|photo|art""), ""Entertainment"",
  REGEXMATCH(LOWER(VLOOKUP(A510, Data1_Raw_Slack!A:B, 2, FALSE)), ""lifestyle|home|interior|decor|living|lifestyle"&amp;" enthusiasts""), ""Lifestyle"",
  REGEXMATCH(LOWER(VLOOKUP(A510, Data1_Raw_Slack!A:B, 2, FALSE)), ""financial|finance|investing|stocks|retirement|banking|credit|debt|loans|savings|personal finance|insurance|econ|ecom|business|retail|occupation|sale|job|ma"&amp;"rketing""), ""Finance"",
  REGEXMATCH(LOWER(VLOOKUP(A510, Data1_Raw_Slack!A:B, 2, FALSE)), ""auto|automotive""), ""Auto"",
  REGEXMATCH(LOWER(VLOOKUP(A510, Data1_Raw_Slack!A:B, 2, FALSE)), ""parenting|moms|dads|kids|toddlers|baby|parent|children""), ""Par"&amp;"enting"",
  REGEXMATCH(LOWER(VLOOKUP(A510, Data1_Raw_Slack!A:B, 2, FALSE)), ""education|students|learning|school|teachers|college|university|academics""), ""Education"",
  REGEXMATCH(LOWER(VLOOKUP(A510, Data1_Raw_Slack!A:B, 2, FALSE)), ""age|gender|dem"&amp;"ographic|family|household""), ""Demographics"",
  REGEXMATCH(LOWER(VLOOKUP(A510, Data1_Raw_Slack!A:B, 2, FALSE)), ""mortgage|real estate""), ""Real Estate"",REGEXMATCH(LOWER(VLOOKUP(A510, Data1_Raw_Slack!A:B, 2, FALSE)), ""technology|tech|gadgets|smartpho"&amp;"ne|electro|apps|devices|computing|ai|robots|software|computer|internet|tele|mobile|tablet""), ""Technology"", REGEXMATCH(LOWER(VLOOKUP(A510, Data1_Raw_Slack!A:B, 2, FALSE)), ""entertainment|purchas|movies|tv|netflix|streaming|celebrity|movie lovers|tv fan"&amp;"s|media|hobb|photo|art|shop""), ""Entertainment"", REGEXMATCH(LOWER(VLOOKUP(A510, Data1_Raw_Slack!A:B, 2, FALSE)), ""law|government|""), ""Law and Government"",
  TRUE, ""Other""
)"),"Law and Government")</f>
        <v>Law and Government</v>
      </c>
      <c r="G510" s="9"/>
      <c r="H510" s="9" t="s">
        <v>32</v>
      </c>
      <c r="I510" s="9" t="s">
        <v>232</v>
      </c>
      <c r="J510" s="9" t="s">
        <v>80</v>
      </c>
      <c r="K510" s="9" t="s">
        <v>56</v>
      </c>
      <c r="L510" s="9" t="s">
        <v>57</v>
      </c>
      <c r="M510" s="10" t="s">
        <v>617</v>
      </c>
      <c r="N510" s="9" t="str">
        <f ca="1">IFERROR(__xludf.DUMMYFUNCTION("REGEXEXTRACT(LOWER(M510), ""([a-z0-9\-]+)\.(?:co|net|org|io|gg)"")"),"cnbc")</f>
        <v>cnbc</v>
      </c>
      <c r="O510" s="9" t="s">
        <v>186</v>
      </c>
      <c r="P510" s="9" t="s">
        <v>39</v>
      </c>
      <c r="Q510" s="9">
        <v>10677</v>
      </c>
      <c r="R510" s="9">
        <v>88</v>
      </c>
      <c r="S510" s="9">
        <v>7247</v>
      </c>
      <c r="T510" s="9">
        <v>10338</v>
      </c>
      <c r="U510" s="9">
        <v>3</v>
      </c>
      <c r="V510" s="11">
        <v>1483.452706</v>
      </c>
      <c r="W510" s="12">
        <f t="shared" si="7"/>
        <v>494.48423533333334</v>
      </c>
      <c r="X510" s="12">
        <f t="shared" si="8"/>
        <v>0.82420155474384194</v>
      </c>
      <c r="Y510" s="12">
        <f t="shared" si="9"/>
        <v>67.874871218507067</v>
      </c>
      <c r="Z510" s="12">
        <f t="shared" si="10"/>
        <v>204.69886932523804</v>
      </c>
      <c r="AA510" s="12">
        <f t="shared" si="11"/>
        <v>138.93909394024539</v>
      </c>
      <c r="AB510" s="12">
        <f t="shared" si="12"/>
        <v>16.857417113636362</v>
      </c>
      <c r="AC510" s="12">
        <f t="shared" si="13"/>
        <v>3.4090909090909087</v>
      </c>
      <c r="AE510" s="13"/>
      <c r="AF510" s="13"/>
    </row>
    <row r="511" spans="1:32">
      <c r="A511" s="8" t="s">
        <v>1811</v>
      </c>
      <c r="B511" s="9" t="s">
        <v>41</v>
      </c>
      <c r="C511" s="9" t="s">
        <v>114</v>
      </c>
      <c r="D511" s="9" t="s">
        <v>1812</v>
      </c>
      <c r="E511" s="9"/>
      <c r="F511" s="9" t="str">
        <f ca="1">IFERROR(__xludf.DUMMYFUNCTION("IFS(
  REGEXMATCH(LOWER(VLOOKUP(A511, Data1_Raw_Slack!A:B, 2, FALSE)), ""news|weather""), ""News and Weather"", REGEXMATCH(LOWER(VLOOKUP(A511, Data1_Raw_Slack!A:B, 2, FALSE)), ""sports|ufc|nba|nfl|mlb|soccer|sports fans""), ""Sports"",
  REGEXMATCH(LOWER("&amp;"VLOOKUP(A511, Data1_Raw_Slack!A:B, 2, FALSE)), ""fashion|style|clothing|apparel|shoes|accessories|beauty|cosmetics|fashionistas""), ""Fashion and Beauty"",
  REGEXMATCH(LOWER(VLOOKUP(A511, Data1_Raw_Slack!A:B, 2, FALSE)), ""food|cooking|recipe|restaurant|"&amp;"snack|grocery|foodies""), ""Food"",
  REGEXMATCH(LOWER(VLOOKUP(A511, Data1_Raw_Slack!A:B, 2, FALSE)), ""travel|vacation|airline|hotel|trip|flights|travelers""), ""Travel"",
  REGEXMATCH(LOWER(VLOOKUP(A511, Data1_Raw_Slack!A:B, 2, FALSE)), ""fitness|workou"&amp;"t|gym|exercise|yoga|wellness|fitness enthusiasts""), ""Fitness"",
  REGEXMATCH(LOWER(VLOOKUP(A511, Data1_Raw_Slack!A:B, 2, FALSE)), ""health|medical|pharmacy|mental health|doctor|health-conscious""), ""Health"",
  REGEXMATCH(LOWER(VLOOKUP(A511, Data1_Raw_"&amp;"Slack!A:B, 2, FALSE)), ""pets|dogs|cats|animals|pet care|pet lovers""), ""Pets"",
  REGEXMATCH(LOWER(VLOOKUP(A511, Data1_Raw_Slack!A:B, 2, FALSE)), ""games|gaming|game|xbox|playstation|nintendo|gamers""), ""Gaming"",
  REGEXMATCH(LOWER(VLOOKUP(A511, Data1"&amp;"_Raw_Slack!A:B, 2, FALSE)), ""entertainment|movies|tv|netflix|streaming|celebrity|movie lovers|tv fans|hobb|photo|art""), ""Entertainment"",
  REGEXMATCH(LOWER(VLOOKUP(A511, Data1_Raw_Slack!A:B, 2, FALSE)), ""lifestyle|home|interior|decor|living|lifestyle"&amp;" enthusiasts""), ""Lifestyle"",
  REGEXMATCH(LOWER(VLOOKUP(A511, Data1_Raw_Slack!A:B, 2, FALSE)), ""financial|finance|investing|stocks|retirement|banking|credit|debt|loans|savings|personal finance|insurance|econ|ecom|business|retail|occupation|sale|job|ma"&amp;"rketing""), ""Finance"",
  REGEXMATCH(LOWER(VLOOKUP(A511, Data1_Raw_Slack!A:B, 2, FALSE)), ""auto|automotive""), ""Auto"",
  REGEXMATCH(LOWER(VLOOKUP(A511, Data1_Raw_Slack!A:B, 2, FALSE)), ""parenting|moms|dads|kids|toddlers|baby|parent|children""), ""Par"&amp;"enting"",
  REGEXMATCH(LOWER(VLOOKUP(A511, Data1_Raw_Slack!A:B, 2, FALSE)), ""education|students|learning|school|teachers|college|university|academics""), ""Education"",
  REGEXMATCH(LOWER(VLOOKUP(A511, Data1_Raw_Slack!A:B, 2, FALSE)), ""age|gender|dem"&amp;"ographic|family|household""), ""Demographics"",
  REGEXMATCH(LOWER(VLOOKUP(A511, Data1_Raw_Slack!A:B, 2, FALSE)), ""mortgage|real estate""), ""Real Estate"",REGEXMATCH(LOWER(VLOOKUP(A511, Data1_Raw_Slack!A:B, 2, FALSE)), ""technology|tech|gadgets|smartpho"&amp;"ne|electro|apps|devices|computing|ai|robots|software|computer|internet|tele|mobile|tablet""), ""Technology"", REGEXMATCH(LOWER(VLOOKUP(A511, Data1_Raw_Slack!A:B, 2, FALSE)), ""entertainment|purchas|movies|tv|netflix|streaming|celebrity|movie lovers|tv fan"&amp;"s|media|hobb|photo|art|shop""), ""Entertainment"", REGEXMATCH(LOWER(VLOOKUP(A511, Data1_Raw_Slack!A:B, 2, FALSE)), ""law|government|""), ""Law and Government"",
  TRUE, ""Other""
)"),"Finance")</f>
        <v>Finance</v>
      </c>
      <c r="G511" s="9"/>
      <c r="H511" s="9" t="s">
        <v>32</v>
      </c>
      <c r="I511" s="9" t="s">
        <v>1813</v>
      </c>
      <c r="J511" s="9" t="s">
        <v>62</v>
      </c>
      <c r="K511" s="9" t="s">
        <v>56</v>
      </c>
      <c r="L511" s="9" t="s">
        <v>57</v>
      </c>
      <c r="M511" s="10" t="s">
        <v>393</v>
      </c>
      <c r="N511" s="9" t="str">
        <f ca="1">IFERROR(__xludf.DUMMYFUNCTION("REGEXEXTRACT(LOWER(M511), ""([a-z0-9\-]+)\.(?:co|net|org|io|gg)"")"),"thesaurus")</f>
        <v>thesaurus</v>
      </c>
      <c r="O511" s="9" t="s">
        <v>50</v>
      </c>
      <c r="P511" s="9" t="s">
        <v>39</v>
      </c>
      <c r="Q511" s="9">
        <v>18081</v>
      </c>
      <c r="R511" s="9">
        <v>44</v>
      </c>
      <c r="S511" s="9">
        <v>4545</v>
      </c>
      <c r="T511" s="9">
        <v>15617</v>
      </c>
      <c r="U511" s="9">
        <v>15</v>
      </c>
      <c r="V511" s="11">
        <v>6522.6375260000004</v>
      </c>
      <c r="W511" s="12">
        <f t="shared" si="7"/>
        <v>434.84250173333334</v>
      </c>
      <c r="X511" s="12">
        <f t="shared" si="8"/>
        <v>0.24334937226923289</v>
      </c>
      <c r="Y511" s="12">
        <f t="shared" si="9"/>
        <v>25.136884021901444</v>
      </c>
      <c r="Z511" s="12">
        <f t="shared" si="10"/>
        <v>1435.12376809681</v>
      </c>
      <c r="AA511" s="12">
        <f t="shared" si="11"/>
        <v>360.74539715723694</v>
      </c>
      <c r="AB511" s="12">
        <f t="shared" si="12"/>
        <v>148.24176195454547</v>
      </c>
      <c r="AC511" s="12">
        <f t="shared" si="13"/>
        <v>34.090909090909086</v>
      </c>
      <c r="AE511" s="13"/>
      <c r="AF511" s="13"/>
    </row>
    <row r="512" spans="1:32">
      <c r="A512" s="8" t="s">
        <v>1814</v>
      </c>
      <c r="B512" s="9" t="s">
        <v>41</v>
      </c>
      <c r="C512" s="9" t="s">
        <v>253</v>
      </c>
      <c r="D512" s="9" t="s">
        <v>254</v>
      </c>
      <c r="E512" s="9" t="s">
        <v>1651</v>
      </c>
      <c r="F512" s="9" t="str">
        <f ca="1">IFERROR(__xludf.DUMMYFUNCTION("IFS(
  REGEXMATCH(LOWER(VLOOKUP(A512, Data1_Raw_Slack!A:B, 2, FALSE)), ""news|weather""), ""News and Weather"", REGEXMATCH(LOWER(VLOOKUP(A512, Data1_Raw_Slack!A:B, 2, FALSE)), ""sports|ufc|nba|nfl|mlb|soccer|sports fans""), ""Sports"",
  REGEXMATCH(LOWER("&amp;"VLOOKUP(A512, Data1_Raw_Slack!A:B, 2, FALSE)), ""fashion|style|clothing|apparel|shoes|accessories|beauty|cosmetics|fashionistas""), ""Fashion and Beauty"",
  REGEXMATCH(LOWER(VLOOKUP(A512, Data1_Raw_Slack!A:B, 2, FALSE)), ""food|cooking|recipe|restaurant|"&amp;"snack|grocery|foodies""), ""Food"",
  REGEXMATCH(LOWER(VLOOKUP(A512, Data1_Raw_Slack!A:B, 2, FALSE)), ""travel|vacation|airline|hotel|trip|flights|travelers""), ""Travel"",
  REGEXMATCH(LOWER(VLOOKUP(A512, Data1_Raw_Slack!A:B, 2, FALSE)), ""fitness|workou"&amp;"t|gym|exercise|yoga|wellness|fitness enthusiasts""), ""Fitness"",
  REGEXMATCH(LOWER(VLOOKUP(A512, Data1_Raw_Slack!A:B, 2, FALSE)), ""health|medical|pharmacy|mental health|doctor|health-conscious""), ""Health"",
  REGEXMATCH(LOWER(VLOOKUP(A512, Data1_Raw_"&amp;"Slack!A:B, 2, FALSE)), ""pets|dogs|cats|animals|pet care|pet lovers""), ""Pets"",
  REGEXMATCH(LOWER(VLOOKUP(A512, Data1_Raw_Slack!A:B, 2, FALSE)), ""games|gaming|game|xbox|playstation|nintendo|gamers""), ""Gaming"",
  REGEXMATCH(LOWER(VLOOKUP(A512, Data1"&amp;"_Raw_Slack!A:B, 2, FALSE)), ""entertainment|movies|tv|netflix|streaming|celebrity|movie lovers|tv fans|hobb|photo|art""), ""Entertainment"",
  REGEXMATCH(LOWER(VLOOKUP(A512, Data1_Raw_Slack!A:B, 2, FALSE)), ""lifestyle|home|interior|decor|living|lifestyle"&amp;" enthusiasts""), ""Lifestyle"",
  REGEXMATCH(LOWER(VLOOKUP(A512, Data1_Raw_Slack!A:B, 2, FALSE)), ""financial|finance|investing|stocks|retirement|banking|credit|debt|loans|savings|personal finance|insurance|econ|ecom|business|retail|occupation|sale|job|ma"&amp;"rketing""), ""Finance"",
  REGEXMATCH(LOWER(VLOOKUP(A512, Data1_Raw_Slack!A:B, 2, FALSE)), ""auto|automotive""), ""Auto"",
  REGEXMATCH(LOWER(VLOOKUP(A512, Data1_Raw_Slack!A:B, 2, FALSE)), ""parenting|moms|dads|kids|toddlers|baby|parent|children""), ""Par"&amp;"enting"",
  REGEXMATCH(LOWER(VLOOKUP(A512, Data1_Raw_Slack!A:B, 2, FALSE)), ""education|students|learning|school|teachers|college|university|academics""), ""Education"",
  REGEXMATCH(LOWER(VLOOKUP(A512, Data1_Raw_Slack!A:B, 2, FALSE)), ""age|gender|dem"&amp;"ographic|family|household""), ""Demographics"",
  REGEXMATCH(LOWER(VLOOKUP(A512, Data1_Raw_Slack!A:B, 2, FALSE)), ""mortgage|real estate""), ""Real Estate"",REGEXMATCH(LOWER(VLOOKUP(A512, Data1_Raw_Slack!A:B, 2, FALSE)), ""technology|tech|gadgets|smartpho"&amp;"ne|electro|apps|devices|computing|ai|robots|software|computer|internet|tele|mobile|tablet""), ""Technology"", REGEXMATCH(LOWER(VLOOKUP(A512, Data1_Raw_Slack!A:B, 2, FALSE)), ""entertainment|purchas|movies|tv|netflix|streaming|celebrity|movie lovers|tv fan"&amp;"s|media|hobb|photo|art|shop""), ""Entertainment"", REGEXMATCH(LOWER(VLOOKUP(A512, Data1_Raw_Slack!A:B, 2, FALSE)), ""law|government|""), ""Law and Government"",
  TRUE, ""Other""
)"),"Technology")</f>
        <v>Technology</v>
      </c>
      <c r="G512" s="9" t="s">
        <v>135</v>
      </c>
      <c r="H512" s="9" t="s">
        <v>32</v>
      </c>
      <c r="I512" s="9" t="s">
        <v>1015</v>
      </c>
      <c r="J512" s="9" t="s">
        <v>80</v>
      </c>
      <c r="K512" s="9" t="s">
        <v>35</v>
      </c>
      <c r="L512" s="9" t="s">
        <v>36</v>
      </c>
      <c r="M512" s="10" t="s">
        <v>1815</v>
      </c>
      <c r="N512" s="9" t="str">
        <f ca="1">IFERROR(__xludf.DUMMYFUNCTION("REGEXEXTRACT(LOWER(M512), ""([a-z0-9\-]+)\.(?:co|net|org|io|gg)"")"),"finviz")</f>
        <v>finviz</v>
      </c>
      <c r="O512" s="9" t="s">
        <v>50</v>
      </c>
      <c r="P512" s="9" t="s">
        <v>39</v>
      </c>
      <c r="Q512" s="9">
        <v>9533</v>
      </c>
      <c r="R512" s="9">
        <v>66</v>
      </c>
      <c r="S512" s="9">
        <v>6548</v>
      </c>
      <c r="T512" s="9">
        <v>9042</v>
      </c>
      <c r="U512" s="9">
        <v>16</v>
      </c>
      <c r="V512" s="11">
        <v>5574.5435049999996</v>
      </c>
      <c r="W512" s="12">
        <f t="shared" ref="W512:W722" si="14">IFERROR(V512/U512,"N/A")</f>
        <v>348.40896906249998</v>
      </c>
      <c r="X512" s="12">
        <f t="shared" ref="X512:X722" si="15">IFERROR((R512/Q512)*100,"N/A")</f>
        <v>0.69233189971677334</v>
      </c>
      <c r="Y512" s="12">
        <f t="shared" ref="Y512:Y722" si="16">IFERROR((S512 / Q512) * 100,"N/A")</f>
        <v>68.68771635371867</v>
      </c>
      <c r="Z512" s="12">
        <f t="shared" ref="Z512:Z722" si="17">IFERROR((V512/S512)*1000,"N/A")</f>
        <v>851.33529398289556</v>
      </c>
      <c r="AA512" s="12">
        <f t="shared" ref="AA512:AA722" si="18">IFERROR((V512/Q512)*1000,"N/A")</f>
        <v>584.7627719500681</v>
      </c>
      <c r="AB512" s="12">
        <f t="shared" ref="AB512:AB722" si="19">IFERROR(V512/R512,"N/A")</f>
        <v>84.462780378787869</v>
      </c>
      <c r="AC512" s="12">
        <f t="shared" ref="AC512:AC722" si="20">IFERROR((U512/R512)*100,"N/A")</f>
        <v>24.242424242424242</v>
      </c>
      <c r="AE512" s="13"/>
      <c r="AF512" s="13"/>
    </row>
    <row r="513" spans="1:32">
      <c r="A513" s="8" t="s">
        <v>1816</v>
      </c>
      <c r="B513" s="9" t="s">
        <v>144</v>
      </c>
      <c r="C513" s="9" t="s">
        <v>319</v>
      </c>
      <c r="D513" s="9"/>
      <c r="E513" s="9"/>
      <c r="F513" s="9" t="str">
        <f ca="1">IFERROR(__xludf.DUMMYFUNCTION("IFS(
  REGEXMATCH(LOWER(VLOOKUP(A513, Data1_Raw_Slack!A:B, 2, FALSE)), ""news|weather""), ""News and Weather"", REGEXMATCH(LOWER(VLOOKUP(A513, Data1_Raw_Slack!A:B, 2, FALSE)), ""sports|ufc|nba|nfl|mlb|soccer|sports fans""), ""Sports"",
  REGEXMATCH(LOWER("&amp;"VLOOKUP(A513, Data1_Raw_Slack!A:B, 2, FALSE)), ""fashion|style|clothing|apparel|shoes|accessories|beauty|cosmetics|fashionistas""), ""Fashion and Beauty"",
  REGEXMATCH(LOWER(VLOOKUP(A513, Data1_Raw_Slack!A:B, 2, FALSE)), ""food|cooking|recipe|restaurant|"&amp;"snack|grocery|foodies""), ""Food"",
  REGEXMATCH(LOWER(VLOOKUP(A513, Data1_Raw_Slack!A:B, 2, FALSE)), ""travel|vacation|airline|hotel|trip|flights|travelers""), ""Travel"",
  REGEXMATCH(LOWER(VLOOKUP(A513, Data1_Raw_Slack!A:B, 2, FALSE)), ""fitness|workou"&amp;"t|gym|exercise|yoga|wellness|fitness enthusiasts""), ""Fitness"",
  REGEXMATCH(LOWER(VLOOKUP(A513, Data1_Raw_Slack!A:B, 2, FALSE)), ""health|medical|pharmacy|mental health|doctor|health-conscious""), ""Health"",
  REGEXMATCH(LOWER(VLOOKUP(A513, Data1_Raw_"&amp;"Slack!A:B, 2, FALSE)), ""pets|dogs|cats|animals|pet care|pet lovers""), ""Pets"",
  REGEXMATCH(LOWER(VLOOKUP(A513, Data1_Raw_Slack!A:B, 2, FALSE)), ""games|gaming|game|xbox|playstation|nintendo|gamers""), ""Gaming"",
  REGEXMATCH(LOWER(VLOOKUP(A513, Data1"&amp;"_Raw_Slack!A:B, 2, FALSE)), ""entertainment|movies|tv|netflix|streaming|celebrity|movie lovers|tv fans|hobb|photo|art""), ""Entertainment"",
  REGEXMATCH(LOWER(VLOOKUP(A513, Data1_Raw_Slack!A:B, 2, FALSE)), ""lifestyle|home|interior|decor|living|lifestyle"&amp;" enthusiasts""), ""Lifestyle"",
  REGEXMATCH(LOWER(VLOOKUP(A513, Data1_Raw_Slack!A:B, 2, FALSE)), ""financial|finance|investing|stocks|retirement|banking|credit|debt|loans|savings|personal finance|insurance|econ|ecom|business|retail|occupation|sale|job|ma"&amp;"rketing""), ""Finance"",
  REGEXMATCH(LOWER(VLOOKUP(A513, Data1_Raw_Slack!A:B, 2, FALSE)), ""auto|automotive""), ""Auto"",
  REGEXMATCH(LOWER(VLOOKUP(A513, Data1_Raw_Slack!A:B, 2, FALSE)), ""parenting|moms|dads|kids|toddlers|baby|parent|children""), ""Par"&amp;"enting"",
  REGEXMATCH(LOWER(VLOOKUP(A513, Data1_Raw_Slack!A:B, 2, FALSE)), ""education|students|learning|school|teachers|college|university|academics""), ""Education"",
  REGEXMATCH(LOWER(VLOOKUP(A513, Data1_Raw_Slack!A:B, 2, FALSE)), ""age|gender|dem"&amp;"ographic|family|household""), ""Demographics"",
  REGEXMATCH(LOWER(VLOOKUP(A513, Data1_Raw_Slack!A:B, 2, FALSE)), ""mortgage|real estate""), ""Real Estate"",REGEXMATCH(LOWER(VLOOKUP(A513, Data1_Raw_Slack!A:B, 2, FALSE)), ""technology|tech|gadgets|smartpho"&amp;"ne|electro|apps|devices|computing|ai|robots|software|computer|internet|tele|mobile|tablet""), ""Technology"", REGEXMATCH(LOWER(VLOOKUP(A513, Data1_Raw_Slack!A:B, 2, FALSE)), ""entertainment|purchas|movies|tv|netflix|streaming|celebrity|movie lovers|tv fan"&amp;"s|media|hobb|photo|art|shop""), ""Entertainment"", REGEXMATCH(LOWER(VLOOKUP(A513, Data1_Raw_Slack!A:B, 2, FALSE)), ""law|government|""), ""Law and Government"",
  TRUE, ""Other""
)"),"Food")</f>
        <v>Food</v>
      </c>
      <c r="G513" s="9"/>
      <c r="H513" s="9" t="s">
        <v>44</v>
      </c>
      <c r="I513" s="9" t="s">
        <v>1769</v>
      </c>
      <c r="J513" s="9" t="s">
        <v>62</v>
      </c>
      <c r="K513" s="9" t="s">
        <v>944</v>
      </c>
      <c r="L513" s="9" t="s">
        <v>359</v>
      </c>
      <c r="M513" s="10" t="s">
        <v>869</v>
      </c>
      <c r="N513" s="9" t="str">
        <f ca="1">IFERROR(__xludf.DUMMYFUNCTION("REGEXEXTRACT(LOWER(M513), ""([a-z0-9\-]+)\.(?:co|net|org|io|gg)"")"),"w3schools")</f>
        <v>w3schools</v>
      </c>
      <c r="O513" s="9" t="s">
        <v>50</v>
      </c>
      <c r="P513" s="9" t="s">
        <v>75</v>
      </c>
      <c r="Q513" s="9">
        <v>38070</v>
      </c>
      <c r="R513" s="9">
        <v>146</v>
      </c>
      <c r="S513" s="9">
        <v>15253</v>
      </c>
      <c r="T513" s="9">
        <v>35453</v>
      </c>
      <c r="U513" s="9">
        <v>8</v>
      </c>
      <c r="V513" s="11">
        <v>1653.510777</v>
      </c>
      <c r="W513" s="12">
        <f t="shared" si="14"/>
        <v>206.688847125</v>
      </c>
      <c r="X513" s="12">
        <f t="shared" si="15"/>
        <v>0.38350407144733384</v>
      </c>
      <c r="Y513" s="12">
        <f t="shared" si="16"/>
        <v>40.065668505384814</v>
      </c>
      <c r="Z513" s="12">
        <f t="shared" si="17"/>
        <v>108.4056105028519</v>
      </c>
      <c r="AA513" s="12">
        <f t="shared" si="18"/>
        <v>43.43343254531127</v>
      </c>
      <c r="AB513" s="12">
        <f t="shared" si="19"/>
        <v>11.325416280821917</v>
      </c>
      <c r="AC513" s="12">
        <f t="shared" si="20"/>
        <v>5.4794520547945202</v>
      </c>
      <c r="AE513" s="13"/>
      <c r="AF513" s="13"/>
    </row>
    <row r="514" spans="1:32">
      <c r="A514" s="8" t="s">
        <v>1817</v>
      </c>
      <c r="B514" s="9" t="s">
        <v>41</v>
      </c>
      <c r="C514" s="9" t="s">
        <v>214</v>
      </c>
      <c r="D514" s="9" t="s">
        <v>326</v>
      </c>
      <c r="E514" s="9" t="s">
        <v>1818</v>
      </c>
      <c r="F514" s="9" t="str">
        <f ca="1">IFERROR(__xludf.DUMMYFUNCTION("IFS(
  REGEXMATCH(LOWER(VLOOKUP(A514, Data1_Raw_Slack!A:B, 2, FALSE)), ""news|weather""), ""News and Weather"", REGEXMATCH(LOWER(VLOOKUP(A514, Data1_Raw_Slack!A:B, 2, FALSE)), ""sports|ufc|nba|nfl|mlb|soccer|sports fans""), ""Sports"",
  REGEXMATCH(LOWER("&amp;"VLOOKUP(A514, Data1_Raw_Slack!A:B, 2, FALSE)), ""fashion|style|clothing|apparel|shoes|accessories|beauty|cosmetics|fashionistas""), ""Fashion and Beauty"",
  REGEXMATCH(LOWER(VLOOKUP(A514, Data1_Raw_Slack!A:B, 2, FALSE)), ""food|cooking|recipe|restaurant|"&amp;"snack|grocery|foodies""), ""Food"",
  REGEXMATCH(LOWER(VLOOKUP(A514, Data1_Raw_Slack!A:B, 2, FALSE)), ""travel|vacation|airline|hotel|trip|flights|travelers""), ""Travel"",
  REGEXMATCH(LOWER(VLOOKUP(A514, Data1_Raw_Slack!A:B, 2, FALSE)), ""fitness|workou"&amp;"t|gym|exercise|yoga|wellness|fitness enthusiasts""), ""Fitness"",
  REGEXMATCH(LOWER(VLOOKUP(A514, Data1_Raw_Slack!A:B, 2, FALSE)), ""health|medical|pharmacy|mental health|doctor|health-conscious""), ""Health"",
  REGEXMATCH(LOWER(VLOOKUP(A514, Data1_Raw_"&amp;"Slack!A:B, 2, FALSE)), ""pets|dogs|cats|animals|pet care|pet lovers""), ""Pets"",
  REGEXMATCH(LOWER(VLOOKUP(A514, Data1_Raw_Slack!A:B, 2, FALSE)), ""games|gaming|game|xbox|playstation|nintendo|gamers""), ""Gaming"",
  REGEXMATCH(LOWER(VLOOKUP(A514, Data1"&amp;"_Raw_Slack!A:B, 2, FALSE)), ""entertainment|movies|tv|netflix|streaming|celebrity|movie lovers|tv fans|hobb|photo|art""), ""Entertainment"",
  REGEXMATCH(LOWER(VLOOKUP(A514, Data1_Raw_Slack!A:B, 2, FALSE)), ""lifestyle|home|interior|decor|living|lifestyle"&amp;" enthusiasts""), ""Lifestyle"",
  REGEXMATCH(LOWER(VLOOKUP(A514, Data1_Raw_Slack!A:B, 2, FALSE)), ""financial|finance|investing|stocks|retirement|banking|credit|debt|loans|savings|personal finance|insurance|econ|ecom|business|retail|occupation|sale|job|ma"&amp;"rketing""), ""Finance"",
  REGEXMATCH(LOWER(VLOOKUP(A514, Data1_Raw_Slack!A:B, 2, FALSE)), ""auto|automotive""), ""Auto"",
  REGEXMATCH(LOWER(VLOOKUP(A514, Data1_Raw_Slack!A:B, 2, FALSE)), ""parenting|moms|dads|kids|toddlers|baby|parent|children""), ""Par"&amp;"enting"",
  REGEXMATCH(LOWER(VLOOKUP(A514, Data1_Raw_Slack!A:B, 2, FALSE)), ""education|students|learning|school|teachers|college|university|academics""), ""Education"",
  REGEXMATCH(LOWER(VLOOKUP(A514, Data1_Raw_Slack!A:B, 2, FALSE)), ""age|gender|dem"&amp;"ographic|family|household""), ""Demographics"",
  REGEXMATCH(LOWER(VLOOKUP(A514, Data1_Raw_Slack!A:B, 2, FALSE)), ""mortgage|real estate""), ""Real Estate"",REGEXMATCH(LOWER(VLOOKUP(A514, Data1_Raw_Slack!A:B, 2, FALSE)), ""technology|tech|gadgets|smartpho"&amp;"ne|electro|apps|devices|computing|ai|robots|software|computer|internet|tele|mobile|tablet""), ""Technology"", REGEXMATCH(LOWER(VLOOKUP(A514, Data1_Raw_Slack!A:B, 2, FALSE)), ""entertainment|purchas|movies|tv|netflix|streaming|celebrity|movie lovers|tv fan"&amp;"s|media|hobb|photo|art|shop""), ""Entertainment"", REGEXMATCH(LOWER(VLOOKUP(A514, Data1_Raw_Slack!A:B, 2, FALSE)), ""law|government|""), ""Law and Government"",
  TRUE, ""Other""
)"),"Demographics")</f>
        <v>Demographics</v>
      </c>
      <c r="G514" s="9"/>
      <c r="H514" s="9" t="s">
        <v>44</v>
      </c>
      <c r="I514" s="9" t="s">
        <v>1819</v>
      </c>
      <c r="J514" s="9" t="s">
        <v>62</v>
      </c>
      <c r="K514" s="9" t="s">
        <v>88</v>
      </c>
      <c r="L514" s="9" t="s">
        <v>89</v>
      </c>
      <c r="M514" s="10" t="s">
        <v>1820</v>
      </c>
      <c r="N514" s="9" t="str">
        <f ca="1">IFERROR(__xludf.DUMMYFUNCTION("REGEXEXTRACT(LOWER(M514), ""([a-z0-9\-]+)\.(?:co|net|org|io|gg)"")"),"homehacks")</f>
        <v>homehacks</v>
      </c>
      <c r="O514" s="9" t="s">
        <v>50</v>
      </c>
      <c r="P514" s="9" t="s">
        <v>75</v>
      </c>
      <c r="Q514" s="9">
        <v>27473</v>
      </c>
      <c r="R514" s="9">
        <v>69</v>
      </c>
      <c r="S514" s="9">
        <v>11306</v>
      </c>
      <c r="T514" s="9">
        <v>20625</v>
      </c>
      <c r="U514" s="9">
        <v>2</v>
      </c>
      <c r="V514" s="11">
        <v>2922.286102</v>
      </c>
      <c r="W514" s="12">
        <f t="shared" si="14"/>
        <v>1461.143051</v>
      </c>
      <c r="X514" s="12">
        <f t="shared" si="15"/>
        <v>0.25115568012230188</v>
      </c>
      <c r="Y514" s="12">
        <f t="shared" si="16"/>
        <v>41.153132166126746</v>
      </c>
      <c r="Z514" s="12">
        <f t="shared" si="17"/>
        <v>258.472147709181</v>
      </c>
      <c r="AA514" s="12">
        <f t="shared" si="18"/>
        <v>106.36938455938558</v>
      </c>
      <c r="AB514" s="12">
        <f t="shared" si="19"/>
        <v>42.351972492753625</v>
      </c>
      <c r="AC514" s="12">
        <f t="shared" si="20"/>
        <v>2.8985507246376812</v>
      </c>
      <c r="AE514" s="13"/>
      <c r="AF514" s="13"/>
    </row>
    <row r="515" spans="1:32">
      <c r="A515" s="8" t="s">
        <v>1821</v>
      </c>
      <c r="B515" s="9" t="s">
        <v>52</v>
      </c>
      <c r="C515" s="9" t="s">
        <v>173</v>
      </c>
      <c r="D515" s="9" t="s">
        <v>1822</v>
      </c>
      <c r="E515" s="9"/>
      <c r="F515" s="9" t="str">
        <f ca="1">IFERROR(__xludf.DUMMYFUNCTION("IFS(
  REGEXMATCH(LOWER(VLOOKUP(A515, Data1_Raw_Slack!A:B, 2, FALSE)), ""news|weather""), ""News and Weather"", REGEXMATCH(LOWER(VLOOKUP(A515, Data1_Raw_Slack!A:B, 2, FALSE)), ""sports|ufc|nba|nfl|mlb|soccer|sports fans""), ""Sports"",
  REGEXMATCH(LOWER("&amp;"VLOOKUP(A515, Data1_Raw_Slack!A:B, 2, FALSE)), ""fashion|style|clothing|apparel|shoes|accessories|beauty|cosmetics|fashionistas""), ""Fashion and Beauty"",
  REGEXMATCH(LOWER(VLOOKUP(A515, Data1_Raw_Slack!A:B, 2, FALSE)), ""food|cooking|recipe|restaurant|"&amp;"snack|grocery|foodies""), ""Food"",
  REGEXMATCH(LOWER(VLOOKUP(A515, Data1_Raw_Slack!A:B, 2, FALSE)), ""travel|vacation|airline|hotel|trip|flights|travelers""), ""Travel"",
  REGEXMATCH(LOWER(VLOOKUP(A515, Data1_Raw_Slack!A:B, 2, FALSE)), ""fitness|workou"&amp;"t|gym|exercise|yoga|wellness|fitness enthusiasts""), ""Fitness"",
  REGEXMATCH(LOWER(VLOOKUP(A515, Data1_Raw_Slack!A:B, 2, FALSE)), ""health|medical|pharmacy|mental health|doctor|health-conscious""), ""Health"",
  REGEXMATCH(LOWER(VLOOKUP(A515, Data1_Raw_"&amp;"Slack!A:B, 2, FALSE)), ""pets|dogs|cats|animals|pet care|pet lovers""), ""Pets"",
  REGEXMATCH(LOWER(VLOOKUP(A515, Data1_Raw_Slack!A:B, 2, FALSE)), ""games|gaming|game|xbox|playstation|nintendo|gamers""), ""Gaming"",
  REGEXMATCH(LOWER(VLOOKUP(A515, Data1"&amp;"_Raw_Slack!A:B, 2, FALSE)), ""entertainment|movies|tv|netflix|streaming|celebrity|movie lovers|tv fans|hobb|photo|art""), ""Entertainment"",
  REGEXMATCH(LOWER(VLOOKUP(A515, Data1_Raw_Slack!A:B, 2, FALSE)), ""lifestyle|home|interior|decor|living|lifestyle"&amp;" enthusiasts""), ""Lifestyle"",
  REGEXMATCH(LOWER(VLOOKUP(A515, Data1_Raw_Slack!A:B, 2, FALSE)), ""financial|finance|investing|stocks|retirement|banking|credit|debt|loans|savings|personal finance|insurance|econ|ecom|business|retail|occupation|sale|job|ma"&amp;"rketing""), ""Finance"",
  REGEXMATCH(LOWER(VLOOKUP(A515, Data1_Raw_Slack!A:B, 2, FALSE)), ""auto|automotive""), ""Auto"",
  REGEXMATCH(LOWER(VLOOKUP(A515, Data1_Raw_Slack!A:B, 2, FALSE)), ""parenting|moms|dads|kids|toddlers|baby|parent|children""), ""Par"&amp;"enting"",
  REGEXMATCH(LOWER(VLOOKUP(A515, Data1_Raw_Slack!A:B, 2, FALSE)), ""education|students|learning|school|teachers|college|university|academics""), ""Education"",
  REGEXMATCH(LOWER(VLOOKUP(A515, Data1_Raw_Slack!A:B, 2, FALSE)), ""age|gender|dem"&amp;"ographic|family|household""), ""Demographics"",
  REGEXMATCH(LOWER(VLOOKUP(A515, Data1_Raw_Slack!A:B, 2, FALSE)), ""mortgage|real estate""), ""Real Estate"",REGEXMATCH(LOWER(VLOOKUP(A515, Data1_Raw_Slack!A:B, 2, FALSE)), ""technology|tech|gadgets|smartpho"&amp;"ne|electro|apps|devices|computing|ai|robots|software|computer|internet|tele|mobile|tablet""), ""Technology"", REGEXMATCH(LOWER(VLOOKUP(A515, Data1_Raw_Slack!A:B, 2, FALSE)), ""entertainment|purchas|movies|tv|netflix|streaming|celebrity|movie lovers|tv fan"&amp;"s|media|hobb|photo|art|shop""), ""Entertainment"", REGEXMATCH(LOWER(VLOOKUP(A515, Data1_Raw_Slack!A:B, 2, FALSE)), ""law|government|""), ""Law and Government"",
  TRUE, ""Other""
)"),"Law and Government")</f>
        <v>Law and Government</v>
      </c>
      <c r="G515" s="9" t="s">
        <v>69</v>
      </c>
      <c r="H515" s="9" t="s">
        <v>44</v>
      </c>
      <c r="I515" s="9" t="s">
        <v>1823</v>
      </c>
      <c r="J515" s="9" t="s">
        <v>62</v>
      </c>
      <c r="K515" s="9" t="s">
        <v>170</v>
      </c>
      <c r="L515" s="9" t="s">
        <v>72</v>
      </c>
      <c r="M515" s="10" t="s">
        <v>156</v>
      </c>
      <c r="N515" s="9" t="str">
        <f ca="1">IFERROR(__xludf.DUMMYFUNCTION("REGEXEXTRACT(LOWER(M515), ""([a-z0-9\-]+)\.(?:co|net|org|io|gg)"")"),"aol")</f>
        <v>aol</v>
      </c>
      <c r="O515" s="9" t="s">
        <v>50</v>
      </c>
      <c r="P515" s="9" t="s">
        <v>39</v>
      </c>
      <c r="Q515" s="9">
        <v>8716</v>
      </c>
      <c r="R515" s="9">
        <v>40</v>
      </c>
      <c r="S515" s="9">
        <v>6490</v>
      </c>
      <c r="T515" s="9">
        <v>7862</v>
      </c>
      <c r="U515" s="9">
        <v>2</v>
      </c>
      <c r="V515" s="11">
        <v>2100.8201370000002</v>
      </c>
      <c r="W515" s="12">
        <f t="shared" si="14"/>
        <v>1050.4100685000001</v>
      </c>
      <c r="X515" s="12">
        <f t="shared" si="15"/>
        <v>0.4589261128958238</v>
      </c>
      <c r="Y515" s="12">
        <f t="shared" si="16"/>
        <v>74.460761817347404</v>
      </c>
      <c r="Z515" s="12">
        <f t="shared" si="17"/>
        <v>323.70109969183363</v>
      </c>
      <c r="AA515" s="12">
        <f t="shared" si="18"/>
        <v>241.0303048416705</v>
      </c>
      <c r="AB515" s="12">
        <f t="shared" si="19"/>
        <v>52.520503425000001</v>
      </c>
      <c r="AC515" s="12">
        <f t="shared" si="20"/>
        <v>5</v>
      </c>
      <c r="AE515" s="13"/>
      <c r="AF515" s="13"/>
    </row>
    <row r="516" spans="1:32">
      <c r="A516" s="8" t="s">
        <v>1824</v>
      </c>
      <c r="B516" s="9" t="s">
        <v>52</v>
      </c>
      <c r="C516" s="9" t="s">
        <v>1825</v>
      </c>
      <c r="D516" s="9" t="s">
        <v>1826</v>
      </c>
      <c r="E516" s="9"/>
      <c r="F516" s="9" t="str">
        <f ca="1">IFERROR(__xludf.DUMMYFUNCTION("IFS(
  REGEXMATCH(LOWER(VLOOKUP(A516, Data1_Raw_Slack!A:B, 2, FALSE)), ""news|weather""), ""News and Weather"", REGEXMATCH(LOWER(VLOOKUP(A516, Data1_Raw_Slack!A:B, 2, FALSE)), ""sports|ufc|nba|nfl|mlb|soccer|sports fans""), ""Sports"",
  REGEXMATCH(LOWER("&amp;"VLOOKUP(A516, Data1_Raw_Slack!A:B, 2, FALSE)), ""fashion|style|clothing|apparel|shoes|accessories|beauty|cosmetics|fashionistas""), ""Fashion and Beauty"",
  REGEXMATCH(LOWER(VLOOKUP(A516, Data1_Raw_Slack!A:B, 2, FALSE)), ""food|cooking|recipe|restaurant|"&amp;"snack|grocery|foodies""), ""Food"",
  REGEXMATCH(LOWER(VLOOKUP(A516, Data1_Raw_Slack!A:B, 2, FALSE)), ""travel|vacation|airline|hotel|trip|flights|travelers""), ""Travel"",
  REGEXMATCH(LOWER(VLOOKUP(A516, Data1_Raw_Slack!A:B, 2, FALSE)), ""fitness|workou"&amp;"t|gym|exercise|yoga|wellness|fitness enthusiasts""), ""Fitness"",
  REGEXMATCH(LOWER(VLOOKUP(A516, Data1_Raw_Slack!A:B, 2, FALSE)), ""health|medical|pharmacy|mental health|doctor|health-conscious""), ""Health"",
  REGEXMATCH(LOWER(VLOOKUP(A516, Data1_Raw_"&amp;"Slack!A:B, 2, FALSE)), ""pets|dogs|cats|animals|pet care|pet lovers""), ""Pets"",
  REGEXMATCH(LOWER(VLOOKUP(A516, Data1_Raw_Slack!A:B, 2, FALSE)), ""games|gaming|game|xbox|playstation|nintendo|gamers""), ""Gaming"",
  REGEXMATCH(LOWER(VLOOKUP(A516, Data1"&amp;"_Raw_Slack!A:B, 2, FALSE)), ""entertainment|movies|tv|netflix|streaming|celebrity|movie lovers|tv fans|hobb|photo|art""), ""Entertainment"",
  REGEXMATCH(LOWER(VLOOKUP(A516, Data1_Raw_Slack!A:B, 2, FALSE)), ""lifestyle|home|interior|decor|living|lifestyle"&amp;" enthusiasts""), ""Lifestyle"",
  REGEXMATCH(LOWER(VLOOKUP(A516, Data1_Raw_Slack!A:B, 2, FALSE)), ""financial|finance|investing|stocks|retirement|banking|credit|debt|loans|savings|personal finance|insurance|econ|ecom|business|retail|occupation|sale|job|ma"&amp;"rketing""), ""Finance"",
  REGEXMATCH(LOWER(VLOOKUP(A516, Data1_Raw_Slack!A:B, 2, FALSE)), ""auto|automotive""), ""Auto"",
  REGEXMATCH(LOWER(VLOOKUP(A516, Data1_Raw_Slack!A:B, 2, FALSE)), ""parenting|moms|dads|kids|toddlers|baby|parent|children""), ""Par"&amp;"enting"",
  REGEXMATCH(LOWER(VLOOKUP(A516, Data1_Raw_Slack!A:B, 2, FALSE)), ""education|students|learning|school|teachers|college|university|academics""), ""Education"",
  REGEXMATCH(LOWER(VLOOKUP(A516, Data1_Raw_Slack!A:B, 2, FALSE)), ""age|gender|dem"&amp;"ographic|family|household""), ""Demographics"",
  REGEXMATCH(LOWER(VLOOKUP(A516, Data1_Raw_Slack!A:B, 2, FALSE)), ""mortgage|real estate""), ""Real Estate"",REGEXMATCH(LOWER(VLOOKUP(A516, Data1_Raw_Slack!A:B, 2, FALSE)), ""technology|tech|gadgets|smartpho"&amp;"ne|electro|apps|devices|computing|ai|robots|software|computer|internet|tele|mobile|tablet""), ""Technology"", REGEXMATCH(LOWER(VLOOKUP(A516, Data1_Raw_Slack!A:B, 2, FALSE)), ""entertainment|purchas|movies|tv|netflix|streaming|celebrity|movie lovers|tv fan"&amp;"s|media|hobb|photo|art|shop""), ""Entertainment"", REGEXMATCH(LOWER(VLOOKUP(A516, Data1_Raw_Slack!A:B, 2, FALSE)), ""law|government|""), ""Law and Government"",
  TRUE, ""Other""
)"),"Travel")</f>
        <v>Travel</v>
      </c>
      <c r="G516" s="9"/>
      <c r="H516" s="9" t="s">
        <v>32</v>
      </c>
      <c r="I516" s="9" t="s">
        <v>1680</v>
      </c>
      <c r="J516" s="9" t="s">
        <v>80</v>
      </c>
      <c r="K516" s="9" t="s">
        <v>358</v>
      </c>
      <c r="L516" s="9" t="s">
        <v>359</v>
      </c>
      <c r="M516" s="10" t="s">
        <v>316</v>
      </c>
      <c r="N516" s="9" t="str">
        <f ca="1">IFERROR(__xludf.DUMMYFUNCTION("REGEXEXTRACT(LOWER(M516), ""([a-z0-9\-]+)\.(?:co|net|org|io|gg)"")"),"cargurus")</f>
        <v>cargurus</v>
      </c>
      <c r="O516" s="9" t="s">
        <v>186</v>
      </c>
      <c r="P516" s="9" t="s">
        <v>39</v>
      </c>
      <c r="Q516" s="9">
        <v>16227</v>
      </c>
      <c r="R516" s="9">
        <v>40</v>
      </c>
      <c r="S516" s="9">
        <v>9438</v>
      </c>
      <c r="T516" s="9">
        <v>15611</v>
      </c>
      <c r="U516" s="9">
        <v>3</v>
      </c>
      <c r="V516" s="11">
        <v>1991.9438399999999</v>
      </c>
      <c r="W516" s="12">
        <f t="shared" si="14"/>
        <v>663.98127999999997</v>
      </c>
      <c r="X516" s="12">
        <f t="shared" si="15"/>
        <v>0.24650274234300856</v>
      </c>
      <c r="Y516" s="12">
        <f t="shared" si="16"/>
        <v>58.162322055832874</v>
      </c>
      <c r="Z516" s="12">
        <f t="shared" si="17"/>
        <v>211.05571519389702</v>
      </c>
      <c r="AA516" s="12">
        <f t="shared" si="18"/>
        <v>122.75490478831576</v>
      </c>
      <c r="AB516" s="12">
        <f t="shared" si="19"/>
        <v>49.798595999999996</v>
      </c>
      <c r="AC516" s="12">
        <f t="shared" si="20"/>
        <v>7.5</v>
      </c>
      <c r="AE516" s="13"/>
      <c r="AF516" s="13"/>
    </row>
    <row r="517" spans="1:32">
      <c r="A517" s="8" t="s">
        <v>1827</v>
      </c>
      <c r="B517" s="9" t="s">
        <v>521</v>
      </c>
      <c r="C517" s="9" t="s">
        <v>1828</v>
      </c>
      <c r="D517" s="9" t="s">
        <v>1322</v>
      </c>
      <c r="E517" s="9"/>
      <c r="F517" s="9" t="str">
        <f ca="1">IFERROR(__xludf.DUMMYFUNCTION("IFS(
  REGEXMATCH(LOWER(VLOOKUP(A517, Data1_Raw_Slack!A:B, 2, FALSE)), ""news|weather""), ""News and Weather"", REGEXMATCH(LOWER(VLOOKUP(A517, Data1_Raw_Slack!A:B, 2, FALSE)), ""sports|ufc|nba|nfl|mlb|soccer|sports fans""), ""Sports"",
  REGEXMATCH(LOWER("&amp;"VLOOKUP(A517, Data1_Raw_Slack!A:B, 2, FALSE)), ""fashion|style|clothing|apparel|shoes|accessories|beauty|cosmetics|fashionistas""), ""Fashion and Beauty"",
  REGEXMATCH(LOWER(VLOOKUP(A517, Data1_Raw_Slack!A:B, 2, FALSE)), ""food|cooking|recipe|restaurant|"&amp;"snack|grocery|foodies""), ""Food"",
  REGEXMATCH(LOWER(VLOOKUP(A517, Data1_Raw_Slack!A:B, 2, FALSE)), ""travel|vacation|airline|hotel|trip|flights|travelers""), ""Travel"",
  REGEXMATCH(LOWER(VLOOKUP(A517, Data1_Raw_Slack!A:B, 2, FALSE)), ""fitness|workou"&amp;"t|gym|exercise|yoga|wellness|fitness enthusiasts""), ""Fitness"",
  REGEXMATCH(LOWER(VLOOKUP(A517, Data1_Raw_Slack!A:B, 2, FALSE)), ""health|medical|pharmacy|mental health|doctor|health-conscious""), ""Health"",
  REGEXMATCH(LOWER(VLOOKUP(A517, Data1_Raw_"&amp;"Slack!A:B, 2, FALSE)), ""pets|dogs|cats|animals|pet care|pet lovers""), ""Pets"",
  REGEXMATCH(LOWER(VLOOKUP(A517, Data1_Raw_Slack!A:B, 2, FALSE)), ""games|gaming|game|xbox|playstation|nintendo|gamers""), ""Gaming"",
  REGEXMATCH(LOWER(VLOOKUP(A517, Data1"&amp;"_Raw_Slack!A:B, 2, FALSE)), ""entertainment|movies|tv|netflix|streaming|celebrity|movie lovers|tv fans|hobb|photo|art""), ""Entertainment"",
  REGEXMATCH(LOWER(VLOOKUP(A517, Data1_Raw_Slack!A:B, 2, FALSE)), ""lifestyle|home|interior|decor|living|lifestyle"&amp;" enthusiasts""), ""Lifestyle"",
  REGEXMATCH(LOWER(VLOOKUP(A517, Data1_Raw_Slack!A:B, 2, FALSE)), ""financial|finance|investing|stocks|retirement|banking|credit|debt|loans|savings|personal finance|insurance|econ|ecom|business|retail|occupation|sale|job|ma"&amp;"rketing""), ""Finance"",
  REGEXMATCH(LOWER(VLOOKUP(A517, Data1_Raw_Slack!A:B, 2, FALSE)), ""auto|automotive""), ""Auto"",
  REGEXMATCH(LOWER(VLOOKUP(A517, Data1_Raw_Slack!A:B, 2, FALSE)), ""parenting|moms|dads|kids|toddlers|baby|parent|children""), ""Par"&amp;"enting"",
  REGEXMATCH(LOWER(VLOOKUP(A517, Data1_Raw_Slack!A:B, 2, FALSE)), ""education|students|learning|school|teachers|college|university|academics""), ""Education"",
  REGEXMATCH(LOWER(VLOOKUP(A517, Data1_Raw_Slack!A:B, 2, FALSE)), ""age|gender|dem"&amp;"ographic|family|household""), ""Demographics"",
  REGEXMATCH(LOWER(VLOOKUP(A517, Data1_Raw_Slack!A:B, 2, FALSE)), ""mortgage|real estate""), ""Real Estate"",REGEXMATCH(LOWER(VLOOKUP(A517, Data1_Raw_Slack!A:B, 2, FALSE)), ""technology|tech|gadgets|smartpho"&amp;"ne|electro|apps|devices|computing|ai|robots|software|computer|internet|tele|mobile|tablet""), ""Technology"", REGEXMATCH(LOWER(VLOOKUP(A517, Data1_Raw_Slack!A:B, 2, FALSE)), ""entertainment|purchas|movies|tv|netflix|streaming|celebrity|movie lovers|tv fan"&amp;"s|media|hobb|photo|art|shop""), ""Entertainment"", REGEXMATCH(LOWER(VLOOKUP(A517, Data1_Raw_Slack!A:B, 2, FALSE)), ""law|government|""), ""Law and Government"",
  TRUE, ""Other""
)"),"Travel")</f>
        <v>Travel</v>
      </c>
      <c r="G517" s="9"/>
      <c r="H517" s="9" t="s">
        <v>44</v>
      </c>
      <c r="I517" s="9" t="s">
        <v>1829</v>
      </c>
      <c r="J517" s="9" t="s">
        <v>62</v>
      </c>
      <c r="K517" s="9" t="s">
        <v>639</v>
      </c>
      <c r="L517" s="9" t="s">
        <v>265</v>
      </c>
      <c r="M517" s="10" t="s">
        <v>354</v>
      </c>
      <c r="N517" s="9" t="str">
        <f ca="1">IFERROR(__xludf.DUMMYFUNCTION("REGEXEXTRACT(LOWER(M517), ""([a-z0-9\-]+)\.(?:co|net|org|io|gg)"")"),"yahoo")</f>
        <v>yahoo</v>
      </c>
      <c r="O517" s="9" t="s">
        <v>103</v>
      </c>
      <c r="P517" s="9" t="s">
        <v>75</v>
      </c>
      <c r="Q517" s="9">
        <v>307888</v>
      </c>
      <c r="R517" s="9">
        <v>863</v>
      </c>
      <c r="S517" s="9">
        <v>134959</v>
      </c>
      <c r="T517" s="9">
        <v>274790</v>
      </c>
      <c r="U517" s="9">
        <v>11</v>
      </c>
      <c r="V517" s="11">
        <v>1559.643865</v>
      </c>
      <c r="W517" s="12">
        <f t="shared" si="14"/>
        <v>141.7858059090909</v>
      </c>
      <c r="X517" s="12">
        <f t="shared" si="15"/>
        <v>0.28029673127890664</v>
      </c>
      <c r="Y517" s="12">
        <f t="shared" si="16"/>
        <v>43.833796705295427</v>
      </c>
      <c r="Z517" s="12">
        <f t="shared" si="17"/>
        <v>11.556427248275403</v>
      </c>
      <c r="AA517" s="12">
        <f t="shared" si="18"/>
        <v>5.0656208264044063</v>
      </c>
      <c r="AB517" s="12">
        <f t="shared" si="19"/>
        <v>1.8072350695249131</v>
      </c>
      <c r="AC517" s="12">
        <f t="shared" si="20"/>
        <v>1.2746234067207416</v>
      </c>
      <c r="AE517" s="13"/>
      <c r="AF517" s="13"/>
    </row>
    <row r="518" spans="1:32">
      <c r="A518" s="8" t="s">
        <v>1830</v>
      </c>
      <c r="B518" s="9" t="s">
        <v>1831</v>
      </c>
      <c r="C518" s="9"/>
      <c r="D518" s="9"/>
      <c r="E518" s="9"/>
      <c r="F518" s="9" t="str">
        <f ca="1">IFERROR(__xludf.DUMMYFUNCTION("IFS(
  REGEXMATCH(LOWER(VLOOKUP(A518, Data1_Raw_Slack!A:B, 2, FALSE)), ""news|weather""), ""News and Weather"", REGEXMATCH(LOWER(VLOOKUP(A518, Data1_Raw_Slack!A:B, 2, FALSE)), ""sports|ufc|nba|nfl|mlb|soccer|sports fans""), ""Sports"",
  REGEXMATCH(LOWER("&amp;"VLOOKUP(A518, Data1_Raw_Slack!A:B, 2, FALSE)), ""fashion|style|clothing|apparel|shoes|accessories|beauty|cosmetics|fashionistas""), ""Fashion and Beauty"",
  REGEXMATCH(LOWER(VLOOKUP(A518, Data1_Raw_Slack!A:B, 2, FALSE)), ""food|cooking|recipe|restaurant|"&amp;"snack|grocery|foodies""), ""Food"",
  REGEXMATCH(LOWER(VLOOKUP(A518, Data1_Raw_Slack!A:B, 2, FALSE)), ""travel|vacation|airline|hotel|trip|flights|travelers""), ""Travel"",
  REGEXMATCH(LOWER(VLOOKUP(A518, Data1_Raw_Slack!A:B, 2, FALSE)), ""fitness|workou"&amp;"t|gym|exercise|yoga|wellness|fitness enthusiasts""), ""Fitness"",
  REGEXMATCH(LOWER(VLOOKUP(A518, Data1_Raw_Slack!A:B, 2, FALSE)), ""health|medical|pharmacy|mental health|doctor|health-conscious""), ""Health"",
  REGEXMATCH(LOWER(VLOOKUP(A518, Data1_Raw_"&amp;"Slack!A:B, 2, FALSE)), ""pets|dogs|cats|animals|pet care|pet lovers""), ""Pets"",
  REGEXMATCH(LOWER(VLOOKUP(A518, Data1_Raw_Slack!A:B, 2, FALSE)), ""games|gaming|game|xbox|playstation|nintendo|gamers""), ""Gaming"",
  REGEXMATCH(LOWER(VLOOKUP(A518, Data1"&amp;"_Raw_Slack!A:B, 2, FALSE)), ""entertainment|movies|tv|netflix|streaming|celebrity|movie lovers|tv fans|hobb|photo|art""), ""Entertainment"",
  REGEXMATCH(LOWER(VLOOKUP(A518, Data1_Raw_Slack!A:B, 2, FALSE)), ""lifestyle|home|interior|decor|living|lifestyle"&amp;" enthusiasts""), ""Lifestyle"",
  REGEXMATCH(LOWER(VLOOKUP(A518, Data1_Raw_Slack!A:B, 2, FALSE)), ""financial|finance|investing|stocks|retirement|banking|credit|debt|loans|savings|personal finance|insurance|econ|ecom|business|retail|occupation|sale|job|ma"&amp;"rketing""), ""Finance"",
  REGEXMATCH(LOWER(VLOOKUP(A518, Data1_Raw_Slack!A:B, 2, FALSE)), ""auto|automotive""), ""Auto"",
  REGEXMATCH(LOWER(VLOOKUP(A518, Data1_Raw_Slack!A:B, 2, FALSE)), ""parenting|moms|dads|kids|toddlers|baby|parent|children""), ""Par"&amp;"enting"",
  REGEXMATCH(LOWER(VLOOKUP(A518, Data1_Raw_Slack!A:B, 2, FALSE)), ""education|students|learning|school|teachers|college|university|academics""), ""Education"",
  REGEXMATCH(LOWER(VLOOKUP(A518, Data1_Raw_Slack!A:B, 2, FALSE)), ""age|gender|dem"&amp;"ographic|family|household""), ""Demographics"",
  REGEXMATCH(LOWER(VLOOKUP(A518, Data1_Raw_Slack!A:B, 2, FALSE)), ""mortgage|real estate""), ""Real Estate"",REGEXMATCH(LOWER(VLOOKUP(A518, Data1_Raw_Slack!A:B, 2, FALSE)), ""technology|tech|gadgets|smartpho"&amp;"ne|electro|apps|devices|computing|ai|robots|software|computer|internet|tele|mobile|tablet""), ""Technology"", REGEXMATCH(LOWER(VLOOKUP(A518, Data1_Raw_Slack!A:B, 2, FALSE)), ""entertainment|purchas|movies|tv|netflix|streaming|celebrity|movie lovers|tv fan"&amp;"s|media|hobb|photo|art|shop""), ""Entertainment"", REGEXMATCH(LOWER(VLOOKUP(A518, Data1_Raw_Slack!A:B, 2, FALSE)), ""law|government|""), ""Law and Government"",
  TRUE, ""Other""
)"),"Entertainment")</f>
        <v>Entertainment</v>
      </c>
      <c r="G518" s="9"/>
      <c r="H518" s="9" t="s">
        <v>44</v>
      </c>
      <c r="I518" s="9" t="s">
        <v>1832</v>
      </c>
      <c r="J518" s="9" t="s">
        <v>62</v>
      </c>
      <c r="K518" s="9" t="s">
        <v>71</v>
      </c>
      <c r="L518" s="9" t="s">
        <v>72</v>
      </c>
      <c r="M518" s="10" t="s">
        <v>1833</v>
      </c>
      <c r="N518" s="9" t="str">
        <f ca="1">IFERROR(__xludf.DUMMYFUNCTION("REGEXEXTRACT(LOWER(M518), ""([a-z0-9\-]+)\.(?:co|net|org|io|gg)"")"),"boxrox")</f>
        <v>boxrox</v>
      </c>
      <c r="O518" s="9" t="s">
        <v>349</v>
      </c>
      <c r="P518" s="9" t="s">
        <v>39</v>
      </c>
      <c r="Q518" s="9">
        <v>35034</v>
      </c>
      <c r="R518" s="9">
        <v>145</v>
      </c>
      <c r="S518" s="9">
        <v>13904</v>
      </c>
      <c r="T518" s="9">
        <v>34123</v>
      </c>
      <c r="U518" s="9">
        <v>3</v>
      </c>
      <c r="V518" s="11">
        <v>2141.4693459999999</v>
      </c>
      <c r="W518" s="12">
        <f t="shared" si="14"/>
        <v>713.82311533333325</v>
      </c>
      <c r="X518" s="12">
        <f t="shared" si="15"/>
        <v>0.41388365587714793</v>
      </c>
      <c r="Y518" s="12">
        <f t="shared" si="16"/>
        <v>39.687161043557687</v>
      </c>
      <c r="Z518" s="12">
        <f t="shared" si="17"/>
        <v>154.01822108745682</v>
      </c>
      <c r="AA518" s="12">
        <f t="shared" si="18"/>
        <v>61.125459439401723</v>
      </c>
      <c r="AB518" s="12">
        <f t="shared" si="19"/>
        <v>14.768754110344826</v>
      </c>
      <c r="AC518" s="12">
        <f t="shared" si="20"/>
        <v>2.0689655172413794</v>
      </c>
      <c r="AE518" s="13"/>
      <c r="AF518" s="13"/>
    </row>
    <row r="519" spans="1:32">
      <c r="A519" s="8" t="s">
        <v>1834</v>
      </c>
      <c r="B519" s="9" t="s">
        <v>41</v>
      </c>
      <c r="C519" s="9" t="s">
        <v>374</v>
      </c>
      <c r="D519" s="9" t="s">
        <v>1835</v>
      </c>
      <c r="E519" s="9"/>
      <c r="F519" s="9" t="str">
        <f ca="1">IFERROR(__xludf.DUMMYFUNCTION("IFS(
  REGEXMATCH(LOWER(VLOOKUP(A519, Data1_Raw_Slack!A:B, 2, FALSE)), ""news|weather""), ""News and Weather"", REGEXMATCH(LOWER(VLOOKUP(A519, Data1_Raw_Slack!A:B, 2, FALSE)), ""sports|ufc|nba|nfl|mlb|soccer|sports fans""), ""Sports"",
  REGEXMATCH(LOWER("&amp;"VLOOKUP(A519, Data1_Raw_Slack!A:B, 2, FALSE)), ""fashion|style|clothing|apparel|shoes|accessories|beauty|cosmetics|fashionistas""), ""Fashion and Beauty"",
  REGEXMATCH(LOWER(VLOOKUP(A519, Data1_Raw_Slack!A:B, 2, FALSE)), ""food|cooking|recipe|restaurant|"&amp;"snack|grocery|foodies""), ""Food"",
  REGEXMATCH(LOWER(VLOOKUP(A519, Data1_Raw_Slack!A:B, 2, FALSE)), ""travel|vacation|airline|hotel|trip|flights|travelers""), ""Travel"",
  REGEXMATCH(LOWER(VLOOKUP(A519, Data1_Raw_Slack!A:B, 2, FALSE)), ""fitness|workou"&amp;"t|gym|exercise|yoga|wellness|fitness enthusiasts""), ""Fitness"",
  REGEXMATCH(LOWER(VLOOKUP(A519, Data1_Raw_Slack!A:B, 2, FALSE)), ""health|medical|pharmacy|mental health|doctor|health-conscious""), ""Health"",
  REGEXMATCH(LOWER(VLOOKUP(A519, Data1_Raw_"&amp;"Slack!A:B, 2, FALSE)), ""pets|dogs|cats|animals|pet care|pet lovers""), ""Pets"",
  REGEXMATCH(LOWER(VLOOKUP(A519, Data1_Raw_Slack!A:B, 2, FALSE)), ""games|gaming|game|xbox|playstation|nintendo|gamers""), ""Gaming"",
  REGEXMATCH(LOWER(VLOOKUP(A519, Data1"&amp;"_Raw_Slack!A:B, 2, FALSE)), ""entertainment|movies|tv|netflix|streaming|celebrity|movie lovers|tv fans|hobb|photo|art""), ""Entertainment"",
  REGEXMATCH(LOWER(VLOOKUP(A519, Data1_Raw_Slack!A:B, 2, FALSE)), ""lifestyle|home|interior|decor|living|lifestyle"&amp;" enthusiasts""), ""Lifestyle"",
  REGEXMATCH(LOWER(VLOOKUP(A519, Data1_Raw_Slack!A:B, 2, FALSE)), ""financial|finance|investing|stocks|retirement|banking|credit|debt|loans|savings|personal finance|insurance|econ|ecom|business|retail|occupation|sale|job|ma"&amp;"rketing""), ""Finance"",
  REGEXMATCH(LOWER(VLOOKUP(A519, Data1_Raw_Slack!A:B, 2, FALSE)), ""auto|automotive""), ""Auto"",
  REGEXMATCH(LOWER(VLOOKUP(A519, Data1_Raw_Slack!A:B, 2, FALSE)), ""parenting|moms|dads|kids|toddlers|baby|parent|children""), ""Par"&amp;"enting"",
  REGEXMATCH(LOWER(VLOOKUP(A519, Data1_Raw_Slack!A:B, 2, FALSE)), ""education|students|learning|school|teachers|college|university|academics""), ""Education"",
  REGEXMATCH(LOWER(VLOOKUP(A519, Data1_Raw_Slack!A:B, 2, FALSE)), ""age|gender|dem"&amp;"ographic|family|household""), ""Demographics"",
  REGEXMATCH(LOWER(VLOOKUP(A519, Data1_Raw_Slack!A:B, 2, FALSE)), ""mortgage|real estate""), ""Real Estate"",REGEXMATCH(LOWER(VLOOKUP(A519, Data1_Raw_Slack!A:B, 2, FALSE)), ""technology|tech|gadgets|smartpho"&amp;"ne|electro|apps|devices|computing|ai|robots|software|computer|internet|tele|mobile|tablet""), ""Technology"", REGEXMATCH(LOWER(VLOOKUP(A519, Data1_Raw_Slack!A:B, 2, FALSE)), ""entertainment|purchas|movies|tv|netflix|streaming|celebrity|movie lovers|tv fan"&amp;"s|media|hobb|photo|art|shop""), ""Entertainment"", REGEXMATCH(LOWER(VLOOKUP(A519, Data1_Raw_Slack!A:B, 2, FALSE)), ""law|government|""), ""Law and Government"",
  TRUE, ""Other""
)"),"Finance")</f>
        <v>Finance</v>
      </c>
      <c r="G519" s="9"/>
      <c r="H519" s="9" t="s">
        <v>44</v>
      </c>
      <c r="I519" s="9" t="s">
        <v>1041</v>
      </c>
      <c r="J519" s="9" t="s">
        <v>62</v>
      </c>
      <c r="K519" s="9" t="s">
        <v>236</v>
      </c>
      <c r="L519" s="9" t="s">
        <v>82</v>
      </c>
      <c r="M519" s="10" t="s">
        <v>130</v>
      </c>
      <c r="N519" s="9" t="str">
        <f ca="1">IFERROR(__xludf.DUMMYFUNCTION("REGEXEXTRACT(LOWER(M519), ""([a-z0-9\-]+)\.(?:co|net|org|io|gg)"")"),"weather")</f>
        <v>weather</v>
      </c>
      <c r="O519" s="9" t="s">
        <v>74</v>
      </c>
      <c r="P519" s="9" t="s">
        <v>75</v>
      </c>
      <c r="Q519" s="9">
        <v>26439</v>
      </c>
      <c r="R519" s="9">
        <v>95</v>
      </c>
      <c r="S519" s="9">
        <v>7093</v>
      </c>
      <c r="T519" s="9">
        <v>19681</v>
      </c>
      <c r="U519" s="9">
        <v>7</v>
      </c>
      <c r="V519" s="11">
        <v>5330.7819689999997</v>
      </c>
      <c r="W519" s="12">
        <f t="shared" si="14"/>
        <v>761.54028128571429</v>
      </c>
      <c r="X519" s="12">
        <f t="shared" si="15"/>
        <v>0.3593176746473013</v>
      </c>
      <c r="Y519" s="12">
        <f t="shared" si="16"/>
        <v>26.827792276561141</v>
      </c>
      <c r="Z519" s="12">
        <f t="shared" si="17"/>
        <v>751.55533187649792</v>
      </c>
      <c r="AA519" s="12">
        <f t="shared" si="18"/>
        <v>201.62570327924655</v>
      </c>
      <c r="AB519" s="12">
        <f t="shared" si="19"/>
        <v>56.113494410526314</v>
      </c>
      <c r="AC519" s="12">
        <f t="shared" si="20"/>
        <v>7.3684210526315779</v>
      </c>
      <c r="AE519" s="13"/>
      <c r="AF519" s="13"/>
    </row>
    <row r="520" spans="1:32">
      <c r="A520" s="8" t="s">
        <v>1836</v>
      </c>
      <c r="B520" s="9" t="s">
        <v>144</v>
      </c>
      <c r="C520" s="9" t="s">
        <v>1837</v>
      </c>
      <c r="D520" s="9"/>
      <c r="E520" s="9"/>
      <c r="F520" s="9" t="str">
        <f ca="1">IFERROR(__xludf.DUMMYFUNCTION("IFS(
  REGEXMATCH(LOWER(VLOOKUP(A520, Data1_Raw_Slack!A:B, 2, FALSE)), ""news|weather""), ""News and Weather"", REGEXMATCH(LOWER(VLOOKUP(A520, Data1_Raw_Slack!A:B, 2, FALSE)), ""sports|ufc|nba|nfl|mlb|soccer|sports fans""), ""Sports"",
  REGEXMATCH(LOWER("&amp;"VLOOKUP(A520, Data1_Raw_Slack!A:B, 2, FALSE)), ""fashion|style|clothing|apparel|shoes|accessories|beauty|cosmetics|fashionistas""), ""Fashion and Beauty"",
  REGEXMATCH(LOWER(VLOOKUP(A520, Data1_Raw_Slack!A:B, 2, FALSE)), ""food|cooking|recipe|restaurant|"&amp;"snack|grocery|foodies""), ""Food"",
  REGEXMATCH(LOWER(VLOOKUP(A520, Data1_Raw_Slack!A:B, 2, FALSE)), ""travel|vacation|airline|hotel|trip|flights|travelers""), ""Travel"",
  REGEXMATCH(LOWER(VLOOKUP(A520, Data1_Raw_Slack!A:B, 2, FALSE)), ""fitness|workou"&amp;"t|gym|exercise|yoga|wellness|fitness enthusiasts""), ""Fitness"",
  REGEXMATCH(LOWER(VLOOKUP(A520, Data1_Raw_Slack!A:B, 2, FALSE)), ""health|medical|pharmacy|mental health|doctor|health-conscious""), ""Health"",
  REGEXMATCH(LOWER(VLOOKUP(A520, Data1_Raw_"&amp;"Slack!A:B, 2, FALSE)), ""pets|dogs|cats|animals|pet care|pet lovers""), ""Pets"",
  REGEXMATCH(LOWER(VLOOKUP(A520, Data1_Raw_Slack!A:B, 2, FALSE)), ""games|gaming|game|xbox|playstation|nintendo|gamers""), ""Gaming"",
  REGEXMATCH(LOWER(VLOOKUP(A520, Data1"&amp;"_Raw_Slack!A:B, 2, FALSE)), ""entertainment|movies|tv|netflix|streaming|celebrity|movie lovers|tv fans|hobb|photo|art""), ""Entertainment"",
  REGEXMATCH(LOWER(VLOOKUP(A520, Data1_Raw_Slack!A:B, 2, FALSE)), ""lifestyle|home|interior|decor|living|lifestyle"&amp;" enthusiasts""), ""Lifestyle"",
  REGEXMATCH(LOWER(VLOOKUP(A520, Data1_Raw_Slack!A:B, 2, FALSE)), ""financial|finance|investing|stocks|retirement|banking|credit|debt|loans|savings|personal finance|insurance|econ|ecom|business|retail|occupation|sale|job|ma"&amp;"rketing""), ""Finance"",
  REGEXMATCH(LOWER(VLOOKUP(A520, Data1_Raw_Slack!A:B, 2, FALSE)), ""auto|automotive""), ""Auto"",
  REGEXMATCH(LOWER(VLOOKUP(A520, Data1_Raw_Slack!A:B, 2, FALSE)), ""parenting|moms|dads|kids|toddlers|baby|parent|children""), ""Par"&amp;"enting"",
  REGEXMATCH(LOWER(VLOOKUP(A520, Data1_Raw_Slack!A:B, 2, FALSE)), ""education|students|learning|school|teachers|college|university|academics""), ""Education"",
  REGEXMATCH(LOWER(VLOOKUP(A520, Data1_Raw_Slack!A:B, 2, FALSE)), ""age|gender|dem"&amp;"ographic|family|household""), ""Demographics"",
  REGEXMATCH(LOWER(VLOOKUP(A520, Data1_Raw_Slack!A:B, 2, FALSE)), ""mortgage|real estate""), ""Real Estate"",REGEXMATCH(LOWER(VLOOKUP(A520, Data1_Raw_Slack!A:B, 2, FALSE)), ""technology|tech|gadgets|smartpho"&amp;"ne|electro|apps|devices|computing|ai|robots|software|computer|internet|tele|mobile|tablet""), ""Technology"", REGEXMATCH(LOWER(VLOOKUP(A520, Data1_Raw_Slack!A:B, 2, FALSE)), ""entertainment|purchas|movies|tv|netflix|streaming|celebrity|movie lovers|tv fan"&amp;"s|media|hobb|photo|art|shop""), ""Entertainment"", REGEXMATCH(LOWER(VLOOKUP(A520, Data1_Raw_Slack!A:B, 2, FALSE)), ""law|government|""), ""Law and Government"",
  TRUE, ""Other""
)"),"Gaming")</f>
        <v>Gaming</v>
      </c>
      <c r="G520" s="9"/>
      <c r="H520" s="9" t="s">
        <v>32</v>
      </c>
      <c r="I520" s="9" t="s">
        <v>1838</v>
      </c>
      <c r="J520" s="9" t="s">
        <v>80</v>
      </c>
      <c r="K520" s="9" t="s">
        <v>236</v>
      </c>
      <c r="L520" s="9" t="s">
        <v>82</v>
      </c>
      <c r="M520" s="10" t="s">
        <v>398</v>
      </c>
      <c r="N520" s="9" t="str">
        <f ca="1">IFERROR(__xludf.DUMMYFUNCTION("REGEXEXTRACT(LOWER(M520), ""([a-z0-9\-]+)\.(?:co|net|org|io|gg)"")"),"kbb")</f>
        <v>kbb</v>
      </c>
      <c r="O520" s="9" t="s">
        <v>50</v>
      </c>
      <c r="P520" s="9" t="s">
        <v>39</v>
      </c>
      <c r="Q520" s="9">
        <v>9222</v>
      </c>
      <c r="R520" s="9">
        <v>33</v>
      </c>
      <c r="S520" s="9">
        <v>5352</v>
      </c>
      <c r="T520" s="9">
        <v>8141</v>
      </c>
      <c r="U520" s="9">
        <v>2</v>
      </c>
      <c r="V520" s="11">
        <v>1583.1643019999999</v>
      </c>
      <c r="W520" s="12">
        <f t="shared" si="14"/>
        <v>791.58215099999995</v>
      </c>
      <c r="X520" s="12">
        <f t="shared" si="15"/>
        <v>0.35783994795055302</v>
      </c>
      <c r="Y520" s="12">
        <f t="shared" si="16"/>
        <v>58.035133376707869</v>
      </c>
      <c r="Z520" s="12">
        <f t="shared" si="17"/>
        <v>295.80797869955154</v>
      </c>
      <c r="AA520" s="12">
        <f t="shared" si="18"/>
        <v>171.67255497722837</v>
      </c>
      <c r="AB520" s="12">
        <f t="shared" si="19"/>
        <v>47.974675818181815</v>
      </c>
      <c r="AC520" s="12">
        <f t="shared" si="20"/>
        <v>6.0606060606060606</v>
      </c>
      <c r="AE520" s="13"/>
      <c r="AF520" s="13"/>
    </row>
    <row r="521" spans="1:32">
      <c r="A521" s="8" t="s">
        <v>1839</v>
      </c>
      <c r="B521" s="9" t="s">
        <v>41</v>
      </c>
      <c r="C521" s="9" t="s">
        <v>162</v>
      </c>
      <c r="D521" s="9" t="s">
        <v>914</v>
      </c>
      <c r="E521" s="9" t="s">
        <v>1840</v>
      </c>
      <c r="F521" s="9" t="str">
        <f ca="1">IFERROR(__xludf.DUMMYFUNCTION("IFS(
  REGEXMATCH(LOWER(VLOOKUP(A521, Data1_Raw_Slack!A:B, 2, FALSE)), ""news|weather""), ""News and Weather"", REGEXMATCH(LOWER(VLOOKUP(A521, Data1_Raw_Slack!A:B, 2, FALSE)), ""sports|ufc|nba|nfl|mlb|soccer|sports fans""), ""Sports"",
  REGEXMATCH(LOWER("&amp;"VLOOKUP(A521, Data1_Raw_Slack!A:B, 2, FALSE)), ""fashion|style|clothing|apparel|shoes|accessories|beauty|cosmetics|fashionistas""), ""Fashion and Beauty"",
  REGEXMATCH(LOWER(VLOOKUP(A521, Data1_Raw_Slack!A:B, 2, FALSE)), ""food|cooking|recipe|restaurant|"&amp;"snack|grocery|foodies""), ""Food"",
  REGEXMATCH(LOWER(VLOOKUP(A521, Data1_Raw_Slack!A:B, 2, FALSE)), ""travel|vacation|airline|hotel|trip|flights|travelers""), ""Travel"",
  REGEXMATCH(LOWER(VLOOKUP(A521, Data1_Raw_Slack!A:B, 2, FALSE)), ""fitness|workou"&amp;"t|gym|exercise|yoga|wellness|fitness enthusiasts""), ""Fitness"",
  REGEXMATCH(LOWER(VLOOKUP(A521, Data1_Raw_Slack!A:B, 2, FALSE)), ""health|medical|pharmacy|mental health|doctor|health-conscious""), ""Health"",
  REGEXMATCH(LOWER(VLOOKUP(A521, Data1_Raw_"&amp;"Slack!A:B, 2, FALSE)), ""pets|dogs|cats|animals|pet care|pet lovers""), ""Pets"",
  REGEXMATCH(LOWER(VLOOKUP(A521, Data1_Raw_Slack!A:B, 2, FALSE)), ""games|gaming|game|xbox|playstation|nintendo|gamers""), ""Gaming"",
  REGEXMATCH(LOWER(VLOOKUP(A521, Data1"&amp;"_Raw_Slack!A:B, 2, FALSE)), ""entertainment|movies|tv|netflix|streaming|celebrity|movie lovers|tv fans|hobb|photo|art""), ""Entertainment"",
  REGEXMATCH(LOWER(VLOOKUP(A521, Data1_Raw_Slack!A:B, 2, FALSE)), ""lifestyle|home|interior|decor|living|lifestyle"&amp;" enthusiasts""), ""Lifestyle"",
  REGEXMATCH(LOWER(VLOOKUP(A521, Data1_Raw_Slack!A:B, 2, FALSE)), ""financial|finance|investing|stocks|retirement|banking|credit|debt|loans|savings|personal finance|insurance|econ|ecom|business|retail|occupation|sale|job|ma"&amp;"rketing""), ""Finance"",
  REGEXMATCH(LOWER(VLOOKUP(A521, Data1_Raw_Slack!A:B, 2, FALSE)), ""auto|automotive""), ""Auto"",
  REGEXMATCH(LOWER(VLOOKUP(A521, Data1_Raw_Slack!A:B, 2, FALSE)), ""parenting|moms|dads|kids|toddlers|baby|parent|children""), ""Par"&amp;"enting"",
  REGEXMATCH(LOWER(VLOOKUP(A521, Data1_Raw_Slack!A:B, 2, FALSE)), ""education|students|learning|school|teachers|college|university|academics""), ""Education"",
  REGEXMATCH(LOWER(VLOOKUP(A521, Data1_Raw_Slack!A:B, 2, FALSE)), ""age|gender|dem"&amp;"ographic|family|household""), ""Demographics"",
  REGEXMATCH(LOWER(VLOOKUP(A521, Data1_Raw_Slack!A:B, 2, FALSE)), ""mortgage|real estate""), ""Real Estate"",REGEXMATCH(LOWER(VLOOKUP(A521, Data1_Raw_Slack!A:B, 2, FALSE)), ""technology|tech|gadgets|smartpho"&amp;"ne|electro|apps|devices|computing|ai|robots|software|computer|internet|tele|mobile|tablet""), ""Technology"", REGEXMATCH(LOWER(VLOOKUP(A521, Data1_Raw_Slack!A:B, 2, FALSE)), ""entertainment|purchas|movies|tv|netflix|streaming|celebrity|movie lovers|tv fan"&amp;"s|media|hobb|photo|art|shop""), ""Entertainment"", REGEXMATCH(LOWER(VLOOKUP(A521, Data1_Raw_Slack!A:B, 2, FALSE)), ""law|government|""), ""Law and Government"",
  TRUE, ""Other""
)"),"Auto")</f>
        <v>Auto</v>
      </c>
      <c r="G521" s="9" t="s">
        <v>122</v>
      </c>
      <c r="H521" s="9" t="s">
        <v>32</v>
      </c>
      <c r="I521" s="9" t="s">
        <v>510</v>
      </c>
      <c r="J521" s="9" t="s">
        <v>46</v>
      </c>
      <c r="K521" s="9" t="s">
        <v>241</v>
      </c>
      <c r="L521" s="9" t="s">
        <v>242</v>
      </c>
      <c r="M521" s="10" t="s">
        <v>439</v>
      </c>
      <c r="N521" s="9" t="str">
        <f ca="1">IFERROR(__xludf.DUMMYFUNCTION("REGEXEXTRACT(LOWER(M521), ""([a-z0-9\-]+)\.(?:co|net|org|io|gg)"")"),"people")</f>
        <v>people</v>
      </c>
      <c r="O521" s="9" t="s">
        <v>50</v>
      </c>
      <c r="P521" s="9" t="s">
        <v>39</v>
      </c>
      <c r="Q521" s="9">
        <v>81567</v>
      </c>
      <c r="R521" s="9">
        <v>440</v>
      </c>
      <c r="S521" s="9">
        <v>53264</v>
      </c>
      <c r="T521" s="9">
        <v>68123</v>
      </c>
      <c r="U521" s="9">
        <v>4</v>
      </c>
      <c r="V521" s="11">
        <v>6392.471955</v>
      </c>
      <c r="W521" s="12">
        <f t="shared" si="14"/>
        <v>1598.11798875</v>
      </c>
      <c r="X521" s="12">
        <f t="shared" si="15"/>
        <v>0.53943383966555103</v>
      </c>
      <c r="Y521" s="12">
        <f t="shared" si="16"/>
        <v>65.300918263513424</v>
      </c>
      <c r="Z521" s="12">
        <f t="shared" si="17"/>
        <v>120.01486848528087</v>
      </c>
      <c r="AA521" s="12">
        <f t="shared" si="18"/>
        <v>78.370811173636397</v>
      </c>
      <c r="AB521" s="12">
        <f t="shared" si="19"/>
        <v>14.528345352272726</v>
      </c>
      <c r="AC521" s="12">
        <f t="shared" si="20"/>
        <v>0.90909090909090906</v>
      </c>
      <c r="AE521" s="13"/>
      <c r="AF521" s="13"/>
    </row>
    <row r="522" spans="1:32">
      <c r="A522" s="8" t="s">
        <v>1841</v>
      </c>
      <c r="B522" s="9" t="s">
        <v>92</v>
      </c>
      <c r="C522" s="9" t="s">
        <v>178</v>
      </c>
      <c r="D522" s="9" t="s">
        <v>154</v>
      </c>
      <c r="E522" s="9" t="s">
        <v>1842</v>
      </c>
      <c r="F522" s="9" t="str">
        <f ca="1">IFERROR(__xludf.DUMMYFUNCTION("IFS(
  REGEXMATCH(LOWER(VLOOKUP(A522, Data1_Raw_Slack!A:B, 2, FALSE)), ""news|weather""), ""News and Weather"", REGEXMATCH(LOWER(VLOOKUP(A522, Data1_Raw_Slack!A:B, 2, FALSE)), ""sports|ufc|nba|nfl|mlb|soccer|sports fans""), ""Sports"",
  REGEXMATCH(LOWER("&amp;"VLOOKUP(A522, Data1_Raw_Slack!A:B, 2, FALSE)), ""fashion|style|clothing|apparel|shoes|accessories|beauty|cosmetics|fashionistas""), ""Fashion and Beauty"",
  REGEXMATCH(LOWER(VLOOKUP(A522, Data1_Raw_Slack!A:B, 2, FALSE)), ""food|cooking|recipe|restaurant|"&amp;"snack|grocery|foodies""), ""Food"",
  REGEXMATCH(LOWER(VLOOKUP(A522, Data1_Raw_Slack!A:B, 2, FALSE)), ""travel|vacation|airline|hotel|trip|flights|travelers""), ""Travel"",
  REGEXMATCH(LOWER(VLOOKUP(A522, Data1_Raw_Slack!A:B, 2, FALSE)), ""fitness|workou"&amp;"t|gym|exercise|yoga|wellness|fitness enthusiasts""), ""Fitness"",
  REGEXMATCH(LOWER(VLOOKUP(A522, Data1_Raw_Slack!A:B, 2, FALSE)), ""health|medical|pharmacy|mental health|doctor|health-conscious""), ""Health"",
  REGEXMATCH(LOWER(VLOOKUP(A522, Data1_Raw_"&amp;"Slack!A:B, 2, FALSE)), ""pets|dogs|cats|animals|pet care|pet lovers""), ""Pets"",
  REGEXMATCH(LOWER(VLOOKUP(A522, Data1_Raw_Slack!A:B, 2, FALSE)), ""games|gaming|game|xbox|playstation|nintendo|gamers""), ""Gaming"",
  REGEXMATCH(LOWER(VLOOKUP(A522, Data1"&amp;"_Raw_Slack!A:B, 2, FALSE)), ""entertainment|movies|tv|netflix|streaming|celebrity|movie lovers|tv fans|hobb|photo|art""), ""Entertainment"",
  REGEXMATCH(LOWER(VLOOKUP(A522, Data1_Raw_Slack!A:B, 2, FALSE)), ""lifestyle|home|interior|decor|living|lifestyle"&amp;" enthusiasts""), ""Lifestyle"",
  REGEXMATCH(LOWER(VLOOKUP(A522, Data1_Raw_Slack!A:B, 2, FALSE)), ""financial|finance|investing|stocks|retirement|banking|credit|debt|loans|savings|personal finance|insurance|econ|ecom|business|retail|occupation|sale|job|ma"&amp;"rketing""), ""Finance"",
  REGEXMATCH(LOWER(VLOOKUP(A522, Data1_Raw_Slack!A:B, 2, FALSE)), ""auto|automotive""), ""Auto"",
  REGEXMATCH(LOWER(VLOOKUP(A522, Data1_Raw_Slack!A:B, 2, FALSE)), ""parenting|moms|dads|kids|toddlers|baby|parent|children""), ""Par"&amp;"enting"",
  REGEXMATCH(LOWER(VLOOKUP(A522, Data1_Raw_Slack!A:B, 2, FALSE)), ""education|students|learning|school|teachers|college|university|academics""), ""Education"",
  REGEXMATCH(LOWER(VLOOKUP(A522, Data1_Raw_Slack!A:B, 2, FALSE)), ""age|gender|dem"&amp;"ographic|family|household""), ""Demographics"",
  REGEXMATCH(LOWER(VLOOKUP(A522, Data1_Raw_Slack!A:B, 2, FALSE)), ""mortgage|real estate""), ""Real Estate"",REGEXMATCH(LOWER(VLOOKUP(A522, Data1_Raw_Slack!A:B, 2, FALSE)), ""technology|tech|gadgets|smartpho"&amp;"ne|electro|apps|devices|computing|ai|robots|software|computer|internet|tele|mobile|tablet""), ""Technology"", REGEXMATCH(LOWER(VLOOKUP(A522, Data1_Raw_Slack!A:B, 2, FALSE)), ""entertainment|purchas|movies|tv|netflix|streaming|celebrity|movie lovers|tv fan"&amp;"s|media|hobb|photo|art|shop""), ""Entertainment"", REGEXMATCH(LOWER(VLOOKUP(A522, Data1_Raw_Slack!A:B, 2, FALSE)), ""law|government|""), ""Law and Government"",
  TRUE, ""Other""
)"),"Sports")</f>
        <v>Sports</v>
      </c>
      <c r="G522" s="9"/>
      <c r="H522" s="9" t="s">
        <v>44</v>
      </c>
      <c r="I522" s="9" t="s">
        <v>1078</v>
      </c>
      <c r="J522" s="9" t="s">
        <v>80</v>
      </c>
      <c r="K522" s="9" t="s">
        <v>88</v>
      </c>
      <c r="L522" s="9" t="s">
        <v>89</v>
      </c>
      <c r="M522" s="10" t="s">
        <v>1843</v>
      </c>
      <c r="N522" s="9" t="str">
        <f ca="1">IFERROR(__xludf.DUMMYFUNCTION("REGEXEXTRACT(LOWER(M522), ""([a-z0-9\-]+)\.(?:co|net|org|io|gg)"")"),"thebigmansworld")</f>
        <v>thebigmansworld</v>
      </c>
      <c r="O522" s="9" t="s">
        <v>103</v>
      </c>
      <c r="P522" s="9" t="s">
        <v>39</v>
      </c>
      <c r="Q522" s="9">
        <v>10653</v>
      </c>
      <c r="R522" s="9">
        <v>68</v>
      </c>
      <c r="S522" s="9">
        <v>5263</v>
      </c>
      <c r="T522" s="9">
        <v>9921</v>
      </c>
      <c r="U522" s="9">
        <v>11</v>
      </c>
      <c r="V522" s="11">
        <v>2641.4783969999999</v>
      </c>
      <c r="W522" s="12">
        <f t="shared" si="14"/>
        <v>240.13439972727272</v>
      </c>
      <c r="X522" s="12">
        <f t="shared" si="15"/>
        <v>0.63831784473857134</v>
      </c>
      <c r="Y522" s="12">
        <f t="shared" si="16"/>
        <v>49.403923777339713</v>
      </c>
      <c r="Z522" s="12">
        <f t="shared" si="17"/>
        <v>501.89595230856918</v>
      </c>
      <c r="AA522" s="12">
        <f t="shared" si="18"/>
        <v>247.95629372007883</v>
      </c>
      <c r="AB522" s="12">
        <f t="shared" si="19"/>
        <v>38.845270544117646</v>
      </c>
      <c r="AC522" s="12">
        <f t="shared" si="20"/>
        <v>16.176470588235293</v>
      </c>
      <c r="AE522" s="13"/>
      <c r="AF522" s="13"/>
    </row>
    <row r="523" spans="1:32">
      <c r="A523" s="8" t="s">
        <v>1844</v>
      </c>
      <c r="B523" s="9" t="s">
        <v>41</v>
      </c>
      <c r="C523" s="9" t="s">
        <v>127</v>
      </c>
      <c r="D523" s="9" t="s">
        <v>427</v>
      </c>
      <c r="E523" s="9" t="s">
        <v>1845</v>
      </c>
      <c r="F523" s="9" t="str">
        <f ca="1">IFERROR(__xludf.DUMMYFUNCTION("IFS(
  REGEXMATCH(LOWER(VLOOKUP(A523, Data1_Raw_Slack!A:B, 2, FALSE)), ""news|weather""), ""News and Weather"", REGEXMATCH(LOWER(VLOOKUP(A523, Data1_Raw_Slack!A:B, 2, FALSE)), ""sports|ufc|nba|nfl|mlb|soccer|sports fans""), ""Sports"",
  REGEXMATCH(LOWER("&amp;"VLOOKUP(A523, Data1_Raw_Slack!A:B, 2, FALSE)), ""fashion|style|clothing|apparel|shoes|accessories|beauty|cosmetics|fashionistas""), ""Fashion and Beauty"",
  REGEXMATCH(LOWER(VLOOKUP(A523, Data1_Raw_Slack!A:B, 2, FALSE)), ""food|cooking|recipe|restaurant|"&amp;"snack|grocery|foodies""), ""Food"",
  REGEXMATCH(LOWER(VLOOKUP(A523, Data1_Raw_Slack!A:B, 2, FALSE)), ""travel|vacation|airline|hotel|trip|flights|travelers""), ""Travel"",
  REGEXMATCH(LOWER(VLOOKUP(A523, Data1_Raw_Slack!A:B, 2, FALSE)), ""fitness|workou"&amp;"t|gym|exercise|yoga|wellness|fitness enthusiasts""), ""Fitness"",
  REGEXMATCH(LOWER(VLOOKUP(A523, Data1_Raw_Slack!A:B, 2, FALSE)), ""health|medical|pharmacy|mental health|doctor|health-conscious""), ""Health"",
  REGEXMATCH(LOWER(VLOOKUP(A523, Data1_Raw_"&amp;"Slack!A:B, 2, FALSE)), ""pets|dogs|cats|animals|pet care|pet lovers""), ""Pets"",
  REGEXMATCH(LOWER(VLOOKUP(A523, Data1_Raw_Slack!A:B, 2, FALSE)), ""games|gaming|game|xbox|playstation|nintendo|gamers""), ""Gaming"",
  REGEXMATCH(LOWER(VLOOKUP(A523, Data1"&amp;"_Raw_Slack!A:B, 2, FALSE)), ""entertainment|movies|tv|netflix|streaming|celebrity|movie lovers|tv fans|hobb|photo|art""), ""Entertainment"",
  REGEXMATCH(LOWER(VLOOKUP(A523, Data1_Raw_Slack!A:B, 2, FALSE)), ""lifestyle|home|interior|decor|living|lifestyle"&amp;" enthusiasts""), ""Lifestyle"",
  REGEXMATCH(LOWER(VLOOKUP(A523, Data1_Raw_Slack!A:B, 2, FALSE)), ""financial|finance|investing|stocks|retirement|banking|credit|debt|loans|savings|personal finance|insurance|econ|ecom|business|retail|occupation|sale|job|ma"&amp;"rketing""), ""Finance"",
  REGEXMATCH(LOWER(VLOOKUP(A523, Data1_Raw_Slack!A:B, 2, FALSE)), ""auto|automotive""), ""Auto"",
  REGEXMATCH(LOWER(VLOOKUP(A523, Data1_Raw_Slack!A:B, 2, FALSE)), ""parenting|moms|dads|kids|toddlers|baby|parent|children""), ""Par"&amp;"enting"",
  REGEXMATCH(LOWER(VLOOKUP(A523, Data1_Raw_Slack!A:B, 2, FALSE)), ""education|students|learning|school|teachers|college|university|academics""), ""Education"",
  REGEXMATCH(LOWER(VLOOKUP(A523, Data1_Raw_Slack!A:B, 2, FALSE)), ""age|gender|dem"&amp;"ographic|family|household""), ""Demographics"",
  REGEXMATCH(LOWER(VLOOKUP(A523, Data1_Raw_Slack!A:B, 2, FALSE)), ""mortgage|real estate""), ""Real Estate"",REGEXMATCH(LOWER(VLOOKUP(A523, Data1_Raw_Slack!A:B, 2, FALSE)), ""technology|tech|gadgets|smartpho"&amp;"ne|electro|apps|devices|computing|ai|robots|software|computer|internet|tele|mobile|tablet""), ""Technology"", REGEXMATCH(LOWER(VLOOKUP(A523, Data1_Raw_Slack!A:B, 2, FALSE)), ""entertainment|purchas|movies|tv|netflix|streaming|celebrity|movie lovers|tv fan"&amp;"s|media|hobb|photo|art|shop""), ""Entertainment"", REGEXMATCH(LOWER(VLOOKUP(A523, Data1_Raw_Slack!A:B, 2, FALSE)), ""law|government|""), ""Law and Government"",
  TRUE, ""Other""
)"),"Finance")</f>
        <v>Finance</v>
      </c>
      <c r="G523" s="9" t="s">
        <v>127</v>
      </c>
      <c r="H523" s="9" t="s">
        <v>32</v>
      </c>
      <c r="I523" s="9" t="s">
        <v>1426</v>
      </c>
      <c r="J523" s="9" t="s">
        <v>80</v>
      </c>
      <c r="K523" s="9" t="s">
        <v>142</v>
      </c>
      <c r="L523" s="9" t="s">
        <v>72</v>
      </c>
      <c r="M523" s="10" t="s">
        <v>112</v>
      </c>
      <c r="N523" s="9" t="str">
        <f ca="1">IFERROR(__xludf.DUMMYFUNCTION("REGEXEXTRACT(LOWER(M523), ""([a-z0-9\-]+)\.(?:co|net|org|io|gg)"")"),"ebay")</f>
        <v>ebay</v>
      </c>
      <c r="O523" s="9" t="s">
        <v>593</v>
      </c>
      <c r="P523" s="9" t="s">
        <v>39</v>
      </c>
      <c r="Q523" s="9">
        <v>680912</v>
      </c>
      <c r="R523" s="9">
        <v>2000</v>
      </c>
      <c r="S523" s="9">
        <v>388915</v>
      </c>
      <c r="T523" s="9">
        <v>648524</v>
      </c>
      <c r="U523" s="9">
        <v>39</v>
      </c>
      <c r="V523" s="11">
        <v>7814.2624939999996</v>
      </c>
      <c r="W523" s="12">
        <f t="shared" si="14"/>
        <v>200.36570497435898</v>
      </c>
      <c r="X523" s="12">
        <f t="shared" si="15"/>
        <v>0.29372371172780037</v>
      </c>
      <c r="Y523" s="12">
        <f t="shared" si="16"/>
        <v>57.116778673308744</v>
      </c>
      <c r="Z523" s="12">
        <f t="shared" si="17"/>
        <v>20.092468775953613</v>
      </c>
      <c r="AA523" s="12">
        <f t="shared" si="18"/>
        <v>11.476170920765092</v>
      </c>
      <c r="AB523" s="12">
        <f t="shared" si="19"/>
        <v>3.9071312469999997</v>
      </c>
      <c r="AC523" s="12">
        <f t="shared" si="20"/>
        <v>1.95</v>
      </c>
      <c r="AE523" s="13"/>
      <c r="AF523" s="13"/>
    </row>
    <row r="524" spans="1:32">
      <c r="A524" s="8" t="s">
        <v>1846</v>
      </c>
      <c r="B524" s="9" t="s">
        <v>768</v>
      </c>
      <c r="C524" s="9" t="s">
        <v>769</v>
      </c>
      <c r="D524" s="9" t="s">
        <v>770</v>
      </c>
      <c r="E524" s="9" t="s">
        <v>1847</v>
      </c>
      <c r="F524" s="9" t="str">
        <f ca="1">IFERROR(__xludf.DUMMYFUNCTION("IFS(
  REGEXMATCH(LOWER(VLOOKUP(A524, Data1_Raw_Slack!A:B, 2, FALSE)), ""news|weather""), ""News and Weather"", REGEXMATCH(LOWER(VLOOKUP(A524, Data1_Raw_Slack!A:B, 2, FALSE)), ""sports|ufc|nba|nfl|mlb|soccer|sports fans""), ""Sports"",
  REGEXMATCH(LOWER("&amp;"VLOOKUP(A524, Data1_Raw_Slack!A:B, 2, FALSE)), ""fashion|style|clothing|apparel|shoes|accessories|beauty|cosmetics|fashionistas""), ""Fashion and Beauty"",
  REGEXMATCH(LOWER(VLOOKUP(A524, Data1_Raw_Slack!A:B, 2, FALSE)), ""food|cooking|recipe|restaurant|"&amp;"snack|grocery|foodies""), ""Food"",
  REGEXMATCH(LOWER(VLOOKUP(A524, Data1_Raw_Slack!A:B, 2, FALSE)), ""travel|vacation|airline|hotel|trip|flights|travelers""), ""Travel"",
  REGEXMATCH(LOWER(VLOOKUP(A524, Data1_Raw_Slack!A:B, 2, FALSE)), ""fitness|workou"&amp;"t|gym|exercise|yoga|wellness|fitness enthusiasts""), ""Fitness"",
  REGEXMATCH(LOWER(VLOOKUP(A524, Data1_Raw_Slack!A:B, 2, FALSE)), ""health|medical|pharmacy|mental health|doctor|health-conscious""), ""Health"",
  REGEXMATCH(LOWER(VLOOKUP(A524, Data1_Raw_"&amp;"Slack!A:B, 2, FALSE)), ""pets|dogs|cats|animals|pet care|pet lovers""), ""Pets"",
  REGEXMATCH(LOWER(VLOOKUP(A524, Data1_Raw_Slack!A:B, 2, FALSE)), ""games|gaming|game|xbox|playstation|nintendo|gamers""), ""Gaming"",
  REGEXMATCH(LOWER(VLOOKUP(A524, Data1"&amp;"_Raw_Slack!A:B, 2, FALSE)), ""entertainment|movies|tv|netflix|streaming|celebrity|movie lovers|tv fans|hobb|photo|art""), ""Entertainment"",
  REGEXMATCH(LOWER(VLOOKUP(A524, Data1_Raw_Slack!A:B, 2, FALSE)), ""lifestyle|home|interior|decor|living|lifestyle"&amp;" enthusiasts""), ""Lifestyle"",
  REGEXMATCH(LOWER(VLOOKUP(A524, Data1_Raw_Slack!A:B, 2, FALSE)), ""financial|finance|investing|stocks|retirement|banking|credit|debt|loans|savings|personal finance|insurance|econ|ecom|business|retail|occupation|sale|job|ma"&amp;"rketing""), ""Finance"",
  REGEXMATCH(LOWER(VLOOKUP(A524, Data1_Raw_Slack!A:B, 2, FALSE)), ""auto|automotive""), ""Auto"",
  REGEXMATCH(LOWER(VLOOKUP(A524, Data1_Raw_Slack!A:B, 2, FALSE)), ""parenting|moms|dads|kids|toddlers|baby|parent|children""), ""Par"&amp;"enting"",
  REGEXMATCH(LOWER(VLOOKUP(A524, Data1_Raw_Slack!A:B, 2, FALSE)), ""education|students|learning|school|teachers|college|university|academics""), ""Education"",
  REGEXMATCH(LOWER(VLOOKUP(A524, Data1_Raw_Slack!A:B, 2, FALSE)), ""age|gender|dem"&amp;"ographic|family|household""), ""Demographics"",
  REGEXMATCH(LOWER(VLOOKUP(A524, Data1_Raw_Slack!A:B, 2, FALSE)), ""mortgage|real estate""), ""Real Estate"",REGEXMATCH(LOWER(VLOOKUP(A524, Data1_Raw_Slack!A:B, 2, FALSE)), ""technology|tech|gadgets|smartpho"&amp;"ne|electro|apps|devices|computing|ai|robots|software|computer|internet|tele|mobile|tablet""), ""Technology"", REGEXMATCH(LOWER(VLOOKUP(A524, Data1_Raw_Slack!A:B, 2, FALSE)), ""entertainment|purchas|movies|tv|netflix|streaming|celebrity|movie lovers|tv fan"&amp;"s|media|hobb|photo|art|shop""), ""Entertainment"", REGEXMATCH(LOWER(VLOOKUP(A524, Data1_Raw_Slack!A:B, 2, FALSE)), ""law|government|""), ""Law and Government"",
  TRUE, ""Other""
)"),"Food")</f>
        <v>Food</v>
      </c>
      <c r="G524" s="9" t="s">
        <v>385</v>
      </c>
      <c r="H524" s="9" t="s">
        <v>44</v>
      </c>
      <c r="I524" s="9" t="s">
        <v>1374</v>
      </c>
      <c r="J524" s="9" t="s">
        <v>80</v>
      </c>
      <c r="K524" s="9" t="s">
        <v>236</v>
      </c>
      <c r="L524" s="9" t="s">
        <v>82</v>
      </c>
      <c r="M524" s="10" t="s">
        <v>929</v>
      </c>
      <c r="N524" s="9" t="str">
        <f ca="1">IFERROR(__xludf.DUMMYFUNCTION("REGEXEXTRACT(LOWER(M524), ""([a-z0-9\-]+)\.(?:co|net|org|io|gg)"")"),"buzzfeed")</f>
        <v>buzzfeed</v>
      </c>
      <c r="O524" s="9" t="s">
        <v>118</v>
      </c>
      <c r="P524" s="9" t="s">
        <v>39</v>
      </c>
      <c r="Q524" s="9">
        <v>11296</v>
      </c>
      <c r="R524" s="9">
        <v>54</v>
      </c>
      <c r="S524" s="9">
        <v>6822</v>
      </c>
      <c r="T524" s="9">
        <v>9274</v>
      </c>
      <c r="U524" s="9">
        <v>4</v>
      </c>
      <c r="V524" s="11">
        <v>1682.338499</v>
      </c>
      <c r="W524" s="12">
        <f t="shared" si="14"/>
        <v>420.58462474999999</v>
      </c>
      <c r="X524" s="12">
        <f t="shared" si="15"/>
        <v>0.47804532577903686</v>
      </c>
      <c r="Y524" s="12">
        <f t="shared" si="16"/>
        <v>60.393059490084987</v>
      </c>
      <c r="Z524" s="12">
        <f t="shared" si="17"/>
        <v>246.60488111990617</v>
      </c>
      <c r="AA524" s="12">
        <f t="shared" si="18"/>
        <v>148.93223256019832</v>
      </c>
      <c r="AB524" s="12">
        <f t="shared" si="19"/>
        <v>31.154416648148146</v>
      </c>
      <c r="AC524" s="12">
        <f t="shared" si="20"/>
        <v>7.4074074074074066</v>
      </c>
      <c r="AE524" s="13"/>
      <c r="AF524" s="13"/>
    </row>
    <row r="525" spans="1:32">
      <c r="A525" s="8" t="s">
        <v>1848</v>
      </c>
      <c r="B525" s="9" t="s">
        <v>1500</v>
      </c>
      <c r="C525" s="9" t="s">
        <v>1849</v>
      </c>
      <c r="D525" s="9" t="s">
        <v>1850</v>
      </c>
      <c r="E525" s="9"/>
      <c r="F525" s="9" t="str">
        <f ca="1">IFERROR(__xludf.DUMMYFUNCTION("IFS(
  REGEXMATCH(LOWER(VLOOKUP(A525, Data1_Raw_Slack!A:B, 2, FALSE)), ""news|weather""), ""News and Weather"", REGEXMATCH(LOWER(VLOOKUP(A525, Data1_Raw_Slack!A:B, 2, FALSE)), ""sports|ufc|nba|nfl|mlb|soccer|sports fans""), ""Sports"",
  REGEXMATCH(LOWER("&amp;"VLOOKUP(A525, Data1_Raw_Slack!A:B, 2, FALSE)), ""fashion|style|clothing|apparel|shoes|accessories|beauty|cosmetics|fashionistas""), ""Fashion and Beauty"",
  REGEXMATCH(LOWER(VLOOKUP(A525, Data1_Raw_Slack!A:B, 2, FALSE)), ""food|cooking|recipe|restaurant|"&amp;"snack|grocery|foodies""), ""Food"",
  REGEXMATCH(LOWER(VLOOKUP(A525, Data1_Raw_Slack!A:B, 2, FALSE)), ""travel|vacation|airline|hotel|trip|flights|travelers""), ""Travel"",
  REGEXMATCH(LOWER(VLOOKUP(A525, Data1_Raw_Slack!A:B, 2, FALSE)), ""fitness|workou"&amp;"t|gym|exercise|yoga|wellness|fitness enthusiasts""), ""Fitness"",
  REGEXMATCH(LOWER(VLOOKUP(A525, Data1_Raw_Slack!A:B, 2, FALSE)), ""health|medical|pharmacy|mental health|doctor|health-conscious""), ""Health"",
  REGEXMATCH(LOWER(VLOOKUP(A525, Data1_Raw_"&amp;"Slack!A:B, 2, FALSE)), ""pets|dogs|cats|animals|pet care|pet lovers""), ""Pets"",
  REGEXMATCH(LOWER(VLOOKUP(A525, Data1_Raw_Slack!A:B, 2, FALSE)), ""games|gaming|game|xbox|playstation|nintendo|gamers""), ""Gaming"",
  REGEXMATCH(LOWER(VLOOKUP(A525, Data1"&amp;"_Raw_Slack!A:B, 2, FALSE)), ""entertainment|movies|tv|netflix|streaming|celebrity|movie lovers|tv fans|hobb|photo|art""), ""Entertainment"",
  REGEXMATCH(LOWER(VLOOKUP(A525, Data1_Raw_Slack!A:B, 2, FALSE)), ""lifestyle|home|interior|decor|living|lifestyle"&amp;" enthusiasts""), ""Lifestyle"",
  REGEXMATCH(LOWER(VLOOKUP(A525, Data1_Raw_Slack!A:B, 2, FALSE)), ""financial|finance|investing|stocks|retirement|banking|credit|debt|loans|savings|personal finance|insurance|econ|ecom|business|retail|occupation|sale|job|ma"&amp;"rketing""), ""Finance"",
  REGEXMATCH(LOWER(VLOOKUP(A525, Data1_Raw_Slack!A:B, 2, FALSE)), ""auto|automotive""), ""Auto"",
  REGEXMATCH(LOWER(VLOOKUP(A525, Data1_Raw_Slack!A:B, 2, FALSE)), ""parenting|moms|dads|kids|toddlers|baby|parent|children""), ""Par"&amp;"enting"",
  REGEXMATCH(LOWER(VLOOKUP(A525, Data1_Raw_Slack!A:B, 2, FALSE)), ""education|students|learning|school|teachers|college|university|academics""), ""Education"",
  REGEXMATCH(LOWER(VLOOKUP(A525, Data1_Raw_Slack!A:B, 2, FALSE)), ""age|gender|dem"&amp;"ographic|family|household""), ""Demographics"",
  REGEXMATCH(LOWER(VLOOKUP(A525, Data1_Raw_Slack!A:B, 2, FALSE)), ""mortgage|real estate""), ""Real Estate"",REGEXMATCH(LOWER(VLOOKUP(A525, Data1_Raw_Slack!A:B, 2, FALSE)), ""technology|tech|gadgets|smartpho"&amp;"ne|electro|apps|devices|computing|ai|robots|software|computer|internet|tele|mobile|tablet""), ""Technology"", REGEXMATCH(LOWER(VLOOKUP(A525, Data1_Raw_Slack!A:B, 2, FALSE)), ""entertainment|purchas|movies|tv|netflix|streaming|celebrity|movie lovers|tv fan"&amp;"s|media|hobb|photo|art|shop""), ""Entertainment"", REGEXMATCH(LOWER(VLOOKUP(A525, Data1_Raw_Slack!A:B, 2, FALSE)), ""law|government|""), ""Law and Government"",
  TRUE, ""Other""
)"),"Finance")</f>
        <v>Finance</v>
      </c>
      <c r="G525" s="9"/>
      <c r="H525" s="9" t="s">
        <v>32</v>
      </c>
      <c r="I525" s="9" t="s">
        <v>1699</v>
      </c>
      <c r="J525" s="9" t="s">
        <v>34</v>
      </c>
      <c r="K525" s="9" t="s">
        <v>148</v>
      </c>
      <c r="L525" s="9" t="s">
        <v>89</v>
      </c>
      <c r="M525" s="10" t="s">
        <v>160</v>
      </c>
      <c r="N525" s="9" t="str">
        <f ca="1">IFERROR(__xludf.DUMMYFUNCTION("REGEXEXTRACT(LOWER(M525), ""([a-z0-9\-]+)\.(?:co|net|org|io|gg)"")"),"tomsguide")</f>
        <v>tomsguide</v>
      </c>
      <c r="O525" s="9" t="s">
        <v>157</v>
      </c>
      <c r="P525" s="9" t="s">
        <v>39</v>
      </c>
      <c r="Q525" s="9">
        <v>21737</v>
      </c>
      <c r="R525" s="9">
        <v>80</v>
      </c>
      <c r="S525" s="9">
        <v>11206</v>
      </c>
      <c r="T525" s="9">
        <v>19459</v>
      </c>
      <c r="U525" s="9">
        <v>4</v>
      </c>
      <c r="V525" s="11">
        <v>1521.576648</v>
      </c>
      <c r="W525" s="12">
        <f t="shared" si="14"/>
        <v>380.39416199999999</v>
      </c>
      <c r="X525" s="12">
        <f t="shared" si="15"/>
        <v>0.36803606753461843</v>
      </c>
      <c r="Y525" s="12">
        <f t="shared" si="16"/>
        <v>51.552652159911673</v>
      </c>
      <c r="Z525" s="12">
        <f t="shared" si="17"/>
        <v>135.7823173300018</v>
      </c>
      <c r="AA525" s="12">
        <f t="shared" si="18"/>
        <v>69.999385747803288</v>
      </c>
      <c r="AB525" s="12">
        <f t="shared" si="19"/>
        <v>19.019708099999999</v>
      </c>
      <c r="AC525" s="12">
        <f t="shared" si="20"/>
        <v>5</v>
      </c>
      <c r="AE525" s="13"/>
      <c r="AF525" s="13"/>
    </row>
    <row r="526" spans="1:32">
      <c r="A526" s="8" t="s">
        <v>1851</v>
      </c>
      <c r="B526" s="9" t="s">
        <v>41</v>
      </c>
      <c r="C526" s="9" t="s">
        <v>1852</v>
      </c>
      <c r="D526" s="9" t="s">
        <v>1853</v>
      </c>
      <c r="E526" s="9"/>
      <c r="F526" s="9" t="str">
        <f ca="1">IFERROR(__xludf.DUMMYFUNCTION("IFS(
  REGEXMATCH(LOWER(VLOOKUP(A526, Data1_Raw_Slack!A:B, 2, FALSE)), ""news|weather""), ""News and Weather"", REGEXMATCH(LOWER(VLOOKUP(A526, Data1_Raw_Slack!A:B, 2, FALSE)), ""sports|ufc|nba|nfl|mlb|soccer|sports fans""), ""Sports"",
  REGEXMATCH(LOWER("&amp;"VLOOKUP(A526, Data1_Raw_Slack!A:B, 2, FALSE)), ""fashion|style|clothing|apparel|shoes|accessories|beauty|cosmetics|fashionistas""), ""Fashion and Beauty"",
  REGEXMATCH(LOWER(VLOOKUP(A526, Data1_Raw_Slack!A:B, 2, FALSE)), ""food|cooking|recipe|restaurant|"&amp;"snack|grocery|foodies""), ""Food"",
  REGEXMATCH(LOWER(VLOOKUP(A526, Data1_Raw_Slack!A:B, 2, FALSE)), ""travel|vacation|airline|hotel|trip|flights|travelers""), ""Travel"",
  REGEXMATCH(LOWER(VLOOKUP(A526, Data1_Raw_Slack!A:B, 2, FALSE)), ""fitness|workou"&amp;"t|gym|exercise|yoga|wellness|fitness enthusiasts""), ""Fitness"",
  REGEXMATCH(LOWER(VLOOKUP(A526, Data1_Raw_Slack!A:B, 2, FALSE)), ""health|medical|pharmacy|mental health|doctor|health-conscious""), ""Health"",
  REGEXMATCH(LOWER(VLOOKUP(A526, Data1_Raw_"&amp;"Slack!A:B, 2, FALSE)), ""pets|dogs|cats|animals|pet care|pet lovers""), ""Pets"",
  REGEXMATCH(LOWER(VLOOKUP(A526, Data1_Raw_Slack!A:B, 2, FALSE)), ""games|gaming|game|xbox|playstation|nintendo|gamers""), ""Gaming"",
  REGEXMATCH(LOWER(VLOOKUP(A526, Data1"&amp;"_Raw_Slack!A:B, 2, FALSE)), ""entertainment|movies|tv|netflix|streaming|celebrity|movie lovers|tv fans|hobb|photo|art""), ""Entertainment"",
  REGEXMATCH(LOWER(VLOOKUP(A526, Data1_Raw_Slack!A:B, 2, FALSE)), ""lifestyle|home|interior|decor|living|lifestyle"&amp;" enthusiasts""), ""Lifestyle"",
  REGEXMATCH(LOWER(VLOOKUP(A526, Data1_Raw_Slack!A:B, 2, FALSE)), ""financial|finance|investing|stocks|retirement|banking|credit|debt|loans|savings|personal finance|insurance|econ|ecom|business|retail|occupation|sale|job|ma"&amp;"rketing""), ""Finance"",
  REGEXMATCH(LOWER(VLOOKUP(A526, Data1_Raw_Slack!A:B, 2, FALSE)), ""auto|automotive""), ""Auto"",
  REGEXMATCH(LOWER(VLOOKUP(A526, Data1_Raw_Slack!A:B, 2, FALSE)), ""parenting|moms|dads|kids|toddlers|baby|parent|children""), ""Par"&amp;"enting"",
  REGEXMATCH(LOWER(VLOOKUP(A526, Data1_Raw_Slack!A:B, 2, FALSE)), ""education|students|learning|school|teachers|college|university|academics""), ""Education"",
  REGEXMATCH(LOWER(VLOOKUP(A526, Data1_Raw_Slack!A:B, 2, FALSE)), ""age|gender|dem"&amp;"ographic|family|household""), ""Demographics"",
  REGEXMATCH(LOWER(VLOOKUP(A526, Data1_Raw_Slack!A:B, 2, FALSE)), ""mortgage|real estate""), ""Real Estate"",REGEXMATCH(LOWER(VLOOKUP(A526, Data1_Raw_Slack!A:B, 2, FALSE)), ""technology|tech|gadgets|smartpho"&amp;"ne|electro|apps|devices|computing|ai|robots|software|computer|internet|tele|mobile|tablet""), ""Technology"", REGEXMATCH(LOWER(VLOOKUP(A526, Data1_Raw_Slack!A:B, 2, FALSE)), ""entertainment|purchas|movies|tv|netflix|streaming|celebrity|movie lovers|tv fan"&amp;"s|media|hobb|photo|art|shop""), ""Entertainment"", REGEXMATCH(LOWER(VLOOKUP(A526, Data1_Raw_Slack!A:B, 2, FALSE)), ""law|government|""), ""Law and Government"",
  TRUE, ""Other""
)"),"Finance")</f>
        <v>Finance</v>
      </c>
      <c r="G526" s="9"/>
      <c r="H526" s="9" t="s">
        <v>32</v>
      </c>
      <c r="I526" s="9" t="s">
        <v>1854</v>
      </c>
      <c r="J526" s="9" t="s">
        <v>62</v>
      </c>
      <c r="K526" s="9" t="s">
        <v>88</v>
      </c>
      <c r="L526" s="9" t="s">
        <v>89</v>
      </c>
      <c r="M526" s="10" t="s">
        <v>130</v>
      </c>
      <c r="N526" s="9" t="str">
        <f ca="1">IFERROR(__xludf.DUMMYFUNCTION("REGEXEXTRACT(LOWER(M526), ""([a-z0-9\-]+)\.(?:co|net|org|io|gg)"")"),"weather")</f>
        <v>weather</v>
      </c>
      <c r="O526" s="9" t="s">
        <v>74</v>
      </c>
      <c r="P526" s="9" t="s">
        <v>39</v>
      </c>
      <c r="Q526" s="9">
        <v>686858</v>
      </c>
      <c r="R526" s="9">
        <v>2085</v>
      </c>
      <c r="S526" s="9">
        <v>81956</v>
      </c>
      <c r="T526" s="9">
        <v>624118</v>
      </c>
      <c r="U526" s="9">
        <v>19</v>
      </c>
      <c r="V526" s="11">
        <v>7467.0814870000004</v>
      </c>
      <c r="W526" s="12">
        <f t="shared" si="14"/>
        <v>393.00428878947372</v>
      </c>
      <c r="X526" s="12">
        <f t="shared" si="15"/>
        <v>0.30355619356548225</v>
      </c>
      <c r="Y526" s="12">
        <f t="shared" si="16"/>
        <v>11.932015059881373</v>
      </c>
      <c r="Z526" s="12">
        <f t="shared" si="17"/>
        <v>91.11085810678901</v>
      </c>
      <c r="AA526" s="12">
        <f t="shared" si="18"/>
        <v>10.871361310489213</v>
      </c>
      <c r="AB526" s="12">
        <f t="shared" si="19"/>
        <v>3.5813340465227821</v>
      </c>
      <c r="AC526" s="12">
        <f t="shared" si="20"/>
        <v>0.91127098321342925</v>
      </c>
      <c r="AE526" s="13"/>
      <c r="AF526" s="13"/>
    </row>
    <row r="527" spans="1:32">
      <c r="A527" s="8" t="s">
        <v>1855</v>
      </c>
      <c r="B527" s="9" t="s">
        <v>67</v>
      </c>
      <c r="C527" s="9" t="s">
        <v>271</v>
      </c>
      <c r="D527" s="9"/>
      <c r="E527" s="9"/>
      <c r="F527" s="9" t="str">
        <f ca="1">IFERROR(__xludf.DUMMYFUNCTION("IFS(
  REGEXMATCH(LOWER(VLOOKUP(A527, Data1_Raw_Slack!A:B, 2, FALSE)), ""news|weather""), ""News and Weather"", REGEXMATCH(LOWER(VLOOKUP(A527, Data1_Raw_Slack!A:B, 2, FALSE)), ""sports|ufc|nba|nfl|mlb|soccer|sports fans""), ""Sports"",
  REGEXMATCH(LOWER("&amp;"VLOOKUP(A527, Data1_Raw_Slack!A:B, 2, FALSE)), ""fashion|style|clothing|apparel|shoes|accessories|beauty|cosmetics|fashionistas""), ""Fashion and Beauty"",
  REGEXMATCH(LOWER(VLOOKUP(A527, Data1_Raw_Slack!A:B, 2, FALSE)), ""food|cooking|recipe|restaurant|"&amp;"snack|grocery|foodies""), ""Food"",
  REGEXMATCH(LOWER(VLOOKUP(A527, Data1_Raw_Slack!A:B, 2, FALSE)), ""travel|vacation|airline|hotel|trip|flights|travelers""), ""Travel"",
  REGEXMATCH(LOWER(VLOOKUP(A527, Data1_Raw_Slack!A:B, 2, FALSE)), ""fitness|workou"&amp;"t|gym|exercise|yoga|wellness|fitness enthusiasts""), ""Fitness"",
  REGEXMATCH(LOWER(VLOOKUP(A527, Data1_Raw_Slack!A:B, 2, FALSE)), ""health|medical|pharmacy|mental health|doctor|health-conscious""), ""Health"",
  REGEXMATCH(LOWER(VLOOKUP(A527, Data1_Raw_"&amp;"Slack!A:B, 2, FALSE)), ""pets|dogs|cats|animals|pet care|pet lovers""), ""Pets"",
  REGEXMATCH(LOWER(VLOOKUP(A527, Data1_Raw_Slack!A:B, 2, FALSE)), ""games|gaming|game|xbox|playstation|nintendo|gamers""), ""Gaming"",
  REGEXMATCH(LOWER(VLOOKUP(A527, Data1"&amp;"_Raw_Slack!A:B, 2, FALSE)), ""entertainment|movies|tv|netflix|streaming|celebrity|movie lovers|tv fans|hobb|photo|art""), ""Entertainment"",
  REGEXMATCH(LOWER(VLOOKUP(A527, Data1_Raw_Slack!A:B, 2, FALSE)), ""lifestyle|home|interior|decor|living|lifestyle"&amp;" enthusiasts""), ""Lifestyle"",
  REGEXMATCH(LOWER(VLOOKUP(A527, Data1_Raw_Slack!A:B, 2, FALSE)), ""financial|finance|investing|stocks|retirement|banking|credit|debt|loans|savings|personal finance|insurance|econ|ecom|business|retail|occupation|sale|job|ma"&amp;"rketing""), ""Finance"",
  REGEXMATCH(LOWER(VLOOKUP(A527, Data1_Raw_Slack!A:B, 2, FALSE)), ""auto|automotive""), ""Auto"",
  REGEXMATCH(LOWER(VLOOKUP(A527, Data1_Raw_Slack!A:B, 2, FALSE)), ""parenting|moms|dads|kids|toddlers|baby|parent|children""), ""Par"&amp;"enting"",
  REGEXMATCH(LOWER(VLOOKUP(A527, Data1_Raw_Slack!A:B, 2, FALSE)), ""education|students|learning|school|teachers|college|university|academics""), ""Education"",
  REGEXMATCH(LOWER(VLOOKUP(A527, Data1_Raw_Slack!A:B, 2, FALSE)), ""age|gender|dem"&amp;"ographic|family|household""), ""Demographics"",
  REGEXMATCH(LOWER(VLOOKUP(A527, Data1_Raw_Slack!A:B, 2, FALSE)), ""mortgage|real estate""), ""Real Estate"",REGEXMATCH(LOWER(VLOOKUP(A527, Data1_Raw_Slack!A:B, 2, FALSE)), ""technology|tech|gadgets|smartpho"&amp;"ne|electro|apps|devices|computing|ai|robots|software|computer|internet|tele|mobile|tablet""), ""Technology"", REGEXMATCH(LOWER(VLOOKUP(A527, Data1_Raw_Slack!A:B, 2, FALSE)), ""entertainment|purchas|movies|tv|netflix|streaming|celebrity|movie lovers|tv fan"&amp;"s|media|hobb|photo|art|shop""), ""Entertainment"", REGEXMATCH(LOWER(VLOOKUP(A527, Data1_Raw_Slack!A:B, 2, FALSE)), ""law|government|""), ""Law and Government"",
  TRUE, ""Other""
)"),"News and Weather")</f>
        <v>News and Weather</v>
      </c>
      <c r="G527" s="9"/>
      <c r="H527" s="9" t="s">
        <v>44</v>
      </c>
      <c r="I527" s="9" t="s">
        <v>1673</v>
      </c>
      <c r="J527" s="9" t="s">
        <v>34</v>
      </c>
      <c r="K527" s="9" t="s">
        <v>148</v>
      </c>
      <c r="L527" s="9" t="s">
        <v>89</v>
      </c>
      <c r="M527" s="10" t="s">
        <v>1766</v>
      </c>
      <c r="N527" s="9" t="str">
        <f ca="1">IFERROR(__xludf.DUMMYFUNCTION("REGEXEXTRACT(LOWER(M527), ""([a-z0-9\-]+)\.(?:co|net|org|io|gg)"")"),"nbcnews")</f>
        <v>nbcnews</v>
      </c>
      <c r="O527" s="9" t="s">
        <v>50</v>
      </c>
      <c r="P527" s="9" t="s">
        <v>39</v>
      </c>
      <c r="Q527" s="9">
        <v>183208</v>
      </c>
      <c r="R527" s="9">
        <v>620</v>
      </c>
      <c r="S527" s="9">
        <v>131164</v>
      </c>
      <c r="T527" s="9">
        <v>177952</v>
      </c>
      <c r="U527" s="9">
        <v>43</v>
      </c>
      <c r="V527" s="11">
        <v>2682.4366230000001</v>
      </c>
      <c r="W527" s="12">
        <f t="shared" si="14"/>
        <v>62.38224704651163</v>
      </c>
      <c r="X527" s="12">
        <f t="shared" si="15"/>
        <v>0.33841316973057944</v>
      </c>
      <c r="Y527" s="12">
        <f t="shared" si="16"/>
        <v>71.592943539583416</v>
      </c>
      <c r="Z527" s="12">
        <f t="shared" si="17"/>
        <v>20.451012648287641</v>
      </c>
      <c r="AA527" s="12">
        <f t="shared" si="18"/>
        <v>14.641481938561636</v>
      </c>
      <c r="AB527" s="12">
        <f t="shared" si="19"/>
        <v>4.326510682258065</v>
      </c>
      <c r="AC527" s="12">
        <f t="shared" si="20"/>
        <v>6.935483870967742</v>
      </c>
      <c r="AE527" s="13"/>
      <c r="AF527" s="13"/>
    </row>
    <row r="528" spans="1:32">
      <c r="A528" s="8" t="s">
        <v>1856</v>
      </c>
      <c r="B528" s="9" t="s">
        <v>66</v>
      </c>
      <c r="C528" s="9" t="s">
        <v>1857</v>
      </c>
      <c r="D528" s="9"/>
      <c r="E528" s="9"/>
      <c r="F528" s="9" t="str">
        <f ca="1">IFERROR(__xludf.DUMMYFUNCTION("IFS(
  REGEXMATCH(LOWER(VLOOKUP(A528, Data1_Raw_Slack!A:B, 2, FALSE)), ""news|weather""), ""News and Weather"", REGEXMATCH(LOWER(VLOOKUP(A528, Data1_Raw_Slack!A:B, 2, FALSE)), ""sports|ufc|nba|nfl|mlb|soccer|sports fans""), ""Sports"",
  REGEXMATCH(LOWER("&amp;"VLOOKUP(A528, Data1_Raw_Slack!A:B, 2, FALSE)), ""fashion|style|clothing|apparel|shoes|accessories|beauty|cosmetics|fashionistas""), ""Fashion and Beauty"",
  REGEXMATCH(LOWER(VLOOKUP(A528, Data1_Raw_Slack!A:B, 2, FALSE)), ""food|cooking|recipe|restaurant|"&amp;"snack|grocery|foodies""), ""Food"",
  REGEXMATCH(LOWER(VLOOKUP(A528, Data1_Raw_Slack!A:B, 2, FALSE)), ""travel|vacation|airline|hotel|trip|flights|travelers""), ""Travel"",
  REGEXMATCH(LOWER(VLOOKUP(A528, Data1_Raw_Slack!A:B, 2, FALSE)), ""fitness|workou"&amp;"t|gym|exercise|yoga|wellness|fitness enthusiasts""), ""Fitness"",
  REGEXMATCH(LOWER(VLOOKUP(A528, Data1_Raw_Slack!A:B, 2, FALSE)), ""health|medical|pharmacy|mental health|doctor|health-conscious""), ""Health"",
  REGEXMATCH(LOWER(VLOOKUP(A528, Data1_Raw_"&amp;"Slack!A:B, 2, FALSE)), ""pets|dogs|cats|animals|pet care|pet lovers""), ""Pets"",
  REGEXMATCH(LOWER(VLOOKUP(A528, Data1_Raw_Slack!A:B, 2, FALSE)), ""games|gaming|game|xbox|playstation|nintendo|gamers""), ""Gaming"",
  REGEXMATCH(LOWER(VLOOKUP(A528, Data1"&amp;"_Raw_Slack!A:B, 2, FALSE)), ""entertainment|movies|tv|netflix|streaming|celebrity|movie lovers|tv fans|hobb|photo|art""), ""Entertainment"",
  REGEXMATCH(LOWER(VLOOKUP(A528, Data1_Raw_Slack!A:B, 2, FALSE)), ""lifestyle|home|interior|decor|living|lifestyle"&amp;" enthusiasts""), ""Lifestyle"",
  REGEXMATCH(LOWER(VLOOKUP(A528, Data1_Raw_Slack!A:B, 2, FALSE)), ""financial|finance|investing|stocks|retirement|banking|credit|debt|loans|savings|personal finance|insurance|econ|ecom|business|retail|occupation|sale|job|ma"&amp;"rketing""), ""Finance"",
  REGEXMATCH(LOWER(VLOOKUP(A528, Data1_Raw_Slack!A:B, 2, FALSE)), ""auto|automotive""), ""Auto"",
  REGEXMATCH(LOWER(VLOOKUP(A528, Data1_Raw_Slack!A:B, 2, FALSE)), ""parenting|moms|dads|kids|toddlers|baby|parent|children""), ""Par"&amp;"enting"",
  REGEXMATCH(LOWER(VLOOKUP(A528, Data1_Raw_Slack!A:B, 2, FALSE)), ""education|students|learning|school|teachers|college|university|academics""), ""Education"",
  REGEXMATCH(LOWER(VLOOKUP(A528, Data1_Raw_Slack!A:B, 2, FALSE)), ""age|gender|dem"&amp;"ographic|family|household""), ""Demographics"",
  REGEXMATCH(LOWER(VLOOKUP(A528, Data1_Raw_Slack!A:B, 2, FALSE)), ""mortgage|real estate""), ""Real Estate"",REGEXMATCH(LOWER(VLOOKUP(A528, Data1_Raw_Slack!A:B, 2, FALSE)), ""technology|tech|gadgets|smartpho"&amp;"ne|electro|apps|devices|computing|ai|robots|software|computer|internet|tele|mobile|tablet""), ""Technology"", REGEXMATCH(LOWER(VLOOKUP(A528, Data1_Raw_Slack!A:B, 2, FALSE)), ""entertainment|purchas|movies|tv|netflix|streaming|celebrity|movie lovers|tv fan"&amp;"s|media|hobb|photo|art|shop""), ""Entertainment"", REGEXMATCH(LOWER(VLOOKUP(A528, Data1_Raw_Slack!A:B, 2, FALSE)), ""law|government|""), ""Law and Government"",
  TRUE, ""Other""
)"),"Law and Government")</f>
        <v>Law and Government</v>
      </c>
      <c r="G528" s="9"/>
      <c r="H528" s="9" t="s">
        <v>32</v>
      </c>
      <c r="I528" s="9" t="s">
        <v>1323</v>
      </c>
      <c r="J528" s="9" t="s">
        <v>46</v>
      </c>
      <c r="K528" s="9" t="s">
        <v>236</v>
      </c>
      <c r="L528" s="9" t="s">
        <v>82</v>
      </c>
      <c r="M528" s="10" t="s">
        <v>130</v>
      </c>
      <c r="N528" s="9" t="str">
        <f ca="1">IFERROR(__xludf.DUMMYFUNCTION("REGEXEXTRACT(LOWER(M528), ""([a-z0-9\-]+)\.(?:co|net|org|io|gg)"")"),"weather")</f>
        <v>weather</v>
      </c>
      <c r="O528" s="9" t="s">
        <v>186</v>
      </c>
      <c r="P528" s="9" t="s">
        <v>39</v>
      </c>
      <c r="Q528" s="9">
        <v>194833</v>
      </c>
      <c r="R528" s="9">
        <v>499</v>
      </c>
      <c r="S528" s="9">
        <v>29091</v>
      </c>
      <c r="T528" s="9">
        <v>143813</v>
      </c>
      <c r="U528" s="9">
        <v>4</v>
      </c>
      <c r="V528" s="11">
        <v>1586.314519</v>
      </c>
      <c r="W528" s="12">
        <f t="shared" si="14"/>
        <v>396.57862975</v>
      </c>
      <c r="X528" s="12">
        <f t="shared" si="15"/>
        <v>0.25611677693203921</v>
      </c>
      <c r="Y528" s="12">
        <f t="shared" si="16"/>
        <v>14.931248813086079</v>
      </c>
      <c r="Z528" s="12">
        <f t="shared" si="17"/>
        <v>54.529391186277543</v>
      </c>
      <c r="AA528" s="12">
        <f t="shared" si="18"/>
        <v>8.1419190742841305</v>
      </c>
      <c r="AB528" s="12">
        <f t="shared" si="19"/>
        <v>3.1789870120240482</v>
      </c>
      <c r="AC528" s="12">
        <f t="shared" si="20"/>
        <v>0.80160320641282556</v>
      </c>
      <c r="AE528" s="13"/>
      <c r="AF528" s="13"/>
    </row>
    <row r="529" spans="1:32">
      <c r="A529" s="8" t="s">
        <v>1858</v>
      </c>
      <c r="B529" s="9" t="s">
        <v>41</v>
      </c>
      <c r="C529" s="9" t="s">
        <v>120</v>
      </c>
      <c r="D529" s="9" t="s">
        <v>1859</v>
      </c>
      <c r="E529" s="9"/>
      <c r="F529" s="9" t="str">
        <f ca="1">IFERROR(__xludf.DUMMYFUNCTION("IFS(
  REGEXMATCH(LOWER(VLOOKUP(A529, Data1_Raw_Slack!A:B, 2, FALSE)), ""news|weather""), ""News and Weather"", REGEXMATCH(LOWER(VLOOKUP(A529, Data1_Raw_Slack!A:B, 2, FALSE)), ""sports|ufc|nba|nfl|mlb|soccer|sports fans""), ""Sports"",
  REGEXMATCH(LOWER("&amp;"VLOOKUP(A529, Data1_Raw_Slack!A:B, 2, FALSE)), ""fashion|style|clothing|apparel|shoes|accessories|beauty|cosmetics|fashionistas""), ""Fashion and Beauty"",
  REGEXMATCH(LOWER(VLOOKUP(A529, Data1_Raw_Slack!A:B, 2, FALSE)), ""food|cooking|recipe|restaurant|"&amp;"snack|grocery|foodies""), ""Food"",
  REGEXMATCH(LOWER(VLOOKUP(A529, Data1_Raw_Slack!A:B, 2, FALSE)), ""travel|vacation|airline|hotel|trip|flights|travelers""), ""Travel"",
  REGEXMATCH(LOWER(VLOOKUP(A529, Data1_Raw_Slack!A:B, 2, FALSE)), ""fitness|workou"&amp;"t|gym|exercise|yoga|wellness|fitness enthusiasts""), ""Fitness"",
  REGEXMATCH(LOWER(VLOOKUP(A529, Data1_Raw_Slack!A:B, 2, FALSE)), ""health|medical|pharmacy|mental health|doctor|health-conscious""), ""Health"",
  REGEXMATCH(LOWER(VLOOKUP(A529, Data1_Raw_"&amp;"Slack!A:B, 2, FALSE)), ""pets|dogs|cats|animals|pet care|pet lovers""), ""Pets"",
  REGEXMATCH(LOWER(VLOOKUP(A529, Data1_Raw_Slack!A:B, 2, FALSE)), ""games|gaming|game|xbox|playstation|nintendo|gamers""), ""Gaming"",
  REGEXMATCH(LOWER(VLOOKUP(A529, Data1"&amp;"_Raw_Slack!A:B, 2, FALSE)), ""entertainment|movies|tv|netflix|streaming|celebrity|movie lovers|tv fans|hobb|photo|art""), ""Entertainment"",
  REGEXMATCH(LOWER(VLOOKUP(A529, Data1_Raw_Slack!A:B, 2, FALSE)), ""lifestyle|home|interior|decor|living|lifestyle"&amp;" enthusiasts""), ""Lifestyle"",
  REGEXMATCH(LOWER(VLOOKUP(A529, Data1_Raw_Slack!A:B, 2, FALSE)), ""financial|finance|investing|stocks|retirement|banking|credit|debt|loans|savings|personal finance|insurance|econ|ecom|business|retail|occupation|sale|job|ma"&amp;"rketing""), ""Finance"",
  REGEXMATCH(LOWER(VLOOKUP(A529, Data1_Raw_Slack!A:B, 2, FALSE)), ""auto|automotive""), ""Auto"",
  REGEXMATCH(LOWER(VLOOKUP(A529, Data1_Raw_Slack!A:B, 2, FALSE)), ""parenting|moms|dads|kids|toddlers|baby|parent|children""), ""Par"&amp;"enting"",
  REGEXMATCH(LOWER(VLOOKUP(A529, Data1_Raw_Slack!A:B, 2, FALSE)), ""education|students|learning|school|teachers|college|university|academics""), ""Education"",
  REGEXMATCH(LOWER(VLOOKUP(A529, Data1_Raw_Slack!A:B, 2, FALSE)), ""age|gender|dem"&amp;"ographic|family|household""), ""Demographics"",
  REGEXMATCH(LOWER(VLOOKUP(A529, Data1_Raw_Slack!A:B, 2, FALSE)), ""mortgage|real estate""), ""Real Estate"",REGEXMATCH(LOWER(VLOOKUP(A529, Data1_Raw_Slack!A:B, 2, FALSE)), ""technology|tech|gadgets|smartpho"&amp;"ne|electro|apps|devices|computing|ai|robots|software|computer|internet|tele|mobile|tablet""), ""Technology"", REGEXMATCH(LOWER(VLOOKUP(A529, Data1_Raw_Slack!A:B, 2, FALSE)), ""entertainment|purchas|movies|tv|netflix|streaming|celebrity|movie lovers|tv fan"&amp;"s|media|hobb|photo|art|shop""), ""Entertainment"", REGEXMATCH(LOWER(VLOOKUP(A529, Data1_Raw_Slack!A:B, 2, FALSE)), ""law|government|""), ""Law and Government"",
  TRUE, ""Other""
)"),"Auto")</f>
        <v>Auto</v>
      </c>
      <c r="G529" s="9" t="s">
        <v>122</v>
      </c>
      <c r="H529" s="9" t="s">
        <v>32</v>
      </c>
      <c r="I529" s="9" t="s">
        <v>1860</v>
      </c>
      <c r="J529" s="9" t="s">
        <v>46</v>
      </c>
      <c r="K529" s="9" t="s">
        <v>236</v>
      </c>
      <c r="L529" s="9" t="s">
        <v>82</v>
      </c>
      <c r="M529" s="10" t="s">
        <v>229</v>
      </c>
      <c r="N529" s="9" t="str">
        <f ca="1">IFERROR(__xludf.DUMMYFUNCTION("REGEXEXTRACT(LOWER(M529), ""([a-z0-9\-]+)\.(?:co|net|org|io|gg)"")"),"msn")</f>
        <v>msn</v>
      </c>
      <c r="O529" s="9" t="s">
        <v>157</v>
      </c>
      <c r="P529" s="9" t="s">
        <v>39</v>
      </c>
      <c r="Q529" s="9">
        <v>3196231</v>
      </c>
      <c r="R529" s="9">
        <v>8745</v>
      </c>
      <c r="S529" s="9">
        <v>2013324</v>
      </c>
      <c r="T529" s="9">
        <v>2669103</v>
      </c>
      <c r="U529" s="9">
        <v>70</v>
      </c>
      <c r="V529" s="11">
        <v>5756.2711719999998</v>
      </c>
      <c r="W529" s="12">
        <f t="shared" si="14"/>
        <v>82.232445314285712</v>
      </c>
      <c r="X529" s="12">
        <f t="shared" si="15"/>
        <v>0.27360350362661523</v>
      </c>
      <c r="Y529" s="12">
        <f t="shared" si="16"/>
        <v>62.990566076106511</v>
      </c>
      <c r="Z529" s="12">
        <f t="shared" si="17"/>
        <v>2.8590883394823683</v>
      </c>
      <c r="AA529" s="12">
        <f t="shared" si="18"/>
        <v>1.8009559296558977</v>
      </c>
      <c r="AB529" s="12">
        <f t="shared" si="19"/>
        <v>0.65823569719839903</v>
      </c>
      <c r="AC529" s="12">
        <f t="shared" si="20"/>
        <v>0.80045740423098921</v>
      </c>
      <c r="AE529" s="13"/>
      <c r="AF529" s="13"/>
    </row>
    <row r="530" spans="1:32">
      <c r="A530" s="8" t="s">
        <v>1861</v>
      </c>
      <c r="B530" s="9" t="s">
        <v>92</v>
      </c>
      <c r="C530" s="9" t="s">
        <v>178</v>
      </c>
      <c r="D530" s="9" t="s">
        <v>154</v>
      </c>
      <c r="E530" s="9" t="s">
        <v>1862</v>
      </c>
      <c r="F530" s="9" t="str">
        <f ca="1">IFERROR(__xludf.DUMMYFUNCTION("IFS(
  REGEXMATCH(LOWER(VLOOKUP(A530, Data1_Raw_Slack!A:B, 2, FALSE)), ""news|weather""), ""News and Weather"", REGEXMATCH(LOWER(VLOOKUP(A530, Data1_Raw_Slack!A:B, 2, FALSE)), ""sports|ufc|nba|nfl|mlb|soccer|sports fans""), ""Sports"",
  REGEXMATCH(LOWER("&amp;"VLOOKUP(A530, Data1_Raw_Slack!A:B, 2, FALSE)), ""fashion|style|clothing|apparel|shoes|accessories|beauty|cosmetics|fashionistas""), ""Fashion and Beauty"",
  REGEXMATCH(LOWER(VLOOKUP(A530, Data1_Raw_Slack!A:B, 2, FALSE)), ""food|cooking|recipe|restaurant|"&amp;"snack|grocery|foodies""), ""Food"",
  REGEXMATCH(LOWER(VLOOKUP(A530, Data1_Raw_Slack!A:B, 2, FALSE)), ""travel|vacation|airline|hotel|trip|flights|travelers""), ""Travel"",
  REGEXMATCH(LOWER(VLOOKUP(A530, Data1_Raw_Slack!A:B, 2, FALSE)), ""fitness|workou"&amp;"t|gym|exercise|yoga|wellness|fitness enthusiasts""), ""Fitness"",
  REGEXMATCH(LOWER(VLOOKUP(A530, Data1_Raw_Slack!A:B, 2, FALSE)), ""health|medical|pharmacy|mental health|doctor|health-conscious""), ""Health"",
  REGEXMATCH(LOWER(VLOOKUP(A530, Data1_Raw_"&amp;"Slack!A:B, 2, FALSE)), ""pets|dogs|cats|animals|pet care|pet lovers""), ""Pets"",
  REGEXMATCH(LOWER(VLOOKUP(A530, Data1_Raw_Slack!A:B, 2, FALSE)), ""games|gaming|game|xbox|playstation|nintendo|gamers""), ""Gaming"",
  REGEXMATCH(LOWER(VLOOKUP(A530, Data1"&amp;"_Raw_Slack!A:B, 2, FALSE)), ""entertainment|movies|tv|netflix|streaming|celebrity|movie lovers|tv fans|hobb|photo|art""), ""Entertainment"",
  REGEXMATCH(LOWER(VLOOKUP(A530, Data1_Raw_Slack!A:B, 2, FALSE)), ""lifestyle|home|interior|decor|living|lifestyle"&amp;" enthusiasts""), ""Lifestyle"",
  REGEXMATCH(LOWER(VLOOKUP(A530, Data1_Raw_Slack!A:B, 2, FALSE)), ""financial|finance|investing|stocks|retirement|banking|credit|debt|loans|savings|personal finance|insurance|econ|ecom|business|retail|occupation|sale|job|ma"&amp;"rketing""), ""Finance"",
  REGEXMATCH(LOWER(VLOOKUP(A530, Data1_Raw_Slack!A:B, 2, FALSE)), ""auto|automotive""), ""Auto"",
  REGEXMATCH(LOWER(VLOOKUP(A530, Data1_Raw_Slack!A:B, 2, FALSE)), ""parenting|moms|dads|kids|toddlers|baby|parent|children""), ""Par"&amp;"enting"",
  REGEXMATCH(LOWER(VLOOKUP(A530, Data1_Raw_Slack!A:B, 2, FALSE)), ""education|students|learning|school|teachers|college|university|academics""), ""Education"",
  REGEXMATCH(LOWER(VLOOKUP(A530, Data1_Raw_Slack!A:B, 2, FALSE)), ""age|gender|dem"&amp;"ographic|family|household""), ""Demographics"",
  REGEXMATCH(LOWER(VLOOKUP(A530, Data1_Raw_Slack!A:B, 2, FALSE)), ""mortgage|real estate""), ""Real Estate"",REGEXMATCH(LOWER(VLOOKUP(A530, Data1_Raw_Slack!A:B, 2, FALSE)), ""technology|tech|gadgets|smartpho"&amp;"ne|electro|apps|devices|computing|ai|robots|software|computer|internet|tele|mobile|tablet""), ""Technology"", REGEXMATCH(LOWER(VLOOKUP(A530, Data1_Raw_Slack!A:B, 2, FALSE)), ""entertainment|purchas|movies|tv|netflix|streaming|celebrity|movie lovers|tv fan"&amp;"s|media|hobb|photo|art|shop""), ""Entertainment"", REGEXMATCH(LOWER(VLOOKUP(A530, Data1_Raw_Slack!A:B, 2, FALSE)), ""law|government|""), ""Law and Government"",
  TRUE, ""Other""
)"),"Sports")</f>
        <v>Sports</v>
      </c>
      <c r="G530" s="9" t="s">
        <v>154</v>
      </c>
      <c r="H530" s="9" t="s">
        <v>44</v>
      </c>
      <c r="I530" s="9" t="s">
        <v>245</v>
      </c>
      <c r="J530" s="9" t="s">
        <v>46</v>
      </c>
      <c r="K530" s="9" t="s">
        <v>148</v>
      </c>
      <c r="L530" s="9" t="s">
        <v>89</v>
      </c>
      <c r="M530" s="10" t="s">
        <v>1469</v>
      </c>
      <c r="N530" s="9" t="str">
        <f ca="1">IFERROR(__xludf.DUMMYFUNCTION("REGEXEXTRACT(LOWER(M530), ""([a-z0-9\-]+)\.(?:co|net|org|io|gg)"")"),"ranker")</f>
        <v>ranker</v>
      </c>
      <c r="O530" s="9" t="s">
        <v>103</v>
      </c>
      <c r="P530" s="9" t="s">
        <v>75</v>
      </c>
      <c r="Q530" s="9">
        <v>65243</v>
      </c>
      <c r="R530" s="9">
        <v>120</v>
      </c>
      <c r="S530" s="9">
        <v>39543</v>
      </c>
      <c r="T530" s="9">
        <v>54290</v>
      </c>
      <c r="U530" s="9">
        <v>4</v>
      </c>
      <c r="V530" s="11">
        <v>3754.6852469999999</v>
      </c>
      <c r="W530" s="12">
        <f t="shared" si="14"/>
        <v>938.67131174999997</v>
      </c>
      <c r="X530" s="12">
        <f t="shared" si="15"/>
        <v>0.18392777769262603</v>
      </c>
      <c r="Y530" s="12">
        <f t="shared" si="16"/>
        <v>60.608800944162589</v>
      </c>
      <c r="Z530" s="12">
        <f t="shared" si="17"/>
        <v>94.951957287004021</v>
      </c>
      <c r="AA530" s="12">
        <f t="shared" si="18"/>
        <v>57.549242784666554</v>
      </c>
      <c r="AB530" s="12">
        <f t="shared" si="19"/>
        <v>31.289043724999999</v>
      </c>
      <c r="AC530" s="12">
        <f t="shared" si="20"/>
        <v>3.3333333333333335</v>
      </c>
      <c r="AE530" s="13"/>
      <c r="AF530" s="13"/>
    </row>
    <row r="531" spans="1:32">
      <c r="A531" s="8" t="s">
        <v>1863</v>
      </c>
      <c r="B531" s="9" t="s">
        <v>41</v>
      </c>
      <c r="C531" s="9" t="s">
        <v>193</v>
      </c>
      <c r="D531" s="9" t="s">
        <v>267</v>
      </c>
      <c r="E531" s="9" t="s">
        <v>1864</v>
      </c>
      <c r="F531" s="9" t="str">
        <f ca="1">IFERROR(__xludf.DUMMYFUNCTION("IFS(
  REGEXMATCH(LOWER(VLOOKUP(A531, Data1_Raw_Slack!A:B, 2, FALSE)), ""news|weather""), ""News and Weather"", REGEXMATCH(LOWER(VLOOKUP(A531, Data1_Raw_Slack!A:B, 2, FALSE)), ""sports|ufc|nba|nfl|mlb|soccer|sports fans""), ""Sports"",
  REGEXMATCH(LOWER("&amp;"VLOOKUP(A531, Data1_Raw_Slack!A:B, 2, FALSE)), ""fashion|style|clothing|apparel|shoes|accessories|beauty|cosmetics|fashionistas""), ""Fashion and Beauty"",
  REGEXMATCH(LOWER(VLOOKUP(A531, Data1_Raw_Slack!A:B, 2, FALSE)), ""food|cooking|recipe|restaurant|"&amp;"snack|grocery|foodies""), ""Food"",
  REGEXMATCH(LOWER(VLOOKUP(A531, Data1_Raw_Slack!A:B, 2, FALSE)), ""travel|vacation|airline|hotel|trip|flights|travelers""), ""Travel"",
  REGEXMATCH(LOWER(VLOOKUP(A531, Data1_Raw_Slack!A:B, 2, FALSE)), ""fitness|workou"&amp;"t|gym|exercise|yoga|wellness|fitness enthusiasts""), ""Fitness"",
  REGEXMATCH(LOWER(VLOOKUP(A531, Data1_Raw_Slack!A:B, 2, FALSE)), ""health|medical|pharmacy|mental health|doctor|health-conscious""), ""Health"",
  REGEXMATCH(LOWER(VLOOKUP(A531, Data1_Raw_"&amp;"Slack!A:B, 2, FALSE)), ""pets|dogs|cats|animals|pet care|pet lovers""), ""Pets"",
  REGEXMATCH(LOWER(VLOOKUP(A531, Data1_Raw_Slack!A:B, 2, FALSE)), ""games|gaming|game|xbox|playstation|nintendo|gamers""), ""Gaming"",
  REGEXMATCH(LOWER(VLOOKUP(A531, Data1"&amp;"_Raw_Slack!A:B, 2, FALSE)), ""entertainment|movies|tv|netflix|streaming|celebrity|movie lovers|tv fans|hobb|photo|art""), ""Entertainment"",
  REGEXMATCH(LOWER(VLOOKUP(A531, Data1_Raw_Slack!A:B, 2, FALSE)), ""lifestyle|home|interior|decor|living|lifestyle"&amp;" enthusiasts""), ""Lifestyle"",
  REGEXMATCH(LOWER(VLOOKUP(A531, Data1_Raw_Slack!A:B, 2, FALSE)), ""financial|finance|investing|stocks|retirement|banking|credit|debt|loans|savings|personal finance|insurance|econ|ecom|business|retail|occupation|sale|job|ma"&amp;"rketing""), ""Finance"",
  REGEXMATCH(LOWER(VLOOKUP(A531, Data1_Raw_Slack!A:B, 2, FALSE)), ""auto|automotive""), ""Auto"",
  REGEXMATCH(LOWER(VLOOKUP(A531, Data1_Raw_Slack!A:B, 2, FALSE)), ""parenting|moms|dads|kids|toddlers|baby|parent|children""), ""Par"&amp;"enting"",
  REGEXMATCH(LOWER(VLOOKUP(A531, Data1_Raw_Slack!A:B, 2, FALSE)), ""education|students|learning|school|teachers|college|university|academics""), ""Education"",
  REGEXMATCH(LOWER(VLOOKUP(A531, Data1_Raw_Slack!A:B, 2, FALSE)), ""age|gender|dem"&amp;"ographic|family|household""), ""Demographics"",
  REGEXMATCH(LOWER(VLOOKUP(A531, Data1_Raw_Slack!A:B, 2, FALSE)), ""mortgage|real estate""), ""Real Estate"",REGEXMATCH(LOWER(VLOOKUP(A531, Data1_Raw_Slack!A:B, 2, FALSE)), ""technology|tech|gadgets|smartpho"&amp;"ne|electro|apps|devices|computing|ai|robots|software|computer|internet|tele|mobile|tablet""), ""Technology"", REGEXMATCH(LOWER(VLOOKUP(A531, Data1_Raw_Slack!A:B, 2, FALSE)), ""entertainment|purchas|movies|tv|netflix|streaming|celebrity|movie lovers|tv fan"&amp;"s|media|hobb|photo|art|shop""), ""Entertainment"", REGEXMATCH(LOWER(VLOOKUP(A531, Data1_Raw_Slack!A:B, 2, FALSE)), ""law|government|""), ""Law and Government"",
  TRUE, ""Other""
)"),"Entertainment")</f>
        <v>Entertainment</v>
      </c>
      <c r="G531" s="9" t="s">
        <v>69</v>
      </c>
      <c r="H531" s="9" t="s">
        <v>32</v>
      </c>
      <c r="I531" s="9" t="s">
        <v>357</v>
      </c>
      <c r="J531" s="9" t="s">
        <v>34</v>
      </c>
      <c r="K531" s="9" t="s">
        <v>148</v>
      </c>
      <c r="L531" s="9" t="s">
        <v>89</v>
      </c>
      <c r="M531" s="10" t="s">
        <v>112</v>
      </c>
      <c r="N531" s="9" t="str">
        <f ca="1">IFERROR(__xludf.DUMMYFUNCTION("REGEXEXTRACT(LOWER(M531), ""([a-z0-9\-]+)\.(?:co|net|org|io|gg)"")"),"ebay")</f>
        <v>ebay</v>
      </c>
      <c r="O531" s="9" t="s">
        <v>50</v>
      </c>
      <c r="P531" s="9" t="s">
        <v>39</v>
      </c>
      <c r="Q531" s="9">
        <v>405957</v>
      </c>
      <c r="R531" s="9">
        <v>874</v>
      </c>
      <c r="S531" s="9">
        <v>204189</v>
      </c>
      <c r="T531" s="9">
        <v>385654</v>
      </c>
      <c r="U531" s="9">
        <v>16</v>
      </c>
      <c r="V531" s="11">
        <v>5864.1264929999998</v>
      </c>
      <c r="W531" s="12">
        <f t="shared" si="14"/>
        <v>366.50790581249998</v>
      </c>
      <c r="X531" s="12">
        <f t="shared" si="15"/>
        <v>0.21529373800673471</v>
      </c>
      <c r="Y531" s="12">
        <f t="shared" si="16"/>
        <v>50.298184290454408</v>
      </c>
      <c r="Z531" s="12">
        <f t="shared" si="17"/>
        <v>28.719110691565167</v>
      </c>
      <c r="AA531" s="12">
        <f t="shared" si="18"/>
        <v>14.445191222223043</v>
      </c>
      <c r="AB531" s="12">
        <f t="shared" si="19"/>
        <v>6.7095268798627004</v>
      </c>
      <c r="AC531" s="12">
        <f t="shared" si="20"/>
        <v>1.8306636155606408</v>
      </c>
      <c r="AE531" s="13"/>
      <c r="AF531" s="13"/>
    </row>
    <row r="532" spans="1:32">
      <c r="A532" s="8" t="s">
        <v>1865</v>
      </c>
      <c r="B532" s="9" t="s">
        <v>198</v>
      </c>
      <c r="C532" s="9" t="s">
        <v>1866</v>
      </c>
      <c r="D532" s="9"/>
      <c r="E532" s="9"/>
      <c r="F532" s="9" t="str">
        <f ca="1">IFERROR(__xludf.DUMMYFUNCTION("IFS(
  REGEXMATCH(LOWER(VLOOKUP(A532, Data1_Raw_Slack!A:B, 2, FALSE)), ""news|weather""), ""News and Weather"", REGEXMATCH(LOWER(VLOOKUP(A532, Data1_Raw_Slack!A:B, 2, FALSE)), ""sports|ufc|nba|nfl|mlb|soccer|sports fans""), ""Sports"",
  REGEXMATCH(LOWER("&amp;"VLOOKUP(A532, Data1_Raw_Slack!A:B, 2, FALSE)), ""fashion|style|clothing|apparel|shoes|accessories|beauty|cosmetics|fashionistas""), ""Fashion and Beauty"",
  REGEXMATCH(LOWER(VLOOKUP(A532, Data1_Raw_Slack!A:B, 2, FALSE)), ""food|cooking|recipe|restaurant|"&amp;"snack|grocery|foodies""), ""Food"",
  REGEXMATCH(LOWER(VLOOKUP(A532, Data1_Raw_Slack!A:B, 2, FALSE)), ""travel|vacation|airline|hotel|trip|flights|travelers""), ""Travel"",
  REGEXMATCH(LOWER(VLOOKUP(A532, Data1_Raw_Slack!A:B, 2, FALSE)), ""fitness|workou"&amp;"t|gym|exercise|yoga|wellness|fitness enthusiasts""), ""Fitness"",
  REGEXMATCH(LOWER(VLOOKUP(A532, Data1_Raw_Slack!A:B, 2, FALSE)), ""health|medical|pharmacy|mental health|doctor|health-conscious""), ""Health"",
  REGEXMATCH(LOWER(VLOOKUP(A532, Data1_Raw_"&amp;"Slack!A:B, 2, FALSE)), ""pets|dogs|cats|animals|pet care|pet lovers""), ""Pets"",
  REGEXMATCH(LOWER(VLOOKUP(A532, Data1_Raw_Slack!A:B, 2, FALSE)), ""games|gaming|game|xbox|playstation|nintendo|gamers""), ""Gaming"",
  REGEXMATCH(LOWER(VLOOKUP(A532, Data1"&amp;"_Raw_Slack!A:B, 2, FALSE)), ""entertainment|movies|tv|netflix|streaming|celebrity|movie lovers|tv fans|hobb|photo|art""), ""Entertainment"",
  REGEXMATCH(LOWER(VLOOKUP(A532, Data1_Raw_Slack!A:B, 2, FALSE)), ""lifestyle|home|interior|decor|living|lifestyle"&amp;" enthusiasts""), ""Lifestyle"",
  REGEXMATCH(LOWER(VLOOKUP(A532, Data1_Raw_Slack!A:B, 2, FALSE)), ""financial|finance|investing|stocks|retirement|banking|credit|debt|loans|savings|personal finance|insurance|econ|ecom|business|retail|occupation|sale|job|ma"&amp;"rketing""), ""Finance"",
  REGEXMATCH(LOWER(VLOOKUP(A532, Data1_Raw_Slack!A:B, 2, FALSE)), ""auto|automotive""), ""Auto"",
  REGEXMATCH(LOWER(VLOOKUP(A532, Data1_Raw_Slack!A:B, 2, FALSE)), ""parenting|moms|dads|kids|toddlers|baby|parent|children""), ""Par"&amp;"enting"",
  REGEXMATCH(LOWER(VLOOKUP(A532, Data1_Raw_Slack!A:B, 2, FALSE)), ""education|students|learning|school|teachers|college|university|academics""), ""Education"",
  REGEXMATCH(LOWER(VLOOKUP(A532, Data1_Raw_Slack!A:B, 2, FALSE)), ""age|gender|dem"&amp;"ographic|family|household""), ""Demographics"",
  REGEXMATCH(LOWER(VLOOKUP(A532, Data1_Raw_Slack!A:B, 2, FALSE)), ""mortgage|real estate""), ""Real Estate"",REGEXMATCH(LOWER(VLOOKUP(A532, Data1_Raw_Slack!A:B, 2, FALSE)), ""technology|tech|gadgets|smartpho"&amp;"ne|electro|apps|devices|computing|ai|robots|software|computer|internet|tele|mobile|tablet""), ""Technology"", REGEXMATCH(LOWER(VLOOKUP(A532, Data1_Raw_Slack!A:B, 2, FALSE)), ""entertainment|purchas|movies|tv|netflix|streaming|celebrity|movie lovers|tv fan"&amp;"s|media|hobb|photo|art|shop""), ""Entertainment"", REGEXMATCH(LOWER(VLOOKUP(A532, Data1_Raw_Slack!A:B, 2, FALSE)), ""law|government|""), ""Law and Government"",
  TRUE, ""Other""
)"),"Law and Government")</f>
        <v>Law and Government</v>
      </c>
      <c r="G532" s="9"/>
      <c r="H532" s="9" t="s">
        <v>44</v>
      </c>
      <c r="I532" s="9" t="s">
        <v>1867</v>
      </c>
      <c r="J532" s="9" t="s">
        <v>46</v>
      </c>
      <c r="K532" s="9" t="s">
        <v>148</v>
      </c>
      <c r="L532" s="9" t="s">
        <v>89</v>
      </c>
      <c r="M532" s="10" t="s">
        <v>339</v>
      </c>
      <c r="N532" s="9" t="str">
        <f ca="1">IFERROR(__xludf.DUMMYFUNCTION("REGEXEXTRACT(LOWER(M532), ""([a-z0-9\-]+)\.(?:co|net|org|io|gg)"")"),"foxnews")</f>
        <v>foxnews</v>
      </c>
      <c r="O532" s="9" t="s">
        <v>50</v>
      </c>
      <c r="P532" s="9" t="s">
        <v>75</v>
      </c>
      <c r="Q532" s="9">
        <v>51889</v>
      </c>
      <c r="R532" s="9">
        <v>174</v>
      </c>
      <c r="S532" s="9">
        <v>33879</v>
      </c>
      <c r="T532" s="9">
        <v>49382</v>
      </c>
      <c r="U532" s="9">
        <v>5</v>
      </c>
      <c r="V532" s="11">
        <v>2172.8417469999999</v>
      </c>
      <c r="W532" s="12">
        <f t="shared" si="14"/>
        <v>434.56834939999999</v>
      </c>
      <c r="X532" s="12">
        <f t="shared" si="15"/>
        <v>0.33533118772764942</v>
      </c>
      <c r="Y532" s="12">
        <f t="shared" si="16"/>
        <v>65.291294879454227</v>
      </c>
      <c r="Z532" s="12">
        <f t="shared" si="17"/>
        <v>64.135356622096282</v>
      </c>
      <c r="AA532" s="12">
        <f t="shared" si="18"/>
        <v>41.874804814122449</v>
      </c>
      <c r="AB532" s="12">
        <f t="shared" si="19"/>
        <v>12.487596247126437</v>
      </c>
      <c r="AC532" s="12">
        <f t="shared" si="20"/>
        <v>2.8735632183908044</v>
      </c>
      <c r="AE532" s="13"/>
      <c r="AF532" s="13"/>
    </row>
    <row r="533" spans="1:32">
      <c r="A533" s="8" t="s">
        <v>1868</v>
      </c>
      <c r="B533" s="9" t="s">
        <v>290</v>
      </c>
      <c r="C533" s="9" t="s">
        <v>291</v>
      </c>
      <c r="D533" s="9" t="s">
        <v>292</v>
      </c>
      <c r="E533" s="9" t="s">
        <v>1869</v>
      </c>
      <c r="F533" s="9" t="str">
        <f ca="1">IFERROR(__xludf.DUMMYFUNCTION("IFS(
  REGEXMATCH(LOWER(VLOOKUP(A533, Data1_Raw_Slack!A:B, 2, FALSE)), ""news|weather""), ""News and Weather"", REGEXMATCH(LOWER(VLOOKUP(A533, Data1_Raw_Slack!A:B, 2, FALSE)), ""sports|ufc|nba|nfl|mlb|soccer|sports fans""), ""Sports"",
  REGEXMATCH(LOWER("&amp;"VLOOKUP(A533, Data1_Raw_Slack!A:B, 2, FALSE)), ""fashion|style|clothing|apparel|shoes|accessories|beauty|cosmetics|fashionistas""), ""Fashion and Beauty"",
  REGEXMATCH(LOWER(VLOOKUP(A533, Data1_Raw_Slack!A:B, 2, FALSE)), ""food|cooking|recipe|restaurant|"&amp;"snack|grocery|foodies""), ""Food"",
  REGEXMATCH(LOWER(VLOOKUP(A533, Data1_Raw_Slack!A:B, 2, FALSE)), ""travel|vacation|airline|hotel|trip|flights|travelers""), ""Travel"",
  REGEXMATCH(LOWER(VLOOKUP(A533, Data1_Raw_Slack!A:B, 2, FALSE)), ""fitness|workou"&amp;"t|gym|exercise|yoga|wellness|fitness enthusiasts""), ""Fitness"",
  REGEXMATCH(LOWER(VLOOKUP(A533, Data1_Raw_Slack!A:B, 2, FALSE)), ""health|medical|pharmacy|mental health|doctor|health-conscious""), ""Health"",
  REGEXMATCH(LOWER(VLOOKUP(A533, Data1_Raw_"&amp;"Slack!A:B, 2, FALSE)), ""pets|dogs|cats|animals|pet care|pet lovers""), ""Pets"",
  REGEXMATCH(LOWER(VLOOKUP(A533, Data1_Raw_Slack!A:B, 2, FALSE)), ""games|gaming|game|xbox|playstation|nintendo|gamers""), ""Gaming"",
  REGEXMATCH(LOWER(VLOOKUP(A533, Data1"&amp;"_Raw_Slack!A:B, 2, FALSE)), ""entertainment|movies|tv|netflix|streaming|celebrity|movie lovers|tv fans|hobb|photo|art""), ""Entertainment"",
  REGEXMATCH(LOWER(VLOOKUP(A533, Data1_Raw_Slack!A:B, 2, FALSE)), ""lifestyle|home|interior|decor|living|lifestyle"&amp;" enthusiasts""), ""Lifestyle"",
  REGEXMATCH(LOWER(VLOOKUP(A533, Data1_Raw_Slack!A:B, 2, FALSE)), ""financial|finance|investing|stocks|retirement|banking|credit|debt|loans|savings|personal finance|insurance|econ|ecom|business|retail|occupation|sale|job|ma"&amp;"rketing""), ""Finance"",
  REGEXMATCH(LOWER(VLOOKUP(A533, Data1_Raw_Slack!A:B, 2, FALSE)), ""auto|automotive""), ""Auto"",
  REGEXMATCH(LOWER(VLOOKUP(A533, Data1_Raw_Slack!A:B, 2, FALSE)), ""parenting|moms|dads|kids|toddlers|baby|parent|children""), ""Par"&amp;"enting"",
  REGEXMATCH(LOWER(VLOOKUP(A533, Data1_Raw_Slack!A:B, 2, FALSE)), ""education|students|learning|school|teachers|college|university|academics""), ""Education"",
  REGEXMATCH(LOWER(VLOOKUP(A533, Data1_Raw_Slack!A:B, 2, FALSE)), ""age|gender|dem"&amp;"ographic|family|household""), ""Demographics"",
  REGEXMATCH(LOWER(VLOOKUP(A533, Data1_Raw_Slack!A:B, 2, FALSE)), ""mortgage|real estate""), ""Real Estate"",REGEXMATCH(LOWER(VLOOKUP(A533, Data1_Raw_Slack!A:B, 2, FALSE)), ""technology|tech|gadgets|smartpho"&amp;"ne|electro|apps|devices|computing|ai|robots|software|computer|internet|tele|mobile|tablet""), ""Technology"", REGEXMATCH(LOWER(VLOOKUP(A533, Data1_Raw_Slack!A:B, 2, FALSE)), ""entertainment|purchas|movies|tv|netflix|streaming|celebrity|movie lovers|tv fan"&amp;"s|media|hobb|photo|art|shop""), ""Entertainment"", REGEXMATCH(LOWER(VLOOKUP(A533, Data1_Raw_Slack!A:B, 2, FALSE)), ""law|government|""), ""Law and Government"",
  TRUE, ""Other""
)"),"Entertainment")</f>
        <v>Entertainment</v>
      </c>
      <c r="G533" s="9" t="s">
        <v>135</v>
      </c>
      <c r="H533" s="9" t="s">
        <v>44</v>
      </c>
      <c r="I533" s="9" t="s">
        <v>1870</v>
      </c>
      <c r="J533" s="9" t="s">
        <v>34</v>
      </c>
      <c r="K533" s="9" t="s">
        <v>443</v>
      </c>
      <c r="L533" s="9" t="s">
        <v>72</v>
      </c>
      <c r="M533" s="10" t="s">
        <v>295</v>
      </c>
      <c r="N533" s="9" t="str">
        <f ca="1">IFERROR(__xludf.DUMMYFUNCTION("REGEXEXTRACT(LOWER(M533), ""([a-z0-9\-]+)\.(?:co|net|org|io|gg)"")"),"yahoo")</f>
        <v>yahoo</v>
      </c>
      <c r="O533" s="9" t="s">
        <v>819</v>
      </c>
      <c r="P533" s="9" t="s">
        <v>75</v>
      </c>
      <c r="Q533" s="9">
        <v>74426</v>
      </c>
      <c r="R533" s="9">
        <v>150</v>
      </c>
      <c r="S533" s="9">
        <v>39257</v>
      </c>
      <c r="T533" s="9">
        <v>67151</v>
      </c>
      <c r="U533" s="9">
        <v>15</v>
      </c>
      <c r="V533" s="11">
        <v>1519.596552</v>
      </c>
      <c r="W533" s="12">
        <f t="shared" si="14"/>
        <v>101.3064368</v>
      </c>
      <c r="X533" s="12">
        <f t="shared" si="15"/>
        <v>0.20154247171687314</v>
      </c>
      <c r="Y533" s="12">
        <f t="shared" si="16"/>
        <v>52.746352081261925</v>
      </c>
      <c r="Z533" s="12">
        <f t="shared" si="17"/>
        <v>38.708932215910544</v>
      </c>
      <c r="AA533" s="12">
        <f t="shared" si="18"/>
        <v>20.417549673501195</v>
      </c>
      <c r="AB533" s="12">
        <f t="shared" si="19"/>
        <v>10.13064368</v>
      </c>
      <c r="AC533" s="12">
        <f t="shared" si="20"/>
        <v>10</v>
      </c>
      <c r="AE533" s="13"/>
      <c r="AF533" s="13"/>
    </row>
    <row r="534" spans="1:32">
      <c r="A534" s="8" t="s">
        <v>1871</v>
      </c>
      <c r="B534" s="9" t="s">
        <v>41</v>
      </c>
      <c r="C534" s="9" t="s">
        <v>120</v>
      </c>
      <c r="D534" s="9" t="s">
        <v>1872</v>
      </c>
      <c r="E534" s="9"/>
      <c r="F534" s="9" t="str">
        <f ca="1">IFERROR(__xludf.DUMMYFUNCTION("IFS(
  REGEXMATCH(LOWER(VLOOKUP(A534, Data1_Raw_Slack!A:B, 2, FALSE)), ""news|weather""), ""News and Weather"", REGEXMATCH(LOWER(VLOOKUP(A534, Data1_Raw_Slack!A:B, 2, FALSE)), ""sports|ufc|nba|nfl|mlb|soccer|sports fans""), ""Sports"",
  REGEXMATCH(LOWER("&amp;"VLOOKUP(A534, Data1_Raw_Slack!A:B, 2, FALSE)), ""fashion|style|clothing|apparel|shoes|accessories|beauty|cosmetics|fashionistas""), ""Fashion and Beauty"",
  REGEXMATCH(LOWER(VLOOKUP(A534, Data1_Raw_Slack!A:B, 2, FALSE)), ""food|cooking|recipe|restaurant|"&amp;"snack|grocery|foodies""), ""Food"",
  REGEXMATCH(LOWER(VLOOKUP(A534, Data1_Raw_Slack!A:B, 2, FALSE)), ""travel|vacation|airline|hotel|trip|flights|travelers""), ""Travel"",
  REGEXMATCH(LOWER(VLOOKUP(A534, Data1_Raw_Slack!A:B, 2, FALSE)), ""fitness|workou"&amp;"t|gym|exercise|yoga|wellness|fitness enthusiasts""), ""Fitness"",
  REGEXMATCH(LOWER(VLOOKUP(A534, Data1_Raw_Slack!A:B, 2, FALSE)), ""health|medical|pharmacy|mental health|doctor|health-conscious""), ""Health"",
  REGEXMATCH(LOWER(VLOOKUP(A534, Data1_Raw_"&amp;"Slack!A:B, 2, FALSE)), ""pets|dogs|cats|animals|pet care|pet lovers""), ""Pets"",
  REGEXMATCH(LOWER(VLOOKUP(A534, Data1_Raw_Slack!A:B, 2, FALSE)), ""games|gaming|game|xbox|playstation|nintendo|gamers""), ""Gaming"",
  REGEXMATCH(LOWER(VLOOKUP(A534, Data1"&amp;"_Raw_Slack!A:B, 2, FALSE)), ""entertainment|movies|tv|netflix|streaming|celebrity|movie lovers|tv fans|hobb|photo|art""), ""Entertainment"",
  REGEXMATCH(LOWER(VLOOKUP(A534, Data1_Raw_Slack!A:B, 2, FALSE)), ""lifestyle|home|interior|decor|living|lifestyle"&amp;" enthusiasts""), ""Lifestyle"",
  REGEXMATCH(LOWER(VLOOKUP(A534, Data1_Raw_Slack!A:B, 2, FALSE)), ""financial|finance|investing|stocks|retirement|banking|credit|debt|loans|savings|personal finance|insurance|econ|ecom|business|retail|occupation|sale|job|ma"&amp;"rketing""), ""Finance"",
  REGEXMATCH(LOWER(VLOOKUP(A534, Data1_Raw_Slack!A:B, 2, FALSE)), ""auto|automotive""), ""Auto"",
  REGEXMATCH(LOWER(VLOOKUP(A534, Data1_Raw_Slack!A:B, 2, FALSE)), ""parenting|moms|dads|kids|toddlers|baby|parent|children""), ""Par"&amp;"enting"",
  REGEXMATCH(LOWER(VLOOKUP(A534, Data1_Raw_Slack!A:B, 2, FALSE)), ""education|students|learning|school|teachers|college|university|academics""), ""Education"",
  REGEXMATCH(LOWER(VLOOKUP(A534, Data1_Raw_Slack!A:B, 2, FALSE)), ""age|gender|dem"&amp;"ographic|family|household""), ""Demographics"",
  REGEXMATCH(LOWER(VLOOKUP(A534, Data1_Raw_Slack!A:B, 2, FALSE)), ""mortgage|real estate""), ""Real Estate"",REGEXMATCH(LOWER(VLOOKUP(A534, Data1_Raw_Slack!A:B, 2, FALSE)), ""technology|tech|gadgets|smartpho"&amp;"ne|electro|apps|devices|computing|ai|robots|software|computer|internet|tele|mobile|tablet""), ""Technology"", REGEXMATCH(LOWER(VLOOKUP(A534, Data1_Raw_Slack!A:B, 2, FALSE)), ""entertainment|purchas|movies|tv|netflix|streaming|celebrity|movie lovers|tv fan"&amp;"s|media|hobb|photo|art|shop""), ""Entertainment"", REGEXMATCH(LOWER(VLOOKUP(A534, Data1_Raw_Slack!A:B, 2, FALSE)), ""law|government|""), ""Law and Government"",
  TRUE, ""Other""
)"),"Auto")</f>
        <v>Auto</v>
      </c>
      <c r="G534" s="9" t="s">
        <v>122</v>
      </c>
      <c r="H534" s="9" t="s">
        <v>32</v>
      </c>
      <c r="I534" s="9" t="s">
        <v>1873</v>
      </c>
      <c r="J534" s="9" t="s">
        <v>34</v>
      </c>
      <c r="K534" s="9" t="s">
        <v>714</v>
      </c>
      <c r="L534" s="9" t="s">
        <v>82</v>
      </c>
      <c r="M534" s="10" t="s">
        <v>229</v>
      </c>
      <c r="N534" s="9" t="str">
        <f ca="1">IFERROR(__xludf.DUMMYFUNCTION("REGEXEXTRACT(LOWER(M534), ""([a-z0-9\-]+)\.(?:co|net|org|io|gg)"")"),"msn")</f>
        <v>msn</v>
      </c>
      <c r="O534" s="9" t="s">
        <v>50</v>
      </c>
      <c r="P534" s="9" t="s">
        <v>39</v>
      </c>
      <c r="Q534" s="9">
        <v>48436</v>
      </c>
      <c r="R534" s="9">
        <v>171</v>
      </c>
      <c r="S534" s="9">
        <v>16543</v>
      </c>
      <c r="T534" s="9">
        <v>42427</v>
      </c>
      <c r="U534" s="9">
        <v>6</v>
      </c>
      <c r="V534" s="11">
        <v>4386.6482150000002</v>
      </c>
      <c r="W534" s="12">
        <f t="shared" si="14"/>
        <v>731.10803583333336</v>
      </c>
      <c r="X534" s="12">
        <f t="shared" si="15"/>
        <v>0.35304319101494752</v>
      </c>
      <c r="Y534" s="12">
        <f t="shared" si="16"/>
        <v>34.15434800561566</v>
      </c>
      <c r="Z534" s="12">
        <f t="shared" si="17"/>
        <v>265.16642779423324</v>
      </c>
      <c r="AA534" s="12">
        <f t="shared" si="18"/>
        <v>90.565864542901977</v>
      </c>
      <c r="AB534" s="12">
        <f t="shared" si="19"/>
        <v>25.652913538011695</v>
      </c>
      <c r="AC534" s="12">
        <f t="shared" si="20"/>
        <v>3.5087719298245612</v>
      </c>
      <c r="AE534" s="13"/>
      <c r="AF534" s="13"/>
    </row>
    <row r="535" spans="1:32">
      <c r="A535" s="8" t="s">
        <v>1874</v>
      </c>
      <c r="B535" s="9" t="s">
        <v>41</v>
      </c>
      <c r="C535" s="9" t="s">
        <v>542</v>
      </c>
      <c r="D535" s="9" t="s">
        <v>1778</v>
      </c>
      <c r="E535" s="9"/>
      <c r="F535" s="9" t="str">
        <f ca="1">IFERROR(__xludf.DUMMYFUNCTION("IFS(
  REGEXMATCH(LOWER(VLOOKUP(A535, Data1_Raw_Slack!A:B, 2, FALSE)), ""news|weather""), ""News and Weather"", REGEXMATCH(LOWER(VLOOKUP(A535, Data1_Raw_Slack!A:B, 2, FALSE)), ""sports|ufc|nba|nfl|mlb|soccer|sports fans""), ""Sports"",
  REGEXMATCH(LOWER("&amp;"VLOOKUP(A535, Data1_Raw_Slack!A:B, 2, FALSE)), ""fashion|style|clothing|apparel|shoes|accessories|beauty|cosmetics|fashionistas""), ""Fashion and Beauty"",
  REGEXMATCH(LOWER(VLOOKUP(A535, Data1_Raw_Slack!A:B, 2, FALSE)), ""food|cooking|recipe|restaurant|"&amp;"snack|grocery|foodies""), ""Food"",
  REGEXMATCH(LOWER(VLOOKUP(A535, Data1_Raw_Slack!A:B, 2, FALSE)), ""travel|vacation|airline|hotel|trip|flights|travelers""), ""Travel"",
  REGEXMATCH(LOWER(VLOOKUP(A535, Data1_Raw_Slack!A:B, 2, FALSE)), ""fitness|workou"&amp;"t|gym|exercise|yoga|wellness|fitness enthusiasts""), ""Fitness"",
  REGEXMATCH(LOWER(VLOOKUP(A535, Data1_Raw_Slack!A:B, 2, FALSE)), ""health|medical|pharmacy|mental health|doctor|health-conscious""), ""Health"",
  REGEXMATCH(LOWER(VLOOKUP(A535, Data1_Raw_"&amp;"Slack!A:B, 2, FALSE)), ""pets|dogs|cats|animals|pet care|pet lovers""), ""Pets"",
  REGEXMATCH(LOWER(VLOOKUP(A535, Data1_Raw_Slack!A:B, 2, FALSE)), ""games|gaming|game|xbox|playstation|nintendo|gamers""), ""Gaming"",
  REGEXMATCH(LOWER(VLOOKUP(A535, Data1"&amp;"_Raw_Slack!A:B, 2, FALSE)), ""entertainment|movies|tv|netflix|streaming|celebrity|movie lovers|tv fans|hobb|photo|art""), ""Entertainment"",
  REGEXMATCH(LOWER(VLOOKUP(A535, Data1_Raw_Slack!A:B, 2, FALSE)), ""lifestyle|home|interior|decor|living|lifestyle"&amp;" enthusiasts""), ""Lifestyle"",
  REGEXMATCH(LOWER(VLOOKUP(A535, Data1_Raw_Slack!A:B, 2, FALSE)), ""financial|finance|investing|stocks|retirement|banking|credit|debt|loans|savings|personal finance|insurance|econ|ecom|business|retail|occupation|sale|job|ma"&amp;"rketing""), ""Finance"",
  REGEXMATCH(LOWER(VLOOKUP(A535, Data1_Raw_Slack!A:B, 2, FALSE)), ""auto|automotive""), ""Auto"",
  REGEXMATCH(LOWER(VLOOKUP(A535, Data1_Raw_Slack!A:B, 2, FALSE)), ""parenting|moms|dads|kids|toddlers|baby|parent|children""), ""Par"&amp;"enting"",
  REGEXMATCH(LOWER(VLOOKUP(A535, Data1_Raw_Slack!A:B, 2, FALSE)), ""education|students|learning|school|teachers|college|university|academics""), ""Education"",
  REGEXMATCH(LOWER(VLOOKUP(A535, Data1_Raw_Slack!A:B, 2, FALSE)), ""age|gender|dem"&amp;"ographic|family|household""), ""Demographics"",
  REGEXMATCH(LOWER(VLOOKUP(A535, Data1_Raw_Slack!A:B, 2, FALSE)), ""mortgage|real estate""), ""Real Estate"",REGEXMATCH(LOWER(VLOOKUP(A535, Data1_Raw_Slack!A:B, 2, FALSE)), ""technology|tech|gadgets|smartpho"&amp;"ne|electro|apps|devices|computing|ai|robots|software|computer|internet|tele|mobile|tablet""), ""Technology"", REGEXMATCH(LOWER(VLOOKUP(A535, Data1_Raw_Slack!A:B, 2, FALSE)), ""entertainment|purchas|movies|tv|netflix|streaming|celebrity|movie lovers|tv fan"&amp;"s|media|hobb|photo|art|shop""), ""Entertainment"", REGEXMATCH(LOWER(VLOOKUP(A535, Data1_Raw_Slack!A:B, 2, FALSE)), ""law|government|""), ""Law and Government"",
  TRUE, ""Other""
)"),"Entertainment")</f>
        <v>Entertainment</v>
      </c>
      <c r="G535" s="9"/>
      <c r="H535" s="9" t="s">
        <v>44</v>
      </c>
      <c r="I535" s="9" t="s">
        <v>1229</v>
      </c>
      <c r="J535" s="9" t="s">
        <v>62</v>
      </c>
      <c r="K535" s="9" t="s">
        <v>236</v>
      </c>
      <c r="L535" s="9" t="s">
        <v>82</v>
      </c>
      <c r="M535" s="10" t="s">
        <v>112</v>
      </c>
      <c r="N535" s="9" t="str">
        <f ca="1">IFERROR(__xludf.DUMMYFUNCTION("REGEXEXTRACT(LOWER(M535), ""([a-z0-9\-]+)\.(?:co|net|org|io|gg)"")"),"ebay")</f>
        <v>ebay</v>
      </c>
      <c r="O535" s="9" t="s">
        <v>131</v>
      </c>
      <c r="P535" s="9" t="s">
        <v>64</v>
      </c>
      <c r="Q535" s="9">
        <v>27592</v>
      </c>
      <c r="R535" s="9">
        <v>80</v>
      </c>
      <c r="S535" s="9">
        <v>10901</v>
      </c>
      <c r="T535" s="9">
        <v>24980</v>
      </c>
      <c r="U535" s="9">
        <v>17</v>
      </c>
      <c r="V535" s="11">
        <v>6809.3560219999999</v>
      </c>
      <c r="W535" s="12">
        <f t="shared" si="14"/>
        <v>400.55035423529409</v>
      </c>
      <c r="X535" s="12">
        <f t="shared" si="15"/>
        <v>0.2899391127863149</v>
      </c>
      <c r="Y535" s="12">
        <f t="shared" si="16"/>
        <v>39.507828356045231</v>
      </c>
      <c r="Z535" s="12">
        <f t="shared" si="17"/>
        <v>624.65425392165855</v>
      </c>
      <c r="AA535" s="12">
        <f t="shared" si="18"/>
        <v>246.78733045810381</v>
      </c>
      <c r="AB535" s="12">
        <f t="shared" si="19"/>
        <v>85.116950274999994</v>
      </c>
      <c r="AC535" s="12">
        <f t="shared" si="20"/>
        <v>21.25</v>
      </c>
      <c r="AE535" s="13"/>
      <c r="AF535" s="13"/>
    </row>
    <row r="536" spans="1:32">
      <c r="A536" s="8" t="s">
        <v>1875</v>
      </c>
      <c r="B536" s="9" t="s">
        <v>198</v>
      </c>
      <c r="C536" s="9" t="s">
        <v>1876</v>
      </c>
      <c r="D536" s="9"/>
      <c r="E536" s="9"/>
      <c r="F536" s="9" t="str">
        <f ca="1">IFERROR(__xludf.DUMMYFUNCTION("IFS(
  REGEXMATCH(LOWER(VLOOKUP(A536, Data1_Raw_Slack!A:B, 2, FALSE)), ""news|weather""), ""News and Weather"", REGEXMATCH(LOWER(VLOOKUP(A536, Data1_Raw_Slack!A:B, 2, FALSE)), ""sports|ufc|nba|nfl|mlb|soccer|sports fans""), ""Sports"",
  REGEXMATCH(LOWER("&amp;"VLOOKUP(A536, Data1_Raw_Slack!A:B, 2, FALSE)), ""fashion|style|clothing|apparel|shoes|accessories|beauty|cosmetics|fashionistas""), ""Fashion and Beauty"",
  REGEXMATCH(LOWER(VLOOKUP(A536, Data1_Raw_Slack!A:B, 2, FALSE)), ""food|cooking|recipe|restaurant|"&amp;"snack|grocery|foodies""), ""Food"",
  REGEXMATCH(LOWER(VLOOKUP(A536, Data1_Raw_Slack!A:B, 2, FALSE)), ""travel|vacation|airline|hotel|trip|flights|travelers""), ""Travel"",
  REGEXMATCH(LOWER(VLOOKUP(A536, Data1_Raw_Slack!A:B, 2, FALSE)), ""fitness|workou"&amp;"t|gym|exercise|yoga|wellness|fitness enthusiasts""), ""Fitness"",
  REGEXMATCH(LOWER(VLOOKUP(A536, Data1_Raw_Slack!A:B, 2, FALSE)), ""health|medical|pharmacy|mental health|doctor|health-conscious""), ""Health"",
  REGEXMATCH(LOWER(VLOOKUP(A536, Data1_Raw_"&amp;"Slack!A:B, 2, FALSE)), ""pets|dogs|cats|animals|pet care|pet lovers""), ""Pets"",
  REGEXMATCH(LOWER(VLOOKUP(A536, Data1_Raw_Slack!A:B, 2, FALSE)), ""games|gaming|game|xbox|playstation|nintendo|gamers""), ""Gaming"",
  REGEXMATCH(LOWER(VLOOKUP(A536, Data1"&amp;"_Raw_Slack!A:B, 2, FALSE)), ""entertainment|movies|tv|netflix|streaming|celebrity|movie lovers|tv fans|hobb|photo|art""), ""Entertainment"",
  REGEXMATCH(LOWER(VLOOKUP(A536, Data1_Raw_Slack!A:B, 2, FALSE)), ""lifestyle|home|interior|decor|living|lifestyle"&amp;" enthusiasts""), ""Lifestyle"",
  REGEXMATCH(LOWER(VLOOKUP(A536, Data1_Raw_Slack!A:B, 2, FALSE)), ""financial|finance|investing|stocks|retirement|banking|credit|debt|loans|savings|personal finance|insurance|econ|ecom|business|retail|occupation|sale|job|ma"&amp;"rketing""), ""Finance"",
  REGEXMATCH(LOWER(VLOOKUP(A536, Data1_Raw_Slack!A:B, 2, FALSE)), ""auto|automotive""), ""Auto"",
  REGEXMATCH(LOWER(VLOOKUP(A536, Data1_Raw_Slack!A:B, 2, FALSE)), ""parenting|moms|dads|kids|toddlers|baby|parent|children""), ""Par"&amp;"enting"",
  REGEXMATCH(LOWER(VLOOKUP(A536, Data1_Raw_Slack!A:B, 2, FALSE)), ""education|students|learning|school|teachers|college|university|academics""), ""Education"",
  REGEXMATCH(LOWER(VLOOKUP(A536, Data1_Raw_Slack!A:B, 2, FALSE)), ""age|gender|dem"&amp;"ographic|family|household""), ""Demographics"",
  REGEXMATCH(LOWER(VLOOKUP(A536, Data1_Raw_Slack!A:B, 2, FALSE)), ""mortgage|real estate""), ""Real Estate"",REGEXMATCH(LOWER(VLOOKUP(A536, Data1_Raw_Slack!A:B, 2, FALSE)), ""technology|tech|gadgets|smartpho"&amp;"ne|electro|apps|devices|computing|ai|robots|software|computer|internet|tele|mobile|tablet""), ""Technology"", REGEXMATCH(LOWER(VLOOKUP(A536, Data1_Raw_Slack!A:B, 2, FALSE)), ""entertainment|purchas|movies|tv|netflix|streaming|celebrity|movie lovers|tv fan"&amp;"s|media|hobb|photo|art|shop""), ""Entertainment"", REGEXMATCH(LOWER(VLOOKUP(A536, Data1_Raw_Slack!A:B, 2, FALSE)), ""law|government|""), ""Law and Government"",
  TRUE, ""Other""
)"),"Law and Government")</f>
        <v>Law and Government</v>
      </c>
      <c r="G536" s="9"/>
      <c r="H536" s="9" t="s">
        <v>44</v>
      </c>
      <c r="I536" s="9" t="s">
        <v>1067</v>
      </c>
      <c r="J536" s="9" t="s">
        <v>46</v>
      </c>
      <c r="K536" s="9" t="s">
        <v>148</v>
      </c>
      <c r="L536" s="9" t="s">
        <v>89</v>
      </c>
      <c r="M536" s="10" t="s">
        <v>112</v>
      </c>
      <c r="N536" s="9" t="str">
        <f ca="1">IFERROR(__xludf.DUMMYFUNCTION("REGEXEXTRACT(LOWER(M536), ""([a-z0-9\-]+)\.(?:co|net|org|io|gg)"")"),"ebay")</f>
        <v>ebay</v>
      </c>
      <c r="O536" s="9" t="s">
        <v>50</v>
      </c>
      <c r="P536" s="9" t="s">
        <v>75</v>
      </c>
      <c r="Q536" s="9">
        <v>55692</v>
      </c>
      <c r="R536" s="9">
        <v>184</v>
      </c>
      <c r="S536" s="9">
        <v>3596</v>
      </c>
      <c r="T536" s="9">
        <v>51209</v>
      </c>
      <c r="U536" s="9">
        <v>9</v>
      </c>
      <c r="V536" s="11">
        <v>1981.0502879999999</v>
      </c>
      <c r="W536" s="12">
        <f t="shared" si="14"/>
        <v>220.11669866666665</v>
      </c>
      <c r="X536" s="12">
        <f t="shared" si="15"/>
        <v>0.33038856568268332</v>
      </c>
      <c r="Y536" s="12">
        <f t="shared" si="16"/>
        <v>6.4569417510593992</v>
      </c>
      <c r="Z536" s="12">
        <f t="shared" si="17"/>
        <v>550.90386206896551</v>
      </c>
      <c r="AA536" s="12">
        <f t="shared" si="18"/>
        <v>35.571541478129717</v>
      </c>
      <c r="AB536" s="12">
        <f t="shared" si="19"/>
        <v>10.766577652173913</v>
      </c>
      <c r="AC536" s="12">
        <f t="shared" si="20"/>
        <v>4.8913043478260869</v>
      </c>
      <c r="AE536" s="13"/>
      <c r="AF536" s="13"/>
    </row>
    <row r="537" spans="1:32">
      <c r="A537" s="8" t="s">
        <v>1877</v>
      </c>
      <c r="B537" s="9" t="s">
        <v>41</v>
      </c>
      <c r="C537" s="9" t="s">
        <v>120</v>
      </c>
      <c r="D537" s="9" t="s">
        <v>1878</v>
      </c>
      <c r="E537" s="9"/>
      <c r="F537" s="9" t="str">
        <f ca="1">IFERROR(__xludf.DUMMYFUNCTION("IFS(
  REGEXMATCH(LOWER(VLOOKUP(A537, Data1_Raw_Slack!A:B, 2, FALSE)), ""news|weather""), ""News and Weather"", REGEXMATCH(LOWER(VLOOKUP(A537, Data1_Raw_Slack!A:B, 2, FALSE)), ""sports|ufc|nba|nfl|mlb|soccer|sports fans""), ""Sports"",
  REGEXMATCH(LOWER("&amp;"VLOOKUP(A537, Data1_Raw_Slack!A:B, 2, FALSE)), ""fashion|style|clothing|apparel|shoes|accessories|beauty|cosmetics|fashionistas""), ""Fashion and Beauty"",
  REGEXMATCH(LOWER(VLOOKUP(A537, Data1_Raw_Slack!A:B, 2, FALSE)), ""food|cooking|recipe|restaurant|"&amp;"snack|grocery|foodies""), ""Food"",
  REGEXMATCH(LOWER(VLOOKUP(A537, Data1_Raw_Slack!A:B, 2, FALSE)), ""travel|vacation|airline|hotel|trip|flights|travelers""), ""Travel"",
  REGEXMATCH(LOWER(VLOOKUP(A537, Data1_Raw_Slack!A:B, 2, FALSE)), ""fitness|workou"&amp;"t|gym|exercise|yoga|wellness|fitness enthusiasts""), ""Fitness"",
  REGEXMATCH(LOWER(VLOOKUP(A537, Data1_Raw_Slack!A:B, 2, FALSE)), ""health|medical|pharmacy|mental health|doctor|health-conscious""), ""Health"",
  REGEXMATCH(LOWER(VLOOKUP(A537, Data1_Raw_"&amp;"Slack!A:B, 2, FALSE)), ""pets|dogs|cats|animals|pet care|pet lovers""), ""Pets"",
  REGEXMATCH(LOWER(VLOOKUP(A537, Data1_Raw_Slack!A:B, 2, FALSE)), ""games|gaming|game|xbox|playstation|nintendo|gamers""), ""Gaming"",
  REGEXMATCH(LOWER(VLOOKUP(A537, Data1"&amp;"_Raw_Slack!A:B, 2, FALSE)), ""entertainment|movies|tv|netflix|streaming|celebrity|movie lovers|tv fans|hobb|photo|art""), ""Entertainment"",
  REGEXMATCH(LOWER(VLOOKUP(A537, Data1_Raw_Slack!A:B, 2, FALSE)), ""lifestyle|home|interior|decor|living|lifestyle"&amp;" enthusiasts""), ""Lifestyle"",
  REGEXMATCH(LOWER(VLOOKUP(A537, Data1_Raw_Slack!A:B, 2, FALSE)), ""financial|finance|investing|stocks|retirement|banking|credit|debt|loans|savings|personal finance|insurance|econ|ecom|business|retail|occupation|sale|job|ma"&amp;"rketing""), ""Finance"",
  REGEXMATCH(LOWER(VLOOKUP(A537, Data1_Raw_Slack!A:B, 2, FALSE)), ""auto|automotive""), ""Auto"",
  REGEXMATCH(LOWER(VLOOKUP(A537, Data1_Raw_Slack!A:B, 2, FALSE)), ""parenting|moms|dads|kids|toddlers|baby|parent|children""), ""Par"&amp;"enting"",
  REGEXMATCH(LOWER(VLOOKUP(A537, Data1_Raw_Slack!A:B, 2, FALSE)), ""education|students|learning|school|teachers|college|university|academics""), ""Education"",
  REGEXMATCH(LOWER(VLOOKUP(A537, Data1_Raw_Slack!A:B, 2, FALSE)), ""age|gender|dem"&amp;"ographic|family|household""), ""Demographics"",
  REGEXMATCH(LOWER(VLOOKUP(A537, Data1_Raw_Slack!A:B, 2, FALSE)), ""mortgage|real estate""), ""Real Estate"",REGEXMATCH(LOWER(VLOOKUP(A537, Data1_Raw_Slack!A:B, 2, FALSE)), ""technology|tech|gadgets|smartpho"&amp;"ne|electro|apps|devices|computing|ai|robots|software|computer|internet|tele|mobile|tablet""), ""Technology"", REGEXMATCH(LOWER(VLOOKUP(A537, Data1_Raw_Slack!A:B, 2, FALSE)), ""entertainment|purchas|movies|tv|netflix|streaming|celebrity|movie lovers|tv fan"&amp;"s|media|hobb|photo|art|shop""), ""Entertainment"", REGEXMATCH(LOWER(VLOOKUP(A537, Data1_Raw_Slack!A:B, 2, FALSE)), ""law|government|""), ""Law and Government"",
  TRUE, ""Other""
)"),"Auto")</f>
        <v>Auto</v>
      </c>
      <c r="G537" s="9" t="s">
        <v>122</v>
      </c>
      <c r="H537" s="9" t="s">
        <v>32</v>
      </c>
      <c r="I537" s="9" t="s">
        <v>1879</v>
      </c>
      <c r="J537" s="9" t="s">
        <v>46</v>
      </c>
      <c r="K537" s="9" t="s">
        <v>170</v>
      </c>
      <c r="L537" s="9" t="s">
        <v>72</v>
      </c>
      <c r="M537" s="10" t="s">
        <v>1880</v>
      </c>
      <c r="N537" s="9" t="str">
        <f ca="1">IFERROR(__xludf.DUMMYFUNCTION("REGEXEXTRACT(LOWER(M537), ""([a-z0-9\-]+)\.(?:co|net|org|io|gg)"")"),"mobileposse")</f>
        <v>mobileposse</v>
      </c>
      <c r="O537" s="9" t="s">
        <v>50</v>
      </c>
      <c r="P537" s="9" t="s">
        <v>39</v>
      </c>
      <c r="Q537" s="9">
        <v>98509</v>
      </c>
      <c r="R537" s="9">
        <v>299</v>
      </c>
      <c r="S537" s="9">
        <v>30688</v>
      </c>
      <c r="T537" s="9">
        <v>109518</v>
      </c>
      <c r="U537" s="9">
        <v>15</v>
      </c>
      <c r="V537" s="11">
        <v>2059.2702939999999</v>
      </c>
      <c r="W537" s="12">
        <f t="shared" si="14"/>
        <v>137.28468626666665</v>
      </c>
      <c r="X537" s="12">
        <f t="shared" si="15"/>
        <v>0.30352556619192156</v>
      </c>
      <c r="Y537" s="12">
        <f t="shared" si="16"/>
        <v>31.152483529423709</v>
      </c>
      <c r="Z537" s="12">
        <f t="shared" si="17"/>
        <v>67.103437630344118</v>
      </c>
      <c r="AA537" s="12">
        <f t="shared" si="18"/>
        <v>20.904387355470057</v>
      </c>
      <c r="AB537" s="12">
        <f t="shared" si="19"/>
        <v>6.8871916187290969</v>
      </c>
      <c r="AC537" s="12">
        <f t="shared" si="20"/>
        <v>5.0167224080267561</v>
      </c>
      <c r="AE537" s="13"/>
      <c r="AF537" s="13"/>
    </row>
    <row r="538" spans="1:32">
      <c r="A538" s="8" t="s">
        <v>1881</v>
      </c>
      <c r="B538" s="9" t="s">
        <v>41</v>
      </c>
      <c r="C538" s="9" t="s">
        <v>253</v>
      </c>
      <c r="D538" s="9" t="s">
        <v>69</v>
      </c>
      <c r="E538" s="9"/>
      <c r="F538" s="9" t="str">
        <f ca="1">IFERROR(__xludf.DUMMYFUNCTION("IFS(
  REGEXMATCH(LOWER(VLOOKUP(A538, Data1_Raw_Slack!A:B, 2, FALSE)), ""news|weather""), ""News and Weather"", REGEXMATCH(LOWER(VLOOKUP(A538, Data1_Raw_Slack!A:B, 2, FALSE)), ""sports|ufc|nba|nfl|mlb|soccer|sports fans""), ""Sports"",
  REGEXMATCH(LOWER("&amp;"VLOOKUP(A538, Data1_Raw_Slack!A:B, 2, FALSE)), ""fashion|style|clothing|apparel|shoes|accessories|beauty|cosmetics|fashionistas""), ""Fashion and Beauty"",
  REGEXMATCH(LOWER(VLOOKUP(A538, Data1_Raw_Slack!A:B, 2, FALSE)), ""food|cooking|recipe|restaurant|"&amp;"snack|grocery|foodies""), ""Food"",
  REGEXMATCH(LOWER(VLOOKUP(A538, Data1_Raw_Slack!A:B, 2, FALSE)), ""travel|vacation|airline|hotel|trip|flights|travelers""), ""Travel"",
  REGEXMATCH(LOWER(VLOOKUP(A538, Data1_Raw_Slack!A:B, 2, FALSE)), ""fitness|workou"&amp;"t|gym|exercise|yoga|wellness|fitness enthusiasts""), ""Fitness"",
  REGEXMATCH(LOWER(VLOOKUP(A538, Data1_Raw_Slack!A:B, 2, FALSE)), ""health|medical|pharmacy|mental health|doctor|health-conscious""), ""Health"",
  REGEXMATCH(LOWER(VLOOKUP(A538, Data1_Raw_"&amp;"Slack!A:B, 2, FALSE)), ""pets|dogs|cats|animals|pet care|pet lovers""), ""Pets"",
  REGEXMATCH(LOWER(VLOOKUP(A538, Data1_Raw_Slack!A:B, 2, FALSE)), ""games|gaming|game|xbox|playstation|nintendo|gamers""), ""Gaming"",
  REGEXMATCH(LOWER(VLOOKUP(A538, Data1"&amp;"_Raw_Slack!A:B, 2, FALSE)), ""entertainment|movies|tv|netflix|streaming|celebrity|movie lovers|tv fans|hobb|photo|art""), ""Entertainment"",
  REGEXMATCH(LOWER(VLOOKUP(A538, Data1_Raw_Slack!A:B, 2, FALSE)), ""lifestyle|home|interior|decor|living|lifestyle"&amp;" enthusiasts""), ""Lifestyle"",
  REGEXMATCH(LOWER(VLOOKUP(A538, Data1_Raw_Slack!A:B, 2, FALSE)), ""financial|finance|investing|stocks|retirement|banking|credit|debt|loans|savings|personal finance|insurance|econ|ecom|business|retail|occupation|sale|job|ma"&amp;"rketing""), ""Finance"",
  REGEXMATCH(LOWER(VLOOKUP(A538, Data1_Raw_Slack!A:B, 2, FALSE)), ""auto|automotive""), ""Auto"",
  REGEXMATCH(LOWER(VLOOKUP(A538, Data1_Raw_Slack!A:B, 2, FALSE)), ""parenting|moms|dads|kids|toddlers|baby|parent|children""), ""Par"&amp;"enting"",
  REGEXMATCH(LOWER(VLOOKUP(A538, Data1_Raw_Slack!A:B, 2, FALSE)), ""education|students|learning|school|teachers|college|university|academics""), ""Education"",
  REGEXMATCH(LOWER(VLOOKUP(A538, Data1_Raw_Slack!A:B, 2, FALSE)), ""age|gender|dem"&amp;"ographic|family|household""), ""Demographics"",
  REGEXMATCH(LOWER(VLOOKUP(A538, Data1_Raw_Slack!A:B, 2, FALSE)), ""mortgage|real estate""), ""Real Estate"",REGEXMATCH(LOWER(VLOOKUP(A538, Data1_Raw_Slack!A:B, 2, FALSE)), ""technology|tech|gadgets|smartpho"&amp;"ne|electro|apps|devices|computing|ai|robots|software|computer|internet|tele|mobile|tablet""), ""Technology"", REGEXMATCH(LOWER(VLOOKUP(A538, Data1_Raw_Slack!A:B, 2, FALSE)), ""entertainment|purchas|movies|tv|netflix|streaming|celebrity|movie lovers|tv fan"&amp;"s|media|hobb|photo|art|shop""), ""Entertainment"", REGEXMATCH(LOWER(VLOOKUP(A538, Data1_Raw_Slack!A:B, 2, FALSE)), ""law|government|""), ""Law and Government"",
  TRUE, ""Other""
)"),"Entertainment")</f>
        <v>Entertainment</v>
      </c>
      <c r="G538" s="9" t="s">
        <v>69</v>
      </c>
      <c r="H538" s="9" t="s">
        <v>123</v>
      </c>
      <c r="I538" s="9" t="s">
        <v>1882</v>
      </c>
      <c r="J538" s="9" t="s">
        <v>46</v>
      </c>
      <c r="K538" s="9" t="s">
        <v>56</v>
      </c>
      <c r="L538" s="9" t="s">
        <v>57</v>
      </c>
      <c r="M538" s="10" t="s">
        <v>1042</v>
      </c>
      <c r="N538" s="9" t="str">
        <f ca="1">IFERROR(__xludf.DUMMYFUNCTION("REGEXEXTRACT(LOWER(M538), ""([a-z0-9\-]+)\.(?:co|net|org|io|gg)"")"),"mapquest")</f>
        <v>mapquest</v>
      </c>
      <c r="O538" s="9" t="s">
        <v>186</v>
      </c>
      <c r="P538" s="9" t="s">
        <v>39</v>
      </c>
      <c r="Q538" s="9">
        <v>11734</v>
      </c>
      <c r="R538" s="9">
        <v>78</v>
      </c>
      <c r="S538" s="9">
        <v>8741</v>
      </c>
      <c r="T538" s="9">
        <v>10606</v>
      </c>
      <c r="U538" s="9">
        <v>5</v>
      </c>
      <c r="V538" s="11">
        <v>6439.2834979999998</v>
      </c>
      <c r="W538" s="12">
        <f t="shared" si="14"/>
        <v>1287.8566996</v>
      </c>
      <c r="X538" s="12">
        <f t="shared" si="15"/>
        <v>0.66473495824100903</v>
      </c>
      <c r="Y538" s="12">
        <f t="shared" si="16"/>
        <v>74.492926538264868</v>
      </c>
      <c r="Z538" s="12">
        <f t="shared" si="17"/>
        <v>736.67583777599805</v>
      </c>
      <c r="AA538" s="12">
        <f t="shared" si="18"/>
        <v>548.7713906596216</v>
      </c>
      <c r="AB538" s="12">
        <f t="shared" si="19"/>
        <v>82.554916641025642</v>
      </c>
      <c r="AC538" s="12">
        <f t="shared" si="20"/>
        <v>6.4102564102564097</v>
      </c>
      <c r="AE538" s="13"/>
      <c r="AF538" s="13"/>
    </row>
    <row r="539" spans="1:32">
      <c r="A539" s="8" t="s">
        <v>1883</v>
      </c>
      <c r="B539" s="9" t="s">
        <v>41</v>
      </c>
      <c r="C539" s="9" t="s">
        <v>162</v>
      </c>
      <c r="D539" s="9" t="s">
        <v>163</v>
      </c>
      <c r="E539" s="9" t="s">
        <v>1433</v>
      </c>
      <c r="F539" s="9" t="str">
        <f ca="1">IFERROR(__xludf.DUMMYFUNCTION("IFS(
  REGEXMATCH(LOWER(VLOOKUP(A539, Data1_Raw_Slack!A:B, 2, FALSE)), ""news|weather""), ""News and Weather"", REGEXMATCH(LOWER(VLOOKUP(A539, Data1_Raw_Slack!A:B, 2, FALSE)), ""sports|ufc|nba|nfl|mlb|soccer|sports fans""), ""Sports"",
  REGEXMATCH(LOWER("&amp;"VLOOKUP(A539, Data1_Raw_Slack!A:B, 2, FALSE)), ""fashion|style|clothing|apparel|shoes|accessories|beauty|cosmetics|fashionistas""), ""Fashion and Beauty"",
  REGEXMATCH(LOWER(VLOOKUP(A539, Data1_Raw_Slack!A:B, 2, FALSE)), ""food|cooking|recipe|restaurant|"&amp;"snack|grocery|foodies""), ""Food"",
  REGEXMATCH(LOWER(VLOOKUP(A539, Data1_Raw_Slack!A:B, 2, FALSE)), ""travel|vacation|airline|hotel|trip|flights|travelers""), ""Travel"",
  REGEXMATCH(LOWER(VLOOKUP(A539, Data1_Raw_Slack!A:B, 2, FALSE)), ""fitness|workou"&amp;"t|gym|exercise|yoga|wellness|fitness enthusiasts""), ""Fitness"",
  REGEXMATCH(LOWER(VLOOKUP(A539, Data1_Raw_Slack!A:B, 2, FALSE)), ""health|medical|pharmacy|mental health|doctor|health-conscious""), ""Health"",
  REGEXMATCH(LOWER(VLOOKUP(A539, Data1_Raw_"&amp;"Slack!A:B, 2, FALSE)), ""pets|dogs|cats|animals|pet care|pet lovers""), ""Pets"",
  REGEXMATCH(LOWER(VLOOKUP(A539, Data1_Raw_Slack!A:B, 2, FALSE)), ""games|gaming|game|xbox|playstation|nintendo|gamers""), ""Gaming"",
  REGEXMATCH(LOWER(VLOOKUP(A539, Data1"&amp;"_Raw_Slack!A:B, 2, FALSE)), ""entertainment|movies|tv|netflix|streaming|celebrity|movie lovers|tv fans|hobb|photo|art""), ""Entertainment"",
  REGEXMATCH(LOWER(VLOOKUP(A539, Data1_Raw_Slack!A:B, 2, FALSE)), ""lifestyle|home|interior|decor|living|lifestyle"&amp;" enthusiasts""), ""Lifestyle"",
  REGEXMATCH(LOWER(VLOOKUP(A539, Data1_Raw_Slack!A:B, 2, FALSE)), ""financial|finance|investing|stocks|retirement|banking|credit|debt|loans|savings|personal finance|insurance|econ|ecom|business|retail|occupation|sale|job|ma"&amp;"rketing""), ""Finance"",
  REGEXMATCH(LOWER(VLOOKUP(A539, Data1_Raw_Slack!A:B, 2, FALSE)), ""auto|automotive""), ""Auto"",
  REGEXMATCH(LOWER(VLOOKUP(A539, Data1_Raw_Slack!A:B, 2, FALSE)), ""parenting|moms|dads|kids|toddlers|baby|parent|children""), ""Par"&amp;"enting"",
  REGEXMATCH(LOWER(VLOOKUP(A539, Data1_Raw_Slack!A:B, 2, FALSE)), ""education|students|learning|school|teachers|college|university|academics""), ""Education"",
  REGEXMATCH(LOWER(VLOOKUP(A539, Data1_Raw_Slack!A:B, 2, FALSE)), ""age|gender|dem"&amp;"ographic|family|household""), ""Demographics"",
  REGEXMATCH(LOWER(VLOOKUP(A539, Data1_Raw_Slack!A:B, 2, FALSE)), ""mortgage|real estate""), ""Real Estate"",REGEXMATCH(LOWER(VLOOKUP(A539, Data1_Raw_Slack!A:B, 2, FALSE)), ""technology|tech|gadgets|smartpho"&amp;"ne|electro|apps|devices|computing|ai|robots|software|computer|internet|tele|mobile|tablet""), ""Technology"", REGEXMATCH(LOWER(VLOOKUP(A539, Data1_Raw_Slack!A:B, 2, FALSE)), ""entertainment|purchas|movies|tv|netflix|streaming|celebrity|movie lovers|tv fan"&amp;"s|media|hobb|photo|art|shop""), ""Entertainment"", REGEXMATCH(LOWER(VLOOKUP(A539, Data1_Raw_Slack!A:B, 2, FALSE)), ""law|government|""), ""Law and Government"",
  TRUE, ""Other""
)"),"Auto")</f>
        <v>Auto</v>
      </c>
      <c r="G539" s="9" t="s">
        <v>122</v>
      </c>
      <c r="H539" s="9" t="s">
        <v>32</v>
      </c>
      <c r="I539" s="9" t="s">
        <v>855</v>
      </c>
      <c r="J539" s="9" t="s">
        <v>80</v>
      </c>
      <c r="K539" s="9" t="s">
        <v>81</v>
      </c>
      <c r="L539" s="9" t="s">
        <v>82</v>
      </c>
      <c r="M539" s="10" t="s">
        <v>1884</v>
      </c>
      <c r="N539" s="9" t="str">
        <f ca="1">IFERROR(__xludf.DUMMYFUNCTION("REGEXEXTRACT(LOWER(M539), ""([a-z0-9\-]+)\.(?:co|net|org|io|gg)"")"),"historycollection")</f>
        <v>historycollection</v>
      </c>
      <c r="O539" s="9" t="s">
        <v>50</v>
      </c>
      <c r="P539" s="9" t="s">
        <v>39</v>
      </c>
      <c r="Q539" s="9">
        <v>138904</v>
      </c>
      <c r="R539" s="9">
        <v>399</v>
      </c>
      <c r="S539" s="9">
        <v>98952</v>
      </c>
      <c r="T539" s="9">
        <v>120688</v>
      </c>
      <c r="U539" s="9">
        <v>25</v>
      </c>
      <c r="V539" s="11">
        <v>5038.6447239999998</v>
      </c>
      <c r="W539" s="12">
        <f t="shared" si="14"/>
        <v>201.54578895999998</v>
      </c>
      <c r="X539" s="12">
        <f t="shared" si="15"/>
        <v>0.28724874733628986</v>
      </c>
      <c r="Y539" s="12">
        <f t="shared" si="16"/>
        <v>71.237689339399864</v>
      </c>
      <c r="Z539" s="12">
        <f t="shared" si="17"/>
        <v>50.920089780903872</v>
      </c>
      <c r="AA539" s="12">
        <f t="shared" si="18"/>
        <v>36.2742953694638</v>
      </c>
      <c r="AB539" s="12">
        <f t="shared" si="19"/>
        <v>12.62818226566416</v>
      </c>
      <c r="AC539" s="12">
        <f t="shared" si="20"/>
        <v>6.2656641604010019</v>
      </c>
      <c r="AE539" s="13"/>
      <c r="AF539" s="13"/>
    </row>
    <row r="540" spans="1:32">
      <c r="A540" s="8" t="s">
        <v>1885</v>
      </c>
      <c r="B540" s="9" t="s">
        <v>41</v>
      </c>
      <c r="C540" s="9" t="s">
        <v>214</v>
      </c>
      <c r="D540" s="9" t="s">
        <v>326</v>
      </c>
      <c r="E540" s="9" t="s">
        <v>1886</v>
      </c>
      <c r="F540" s="9" t="str">
        <f ca="1">IFERROR(__xludf.DUMMYFUNCTION("IFS(
  REGEXMATCH(LOWER(VLOOKUP(A540, Data1_Raw_Slack!A:B, 2, FALSE)), ""news|weather""), ""News and Weather"", REGEXMATCH(LOWER(VLOOKUP(A540, Data1_Raw_Slack!A:B, 2, FALSE)), ""sports|ufc|nba|nfl|mlb|soccer|sports fans""), ""Sports"",
  REGEXMATCH(LOWER("&amp;"VLOOKUP(A540, Data1_Raw_Slack!A:B, 2, FALSE)), ""fashion|style|clothing|apparel|shoes|accessories|beauty|cosmetics|fashionistas""), ""Fashion and Beauty"",
  REGEXMATCH(LOWER(VLOOKUP(A540, Data1_Raw_Slack!A:B, 2, FALSE)), ""food|cooking|recipe|restaurant|"&amp;"snack|grocery|foodies""), ""Food"",
  REGEXMATCH(LOWER(VLOOKUP(A540, Data1_Raw_Slack!A:B, 2, FALSE)), ""travel|vacation|airline|hotel|trip|flights|travelers""), ""Travel"",
  REGEXMATCH(LOWER(VLOOKUP(A540, Data1_Raw_Slack!A:B, 2, FALSE)), ""fitness|workou"&amp;"t|gym|exercise|yoga|wellness|fitness enthusiasts""), ""Fitness"",
  REGEXMATCH(LOWER(VLOOKUP(A540, Data1_Raw_Slack!A:B, 2, FALSE)), ""health|medical|pharmacy|mental health|doctor|health-conscious""), ""Health"",
  REGEXMATCH(LOWER(VLOOKUP(A540, Data1_Raw_"&amp;"Slack!A:B, 2, FALSE)), ""pets|dogs|cats|animals|pet care|pet lovers""), ""Pets"",
  REGEXMATCH(LOWER(VLOOKUP(A540, Data1_Raw_Slack!A:B, 2, FALSE)), ""games|gaming|game|xbox|playstation|nintendo|gamers""), ""Gaming"",
  REGEXMATCH(LOWER(VLOOKUP(A540, Data1"&amp;"_Raw_Slack!A:B, 2, FALSE)), ""entertainment|movies|tv|netflix|streaming|celebrity|movie lovers|tv fans|hobb|photo|art""), ""Entertainment"",
  REGEXMATCH(LOWER(VLOOKUP(A540, Data1_Raw_Slack!A:B, 2, FALSE)), ""lifestyle|home|interior|decor|living|lifestyle"&amp;" enthusiasts""), ""Lifestyle"",
  REGEXMATCH(LOWER(VLOOKUP(A540, Data1_Raw_Slack!A:B, 2, FALSE)), ""financial|finance|investing|stocks|retirement|banking|credit|debt|loans|savings|personal finance|insurance|econ|ecom|business|retail|occupation|sale|job|ma"&amp;"rketing""), ""Finance"",
  REGEXMATCH(LOWER(VLOOKUP(A540, Data1_Raw_Slack!A:B, 2, FALSE)), ""auto|automotive""), ""Auto"",
  REGEXMATCH(LOWER(VLOOKUP(A540, Data1_Raw_Slack!A:B, 2, FALSE)), ""parenting|moms|dads|kids|toddlers|baby|parent|children""), ""Par"&amp;"enting"",
  REGEXMATCH(LOWER(VLOOKUP(A540, Data1_Raw_Slack!A:B, 2, FALSE)), ""education|students|learning|school|teachers|college|university|academics""), ""Education"",
  REGEXMATCH(LOWER(VLOOKUP(A540, Data1_Raw_Slack!A:B, 2, FALSE)), ""age|gender|dem"&amp;"ographic|family|household""), ""Demographics"",
  REGEXMATCH(LOWER(VLOOKUP(A540, Data1_Raw_Slack!A:B, 2, FALSE)), ""mortgage|real estate""), ""Real Estate"",REGEXMATCH(LOWER(VLOOKUP(A540, Data1_Raw_Slack!A:B, 2, FALSE)), ""technology|tech|gadgets|smartpho"&amp;"ne|electro|apps|devices|computing|ai|robots|software|computer|internet|tele|mobile|tablet""), ""Technology"", REGEXMATCH(LOWER(VLOOKUP(A540, Data1_Raw_Slack!A:B, 2, FALSE)), ""entertainment|purchas|movies|tv|netflix|streaming|celebrity|movie lovers|tv fan"&amp;"s|media|hobb|photo|art|shop""), ""Entertainment"", REGEXMATCH(LOWER(VLOOKUP(A540, Data1_Raw_Slack!A:B, 2, FALSE)), ""law|government|""), ""Law and Government"",
  TRUE, ""Other""
)"),"Demographics")</f>
        <v>Demographics</v>
      </c>
      <c r="G540" s="9"/>
      <c r="H540" s="9" t="s">
        <v>32</v>
      </c>
      <c r="I540" s="9" t="s">
        <v>1887</v>
      </c>
      <c r="J540" s="9" t="s">
        <v>34</v>
      </c>
      <c r="K540" s="9" t="s">
        <v>1072</v>
      </c>
      <c r="L540" s="9" t="s">
        <v>242</v>
      </c>
      <c r="M540" s="10" t="s">
        <v>888</v>
      </c>
      <c r="N540" s="9" t="str">
        <f ca="1">IFERROR(__xludf.DUMMYFUNCTION("REGEXEXTRACT(LOWER(M540), ""([a-z0-9\-]+)\.(?:co|net|org|io|gg)"")"),"microsoftcasualgames")</f>
        <v>microsoftcasualgames</v>
      </c>
      <c r="O540" s="9" t="s">
        <v>131</v>
      </c>
      <c r="P540" s="9" t="s">
        <v>39</v>
      </c>
      <c r="Q540" s="9">
        <v>252170</v>
      </c>
      <c r="R540" s="9">
        <v>650</v>
      </c>
      <c r="S540" s="9">
        <v>9248</v>
      </c>
      <c r="T540" s="9">
        <v>14192</v>
      </c>
      <c r="U540" s="9">
        <v>1</v>
      </c>
      <c r="V540" s="11">
        <v>5874.0047800000002</v>
      </c>
      <c r="W540" s="12">
        <f t="shared" si="14"/>
        <v>5874.0047800000002</v>
      </c>
      <c r="X540" s="12">
        <f t="shared" si="15"/>
        <v>0.2577626204544553</v>
      </c>
      <c r="Y540" s="12">
        <f t="shared" si="16"/>
        <v>3.6673672522504663</v>
      </c>
      <c r="Z540" s="12">
        <f t="shared" si="17"/>
        <v>635.16487673010386</v>
      </c>
      <c r="AA540" s="12">
        <f t="shared" si="18"/>
        <v>23.293828686996868</v>
      </c>
      <c r="AB540" s="12">
        <f t="shared" si="19"/>
        <v>9.0369304307692317</v>
      </c>
      <c r="AC540" s="12">
        <f t="shared" si="20"/>
        <v>0.15384615384615385</v>
      </c>
      <c r="AE540" s="13"/>
      <c r="AF540" s="13"/>
    </row>
    <row r="541" spans="1:32">
      <c r="A541" s="8" t="s">
        <v>1888</v>
      </c>
      <c r="B541" s="9" t="s">
        <v>41</v>
      </c>
      <c r="C541" s="9" t="s">
        <v>85</v>
      </c>
      <c r="D541" s="9" t="s">
        <v>1322</v>
      </c>
      <c r="E541" s="9" t="s">
        <v>1889</v>
      </c>
      <c r="F541" s="9" t="str">
        <f ca="1">IFERROR(__xludf.DUMMYFUNCTION("IFS(
  REGEXMATCH(LOWER(VLOOKUP(A541, Data1_Raw_Slack!A:B, 2, FALSE)), ""news|weather""), ""News and Weather"", REGEXMATCH(LOWER(VLOOKUP(A541, Data1_Raw_Slack!A:B, 2, FALSE)), ""sports|ufc|nba|nfl|mlb|soccer|sports fans""), ""Sports"",
  REGEXMATCH(LOWER("&amp;"VLOOKUP(A541, Data1_Raw_Slack!A:B, 2, FALSE)), ""fashion|style|clothing|apparel|shoes|accessories|beauty|cosmetics|fashionistas""), ""Fashion and Beauty"",
  REGEXMATCH(LOWER(VLOOKUP(A541, Data1_Raw_Slack!A:B, 2, FALSE)), ""food|cooking|recipe|restaurant|"&amp;"snack|grocery|foodies""), ""Food"",
  REGEXMATCH(LOWER(VLOOKUP(A541, Data1_Raw_Slack!A:B, 2, FALSE)), ""travel|vacation|airline|hotel|trip|flights|travelers""), ""Travel"",
  REGEXMATCH(LOWER(VLOOKUP(A541, Data1_Raw_Slack!A:B, 2, FALSE)), ""fitness|workou"&amp;"t|gym|exercise|yoga|wellness|fitness enthusiasts""), ""Fitness"",
  REGEXMATCH(LOWER(VLOOKUP(A541, Data1_Raw_Slack!A:B, 2, FALSE)), ""health|medical|pharmacy|mental health|doctor|health-conscious""), ""Health"",
  REGEXMATCH(LOWER(VLOOKUP(A541, Data1_Raw_"&amp;"Slack!A:B, 2, FALSE)), ""pets|dogs|cats|animals|pet care|pet lovers""), ""Pets"",
  REGEXMATCH(LOWER(VLOOKUP(A541, Data1_Raw_Slack!A:B, 2, FALSE)), ""games|gaming|game|xbox|playstation|nintendo|gamers""), ""Gaming"",
  REGEXMATCH(LOWER(VLOOKUP(A541, Data1"&amp;"_Raw_Slack!A:B, 2, FALSE)), ""entertainment|movies|tv|netflix|streaming|celebrity|movie lovers|tv fans|hobb|photo|art""), ""Entertainment"",
  REGEXMATCH(LOWER(VLOOKUP(A541, Data1_Raw_Slack!A:B, 2, FALSE)), ""lifestyle|home|interior|decor|living|lifestyle"&amp;" enthusiasts""), ""Lifestyle"",
  REGEXMATCH(LOWER(VLOOKUP(A541, Data1_Raw_Slack!A:B, 2, FALSE)), ""financial|finance|investing|stocks|retirement|banking|credit|debt|loans|savings|personal finance|insurance|econ|ecom|business|retail|occupation|sale|job|ma"&amp;"rketing""), ""Finance"",
  REGEXMATCH(LOWER(VLOOKUP(A541, Data1_Raw_Slack!A:B, 2, FALSE)), ""auto|automotive""), ""Auto"",
  REGEXMATCH(LOWER(VLOOKUP(A541, Data1_Raw_Slack!A:B, 2, FALSE)), ""parenting|moms|dads|kids|toddlers|baby|parent|children""), ""Par"&amp;"enting"",
  REGEXMATCH(LOWER(VLOOKUP(A541, Data1_Raw_Slack!A:B, 2, FALSE)), ""education|students|learning|school|teachers|college|university|academics""), ""Education"",
  REGEXMATCH(LOWER(VLOOKUP(A541, Data1_Raw_Slack!A:B, 2, FALSE)), ""age|gender|dem"&amp;"ographic|family|household""), ""Demographics"",
  REGEXMATCH(LOWER(VLOOKUP(A541, Data1_Raw_Slack!A:B, 2, FALSE)), ""mortgage|real estate""), ""Real Estate"",REGEXMATCH(LOWER(VLOOKUP(A541, Data1_Raw_Slack!A:B, 2, FALSE)), ""technology|tech|gadgets|smartpho"&amp;"ne|electro|apps|devices|computing|ai|robots|software|computer|internet|tele|mobile|tablet""), ""Technology"", REGEXMATCH(LOWER(VLOOKUP(A541, Data1_Raw_Slack!A:B, 2, FALSE)), ""entertainment|purchas|movies|tv|netflix|streaming|celebrity|movie lovers|tv fan"&amp;"s|media|hobb|photo|art|shop""), ""Entertainment"", REGEXMATCH(LOWER(VLOOKUP(A541, Data1_Raw_Slack!A:B, 2, FALSE)), ""law|government|""), ""Law and Government"",
  TRUE, ""Other""
)"),"Travel")</f>
        <v>Travel</v>
      </c>
      <c r="G541" s="9" t="s">
        <v>85</v>
      </c>
      <c r="H541" s="9" t="s">
        <v>44</v>
      </c>
      <c r="I541" s="9" t="s">
        <v>483</v>
      </c>
      <c r="J541" s="9" t="s">
        <v>80</v>
      </c>
      <c r="K541" s="9" t="s">
        <v>142</v>
      </c>
      <c r="L541" s="9" t="s">
        <v>72</v>
      </c>
      <c r="M541" s="10" t="s">
        <v>73</v>
      </c>
      <c r="N541" s="9" t="str">
        <f ca="1">IFERROR(__xludf.DUMMYFUNCTION("REGEXEXTRACT(LOWER(M541), ""([a-z0-9\-]+)\.(?:co|net|org|io|gg)"")"),"aol")</f>
        <v>aol</v>
      </c>
      <c r="O541" s="9" t="s">
        <v>50</v>
      </c>
      <c r="P541" s="9" t="s">
        <v>75</v>
      </c>
      <c r="Q541" s="9">
        <v>141165</v>
      </c>
      <c r="R541" s="9">
        <v>250</v>
      </c>
      <c r="S541" s="9">
        <v>102776</v>
      </c>
      <c r="T541" s="9">
        <v>128004</v>
      </c>
      <c r="U541" s="9">
        <v>28</v>
      </c>
      <c r="V541" s="11">
        <v>7222.2114080000001</v>
      </c>
      <c r="W541" s="12">
        <f t="shared" si="14"/>
        <v>257.93612171428572</v>
      </c>
      <c r="X541" s="12">
        <f t="shared" si="15"/>
        <v>0.17709772252328834</v>
      </c>
      <c r="Y541" s="12">
        <f t="shared" si="16"/>
        <v>72.805582120213927</v>
      </c>
      <c r="Z541" s="12">
        <f t="shared" si="17"/>
        <v>70.271380555771771</v>
      </c>
      <c r="AA541" s="12">
        <f t="shared" si="18"/>
        <v>51.161487677540464</v>
      </c>
      <c r="AB541" s="12">
        <f t="shared" si="19"/>
        <v>28.888845631999999</v>
      </c>
      <c r="AC541" s="12">
        <f t="shared" si="20"/>
        <v>11.200000000000001</v>
      </c>
      <c r="AE541" s="13"/>
      <c r="AF541" s="13"/>
    </row>
    <row r="542" spans="1:32">
      <c r="A542" s="8" t="s">
        <v>1890</v>
      </c>
      <c r="B542" s="9" t="s">
        <v>41</v>
      </c>
      <c r="C542" s="9" t="s">
        <v>42</v>
      </c>
      <c r="D542" s="9" t="s">
        <v>1891</v>
      </c>
      <c r="E542" s="9"/>
      <c r="F542" s="9" t="str">
        <f ca="1">IFERROR(__xludf.DUMMYFUNCTION("IFS(
  REGEXMATCH(LOWER(VLOOKUP(A542, Data1_Raw_Slack!A:B, 2, FALSE)), ""news|weather""), ""News and Weather"", REGEXMATCH(LOWER(VLOOKUP(A542, Data1_Raw_Slack!A:B, 2, FALSE)), ""sports|ufc|nba|nfl|mlb|soccer|sports fans""), ""Sports"",
  REGEXMATCH(LOWER("&amp;"VLOOKUP(A542, Data1_Raw_Slack!A:B, 2, FALSE)), ""fashion|style|clothing|apparel|shoes|accessories|beauty|cosmetics|fashionistas""), ""Fashion and Beauty"",
  REGEXMATCH(LOWER(VLOOKUP(A542, Data1_Raw_Slack!A:B, 2, FALSE)), ""food|cooking|recipe|restaurant|"&amp;"snack|grocery|foodies""), ""Food"",
  REGEXMATCH(LOWER(VLOOKUP(A542, Data1_Raw_Slack!A:B, 2, FALSE)), ""travel|vacation|airline|hotel|trip|flights|travelers""), ""Travel"",
  REGEXMATCH(LOWER(VLOOKUP(A542, Data1_Raw_Slack!A:B, 2, FALSE)), ""fitness|workou"&amp;"t|gym|exercise|yoga|wellness|fitness enthusiasts""), ""Fitness"",
  REGEXMATCH(LOWER(VLOOKUP(A542, Data1_Raw_Slack!A:B, 2, FALSE)), ""health|medical|pharmacy|mental health|doctor|health-conscious""), ""Health"",
  REGEXMATCH(LOWER(VLOOKUP(A542, Data1_Raw_"&amp;"Slack!A:B, 2, FALSE)), ""pets|dogs|cats|animals|pet care|pet lovers""), ""Pets"",
  REGEXMATCH(LOWER(VLOOKUP(A542, Data1_Raw_Slack!A:B, 2, FALSE)), ""games|gaming|game|xbox|playstation|nintendo|gamers""), ""Gaming"",
  REGEXMATCH(LOWER(VLOOKUP(A542, Data1"&amp;"_Raw_Slack!A:B, 2, FALSE)), ""entertainment|movies|tv|netflix|streaming|celebrity|movie lovers|tv fans|hobb|photo|art""), ""Entertainment"",
  REGEXMATCH(LOWER(VLOOKUP(A542, Data1_Raw_Slack!A:B, 2, FALSE)), ""lifestyle|home|interior|decor|living|lifestyle"&amp;" enthusiasts""), ""Lifestyle"",
  REGEXMATCH(LOWER(VLOOKUP(A542, Data1_Raw_Slack!A:B, 2, FALSE)), ""financial|finance|investing|stocks|retirement|banking|credit|debt|loans|savings|personal finance|insurance|econ|ecom|business|retail|occupation|sale|job|ma"&amp;"rketing""), ""Finance"",
  REGEXMATCH(LOWER(VLOOKUP(A542, Data1_Raw_Slack!A:B, 2, FALSE)), ""auto|automotive""), ""Auto"",
  REGEXMATCH(LOWER(VLOOKUP(A542, Data1_Raw_Slack!A:B, 2, FALSE)), ""parenting|moms|dads|kids|toddlers|baby|parent|children""), ""Par"&amp;"enting"",
  REGEXMATCH(LOWER(VLOOKUP(A542, Data1_Raw_Slack!A:B, 2, FALSE)), ""education|students|learning|school|teachers|college|university|academics""), ""Education"",
  REGEXMATCH(LOWER(VLOOKUP(A542, Data1_Raw_Slack!A:B, 2, FALSE)), ""age|gender|dem"&amp;"ographic|family|household""), ""Demographics"",
  REGEXMATCH(LOWER(VLOOKUP(A542, Data1_Raw_Slack!A:B, 2, FALSE)), ""mortgage|real estate""), ""Real Estate"",REGEXMATCH(LOWER(VLOOKUP(A542, Data1_Raw_Slack!A:B, 2, FALSE)), ""technology|tech|gadgets|smartpho"&amp;"ne|electro|apps|devices|computing|ai|robots|software|computer|internet|tele|mobile|tablet""), ""Technology"", REGEXMATCH(LOWER(VLOOKUP(A542, Data1_Raw_Slack!A:B, 2, FALSE)), ""entertainment|purchas|movies|tv|netflix|streaming|celebrity|movie lovers|tv fan"&amp;"s|media|hobb|photo|art|shop""), ""Entertainment"", REGEXMATCH(LOWER(VLOOKUP(A542, Data1_Raw_Slack!A:B, 2, FALSE)), ""law|government|""), ""Law and Government"",
  TRUE, ""Other""
)"),"Entertainment")</f>
        <v>Entertainment</v>
      </c>
      <c r="G542" s="9"/>
      <c r="H542" s="9" t="s">
        <v>32</v>
      </c>
      <c r="I542" s="9" t="s">
        <v>466</v>
      </c>
      <c r="J542" s="9" t="s">
        <v>62</v>
      </c>
      <c r="K542" s="9" t="s">
        <v>170</v>
      </c>
      <c r="L542" s="9" t="s">
        <v>72</v>
      </c>
      <c r="M542" s="10" t="s">
        <v>90</v>
      </c>
      <c r="N542" s="9" t="str">
        <f ca="1">IFERROR(__xludf.DUMMYFUNCTION("REGEXEXTRACT(LOWER(M542), ""([a-z0-9\-]+)\.(?:co|net|org|io|gg)"")"),"live")</f>
        <v>live</v>
      </c>
      <c r="O542" s="9" t="s">
        <v>186</v>
      </c>
      <c r="P542" s="9" t="s">
        <v>39</v>
      </c>
      <c r="Q542" s="9">
        <v>113262</v>
      </c>
      <c r="R542" s="9">
        <v>380</v>
      </c>
      <c r="S542" s="9">
        <v>95762</v>
      </c>
      <c r="T542" s="9">
        <v>104612</v>
      </c>
      <c r="U542" s="9">
        <v>4</v>
      </c>
      <c r="V542" s="11">
        <v>7443.4832329999999</v>
      </c>
      <c r="W542" s="12">
        <f t="shared" si="14"/>
        <v>1860.87080825</v>
      </c>
      <c r="X542" s="12">
        <f t="shared" si="15"/>
        <v>0.33550528862283907</v>
      </c>
      <c r="Y542" s="12">
        <f t="shared" si="16"/>
        <v>84.549098550263992</v>
      </c>
      <c r="Z542" s="12">
        <f t="shared" si="17"/>
        <v>77.728986790167298</v>
      </c>
      <c r="AA542" s="12">
        <f t="shared" si="18"/>
        <v>65.71915764334021</v>
      </c>
      <c r="AB542" s="12">
        <f t="shared" si="19"/>
        <v>19.58811377105263</v>
      </c>
      <c r="AC542" s="12">
        <f t="shared" si="20"/>
        <v>1.0526315789473684</v>
      </c>
      <c r="AE542" s="13"/>
      <c r="AF542" s="13"/>
    </row>
    <row r="543" spans="1:32">
      <c r="A543" s="8" t="s">
        <v>1892</v>
      </c>
      <c r="B543" s="9" t="s">
        <v>92</v>
      </c>
      <c r="C543" s="9" t="s">
        <v>178</v>
      </c>
      <c r="D543" s="9" t="s">
        <v>602</v>
      </c>
      <c r="E543" s="9" t="s">
        <v>1893</v>
      </c>
      <c r="F543" s="9" t="str">
        <f ca="1">IFERROR(__xludf.DUMMYFUNCTION("IFS(
  REGEXMATCH(LOWER(VLOOKUP(A543, Data1_Raw_Slack!A:B, 2, FALSE)), ""news|weather""), ""News and Weather"", REGEXMATCH(LOWER(VLOOKUP(A543, Data1_Raw_Slack!A:B, 2, FALSE)), ""sports|ufc|nba|nfl|mlb|soccer|sports fans""), ""Sports"",
  REGEXMATCH(LOWER("&amp;"VLOOKUP(A543, Data1_Raw_Slack!A:B, 2, FALSE)), ""fashion|style|clothing|apparel|shoes|accessories|beauty|cosmetics|fashionistas""), ""Fashion and Beauty"",
  REGEXMATCH(LOWER(VLOOKUP(A543, Data1_Raw_Slack!A:B, 2, FALSE)), ""food|cooking|recipe|restaurant|"&amp;"snack|grocery|foodies""), ""Food"",
  REGEXMATCH(LOWER(VLOOKUP(A543, Data1_Raw_Slack!A:B, 2, FALSE)), ""travel|vacation|airline|hotel|trip|flights|travelers""), ""Travel"",
  REGEXMATCH(LOWER(VLOOKUP(A543, Data1_Raw_Slack!A:B, 2, FALSE)), ""fitness|workou"&amp;"t|gym|exercise|yoga|wellness|fitness enthusiasts""), ""Fitness"",
  REGEXMATCH(LOWER(VLOOKUP(A543, Data1_Raw_Slack!A:B, 2, FALSE)), ""health|medical|pharmacy|mental health|doctor|health-conscious""), ""Health"",
  REGEXMATCH(LOWER(VLOOKUP(A543, Data1_Raw_"&amp;"Slack!A:B, 2, FALSE)), ""pets|dogs|cats|animals|pet care|pet lovers""), ""Pets"",
  REGEXMATCH(LOWER(VLOOKUP(A543, Data1_Raw_Slack!A:B, 2, FALSE)), ""games|gaming|game|xbox|playstation|nintendo|gamers""), ""Gaming"",
  REGEXMATCH(LOWER(VLOOKUP(A543, Data1"&amp;"_Raw_Slack!A:B, 2, FALSE)), ""entertainment|movies|tv|netflix|streaming|celebrity|movie lovers|tv fans|hobb|photo|art""), ""Entertainment"",
  REGEXMATCH(LOWER(VLOOKUP(A543, Data1_Raw_Slack!A:B, 2, FALSE)), ""lifestyle|home|interior|decor|living|lifestyle"&amp;" enthusiasts""), ""Lifestyle"",
  REGEXMATCH(LOWER(VLOOKUP(A543, Data1_Raw_Slack!A:B, 2, FALSE)), ""financial|finance|investing|stocks|retirement|banking|credit|debt|loans|savings|personal finance|insurance|econ|ecom|business|retail|occupation|sale|job|ma"&amp;"rketing""), ""Finance"",
  REGEXMATCH(LOWER(VLOOKUP(A543, Data1_Raw_Slack!A:B, 2, FALSE)), ""auto|automotive""), ""Auto"",
  REGEXMATCH(LOWER(VLOOKUP(A543, Data1_Raw_Slack!A:B, 2, FALSE)), ""parenting|moms|dads|kids|toddlers|baby|parent|children""), ""Par"&amp;"enting"",
  REGEXMATCH(LOWER(VLOOKUP(A543, Data1_Raw_Slack!A:B, 2, FALSE)), ""education|students|learning|school|teachers|college|university|academics""), ""Education"",
  REGEXMATCH(LOWER(VLOOKUP(A543, Data1_Raw_Slack!A:B, 2, FALSE)), ""age|gender|dem"&amp;"ographic|family|household""), ""Demographics"",
  REGEXMATCH(LOWER(VLOOKUP(A543, Data1_Raw_Slack!A:B, 2, FALSE)), ""mortgage|real estate""), ""Real Estate"",REGEXMATCH(LOWER(VLOOKUP(A543, Data1_Raw_Slack!A:B, 2, FALSE)), ""technology|tech|gadgets|smartpho"&amp;"ne|electro|apps|devices|computing|ai|robots|software|computer|internet|tele|mobile|tablet""), ""Technology"", REGEXMATCH(LOWER(VLOOKUP(A543, Data1_Raw_Slack!A:B, 2, FALSE)), ""entertainment|purchas|movies|tv|netflix|streaming|celebrity|movie lovers|tv fan"&amp;"s|media|hobb|photo|art|shop""), ""Entertainment"", REGEXMATCH(LOWER(VLOOKUP(A543, Data1_Raw_Slack!A:B, 2, FALSE)), ""law|government|""), ""Law and Government"",
  TRUE, ""Other""
)"),"Food")</f>
        <v>Food</v>
      </c>
      <c r="G543" s="9" t="s">
        <v>602</v>
      </c>
      <c r="H543" s="9" t="s">
        <v>44</v>
      </c>
      <c r="I543" s="9" t="s">
        <v>1894</v>
      </c>
      <c r="J543" s="9" t="s">
        <v>80</v>
      </c>
      <c r="K543" s="9" t="s">
        <v>56</v>
      </c>
      <c r="L543" s="9" t="s">
        <v>57</v>
      </c>
      <c r="M543" s="10" t="s">
        <v>1895</v>
      </c>
      <c r="N543" s="9" t="str">
        <f ca="1">IFERROR(__xludf.DUMMYFUNCTION("REGEXEXTRACT(LOWER(M543), ""([a-z0-9\-]+)\.(?:co|net|org|io|gg)"")"),"bestbuy")</f>
        <v>bestbuy</v>
      </c>
      <c r="O543" s="9" t="s">
        <v>103</v>
      </c>
      <c r="P543" s="9" t="s">
        <v>39</v>
      </c>
      <c r="Q543" s="9">
        <v>18458</v>
      </c>
      <c r="R543" s="9">
        <v>111</v>
      </c>
      <c r="S543" s="9">
        <v>3623</v>
      </c>
      <c r="T543" s="9">
        <v>16934</v>
      </c>
      <c r="U543" s="9">
        <v>6</v>
      </c>
      <c r="V543" s="11">
        <v>2866.4966709999999</v>
      </c>
      <c r="W543" s="12">
        <f t="shared" si="14"/>
        <v>477.74944516666665</v>
      </c>
      <c r="X543" s="12">
        <f t="shared" si="15"/>
        <v>0.60136526167515447</v>
      </c>
      <c r="Y543" s="12">
        <f t="shared" si="16"/>
        <v>19.628345432874632</v>
      </c>
      <c r="Z543" s="12">
        <f t="shared" si="17"/>
        <v>791.19422329561132</v>
      </c>
      <c r="AA543" s="12">
        <f t="shared" si="18"/>
        <v>155.29833519341207</v>
      </c>
      <c r="AB543" s="12">
        <f t="shared" si="19"/>
        <v>25.824294333333331</v>
      </c>
      <c r="AC543" s="12">
        <f t="shared" si="20"/>
        <v>5.4054054054054053</v>
      </c>
      <c r="AE543" s="13"/>
      <c r="AF543" s="13"/>
    </row>
    <row r="544" spans="1:32">
      <c r="A544" s="8" t="s">
        <v>1896</v>
      </c>
      <c r="B544" s="9" t="s">
        <v>41</v>
      </c>
      <c r="C544" s="9" t="s">
        <v>85</v>
      </c>
      <c r="D544" s="9" t="s">
        <v>1897</v>
      </c>
      <c r="E544" s="9" t="s">
        <v>1898</v>
      </c>
      <c r="F544" s="9" t="str">
        <f ca="1">IFERROR(__xludf.DUMMYFUNCTION("IFS(
  REGEXMATCH(LOWER(VLOOKUP(A544, Data1_Raw_Slack!A:B, 2, FALSE)), ""news|weather""), ""News and Weather"", REGEXMATCH(LOWER(VLOOKUP(A544, Data1_Raw_Slack!A:B, 2, FALSE)), ""sports|ufc|nba|nfl|mlb|soccer|sports fans""), ""Sports"",
  REGEXMATCH(LOWER("&amp;"VLOOKUP(A544, Data1_Raw_Slack!A:B, 2, FALSE)), ""fashion|style|clothing|apparel|shoes|accessories|beauty|cosmetics|fashionistas""), ""Fashion and Beauty"",
  REGEXMATCH(LOWER(VLOOKUP(A544, Data1_Raw_Slack!A:B, 2, FALSE)), ""food|cooking|recipe|restaurant|"&amp;"snack|grocery|foodies""), ""Food"",
  REGEXMATCH(LOWER(VLOOKUP(A544, Data1_Raw_Slack!A:B, 2, FALSE)), ""travel|vacation|airline|hotel|trip|flights|travelers""), ""Travel"",
  REGEXMATCH(LOWER(VLOOKUP(A544, Data1_Raw_Slack!A:B, 2, FALSE)), ""fitness|workou"&amp;"t|gym|exercise|yoga|wellness|fitness enthusiasts""), ""Fitness"",
  REGEXMATCH(LOWER(VLOOKUP(A544, Data1_Raw_Slack!A:B, 2, FALSE)), ""health|medical|pharmacy|mental health|doctor|health-conscious""), ""Health"",
  REGEXMATCH(LOWER(VLOOKUP(A544, Data1_Raw_"&amp;"Slack!A:B, 2, FALSE)), ""pets|dogs|cats|animals|pet care|pet lovers""), ""Pets"",
  REGEXMATCH(LOWER(VLOOKUP(A544, Data1_Raw_Slack!A:B, 2, FALSE)), ""games|gaming|game|xbox|playstation|nintendo|gamers""), ""Gaming"",
  REGEXMATCH(LOWER(VLOOKUP(A544, Data1"&amp;"_Raw_Slack!A:B, 2, FALSE)), ""entertainment|movies|tv|netflix|streaming|celebrity|movie lovers|tv fans|hobb|photo|art""), ""Entertainment"",
  REGEXMATCH(LOWER(VLOOKUP(A544, Data1_Raw_Slack!A:B, 2, FALSE)), ""lifestyle|home|interior|decor|living|lifestyle"&amp;" enthusiasts""), ""Lifestyle"",
  REGEXMATCH(LOWER(VLOOKUP(A544, Data1_Raw_Slack!A:B, 2, FALSE)), ""financial|finance|investing|stocks|retirement|banking|credit|debt|loans|savings|personal finance|insurance|econ|ecom|business|retail|occupation|sale|job|ma"&amp;"rketing""), ""Finance"",
  REGEXMATCH(LOWER(VLOOKUP(A544, Data1_Raw_Slack!A:B, 2, FALSE)), ""auto|automotive""), ""Auto"",
  REGEXMATCH(LOWER(VLOOKUP(A544, Data1_Raw_Slack!A:B, 2, FALSE)), ""parenting|moms|dads|kids|toddlers|baby|parent|children""), ""Par"&amp;"enting"",
  REGEXMATCH(LOWER(VLOOKUP(A544, Data1_Raw_Slack!A:B, 2, FALSE)), ""education|students|learning|school|teachers|college|university|academics""), ""Education"",
  REGEXMATCH(LOWER(VLOOKUP(A544, Data1_Raw_Slack!A:B, 2, FALSE)), ""age|gender|dem"&amp;"ographic|family|household""), ""Demographics"",
  REGEXMATCH(LOWER(VLOOKUP(A544, Data1_Raw_Slack!A:B, 2, FALSE)), ""mortgage|real estate""), ""Real Estate"",REGEXMATCH(LOWER(VLOOKUP(A544, Data1_Raw_Slack!A:B, 2, FALSE)), ""technology|tech|gadgets|smartpho"&amp;"ne|electro|apps|devices|computing|ai|robots|software|computer|internet|tele|mobile|tablet""), ""Technology"", REGEXMATCH(LOWER(VLOOKUP(A544, Data1_Raw_Slack!A:B, 2, FALSE)), ""entertainment|purchas|movies|tv|netflix|streaming|celebrity|movie lovers|tv fan"&amp;"s|media|hobb|photo|art|shop""), ""Entertainment"", REGEXMATCH(LOWER(VLOOKUP(A544, Data1_Raw_Slack!A:B, 2, FALSE)), ""law|government|""), ""Law and Government"",
  TRUE, ""Other""
)"),"Travel")</f>
        <v>Travel</v>
      </c>
      <c r="G544" s="9" t="s">
        <v>85</v>
      </c>
      <c r="H544" s="9" t="s">
        <v>32</v>
      </c>
      <c r="I544" s="9" t="s">
        <v>1899</v>
      </c>
      <c r="J544" s="9" t="s">
        <v>46</v>
      </c>
      <c r="K544" s="9" t="s">
        <v>895</v>
      </c>
      <c r="L544" s="9" t="s">
        <v>265</v>
      </c>
      <c r="M544" s="10" t="s">
        <v>1766</v>
      </c>
      <c r="N544" s="9" t="str">
        <f ca="1">IFERROR(__xludf.DUMMYFUNCTION("REGEXEXTRACT(LOWER(M544), ""([a-z0-9\-]+)\.(?:co|net|org|io|gg)"")"),"nbcnews")</f>
        <v>nbcnews</v>
      </c>
      <c r="O544" s="9" t="s">
        <v>131</v>
      </c>
      <c r="P544" s="9" t="s">
        <v>39</v>
      </c>
      <c r="Q544" s="9">
        <v>189571</v>
      </c>
      <c r="R544" s="9">
        <v>500</v>
      </c>
      <c r="S544" s="9">
        <v>130676</v>
      </c>
      <c r="T544" s="9">
        <v>183688</v>
      </c>
      <c r="U544" s="9">
        <v>39</v>
      </c>
      <c r="V544" s="11">
        <v>6335.9483879999998</v>
      </c>
      <c r="W544" s="12">
        <f t="shared" si="14"/>
        <v>162.46021507692308</v>
      </c>
      <c r="X544" s="12">
        <f t="shared" si="15"/>
        <v>0.26375342220065301</v>
      </c>
      <c r="Y544" s="12">
        <f t="shared" si="16"/>
        <v>68.932484398985068</v>
      </c>
      <c r="Z544" s="12">
        <f t="shared" si="17"/>
        <v>48.485937647310905</v>
      </c>
      <c r="AA544" s="12">
        <f t="shared" si="18"/>
        <v>33.422561404434219</v>
      </c>
      <c r="AB544" s="12">
        <f t="shared" si="19"/>
        <v>12.671896775999999</v>
      </c>
      <c r="AC544" s="12">
        <f t="shared" si="20"/>
        <v>7.8</v>
      </c>
      <c r="AE544" s="13"/>
      <c r="AF544" s="13"/>
    </row>
    <row r="545" spans="1:32">
      <c r="A545" s="8" t="s">
        <v>1900</v>
      </c>
      <c r="B545" s="9" t="s">
        <v>41</v>
      </c>
      <c r="C545" s="9" t="s">
        <v>120</v>
      </c>
      <c r="D545" s="9" t="s">
        <v>1901</v>
      </c>
      <c r="E545" s="9"/>
      <c r="F545" s="9" t="str">
        <f ca="1">IFERROR(__xludf.DUMMYFUNCTION("IFS(
  REGEXMATCH(LOWER(VLOOKUP(A545, Data1_Raw_Slack!A:B, 2, FALSE)), ""news|weather""), ""News and Weather"", REGEXMATCH(LOWER(VLOOKUP(A545, Data1_Raw_Slack!A:B, 2, FALSE)), ""sports|ufc|nba|nfl|mlb|soccer|sports fans""), ""Sports"",
  REGEXMATCH(LOWER("&amp;"VLOOKUP(A545, Data1_Raw_Slack!A:B, 2, FALSE)), ""fashion|style|clothing|apparel|shoes|accessories|beauty|cosmetics|fashionistas""), ""Fashion and Beauty"",
  REGEXMATCH(LOWER(VLOOKUP(A545, Data1_Raw_Slack!A:B, 2, FALSE)), ""food|cooking|recipe|restaurant|"&amp;"snack|grocery|foodies""), ""Food"",
  REGEXMATCH(LOWER(VLOOKUP(A545, Data1_Raw_Slack!A:B, 2, FALSE)), ""travel|vacation|airline|hotel|trip|flights|travelers""), ""Travel"",
  REGEXMATCH(LOWER(VLOOKUP(A545, Data1_Raw_Slack!A:B, 2, FALSE)), ""fitness|workou"&amp;"t|gym|exercise|yoga|wellness|fitness enthusiasts""), ""Fitness"",
  REGEXMATCH(LOWER(VLOOKUP(A545, Data1_Raw_Slack!A:B, 2, FALSE)), ""health|medical|pharmacy|mental health|doctor|health-conscious""), ""Health"",
  REGEXMATCH(LOWER(VLOOKUP(A545, Data1_Raw_"&amp;"Slack!A:B, 2, FALSE)), ""pets|dogs|cats|animals|pet care|pet lovers""), ""Pets"",
  REGEXMATCH(LOWER(VLOOKUP(A545, Data1_Raw_Slack!A:B, 2, FALSE)), ""games|gaming|game|xbox|playstation|nintendo|gamers""), ""Gaming"",
  REGEXMATCH(LOWER(VLOOKUP(A545, Data1"&amp;"_Raw_Slack!A:B, 2, FALSE)), ""entertainment|movies|tv|netflix|streaming|celebrity|movie lovers|tv fans|hobb|photo|art""), ""Entertainment"",
  REGEXMATCH(LOWER(VLOOKUP(A545, Data1_Raw_Slack!A:B, 2, FALSE)), ""lifestyle|home|interior|decor|living|lifestyle"&amp;" enthusiasts""), ""Lifestyle"",
  REGEXMATCH(LOWER(VLOOKUP(A545, Data1_Raw_Slack!A:B, 2, FALSE)), ""financial|finance|investing|stocks|retirement|banking|credit|debt|loans|savings|personal finance|insurance|econ|ecom|business|retail|occupation|sale|job|ma"&amp;"rketing""), ""Finance"",
  REGEXMATCH(LOWER(VLOOKUP(A545, Data1_Raw_Slack!A:B, 2, FALSE)), ""auto|automotive""), ""Auto"",
  REGEXMATCH(LOWER(VLOOKUP(A545, Data1_Raw_Slack!A:B, 2, FALSE)), ""parenting|moms|dads|kids|toddlers|baby|parent|children""), ""Par"&amp;"enting"",
  REGEXMATCH(LOWER(VLOOKUP(A545, Data1_Raw_Slack!A:B, 2, FALSE)), ""education|students|learning|school|teachers|college|university|academics""), ""Education"",
  REGEXMATCH(LOWER(VLOOKUP(A545, Data1_Raw_Slack!A:B, 2, FALSE)), ""age|gender|dem"&amp;"ographic|family|household""), ""Demographics"",
  REGEXMATCH(LOWER(VLOOKUP(A545, Data1_Raw_Slack!A:B, 2, FALSE)), ""mortgage|real estate""), ""Real Estate"",REGEXMATCH(LOWER(VLOOKUP(A545, Data1_Raw_Slack!A:B, 2, FALSE)), ""technology|tech|gadgets|smartpho"&amp;"ne|electro|apps|devices|computing|ai|robots|software|computer|internet|tele|mobile|tablet""), ""Technology"", REGEXMATCH(LOWER(VLOOKUP(A545, Data1_Raw_Slack!A:B, 2, FALSE)), ""entertainment|purchas|movies|tv|netflix|streaming|celebrity|movie lovers|tv fan"&amp;"s|media|hobb|photo|art|shop""), ""Entertainment"", REGEXMATCH(LOWER(VLOOKUP(A545, Data1_Raw_Slack!A:B, 2, FALSE)), ""law|government|""), ""Law and Government"",
  TRUE, ""Other""
)"),"Auto")</f>
        <v>Auto</v>
      </c>
      <c r="G545" s="9" t="s">
        <v>122</v>
      </c>
      <c r="H545" s="9" t="s">
        <v>44</v>
      </c>
      <c r="I545" s="9" t="s">
        <v>809</v>
      </c>
      <c r="J545" s="9" t="s">
        <v>46</v>
      </c>
      <c r="K545" s="9" t="s">
        <v>88</v>
      </c>
      <c r="L545" s="9" t="s">
        <v>89</v>
      </c>
      <c r="M545" s="10" t="s">
        <v>229</v>
      </c>
      <c r="N545" s="9" t="str">
        <f ca="1">IFERROR(__xludf.DUMMYFUNCTION("REGEXEXTRACT(LOWER(M545), ""([a-z0-9\-]+)\.(?:co|net|org|io|gg)"")"),"msn")</f>
        <v>msn</v>
      </c>
      <c r="O545" s="9" t="s">
        <v>349</v>
      </c>
      <c r="P545" s="9" t="s">
        <v>39</v>
      </c>
      <c r="Q545" s="9">
        <v>335461</v>
      </c>
      <c r="R545" s="9">
        <v>963</v>
      </c>
      <c r="S545" s="9">
        <v>171464</v>
      </c>
      <c r="T545" s="9">
        <v>247450</v>
      </c>
      <c r="U545" s="9">
        <v>5</v>
      </c>
      <c r="V545" s="11">
        <v>4445.8746289999999</v>
      </c>
      <c r="W545" s="12">
        <f t="shared" si="14"/>
        <v>889.17492579999998</v>
      </c>
      <c r="X545" s="12">
        <f t="shared" si="15"/>
        <v>0.28706764720787215</v>
      </c>
      <c r="Y545" s="12">
        <f t="shared" si="16"/>
        <v>51.112946065265405</v>
      </c>
      <c r="Z545" s="12">
        <f t="shared" si="17"/>
        <v>25.928910027760928</v>
      </c>
      <c r="AA545" s="12">
        <f t="shared" si="18"/>
        <v>13.253029797800638</v>
      </c>
      <c r="AB545" s="12">
        <f t="shared" si="19"/>
        <v>4.6166922419522329</v>
      </c>
      <c r="AC545" s="12">
        <f t="shared" si="20"/>
        <v>0.51921079958463134</v>
      </c>
      <c r="AE545" s="13"/>
      <c r="AF545" s="13"/>
    </row>
    <row r="546" spans="1:32">
      <c r="A546" s="8" t="s">
        <v>1902</v>
      </c>
      <c r="B546" s="9" t="s">
        <v>30</v>
      </c>
      <c r="C546" s="9" t="s">
        <v>1903</v>
      </c>
      <c r="D546" s="9"/>
      <c r="E546" s="9"/>
      <c r="F546" s="9" t="str">
        <f ca="1">IFERROR(__xludf.DUMMYFUNCTION("IFS(
  REGEXMATCH(LOWER(VLOOKUP(A546, Data1_Raw_Slack!A:B, 2, FALSE)), ""news|weather""), ""News and Weather"", REGEXMATCH(LOWER(VLOOKUP(A546, Data1_Raw_Slack!A:B, 2, FALSE)), ""sports|ufc|nba|nfl|mlb|soccer|sports fans""), ""Sports"",
  REGEXMATCH(LOWER("&amp;"VLOOKUP(A546, Data1_Raw_Slack!A:B, 2, FALSE)), ""fashion|style|clothing|apparel|shoes|accessories|beauty|cosmetics|fashionistas""), ""Fashion and Beauty"",
  REGEXMATCH(LOWER(VLOOKUP(A546, Data1_Raw_Slack!A:B, 2, FALSE)), ""food|cooking|recipe|restaurant|"&amp;"snack|grocery|foodies""), ""Food"",
  REGEXMATCH(LOWER(VLOOKUP(A546, Data1_Raw_Slack!A:B, 2, FALSE)), ""travel|vacation|airline|hotel|trip|flights|travelers""), ""Travel"",
  REGEXMATCH(LOWER(VLOOKUP(A546, Data1_Raw_Slack!A:B, 2, FALSE)), ""fitness|workou"&amp;"t|gym|exercise|yoga|wellness|fitness enthusiasts""), ""Fitness"",
  REGEXMATCH(LOWER(VLOOKUP(A546, Data1_Raw_Slack!A:B, 2, FALSE)), ""health|medical|pharmacy|mental health|doctor|health-conscious""), ""Health"",
  REGEXMATCH(LOWER(VLOOKUP(A546, Data1_Raw_"&amp;"Slack!A:B, 2, FALSE)), ""pets|dogs|cats|animals|pet care|pet lovers""), ""Pets"",
  REGEXMATCH(LOWER(VLOOKUP(A546, Data1_Raw_Slack!A:B, 2, FALSE)), ""games|gaming|game|xbox|playstation|nintendo|gamers""), ""Gaming"",
  REGEXMATCH(LOWER(VLOOKUP(A546, Data1"&amp;"_Raw_Slack!A:B, 2, FALSE)), ""entertainment|movies|tv|netflix|streaming|celebrity|movie lovers|tv fans|hobb|photo|art""), ""Entertainment"",
  REGEXMATCH(LOWER(VLOOKUP(A546, Data1_Raw_Slack!A:B, 2, FALSE)), ""lifestyle|home|interior|decor|living|lifestyle"&amp;" enthusiasts""), ""Lifestyle"",
  REGEXMATCH(LOWER(VLOOKUP(A546, Data1_Raw_Slack!A:B, 2, FALSE)), ""financial|finance|investing|stocks|retirement|banking|credit|debt|loans|savings|personal finance|insurance|econ|ecom|business|retail|occupation|sale|job|ma"&amp;"rketing""), ""Finance"",
  REGEXMATCH(LOWER(VLOOKUP(A546, Data1_Raw_Slack!A:B, 2, FALSE)), ""auto|automotive""), ""Auto"",
  REGEXMATCH(LOWER(VLOOKUP(A546, Data1_Raw_Slack!A:B, 2, FALSE)), ""parenting|moms|dads|kids|toddlers|baby|parent|children""), ""Par"&amp;"enting"",
  REGEXMATCH(LOWER(VLOOKUP(A546, Data1_Raw_Slack!A:B, 2, FALSE)), ""education|students|learning|school|teachers|college|university|academics""), ""Education"",
  REGEXMATCH(LOWER(VLOOKUP(A546, Data1_Raw_Slack!A:B, 2, FALSE)), ""age|gender|dem"&amp;"ographic|family|household""), ""Demographics"",
  REGEXMATCH(LOWER(VLOOKUP(A546, Data1_Raw_Slack!A:B, 2, FALSE)), ""mortgage|real estate""), ""Real Estate"",REGEXMATCH(LOWER(VLOOKUP(A546, Data1_Raw_Slack!A:B, 2, FALSE)), ""technology|tech|gadgets|smartpho"&amp;"ne|electro|apps|devices|computing|ai|robots|software|computer|internet|tele|mobile|tablet""), ""Technology"", REGEXMATCH(LOWER(VLOOKUP(A546, Data1_Raw_Slack!A:B, 2, FALSE)), ""entertainment|purchas|movies|tv|netflix|streaming|celebrity|movie lovers|tv fan"&amp;"s|media|hobb|photo|art|shop""), ""Entertainment"", REGEXMATCH(LOWER(VLOOKUP(A546, Data1_Raw_Slack!A:B, 2, FALSE)), ""law|government|""), ""Law and Government"",
  TRUE, ""Other""
)"),"Entertainment")</f>
        <v>Entertainment</v>
      </c>
      <c r="G546" s="9"/>
      <c r="H546" s="9" t="s">
        <v>32</v>
      </c>
      <c r="I546" s="9" t="s">
        <v>1904</v>
      </c>
      <c r="J546" s="9" t="s">
        <v>80</v>
      </c>
      <c r="K546" s="9" t="s">
        <v>227</v>
      </c>
      <c r="L546" s="9" t="s">
        <v>228</v>
      </c>
      <c r="M546" s="10" t="s">
        <v>222</v>
      </c>
      <c r="N546" s="9" t="str">
        <f ca="1">IFERROR(__xludf.DUMMYFUNCTION("REGEXEXTRACT(LOWER(M546), ""([a-z0-9\-]+)\.(?:co|net|org|io|gg)"")"),"usatoday")</f>
        <v>usatoday</v>
      </c>
      <c r="O546" s="9" t="s">
        <v>103</v>
      </c>
      <c r="P546" s="9" t="s">
        <v>39</v>
      </c>
      <c r="Q546" s="9">
        <v>19549</v>
      </c>
      <c r="R546" s="9">
        <v>84</v>
      </c>
      <c r="S546" s="9">
        <v>6187</v>
      </c>
      <c r="T546" s="9">
        <v>17166</v>
      </c>
      <c r="U546" s="9">
        <v>2</v>
      </c>
      <c r="V546" s="11">
        <v>1844.9869209999999</v>
      </c>
      <c r="W546" s="12">
        <f t="shared" si="14"/>
        <v>922.49346049999997</v>
      </c>
      <c r="X546" s="12">
        <f t="shared" si="15"/>
        <v>0.42968949818405039</v>
      </c>
      <c r="Y546" s="12">
        <f t="shared" si="16"/>
        <v>31.648677681722848</v>
      </c>
      <c r="Z546" s="12">
        <f t="shared" si="17"/>
        <v>298.20380168094391</v>
      </c>
      <c r="AA546" s="12">
        <f t="shared" si="18"/>
        <v>94.377560028645959</v>
      </c>
      <c r="AB546" s="12">
        <f t="shared" si="19"/>
        <v>21.964130011904761</v>
      </c>
      <c r="AC546" s="12">
        <f t="shared" si="20"/>
        <v>2.3809523809523809</v>
      </c>
      <c r="AE546" s="13"/>
      <c r="AF546" s="13"/>
    </row>
    <row r="547" spans="1:32">
      <c r="A547" s="8" t="s">
        <v>1905</v>
      </c>
      <c r="B547" s="9" t="s">
        <v>92</v>
      </c>
      <c r="C547" s="9" t="s">
        <v>178</v>
      </c>
      <c r="D547" s="9" t="s">
        <v>154</v>
      </c>
      <c r="E547" s="9" t="s">
        <v>1906</v>
      </c>
      <c r="F547" s="9" t="str">
        <f ca="1">IFERROR(__xludf.DUMMYFUNCTION("IFS(
  REGEXMATCH(LOWER(VLOOKUP(A547, Data1_Raw_Slack!A:B, 2, FALSE)), ""news|weather""), ""News and Weather"", REGEXMATCH(LOWER(VLOOKUP(A547, Data1_Raw_Slack!A:B, 2, FALSE)), ""sports|ufc|nba|nfl|mlb|soccer|sports fans""), ""Sports"",
  REGEXMATCH(LOWER("&amp;"VLOOKUP(A547, Data1_Raw_Slack!A:B, 2, FALSE)), ""fashion|style|clothing|apparel|shoes|accessories|beauty|cosmetics|fashionistas""), ""Fashion and Beauty"",
  REGEXMATCH(LOWER(VLOOKUP(A547, Data1_Raw_Slack!A:B, 2, FALSE)), ""food|cooking|recipe|restaurant|"&amp;"snack|grocery|foodies""), ""Food"",
  REGEXMATCH(LOWER(VLOOKUP(A547, Data1_Raw_Slack!A:B, 2, FALSE)), ""travel|vacation|airline|hotel|trip|flights|travelers""), ""Travel"",
  REGEXMATCH(LOWER(VLOOKUP(A547, Data1_Raw_Slack!A:B, 2, FALSE)), ""fitness|workou"&amp;"t|gym|exercise|yoga|wellness|fitness enthusiasts""), ""Fitness"",
  REGEXMATCH(LOWER(VLOOKUP(A547, Data1_Raw_Slack!A:B, 2, FALSE)), ""health|medical|pharmacy|mental health|doctor|health-conscious""), ""Health"",
  REGEXMATCH(LOWER(VLOOKUP(A547, Data1_Raw_"&amp;"Slack!A:B, 2, FALSE)), ""pets|dogs|cats|animals|pet care|pet lovers""), ""Pets"",
  REGEXMATCH(LOWER(VLOOKUP(A547, Data1_Raw_Slack!A:B, 2, FALSE)), ""games|gaming|game|xbox|playstation|nintendo|gamers""), ""Gaming"",
  REGEXMATCH(LOWER(VLOOKUP(A547, Data1"&amp;"_Raw_Slack!A:B, 2, FALSE)), ""entertainment|movies|tv|netflix|streaming|celebrity|movie lovers|tv fans|hobb|photo|art""), ""Entertainment"",
  REGEXMATCH(LOWER(VLOOKUP(A547, Data1_Raw_Slack!A:B, 2, FALSE)), ""lifestyle|home|interior|decor|living|lifestyle"&amp;" enthusiasts""), ""Lifestyle"",
  REGEXMATCH(LOWER(VLOOKUP(A547, Data1_Raw_Slack!A:B, 2, FALSE)), ""financial|finance|investing|stocks|retirement|banking|credit|debt|loans|savings|personal finance|insurance|econ|ecom|business|retail|occupation|sale|job|ma"&amp;"rketing""), ""Finance"",
  REGEXMATCH(LOWER(VLOOKUP(A547, Data1_Raw_Slack!A:B, 2, FALSE)), ""auto|automotive""), ""Auto"",
  REGEXMATCH(LOWER(VLOOKUP(A547, Data1_Raw_Slack!A:B, 2, FALSE)), ""parenting|moms|dads|kids|toddlers|baby|parent|children""), ""Par"&amp;"enting"",
  REGEXMATCH(LOWER(VLOOKUP(A547, Data1_Raw_Slack!A:B, 2, FALSE)), ""education|students|learning|school|teachers|college|university|academics""), ""Education"",
  REGEXMATCH(LOWER(VLOOKUP(A547, Data1_Raw_Slack!A:B, 2, FALSE)), ""age|gender|dem"&amp;"ographic|family|household""), ""Demographics"",
  REGEXMATCH(LOWER(VLOOKUP(A547, Data1_Raw_Slack!A:B, 2, FALSE)), ""mortgage|real estate""), ""Real Estate"",REGEXMATCH(LOWER(VLOOKUP(A547, Data1_Raw_Slack!A:B, 2, FALSE)), ""technology|tech|gadgets|smartpho"&amp;"ne|electro|apps|devices|computing|ai|robots|software|computer|internet|tele|mobile|tablet""), ""Technology"", REGEXMATCH(LOWER(VLOOKUP(A547, Data1_Raw_Slack!A:B, 2, FALSE)), ""entertainment|purchas|movies|tv|netflix|streaming|celebrity|movie lovers|tv fan"&amp;"s|media|hobb|photo|art|shop""), ""Entertainment"", REGEXMATCH(LOWER(VLOOKUP(A547, Data1_Raw_Slack!A:B, 2, FALSE)), ""law|government|""), ""Law and Government"",
  TRUE, ""Other""
)"),"Sports")</f>
        <v>Sports</v>
      </c>
      <c r="G547" s="9" t="s">
        <v>154</v>
      </c>
      <c r="H547" s="9" t="s">
        <v>44</v>
      </c>
      <c r="I547" s="9" t="s">
        <v>1907</v>
      </c>
      <c r="J547" s="9" t="s">
        <v>34</v>
      </c>
      <c r="K547" s="9" t="s">
        <v>56</v>
      </c>
      <c r="L547" s="9" t="s">
        <v>57</v>
      </c>
      <c r="M547" s="10" t="s">
        <v>1908</v>
      </c>
      <c r="N547" s="9" t="str">
        <f ca="1">IFERROR(__xludf.DUMMYFUNCTION("REGEXEXTRACT(LOWER(M547), ""([a-z0-9\-]+)\.(?:co|net|org|io|gg)"")"),"rollingstone")</f>
        <v>rollingstone</v>
      </c>
      <c r="O547" s="9" t="s">
        <v>50</v>
      </c>
      <c r="P547" s="9" t="s">
        <v>75</v>
      </c>
      <c r="Q547" s="9">
        <v>33650</v>
      </c>
      <c r="R547" s="9">
        <v>100</v>
      </c>
      <c r="S547" s="9">
        <v>15621</v>
      </c>
      <c r="T547" s="9">
        <v>32539</v>
      </c>
      <c r="U547" s="9">
        <v>9</v>
      </c>
      <c r="V547" s="11">
        <v>3844.9911649999999</v>
      </c>
      <c r="W547" s="12">
        <f t="shared" si="14"/>
        <v>427.22124055555554</v>
      </c>
      <c r="X547" s="12">
        <f t="shared" si="15"/>
        <v>0.29717682020802377</v>
      </c>
      <c r="Y547" s="12">
        <f t="shared" si="16"/>
        <v>46.421991084695399</v>
      </c>
      <c r="Z547" s="12">
        <f t="shared" si="17"/>
        <v>246.14244702643876</v>
      </c>
      <c r="AA547" s="12">
        <f t="shared" si="18"/>
        <v>114.26422481426448</v>
      </c>
      <c r="AB547" s="12">
        <f t="shared" si="19"/>
        <v>38.449911649999997</v>
      </c>
      <c r="AC547" s="12">
        <f t="shared" si="20"/>
        <v>9</v>
      </c>
      <c r="AE547" s="13"/>
      <c r="AF547" s="13"/>
    </row>
    <row r="548" spans="1:32">
      <c r="A548" s="8" t="s">
        <v>1909</v>
      </c>
      <c r="B548" s="9" t="s">
        <v>41</v>
      </c>
      <c r="C548" s="9" t="s">
        <v>127</v>
      </c>
      <c r="D548" s="9" t="s">
        <v>53</v>
      </c>
      <c r="E548" s="9" t="s">
        <v>1910</v>
      </c>
      <c r="F548" s="9" t="str">
        <f ca="1">IFERROR(__xludf.DUMMYFUNCTION("IFS(
  REGEXMATCH(LOWER(VLOOKUP(A548, Data1_Raw_Slack!A:B, 2, FALSE)), ""news|weather""), ""News and Weather"", REGEXMATCH(LOWER(VLOOKUP(A548, Data1_Raw_Slack!A:B, 2, FALSE)), ""sports|ufc|nba|nfl|mlb|soccer|sports fans""), ""Sports"",
  REGEXMATCH(LOWER("&amp;"VLOOKUP(A548, Data1_Raw_Slack!A:B, 2, FALSE)), ""fashion|style|clothing|apparel|shoes|accessories|beauty|cosmetics|fashionistas""), ""Fashion and Beauty"",
  REGEXMATCH(LOWER(VLOOKUP(A548, Data1_Raw_Slack!A:B, 2, FALSE)), ""food|cooking|recipe|restaurant|"&amp;"snack|grocery|foodies""), ""Food"",
  REGEXMATCH(LOWER(VLOOKUP(A548, Data1_Raw_Slack!A:B, 2, FALSE)), ""travel|vacation|airline|hotel|trip|flights|travelers""), ""Travel"",
  REGEXMATCH(LOWER(VLOOKUP(A548, Data1_Raw_Slack!A:B, 2, FALSE)), ""fitness|workou"&amp;"t|gym|exercise|yoga|wellness|fitness enthusiasts""), ""Fitness"",
  REGEXMATCH(LOWER(VLOOKUP(A548, Data1_Raw_Slack!A:B, 2, FALSE)), ""health|medical|pharmacy|mental health|doctor|health-conscious""), ""Health"",
  REGEXMATCH(LOWER(VLOOKUP(A548, Data1_Raw_"&amp;"Slack!A:B, 2, FALSE)), ""pets|dogs|cats|animals|pet care|pet lovers""), ""Pets"",
  REGEXMATCH(LOWER(VLOOKUP(A548, Data1_Raw_Slack!A:B, 2, FALSE)), ""games|gaming|game|xbox|playstation|nintendo|gamers""), ""Gaming"",
  REGEXMATCH(LOWER(VLOOKUP(A548, Data1"&amp;"_Raw_Slack!A:B, 2, FALSE)), ""entertainment|movies|tv|netflix|streaming|celebrity|movie lovers|tv fans|hobb|photo|art""), ""Entertainment"",
  REGEXMATCH(LOWER(VLOOKUP(A548, Data1_Raw_Slack!A:B, 2, FALSE)), ""lifestyle|home|interior|decor|living|lifestyle"&amp;" enthusiasts""), ""Lifestyle"",
  REGEXMATCH(LOWER(VLOOKUP(A548, Data1_Raw_Slack!A:B, 2, FALSE)), ""financial|finance|investing|stocks|retirement|banking|credit|debt|loans|savings|personal finance|insurance|econ|ecom|business|retail|occupation|sale|job|ma"&amp;"rketing""), ""Finance"",
  REGEXMATCH(LOWER(VLOOKUP(A548, Data1_Raw_Slack!A:B, 2, FALSE)), ""auto|automotive""), ""Auto"",
  REGEXMATCH(LOWER(VLOOKUP(A548, Data1_Raw_Slack!A:B, 2, FALSE)), ""parenting|moms|dads|kids|toddlers|baby|parent|children""), ""Par"&amp;"enting"",
  REGEXMATCH(LOWER(VLOOKUP(A548, Data1_Raw_Slack!A:B, 2, FALSE)), ""education|students|learning|school|teachers|college|university|academics""), ""Education"",
  REGEXMATCH(LOWER(VLOOKUP(A548, Data1_Raw_Slack!A:B, 2, FALSE)), ""age|gender|dem"&amp;"ographic|family|household""), ""Demographics"",
  REGEXMATCH(LOWER(VLOOKUP(A548, Data1_Raw_Slack!A:B, 2, FALSE)), ""mortgage|real estate""), ""Real Estate"",REGEXMATCH(LOWER(VLOOKUP(A548, Data1_Raw_Slack!A:B, 2, FALSE)), ""technology|tech|gadgets|smartpho"&amp;"ne|electro|apps|devices|computing|ai|robots|software|computer|internet|tele|mobile|tablet""), ""Technology"", REGEXMATCH(LOWER(VLOOKUP(A548, Data1_Raw_Slack!A:B, 2, FALSE)), ""entertainment|purchas|movies|tv|netflix|streaming|celebrity|movie lovers|tv fan"&amp;"s|media|hobb|photo|art|shop""), ""Entertainment"", REGEXMATCH(LOWER(VLOOKUP(A548, Data1_Raw_Slack!A:B, 2, FALSE)), ""law|government|""), ""Law and Government"",
  TRUE, ""Other""
)"),"Finance")</f>
        <v>Finance</v>
      </c>
      <c r="G548" s="9" t="s">
        <v>127</v>
      </c>
      <c r="H548" s="9" t="s">
        <v>32</v>
      </c>
      <c r="I548" s="9" t="s">
        <v>1411</v>
      </c>
      <c r="J548" s="9" t="s">
        <v>80</v>
      </c>
      <c r="K548" s="9" t="s">
        <v>148</v>
      </c>
      <c r="L548" s="9" t="s">
        <v>89</v>
      </c>
      <c r="M548" s="10" t="s">
        <v>348</v>
      </c>
      <c r="N548" s="9" t="str">
        <f ca="1">IFERROR(__xludf.DUMMYFUNCTION("REGEXEXTRACT(LOWER(M548), ""([a-z0-9\-]+)\.(?:co|net|org|io|gg)"")"),"drugs")</f>
        <v>drugs</v>
      </c>
      <c r="O548" s="9" t="s">
        <v>131</v>
      </c>
      <c r="P548" s="9" t="s">
        <v>39</v>
      </c>
      <c r="Q548" s="9">
        <v>18401</v>
      </c>
      <c r="R548" s="9">
        <v>66</v>
      </c>
      <c r="S548" s="9">
        <v>11051</v>
      </c>
      <c r="T548" s="9">
        <v>17202</v>
      </c>
      <c r="U548" s="9">
        <v>26</v>
      </c>
      <c r="V548" s="11">
        <v>6571.4915520000004</v>
      </c>
      <c r="W548" s="12">
        <f t="shared" si="14"/>
        <v>252.7496750769231</v>
      </c>
      <c r="X548" s="12">
        <f t="shared" si="15"/>
        <v>0.35867615890440741</v>
      </c>
      <c r="Y548" s="12">
        <f t="shared" si="16"/>
        <v>60.05651866746372</v>
      </c>
      <c r="Z548" s="12">
        <f t="shared" si="17"/>
        <v>594.65130323047686</v>
      </c>
      <c r="AA548" s="12">
        <f t="shared" si="18"/>
        <v>357.12687093092774</v>
      </c>
      <c r="AB548" s="12">
        <f t="shared" si="19"/>
        <v>99.568053818181824</v>
      </c>
      <c r="AC548" s="12">
        <f t="shared" si="20"/>
        <v>39.393939393939391</v>
      </c>
      <c r="AE548" s="13"/>
      <c r="AF548" s="13"/>
    </row>
    <row r="549" spans="1:32">
      <c r="A549" s="8" t="s">
        <v>1911</v>
      </c>
      <c r="B549" s="9" t="s">
        <v>41</v>
      </c>
      <c r="C549" s="9" t="s">
        <v>319</v>
      </c>
      <c r="D549" s="9" t="s">
        <v>384</v>
      </c>
      <c r="E549" s="9" t="s">
        <v>1912</v>
      </c>
      <c r="F549" s="9" t="str">
        <f ca="1">IFERROR(__xludf.DUMMYFUNCTION("IFS(
  REGEXMATCH(LOWER(VLOOKUP(A549, Data1_Raw_Slack!A:B, 2, FALSE)), ""news|weather""), ""News and Weather"", REGEXMATCH(LOWER(VLOOKUP(A549, Data1_Raw_Slack!A:B, 2, FALSE)), ""sports|ufc|nba|nfl|mlb|soccer|sports fans""), ""Sports"",
  REGEXMATCH(LOWER("&amp;"VLOOKUP(A549, Data1_Raw_Slack!A:B, 2, FALSE)), ""fashion|style|clothing|apparel|shoes|accessories|beauty|cosmetics|fashionistas""), ""Fashion and Beauty"",
  REGEXMATCH(LOWER(VLOOKUP(A549, Data1_Raw_Slack!A:B, 2, FALSE)), ""food|cooking|recipe|restaurant|"&amp;"snack|grocery|foodies""), ""Food"",
  REGEXMATCH(LOWER(VLOOKUP(A549, Data1_Raw_Slack!A:B, 2, FALSE)), ""travel|vacation|airline|hotel|trip|flights|travelers""), ""Travel"",
  REGEXMATCH(LOWER(VLOOKUP(A549, Data1_Raw_Slack!A:B, 2, FALSE)), ""fitness|workou"&amp;"t|gym|exercise|yoga|wellness|fitness enthusiasts""), ""Fitness"",
  REGEXMATCH(LOWER(VLOOKUP(A549, Data1_Raw_Slack!A:B, 2, FALSE)), ""health|medical|pharmacy|mental health|doctor|health-conscious""), ""Health"",
  REGEXMATCH(LOWER(VLOOKUP(A549, Data1_Raw_"&amp;"Slack!A:B, 2, FALSE)), ""pets|dogs|cats|animals|pet care|pet lovers""), ""Pets"",
  REGEXMATCH(LOWER(VLOOKUP(A549, Data1_Raw_Slack!A:B, 2, FALSE)), ""games|gaming|game|xbox|playstation|nintendo|gamers""), ""Gaming"",
  REGEXMATCH(LOWER(VLOOKUP(A549, Data1"&amp;"_Raw_Slack!A:B, 2, FALSE)), ""entertainment|movies|tv|netflix|streaming|celebrity|movie lovers|tv fans|hobb|photo|art""), ""Entertainment"",
  REGEXMATCH(LOWER(VLOOKUP(A549, Data1_Raw_Slack!A:B, 2, FALSE)), ""lifestyle|home|interior|decor|living|lifestyle"&amp;" enthusiasts""), ""Lifestyle"",
  REGEXMATCH(LOWER(VLOOKUP(A549, Data1_Raw_Slack!A:B, 2, FALSE)), ""financial|finance|investing|stocks|retirement|banking|credit|debt|loans|savings|personal finance|insurance|econ|ecom|business|retail|occupation|sale|job|ma"&amp;"rketing""), ""Finance"",
  REGEXMATCH(LOWER(VLOOKUP(A549, Data1_Raw_Slack!A:B, 2, FALSE)), ""auto|automotive""), ""Auto"",
  REGEXMATCH(LOWER(VLOOKUP(A549, Data1_Raw_Slack!A:B, 2, FALSE)), ""parenting|moms|dads|kids|toddlers|baby|parent|children""), ""Par"&amp;"enting"",
  REGEXMATCH(LOWER(VLOOKUP(A549, Data1_Raw_Slack!A:B, 2, FALSE)), ""education|students|learning|school|teachers|college|university|academics""), ""Education"",
  REGEXMATCH(LOWER(VLOOKUP(A549, Data1_Raw_Slack!A:B, 2, FALSE)), ""age|gender|dem"&amp;"ographic|family|household""), ""Demographics"",
  REGEXMATCH(LOWER(VLOOKUP(A549, Data1_Raw_Slack!A:B, 2, FALSE)), ""mortgage|real estate""), ""Real Estate"",REGEXMATCH(LOWER(VLOOKUP(A549, Data1_Raw_Slack!A:B, 2, FALSE)), ""technology|tech|gadgets|smartpho"&amp;"ne|electro|apps|devices|computing|ai|robots|software|computer|internet|tele|mobile|tablet""), ""Technology"", REGEXMATCH(LOWER(VLOOKUP(A549, Data1_Raw_Slack!A:B, 2, FALSE)), ""entertainment|purchas|movies|tv|netflix|streaming|celebrity|movie lovers|tv fan"&amp;"s|media|hobb|photo|art|shop""), ""Entertainment"", REGEXMATCH(LOWER(VLOOKUP(A549, Data1_Raw_Slack!A:B, 2, FALSE)), ""law|government|""), ""Law and Government"",
  TRUE, ""Other""
)"),"Food")</f>
        <v>Food</v>
      </c>
      <c r="G549" s="9"/>
      <c r="H549" s="9" t="s">
        <v>32</v>
      </c>
      <c r="I549" s="9" t="s">
        <v>1791</v>
      </c>
      <c r="J549" s="9" t="s">
        <v>34</v>
      </c>
      <c r="K549" s="9" t="s">
        <v>236</v>
      </c>
      <c r="L549" s="9" t="s">
        <v>82</v>
      </c>
      <c r="M549" s="10" t="s">
        <v>1087</v>
      </c>
      <c r="N549" s="9" t="str">
        <f ca="1">IFERROR(__xludf.DUMMYFUNCTION("REGEXEXTRACT(LOWER(M549), ""([a-z0-9\-]+)\.(?:co|net|org|io|gg)"")"),"cnn")</f>
        <v>cnn</v>
      </c>
      <c r="O549" s="9" t="s">
        <v>186</v>
      </c>
      <c r="P549" s="9" t="s">
        <v>39</v>
      </c>
      <c r="Q549" s="9">
        <v>116926</v>
      </c>
      <c r="R549" s="9">
        <v>321</v>
      </c>
      <c r="S549" s="9">
        <v>69132</v>
      </c>
      <c r="T549" s="9">
        <v>111957</v>
      </c>
      <c r="U549" s="9">
        <v>22</v>
      </c>
      <c r="V549" s="11">
        <v>4918.0409820000004</v>
      </c>
      <c r="W549" s="12">
        <f t="shared" si="14"/>
        <v>223.54731736363638</v>
      </c>
      <c r="X549" s="12">
        <f t="shared" si="15"/>
        <v>0.27453261036895127</v>
      </c>
      <c r="Y549" s="12">
        <f t="shared" si="16"/>
        <v>59.124574517216018</v>
      </c>
      <c r="Z549" s="12">
        <f t="shared" si="17"/>
        <v>71.139862610657886</v>
      </c>
      <c r="AA549" s="12">
        <f t="shared" si="18"/>
        <v>42.061141080683512</v>
      </c>
      <c r="AB549" s="12">
        <f t="shared" si="19"/>
        <v>15.320999943925235</v>
      </c>
      <c r="AC549" s="12">
        <f t="shared" si="20"/>
        <v>6.8535825545171329</v>
      </c>
      <c r="AE549" s="13"/>
      <c r="AF549" s="13"/>
    </row>
    <row r="550" spans="1:32">
      <c r="A550" s="8" t="s">
        <v>1913</v>
      </c>
      <c r="B550" s="9" t="s">
        <v>41</v>
      </c>
      <c r="C550" s="9" t="s">
        <v>374</v>
      </c>
      <c r="D550" s="9" t="s">
        <v>1914</v>
      </c>
      <c r="E550" s="9"/>
      <c r="F550" s="9" t="str">
        <f ca="1">IFERROR(__xludf.DUMMYFUNCTION("IFS(
  REGEXMATCH(LOWER(VLOOKUP(A550, Data1_Raw_Slack!A:B, 2, FALSE)), ""news|weather""), ""News and Weather"", REGEXMATCH(LOWER(VLOOKUP(A550, Data1_Raw_Slack!A:B, 2, FALSE)), ""sports|ufc|nba|nfl|mlb|soccer|sports fans""), ""Sports"",
  REGEXMATCH(LOWER("&amp;"VLOOKUP(A550, Data1_Raw_Slack!A:B, 2, FALSE)), ""fashion|style|clothing|apparel|shoes|accessories|beauty|cosmetics|fashionistas""), ""Fashion and Beauty"",
  REGEXMATCH(LOWER(VLOOKUP(A550, Data1_Raw_Slack!A:B, 2, FALSE)), ""food|cooking|recipe|restaurant|"&amp;"snack|grocery|foodies""), ""Food"",
  REGEXMATCH(LOWER(VLOOKUP(A550, Data1_Raw_Slack!A:B, 2, FALSE)), ""travel|vacation|airline|hotel|trip|flights|travelers""), ""Travel"",
  REGEXMATCH(LOWER(VLOOKUP(A550, Data1_Raw_Slack!A:B, 2, FALSE)), ""fitness|workou"&amp;"t|gym|exercise|yoga|wellness|fitness enthusiasts""), ""Fitness"",
  REGEXMATCH(LOWER(VLOOKUP(A550, Data1_Raw_Slack!A:B, 2, FALSE)), ""health|medical|pharmacy|mental health|doctor|health-conscious""), ""Health"",
  REGEXMATCH(LOWER(VLOOKUP(A550, Data1_Raw_"&amp;"Slack!A:B, 2, FALSE)), ""pets|dogs|cats|animals|pet care|pet lovers""), ""Pets"",
  REGEXMATCH(LOWER(VLOOKUP(A550, Data1_Raw_Slack!A:B, 2, FALSE)), ""games|gaming|game|xbox|playstation|nintendo|gamers""), ""Gaming"",
  REGEXMATCH(LOWER(VLOOKUP(A550, Data1"&amp;"_Raw_Slack!A:B, 2, FALSE)), ""entertainment|movies|tv|netflix|streaming|celebrity|movie lovers|tv fans|hobb|photo|art""), ""Entertainment"",
  REGEXMATCH(LOWER(VLOOKUP(A550, Data1_Raw_Slack!A:B, 2, FALSE)), ""lifestyle|home|interior|decor|living|lifestyle"&amp;" enthusiasts""), ""Lifestyle"",
  REGEXMATCH(LOWER(VLOOKUP(A550, Data1_Raw_Slack!A:B, 2, FALSE)), ""financial|finance|investing|stocks|retirement|banking|credit|debt|loans|savings|personal finance|insurance|econ|ecom|business|retail|occupation|sale|job|ma"&amp;"rketing""), ""Finance"",
  REGEXMATCH(LOWER(VLOOKUP(A550, Data1_Raw_Slack!A:B, 2, FALSE)), ""auto|automotive""), ""Auto"",
  REGEXMATCH(LOWER(VLOOKUP(A550, Data1_Raw_Slack!A:B, 2, FALSE)), ""parenting|moms|dads|kids|toddlers|baby|parent|children""), ""Par"&amp;"enting"",
  REGEXMATCH(LOWER(VLOOKUP(A550, Data1_Raw_Slack!A:B, 2, FALSE)), ""education|students|learning|school|teachers|college|university|academics""), ""Education"",
  REGEXMATCH(LOWER(VLOOKUP(A550, Data1_Raw_Slack!A:B, 2, FALSE)), ""age|gender|dem"&amp;"ographic|family|household""), ""Demographics"",
  REGEXMATCH(LOWER(VLOOKUP(A550, Data1_Raw_Slack!A:B, 2, FALSE)), ""mortgage|real estate""), ""Real Estate"",REGEXMATCH(LOWER(VLOOKUP(A550, Data1_Raw_Slack!A:B, 2, FALSE)), ""technology|tech|gadgets|smartpho"&amp;"ne|electro|apps|devices|computing|ai|robots|software|computer|internet|tele|mobile|tablet""), ""Technology"", REGEXMATCH(LOWER(VLOOKUP(A550, Data1_Raw_Slack!A:B, 2, FALSE)), ""entertainment|purchas|movies|tv|netflix|streaming|celebrity|movie lovers|tv fan"&amp;"s|media|hobb|photo|art|shop""), ""Entertainment"", REGEXMATCH(LOWER(VLOOKUP(A550, Data1_Raw_Slack!A:B, 2, FALSE)), ""law|government|""), ""Law and Government"",
  TRUE, ""Other""
)"),"Finance")</f>
        <v>Finance</v>
      </c>
      <c r="G550" s="9"/>
      <c r="H550" s="9" t="s">
        <v>44</v>
      </c>
      <c r="I550" s="9" t="s">
        <v>735</v>
      </c>
      <c r="J550" s="9" t="s">
        <v>46</v>
      </c>
      <c r="K550" s="9" t="s">
        <v>56</v>
      </c>
      <c r="L550" s="9" t="s">
        <v>57</v>
      </c>
      <c r="M550" s="10" t="s">
        <v>207</v>
      </c>
      <c r="N550" s="9" t="str">
        <f ca="1">IFERROR(__xludf.DUMMYFUNCTION("REGEXEXTRACT(LOWER(M550), ""([a-z0-9\-]+)\.(?:co|net|org|io|gg)"")"),"realtor")</f>
        <v>realtor</v>
      </c>
      <c r="O550" s="9" t="s">
        <v>103</v>
      </c>
      <c r="P550" s="9" t="s">
        <v>75</v>
      </c>
      <c r="Q550" s="9">
        <v>109372</v>
      </c>
      <c r="R550" s="9">
        <v>364</v>
      </c>
      <c r="S550" s="9">
        <v>58336</v>
      </c>
      <c r="T550" s="9">
        <v>103569</v>
      </c>
      <c r="U550" s="9">
        <v>21</v>
      </c>
      <c r="V550" s="11">
        <v>6928.0062019999996</v>
      </c>
      <c r="W550" s="12">
        <f t="shared" si="14"/>
        <v>329.9050572380952</v>
      </c>
      <c r="X550" s="12">
        <f t="shared" si="15"/>
        <v>0.33280912847895255</v>
      </c>
      <c r="Y550" s="12">
        <f t="shared" si="16"/>
        <v>53.33723439271477</v>
      </c>
      <c r="Z550" s="12">
        <f t="shared" si="17"/>
        <v>118.76039155924299</v>
      </c>
      <c r="AA550" s="12">
        <f t="shared" si="18"/>
        <v>63.343508411659286</v>
      </c>
      <c r="AB550" s="12">
        <f t="shared" si="19"/>
        <v>19.032984071428569</v>
      </c>
      <c r="AC550" s="12">
        <f t="shared" si="20"/>
        <v>5.7692307692307692</v>
      </c>
      <c r="AE550" s="13"/>
      <c r="AF550" s="13"/>
    </row>
    <row r="551" spans="1:32">
      <c r="A551" s="8" t="s">
        <v>1915</v>
      </c>
      <c r="B551" s="9" t="s">
        <v>67</v>
      </c>
      <c r="C551" s="9" t="s">
        <v>362</v>
      </c>
      <c r="D551" s="9" t="s">
        <v>1916</v>
      </c>
      <c r="E551" s="9"/>
      <c r="F551" s="9" t="str">
        <f ca="1">IFERROR(__xludf.DUMMYFUNCTION("IFS(
  REGEXMATCH(LOWER(VLOOKUP(A551, Data1_Raw_Slack!A:B, 2, FALSE)), ""news|weather""), ""News and Weather"", REGEXMATCH(LOWER(VLOOKUP(A551, Data1_Raw_Slack!A:B, 2, FALSE)), ""sports|ufc|nba|nfl|mlb|soccer|sports fans""), ""Sports"",
  REGEXMATCH(LOWER("&amp;"VLOOKUP(A551, Data1_Raw_Slack!A:B, 2, FALSE)), ""fashion|style|clothing|apparel|shoes|accessories|beauty|cosmetics|fashionistas""), ""Fashion and Beauty"",
  REGEXMATCH(LOWER(VLOOKUP(A551, Data1_Raw_Slack!A:B, 2, FALSE)), ""food|cooking|recipe|restaurant|"&amp;"snack|grocery|foodies""), ""Food"",
  REGEXMATCH(LOWER(VLOOKUP(A551, Data1_Raw_Slack!A:B, 2, FALSE)), ""travel|vacation|airline|hotel|trip|flights|travelers""), ""Travel"",
  REGEXMATCH(LOWER(VLOOKUP(A551, Data1_Raw_Slack!A:B, 2, FALSE)), ""fitness|workou"&amp;"t|gym|exercise|yoga|wellness|fitness enthusiasts""), ""Fitness"",
  REGEXMATCH(LOWER(VLOOKUP(A551, Data1_Raw_Slack!A:B, 2, FALSE)), ""health|medical|pharmacy|mental health|doctor|health-conscious""), ""Health"",
  REGEXMATCH(LOWER(VLOOKUP(A551, Data1_Raw_"&amp;"Slack!A:B, 2, FALSE)), ""pets|dogs|cats|animals|pet care|pet lovers""), ""Pets"",
  REGEXMATCH(LOWER(VLOOKUP(A551, Data1_Raw_Slack!A:B, 2, FALSE)), ""games|gaming|game|xbox|playstation|nintendo|gamers""), ""Gaming"",
  REGEXMATCH(LOWER(VLOOKUP(A551, Data1"&amp;"_Raw_Slack!A:B, 2, FALSE)), ""entertainment|movies|tv|netflix|streaming|celebrity|movie lovers|tv fans|hobb|photo|art""), ""Entertainment"",
  REGEXMATCH(LOWER(VLOOKUP(A551, Data1_Raw_Slack!A:B, 2, FALSE)), ""lifestyle|home|interior|decor|living|lifestyle"&amp;" enthusiasts""), ""Lifestyle"",
  REGEXMATCH(LOWER(VLOOKUP(A551, Data1_Raw_Slack!A:B, 2, FALSE)), ""financial|finance|investing|stocks|retirement|banking|credit|debt|loans|savings|personal finance|insurance|econ|ecom|business|retail|occupation|sale|job|ma"&amp;"rketing""), ""Finance"",
  REGEXMATCH(LOWER(VLOOKUP(A551, Data1_Raw_Slack!A:B, 2, FALSE)), ""auto|automotive""), ""Auto"",
  REGEXMATCH(LOWER(VLOOKUP(A551, Data1_Raw_Slack!A:B, 2, FALSE)), ""parenting|moms|dads|kids|toddlers|baby|parent|children""), ""Par"&amp;"enting"",
  REGEXMATCH(LOWER(VLOOKUP(A551, Data1_Raw_Slack!A:B, 2, FALSE)), ""education|students|learning|school|teachers|college|university|academics""), ""Education"",
  REGEXMATCH(LOWER(VLOOKUP(A551, Data1_Raw_Slack!A:B, 2, FALSE)), ""age|gender|dem"&amp;"ographic|family|household""), ""Demographics"",
  REGEXMATCH(LOWER(VLOOKUP(A551, Data1_Raw_Slack!A:B, 2, FALSE)), ""mortgage|real estate""), ""Real Estate"",REGEXMATCH(LOWER(VLOOKUP(A551, Data1_Raw_Slack!A:B, 2, FALSE)), ""technology|tech|gadgets|smartpho"&amp;"ne|electro|apps|devices|computing|ai|robots|software|computer|internet|tele|mobile|tablet""), ""Technology"", REGEXMATCH(LOWER(VLOOKUP(A551, Data1_Raw_Slack!A:B, 2, FALSE)), ""entertainment|purchas|movies|tv|netflix|streaming|celebrity|movie lovers|tv fan"&amp;"s|media|hobb|photo|art|shop""), ""Entertainment"", REGEXMATCH(LOWER(VLOOKUP(A551, Data1_Raw_Slack!A:B, 2, FALSE)), ""law|government|""), ""Law and Government"",
  TRUE, ""Other""
)"),"Entertainment")</f>
        <v>Entertainment</v>
      </c>
      <c r="G551" s="9" t="s">
        <v>69</v>
      </c>
      <c r="H551" s="9" t="s">
        <v>32</v>
      </c>
      <c r="I551" s="9" t="s">
        <v>1917</v>
      </c>
      <c r="J551" s="9" t="s">
        <v>80</v>
      </c>
      <c r="K551" s="9" t="s">
        <v>170</v>
      </c>
      <c r="L551" s="9" t="s">
        <v>72</v>
      </c>
      <c r="M551" s="10" t="s">
        <v>1918</v>
      </c>
      <c r="N551" s="9" t="str">
        <f ca="1">IFERROR(__xludf.DUMMYFUNCTION("REGEXEXTRACT(LOWER(M551), ""([a-z0-9\-]+)\.(?:co|net|org|io|gg)"")"),"wsvn")</f>
        <v>wsvn</v>
      </c>
      <c r="O551" s="9" t="s">
        <v>103</v>
      </c>
      <c r="P551" s="9" t="s">
        <v>39</v>
      </c>
      <c r="Q551" s="9">
        <v>13466</v>
      </c>
      <c r="R551" s="9">
        <v>150</v>
      </c>
      <c r="S551" s="9">
        <v>8684</v>
      </c>
      <c r="T551" s="9">
        <v>11766</v>
      </c>
      <c r="U551" s="9">
        <v>1</v>
      </c>
      <c r="V551" s="11">
        <v>1527.1762739999999</v>
      </c>
      <c r="W551" s="12">
        <f t="shared" si="14"/>
        <v>1527.1762739999999</v>
      </c>
      <c r="X551" s="12">
        <f t="shared" si="15"/>
        <v>1.1139165305213128</v>
      </c>
      <c r="Y551" s="12">
        <f t="shared" si="16"/>
        <v>64.488341006980548</v>
      </c>
      <c r="Z551" s="12">
        <f t="shared" si="17"/>
        <v>175.86092514970059</v>
      </c>
      <c r="AA551" s="12">
        <f t="shared" si="18"/>
        <v>113.40979310856973</v>
      </c>
      <c r="AB551" s="12">
        <f t="shared" si="19"/>
        <v>10.181175159999999</v>
      </c>
      <c r="AC551" s="12">
        <f t="shared" si="20"/>
        <v>0.66666666666666674</v>
      </c>
      <c r="AE551" s="13"/>
      <c r="AF551" s="13"/>
    </row>
    <row r="552" spans="1:32">
      <c r="A552" s="8" t="s">
        <v>1919</v>
      </c>
      <c r="B552" s="9" t="s">
        <v>1920</v>
      </c>
      <c r="C552" s="9" t="s">
        <v>326</v>
      </c>
      <c r="D552" s="9" t="s">
        <v>1921</v>
      </c>
      <c r="E552" s="9"/>
      <c r="F552" s="9" t="str">
        <f ca="1">IFERROR(__xludf.DUMMYFUNCTION("IFS(
  REGEXMATCH(LOWER(VLOOKUP(A552, Data1_Raw_Slack!A:B, 2, FALSE)), ""news|weather""), ""News and Weather"", REGEXMATCH(LOWER(VLOOKUP(A552, Data1_Raw_Slack!A:B, 2, FALSE)), ""sports|ufc|nba|nfl|mlb|soccer|sports fans""), ""Sports"",
  REGEXMATCH(LOWER("&amp;"VLOOKUP(A552, Data1_Raw_Slack!A:B, 2, FALSE)), ""fashion|style|clothing|apparel|shoes|accessories|beauty|cosmetics|fashionistas""), ""Fashion and Beauty"",
  REGEXMATCH(LOWER(VLOOKUP(A552, Data1_Raw_Slack!A:B, 2, FALSE)), ""food|cooking|recipe|restaurant|"&amp;"snack|grocery|foodies""), ""Food"",
  REGEXMATCH(LOWER(VLOOKUP(A552, Data1_Raw_Slack!A:B, 2, FALSE)), ""travel|vacation|airline|hotel|trip|flights|travelers""), ""Travel"",
  REGEXMATCH(LOWER(VLOOKUP(A552, Data1_Raw_Slack!A:B, 2, FALSE)), ""fitness|workou"&amp;"t|gym|exercise|yoga|wellness|fitness enthusiasts""), ""Fitness"",
  REGEXMATCH(LOWER(VLOOKUP(A552, Data1_Raw_Slack!A:B, 2, FALSE)), ""health|medical|pharmacy|mental health|doctor|health-conscious""), ""Health"",
  REGEXMATCH(LOWER(VLOOKUP(A552, Data1_Raw_"&amp;"Slack!A:B, 2, FALSE)), ""pets|dogs|cats|animals|pet care|pet lovers""), ""Pets"",
  REGEXMATCH(LOWER(VLOOKUP(A552, Data1_Raw_Slack!A:B, 2, FALSE)), ""games|gaming|game|xbox|playstation|nintendo|gamers""), ""Gaming"",
  REGEXMATCH(LOWER(VLOOKUP(A552, Data1"&amp;"_Raw_Slack!A:B, 2, FALSE)), ""entertainment|movies|tv|netflix|streaming|celebrity|movie lovers|tv fans|hobb|photo|art""), ""Entertainment"",
  REGEXMATCH(LOWER(VLOOKUP(A552, Data1_Raw_Slack!A:B, 2, FALSE)), ""lifestyle|home|interior|decor|living|lifestyle"&amp;" enthusiasts""), ""Lifestyle"",
  REGEXMATCH(LOWER(VLOOKUP(A552, Data1_Raw_Slack!A:B, 2, FALSE)), ""financial|finance|investing|stocks|retirement|banking|credit|debt|loans|savings|personal finance|insurance|econ|ecom|business|retail|occupation|sale|job|ma"&amp;"rketing""), ""Finance"",
  REGEXMATCH(LOWER(VLOOKUP(A552, Data1_Raw_Slack!A:B, 2, FALSE)), ""auto|automotive""), ""Auto"",
  REGEXMATCH(LOWER(VLOOKUP(A552, Data1_Raw_Slack!A:B, 2, FALSE)), ""parenting|moms|dads|kids|toddlers|baby|parent|children""), ""Par"&amp;"enting"",
  REGEXMATCH(LOWER(VLOOKUP(A552, Data1_Raw_Slack!A:B, 2, FALSE)), ""education|students|learning|school|teachers|college|university|academics""), ""Education"",
  REGEXMATCH(LOWER(VLOOKUP(A552, Data1_Raw_Slack!A:B, 2, FALSE)), ""age|gender|dem"&amp;"ographic|family|household""), ""Demographics"",
  REGEXMATCH(LOWER(VLOOKUP(A552, Data1_Raw_Slack!A:B, 2, FALSE)), ""mortgage|real estate""), ""Real Estate"",REGEXMATCH(LOWER(VLOOKUP(A552, Data1_Raw_Slack!A:B, 2, FALSE)), ""technology|tech|gadgets|smartpho"&amp;"ne|electro|apps|devices|computing|ai|robots|software|computer|internet|tele|mobile|tablet""), ""Technology"", REGEXMATCH(LOWER(VLOOKUP(A552, Data1_Raw_Slack!A:B, 2, FALSE)), ""entertainment|purchas|movies|tv|netflix|streaming|celebrity|movie lovers|tv fan"&amp;"s|media|hobb|photo|art|shop""), ""Entertainment"", REGEXMATCH(LOWER(VLOOKUP(A552, Data1_Raw_Slack!A:B, 2, FALSE)), ""law|government|""), ""Law and Government"",
  TRUE, ""Other""
)"),"Demographics")</f>
        <v>Demographics</v>
      </c>
      <c r="G552" s="9"/>
      <c r="H552" s="9" t="s">
        <v>32</v>
      </c>
      <c r="I552" s="9" t="s">
        <v>1922</v>
      </c>
      <c r="J552" s="9" t="s">
        <v>34</v>
      </c>
      <c r="K552" s="9" t="s">
        <v>35</v>
      </c>
      <c r="L552" s="9" t="s">
        <v>36</v>
      </c>
      <c r="M552" s="10" t="s">
        <v>229</v>
      </c>
      <c r="N552" s="9" t="str">
        <f ca="1">IFERROR(__xludf.DUMMYFUNCTION("REGEXEXTRACT(LOWER(M552), ""([a-z0-9\-]+)\.(?:co|net|org|io|gg)"")"),"msn")</f>
        <v>msn</v>
      </c>
      <c r="O552" s="9" t="s">
        <v>50</v>
      </c>
      <c r="P552" s="9" t="s">
        <v>39</v>
      </c>
      <c r="Q552" s="9">
        <v>58738</v>
      </c>
      <c r="R552" s="9">
        <v>165</v>
      </c>
      <c r="S552" s="9">
        <v>33538</v>
      </c>
      <c r="T552" s="9">
        <v>47535</v>
      </c>
      <c r="U552" s="9">
        <v>14</v>
      </c>
      <c r="V552" s="11">
        <v>2801.584386</v>
      </c>
      <c r="W552" s="12">
        <f t="shared" si="14"/>
        <v>200.11317042857144</v>
      </c>
      <c r="X552" s="12">
        <f t="shared" si="15"/>
        <v>0.28090844087302941</v>
      </c>
      <c r="Y552" s="12">
        <f t="shared" si="16"/>
        <v>57.097619939391876</v>
      </c>
      <c r="Z552" s="12">
        <f t="shared" si="17"/>
        <v>83.534628958196677</v>
      </c>
      <c r="AA552" s="12">
        <f t="shared" si="18"/>
        <v>47.696284960332328</v>
      </c>
      <c r="AB552" s="12">
        <f t="shared" si="19"/>
        <v>16.979299309090909</v>
      </c>
      <c r="AC552" s="12">
        <f t="shared" si="20"/>
        <v>8.4848484848484862</v>
      </c>
      <c r="AE552" s="13"/>
      <c r="AF552" s="13"/>
    </row>
    <row r="553" spans="1:32">
      <c r="A553" s="8" t="s">
        <v>1923</v>
      </c>
      <c r="B553" s="9" t="s">
        <v>341</v>
      </c>
      <c r="C553" s="9" t="s">
        <v>1924</v>
      </c>
      <c r="D553" s="9"/>
      <c r="E553" s="9"/>
      <c r="F553" s="9" t="str">
        <f ca="1">IFERROR(__xludf.DUMMYFUNCTION("IFS(
  REGEXMATCH(LOWER(VLOOKUP(A553, Data1_Raw_Slack!A:B, 2, FALSE)), ""news|weather""), ""News and Weather"", REGEXMATCH(LOWER(VLOOKUP(A553, Data1_Raw_Slack!A:B, 2, FALSE)), ""sports|ufc|nba|nfl|mlb|soccer|sports fans""), ""Sports"",
  REGEXMATCH(LOWER("&amp;"VLOOKUP(A553, Data1_Raw_Slack!A:B, 2, FALSE)), ""fashion|style|clothing|apparel|shoes|accessories|beauty|cosmetics|fashionistas""), ""Fashion and Beauty"",
  REGEXMATCH(LOWER(VLOOKUP(A553, Data1_Raw_Slack!A:B, 2, FALSE)), ""food|cooking|recipe|restaurant|"&amp;"snack|grocery|foodies""), ""Food"",
  REGEXMATCH(LOWER(VLOOKUP(A553, Data1_Raw_Slack!A:B, 2, FALSE)), ""travel|vacation|airline|hotel|trip|flights|travelers""), ""Travel"",
  REGEXMATCH(LOWER(VLOOKUP(A553, Data1_Raw_Slack!A:B, 2, FALSE)), ""fitness|workou"&amp;"t|gym|exercise|yoga|wellness|fitness enthusiasts""), ""Fitness"",
  REGEXMATCH(LOWER(VLOOKUP(A553, Data1_Raw_Slack!A:B, 2, FALSE)), ""health|medical|pharmacy|mental health|doctor|health-conscious""), ""Health"",
  REGEXMATCH(LOWER(VLOOKUP(A553, Data1_Raw_"&amp;"Slack!A:B, 2, FALSE)), ""pets|dogs|cats|animals|pet care|pet lovers""), ""Pets"",
  REGEXMATCH(LOWER(VLOOKUP(A553, Data1_Raw_Slack!A:B, 2, FALSE)), ""games|gaming|game|xbox|playstation|nintendo|gamers""), ""Gaming"",
  REGEXMATCH(LOWER(VLOOKUP(A553, Data1"&amp;"_Raw_Slack!A:B, 2, FALSE)), ""entertainment|movies|tv|netflix|streaming|celebrity|movie lovers|tv fans|hobb|photo|art""), ""Entertainment"",
  REGEXMATCH(LOWER(VLOOKUP(A553, Data1_Raw_Slack!A:B, 2, FALSE)), ""lifestyle|home|interior|decor|living|lifestyle"&amp;" enthusiasts""), ""Lifestyle"",
  REGEXMATCH(LOWER(VLOOKUP(A553, Data1_Raw_Slack!A:B, 2, FALSE)), ""financial|finance|investing|stocks|retirement|banking|credit|debt|loans|savings|personal finance|insurance|econ|ecom|business|retail|occupation|sale|job|ma"&amp;"rketing""), ""Finance"",
  REGEXMATCH(LOWER(VLOOKUP(A553, Data1_Raw_Slack!A:B, 2, FALSE)), ""auto|automotive""), ""Auto"",
  REGEXMATCH(LOWER(VLOOKUP(A553, Data1_Raw_Slack!A:B, 2, FALSE)), ""parenting|moms|dads|kids|toddlers|baby|parent|children""), ""Par"&amp;"enting"",
  REGEXMATCH(LOWER(VLOOKUP(A553, Data1_Raw_Slack!A:B, 2, FALSE)), ""education|students|learning|school|teachers|college|university|academics""), ""Education"",
  REGEXMATCH(LOWER(VLOOKUP(A553, Data1_Raw_Slack!A:B, 2, FALSE)), ""age|gender|dem"&amp;"ographic|family|household""), ""Demographics"",
  REGEXMATCH(LOWER(VLOOKUP(A553, Data1_Raw_Slack!A:B, 2, FALSE)), ""mortgage|real estate""), ""Real Estate"",REGEXMATCH(LOWER(VLOOKUP(A553, Data1_Raw_Slack!A:B, 2, FALSE)), ""technology|tech|gadgets|smartpho"&amp;"ne|electro|apps|devices|computing|ai|robots|software|computer|internet|tele|mobile|tablet""), ""Technology"", REGEXMATCH(LOWER(VLOOKUP(A553, Data1_Raw_Slack!A:B, 2, FALSE)), ""entertainment|purchas|movies|tv|netflix|streaming|celebrity|movie lovers|tv fan"&amp;"s|media|hobb|photo|art|shop""), ""Entertainment"", REGEXMATCH(LOWER(VLOOKUP(A553, Data1_Raw_Slack!A:B, 2, FALSE)), ""law|government|""), ""Law and Government"",
  TRUE, ""Other""
)"),"Fashion and Beauty")</f>
        <v>Fashion and Beauty</v>
      </c>
      <c r="G553" s="9"/>
      <c r="H553" s="9" t="s">
        <v>123</v>
      </c>
      <c r="I553" s="9" t="s">
        <v>155</v>
      </c>
      <c r="J553" s="9" t="s">
        <v>46</v>
      </c>
      <c r="K553" s="9" t="s">
        <v>47</v>
      </c>
      <c r="L553" s="9" t="s">
        <v>48</v>
      </c>
      <c r="M553" s="10" t="s">
        <v>202</v>
      </c>
      <c r="N553" s="9" t="str">
        <f ca="1">IFERROR(__xludf.DUMMYFUNCTION("REGEXEXTRACT(LOWER(M553), ""([a-z0-9\-]+)\.(?:co|net|org|io|gg)"")"),"zillow")</f>
        <v>zillow</v>
      </c>
      <c r="O553" s="9" t="s">
        <v>819</v>
      </c>
      <c r="P553" s="9" t="s">
        <v>39</v>
      </c>
      <c r="Q553" s="9">
        <v>130602</v>
      </c>
      <c r="R553" s="9">
        <v>269</v>
      </c>
      <c r="S553" s="9">
        <v>11736</v>
      </c>
      <c r="T553" s="9">
        <v>113735</v>
      </c>
      <c r="U553" s="9">
        <v>4</v>
      </c>
      <c r="V553" s="11">
        <v>1507.8471199999999</v>
      </c>
      <c r="W553" s="12">
        <f t="shared" si="14"/>
        <v>376.96177999999998</v>
      </c>
      <c r="X553" s="12">
        <f t="shared" si="15"/>
        <v>0.20596928071545612</v>
      </c>
      <c r="Y553" s="12">
        <f t="shared" si="16"/>
        <v>8.9860798456378923</v>
      </c>
      <c r="Z553" s="12">
        <f t="shared" si="17"/>
        <v>128.4804976141786</v>
      </c>
      <c r="AA553" s="12">
        <f t="shared" si="18"/>
        <v>11.545360101682975</v>
      </c>
      <c r="AB553" s="12">
        <f t="shared" si="19"/>
        <v>5.6053796282527877</v>
      </c>
      <c r="AC553" s="12">
        <f t="shared" si="20"/>
        <v>1.486988847583643</v>
      </c>
      <c r="AE553" s="13"/>
      <c r="AF553" s="13"/>
    </row>
    <row r="554" spans="1:32">
      <c r="A554" s="8" t="s">
        <v>1925</v>
      </c>
      <c r="B554" s="9" t="s">
        <v>41</v>
      </c>
      <c r="C554" s="9" t="s">
        <v>154</v>
      </c>
      <c r="D554" s="9" t="s">
        <v>152</v>
      </c>
      <c r="E554" s="9" t="s">
        <v>1635</v>
      </c>
      <c r="F554" s="9" t="str">
        <f ca="1">IFERROR(__xludf.DUMMYFUNCTION("IFS(
  REGEXMATCH(LOWER(VLOOKUP(A554, Data1_Raw_Slack!A:B, 2, FALSE)), ""news|weather""), ""News and Weather"", REGEXMATCH(LOWER(VLOOKUP(A554, Data1_Raw_Slack!A:B, 2, FALSE)), ""sports|ufc|nba|nfl|mlb|soccer|sports fans""), ""Sports"",
  REGEXMATCH(LOWER("&amp;"VLOOKUP(A554, Data1_Raw_Slack!A:B, 2, FALSE)), ""fashion|style|clothing|apparel|shoes|accessories|beauty|cosmetics|fashionistas""), ""Fashion and Beauty"",
  REGEXMATCH(LOWER(VLOOKUP(A554, Data1_Raw_Slack!A:B, 2, FALSE)), ""food|cooking|recipe|restaurant|"&amp;"snack|grocery|foodies""), ""Food"",
  REGEXMATCH(LOWER(VLOOKUP(A554, Data1_Raw_Slack!A:B, 2, FALSE)), ""travel|vacation|airline|hotel|trip|flights|travelers""), ""Travel"",
  REGEXMATCH(LOWER(VLOOKUP(A554, Data1_Raw_Slack!A:B, 2, FALSE)), ""fitness|workou"&amp;"t|gym|exercise|yoga|wellness|fitness enthusiasts""), ""Fitness"",
  REGEXMATCH(LOWER(VLOOKUP(A554, Data1_Raw_Slack!A:B, 2, FALSE)), ""health|medical|pharmacy|mental health|doctor|health-conscious""), ""Health"",
  REGEXMATCH(LOWER(VLOOKUP(A554, Data1_Raw_"&amp;"Slack!A:B, 2, FALSE)), ""pets|dogs|cats|animals|pet care|pet lovers""), ""Pets"",
  REGEXMATCH(LOWER(VLOOKUP(A554, Data1_Raw_Slack!A:B, 2, FALSE)), ""games|gaming|game|xbox|playstation|nintendo|gamers""), ""Gaming"",
  REGEXMATCH(LOWER(VLOOKUP(A554, Data1"&amp;"_Raw_Slack!A:B, 2, FALSE)), ""entertainment|movies|tv|netflix|streaming|celebrity|movie lovers|tv fans|hobb|photo|art""), ""Entertainment"",
  REGEXMATCH(LOWER(VLOOKUP(A554, Data1_Raw_Slack!A:B, 2, FALSE)), ""lifestyle|home|interior|decor|living|lifestyle"&amp;" enthusiasts""), ""Lifestyle"",
  REGEXMATCH(LOWER(VLOOKUP(A554, Data1_Raw_Slack!A:B, 2, FALSE)), ""financial|finance|investing|stocks|retirement|banking|credit|debt|loans|savings|personal finance|insurance|econ|ecom|business|retail|occupation|sale|job|ma"&amp;"rketing""), ""Finance"",
  REGEXMATCH(LOWER(VLOOKUP(A554, Data1_Raw_Slack!A:B, 2, FALSE)), ""auto|automotive""), ""Auto"",
  REGEXMATCH(LOWER(VLOOKUP(A554, Data1_Raw_Slack!A:B, 2, FALSE)), ""parenting|moms|dads|kids|toddlers|baby|parent|children""), ""Par"&amp;"enting"",
  REGEXMATCH(LOWER(VLOOKUP(A554, Data1_Raw_Slack!A:B, 2, FALSE)), ""education|students|learning|school|teachers|college|university|academics""), ""Education"",
  REGEXMATCH(LOWER(VLOOKUP(A554, Data1_Raw_Slack!A:B, 2, FALSE)), ""age|gender|dem"&amp;"ographic|family|household""), ""Demographics"",
  REGEXMATCH(LOWER(VLOOKUP(A554, Data1_Raw_Slack!A:B, 2, FALSE)), ""mortgage|real estate""), ""Real Estate"",REGEXMATCH(LOWER(VLOOKUP(A554, Data1_Raw_Slack!A:B, 2, FALSE)), ""technology|tech|gadgets|smartpho"&amp;"ne|electro|apps|devices|computing|ai|robots|software|computer|internet|tele|mobile|tablet""), ""Technology"", REGEXMATCH(LOWER(VLOOKUP(A554, Data1_Raw_Slack!A:B, 2, FALSE)), ""entertainment|purchas|movies|tv|netflix|streaming|celebrity|movie lovers|tv fan"&amp;"s|media|hobb|photo|art|shop""), ""Entertainment"", REGEXMATCH(LOWER(VLOOKUP(A554, Data1_Raw_Slack!A:B, 2, FALSE)), ""law|government|""), ""Law and Government"",
  TRUE, ""Other""
)"),"Sports")</f>
        <v>Sports</v>
      </c>
      <c r="G554" s="9" t="s">
        <v>154</v>
      </c>
      <c r="H554" s="9" t="s">
        <v>32</v>
      </c>
      <c r="I554" s="9" t="s">
        <v>1187</v>
      </c>
      <c r="J554" s="9" t="s">
        <v>34</v>
      </c>
      <c r="K554" s="9" t="s">
        <v>56</v>
      </c>
      <c r="L554" s="9" t="s">
        <v>57</v>
      </c>
      <c r="M554" s="10" t="s">
        <v>1908</v>
      </c>
      <c r="N554" s="9" t="str">
        <f ca="1">IFERROR(__xludf.DUMMYFUNCTION("REGEXEXTRACT(LOWER(M554), ""([a-z0-9\-]+)\.(?:co|net|org|io|gg)"")"),"rollingstone")</f>
        <v>rollingstone</v>
      </c>
      <c r="O554" s="9" t="s">
        <v>349</v>
      </c>
      <c r="P554" s="9" t="s">
        <v>39</v>
      </c>
      <c r="Q554" s="9">
        <v>19334</v>
      </c>
      <c r="R554" s="9">
        <v>40</v>
      </c>
      <c r="S554" s="9">
        <v>8673</v>
      </c>
      <c r="T554" s="9">
        <v>18578</v>
      </c>
      <c r="U554" s="9">
        <v>11</v>
      </c>
      <c r="V554" s="11">
        <v>7292.1350590000002</v>
      </c>
      <c r="W554" s="12">
        <f t="shared" si="14"/>
        <v>662.92136900000003</v>
      </c>
      <c r="X554" s="12">
        <f t="shared" si="15"/>
        <v>0.20688941760628943</v>
      </c>
      <c r="Y554" s="12">
        <f t="shared" si="16"/>
        <v>44.858797972483707</v>
      </c>
      <c r="Z554" s="12">
        <f t="shared" si="17"/>
        <v>840.78577873861411</v>
      </c>
      <c r="AA554" s="12">
        <f t="shared" si="18"/>
        <v>377.16639386572876</v>
      </c>
      <c r="AB554" s="12">
        <f t="shared" si="19"/>
        <v>182.30337647499999</v>
      </c>
      <c r="AC554" s="12">
        <f t="shared" si="20"/>
        <v>27.500000000000004</v>
      </c>
      <c r="AE554" s="13"/>
      <c r="AF554" s="13"/>
    </row>
    <row r="555" spans="1:32">
      <c r="A555" s="8" t="s">
        <v>1926</v>
      </c>
      <c r="B555" s="9" t="s">
        <v>41</v>
      </c>
      <c r="C555" s="9" t="s">
        <v>42</v>
      </c>
      <c r="D555" s="9" t="s">
        <v>1927</v>
      </c>
      <c r="E555" s="9"/>
      <c r="F555" s="9" t="str">
        <f ca="1">IFERROR(__xludf.DUMMYFUNCTION("IFS(
  REGEXMATCH(LOWER(VLOOKUP(A555, Data1_Raw_Slack!A:B, 2, FALSE)), ""news|weather""), ""News and Weather"", REGEXMATCH(LOWER(VLOOKUP(A555, Data1_Raw_Slack!A:B, 2, FALSE)), ""sports|ufc|nba|nfl|mlb|soccer|sports fans""), ""Sports"",
  REGEXMATCH(LOWER("&amp;"VLOOKUP(A555, Data1_Raw_Slack!A:B, 2, FALSE)), ""fashion|style|clothing|apparel|shoes|accessories|beauty|cosmetics|fashionistas""), ""Fashion and Beauty"",
  REGEXMATCH(LOWER(VLOOKUP(A555, Data1_Raw_Slack!A:B, 2, FALSE)), ""food|cooking|recipe|restaurant|"&amp;"snack|grocery|foodies""), ""Food"",
  REGEXMATCH(LOWER(VLOOKUP(A555, Data1_Raw_Slack!A:B, 2, FALSE)), ""travel|vacation|airline|hotel|trip|flights|travelers""), ""Travel"",
  REGEXMATCH(LOWER(VLOOKUP(A555, Data1_Raw_Slack!A:B, 2, FALSE)), ""fitness|workou"&amp;"t|gym|exercise|yoga|wellness|fitness enthusiasts""), ""Fitness"",
  REGEXMATCH(LOWER(VLOOKUP(A555, Data1_Raw_Slack!A:B, 2, FALSE)), ""health|medical|pharmacy|mental health|doctor|health-conscious""), ""Health"",
  REGEXMATCH(LOWER(VLOOKUP(A555, Data1_Raw_"&amp;"Slack!A:B, 2, FALSE)), ""pets|dogs|cats|animals|pet care|pet lovers""), ""Pets"",
  REGEXMATCH(LOWER(VLOOKUP(A555, Data1_Raw_Slack!A:B, 2, FALSE)), ""games|gaming|game|xbox|playstation|nintendo|gamers""), ""Gaming"",
  REGEXMATCH(LOWER(VLOOKUP(A555, Data1"&amp;"_Raw_Slack!A:B, 2, FALSE)), ""entertainment|movies|tv|netflix|streaming|celebrity|movie lovers|tv fans|hobb|photo|art""), ""Entertainment"",
  REGEXMATCH(LOWER(VLOOKUP(A555, Data1_Raw_Slack!A:B, 2, FALSE)), ""lifestyle|home|interior|decor|living|lifestyle"&amp;" enthusiasts""), ""Lifestyle"",
  REGEXMATCH(LOWER(VLOOKUP(A555, Data1_Raw_Slack!A:B, 2, FALSE)), ""financial|finance|investing|stocks|retirement|banking|credit|debt|loans|savings|personal finance|insurance|econ|ecom|business|retail|occupation|sale|job|ma"&amp;"rketing""), ""Finance"",
  REGEXMATCH(LOWER(VLOOKUP(A555, Data1_Raw_Slack!A:B, 2, FALSE)), ""auto|automotive""), ""Auto"",
  REGEXMATCH(LOWER(VLOOKUP(A555, Data1_Raw_Slack!A:B, 2, FALSE)), ""parenting|moms|dads|kids|toddlers|baby|parent|children""), ""Par"&amp;"enting"",
  REGEXMATCH(LOWER(VLOOKUP(A555, Data1_Raw_Slack!A:B, 2, FALSE)), ""education|students|learning|school|teachers|college|university|academics""), ""Education"",
  REGEXMATCH(LOWER(VLOOKUP(A555, Data1_Raw_Slack!A:B, 2, FALSE)), ""age|gender|dem"&amp;"ographic|family|household""), ""Demographics"",
  REGEXMATCH(LOWER(VLOOKUP(A555, Data1_Raw_Slack!A:B, 2, FALSE)), ""mortgage|real estate""), ""Real Estate"",REGEXMATCH(LOWER(VLOOKUP(A555, Data1_Raw_Slack!A:B, 2, FALSE)), ""technology|tech|gadgets|smartpho"&amp;"ne|electro|apps|devices|computing|ai|robots|software|computer|internet|tele|mobile|tablet""), ""Technology"", REGEXMATCH(LOWER(VLOOKUP(A555, Data1_Raw_Slack!A:B, 2, FALSE)), ""entertainment|purchas|movies|tv|netflix|streaming|celebrity|movie lovers|tv fan"&amp;"s|media|hobb|photo|art|shop""), ""Entertainment"", REGEXMATCH(LOWER(VLOOKUP(A555, Data1_Raw_Slack!A:B, 2, FALSE)), ""law|government|""), ""Law and Government"",
  TRUE, ""Other""
)"),"Law and Government")</f>
        <v>Law and Government</v>
      </c>
      <c r="G555" s="9"/>
      <c r="H555" s="9" t="s">
        <v>44</v>
      </c>
      <c r="I555" s="9" t="s">
        <v>1928</v>
      </c>
      <c r="J555" s="9" t="s">
        <v>46</v>
      </c>
      <c r="K555" s="9" t="s">
        <v>236</v>
      </c>
      <c r="L555" s="9" t="s">
        <v>82</v>
      </c>
      <c r="M555" s="10" t="s">
        <v>90</v>
      </c>
      <c r="N555" s="9" t="str">
        <f ca="1">IFERROR(__xludf.DUMMYFUNCTION("REGEXEXTRACT(LOWER(M555), ""([a-z0-9\-]+)\.(?:co|net|org|io|gg)"")"),"live")</f>
        <v>live</v>
      </c>
      <c r="O555" s="9" t="s">
        <v>593</v>
      </c>
      <c r="P555" s="9" t="s">
        <v>64</v>
      </c>
      <c r="Q555" s="9">
        <v>42755</v>
      </c>
      <c r="R555" s="9">
        <v>117</v>
      </c>
      <c r="S555" s="9">
        <v>36503</v>
      </c>
      <c r="T555" s="9">
        <v>40051</v>
      </c>
      <c r="U555" s="9">
        <v>12</v>
      </c>
      <c r="V555" s="11">
        <v>6550.3029699999997</v>
      </c>
      <c r="W555" s="12">
        <f t="shared" si="14"/>
        <v>545.85858083333335</v>
      </c>
      <c r="X555" s="12">
        <f t="shared" si="15"/>
        <v>0.27365220442053562</v>
      </c>
      <c r="Y555" s="12">
        <f t="shared" si="16"/>
        <v>85.377148871477019</v>
      </c>
      <c r="Z555" s="12">
        <f t="shared" si="17"/>
        <v>179.44560638851601</v>
      </c>
      <c r="AA555" s="12">
        <f t="shared" si="18"/>
        <v>153.20554250964798</v>
      </c>
      <c r="AB555" s="12">
        <f t="shared" si="19"/>
        <v>55.985495470085468</v>
      </c>
      <c r="AC555" s="12">
        <f t="shared" si="20"/>
        <v>10.256410256410255</v>
      </c>
      <c r="AE555" s="13"/>
      <c r="AF555" s="13"/>
    </row>
    <row r="556" spans="1:32">
      <c r="A556" s="8" t="s">
        <v>1929</v>
      </c>
      <c r="B556" s="9" t="s">
        <v>41</v>
      </c>
      <c r="C556" s="9" t="s">
        <v>524</v>
      </c>
      <c r="D556" s="9" t="s">
        <v>120</v>
      </c>
      <c r="E556" s="9" t="s">
        <v>1930</v>
      </c>
      <c r="F556" s="9" t="str">
        <f ca="1">IFERROR(__xludf.DUMMYFUNCTION("IFS(
  REGEXMATCH(LOWER(VLOOKUP(A556, Data1_Raw_Slack!A:B, 2, FALSE)), ""news|weather""), ""News and Weather"", REGEXMATCH(LOWER(VLOOKUP(A556, Data1_Raw_Slack!A:B, 2, FALSE)), ""sports|ufc|nba|nfl|mlb|soccer|sports fans""), ""Sports"",
  REGEXMATCH(LOWER("&amp;"VLOOKUP(A556, Data1_Raw_Slack!A:B, 2, FALSE)), ""fashion|style|clothing|apparel|shoes|accessories|beauty|cosmetics|fashionistas""), ""Fashion and Beauty"",
  REGEXMATCH(LOWER(VLOOKUP(A556, Data1_Raw_Slack!A:B, 2, FALSE)), ""food|cooking|recipe|restaurant|"&amp;"snack|grocery|foodies""), ""Food"",
  REGEXMATCH(LOWER(VLOOKUP(A556, Data1_Raw_Slack!A:B, 2, FALSE)), ""travel|vacation|airline|hotel|trip|flights|travelers""), ""Travel"",
  REGEXMATCH(LOWER(VLOOKUP(A556, Data1_Raw_Slack!A:B, 2, FALSE)), ""fitness|workou"&amp;"t|gym|exercise|yoga|wellness|fitness enthusiasts""), ""Fitness"",
  REGEXMATCH(LOWER(VLOOKUP(A556, Data1_Raw_Slack!A:B, 2, FALSE)), ""health|medical|pharmacy|mental health|doctor|health-conscious""), ""Health"",
  REGEXMATCH(LOWER(VLOOKUP(A556, Data1_Raw_"&amp;"Slack!A:B, 2, FALSE)), ""pets|dogs|cats|animals|pet care|pet lovers""), ""Pets"",
  REGEXMATCH(LOWER(VLOOKUP(A556, Data1_Raw_Slack!A:B, 2, FALSE)), ""games|gaming|game|xbox|playstation|nintendo|gamers""), ""Gaming"",
  REGEXMATCH(LOWER(VLOOKUP(A556, Data1"&amp;"_Raw_Slack!A:B, 2, FALSE)), ""entertainment|movies|tv|netflix|streaming|celebrity|movie lovers|tv fans|hobb|photo|art""), ""Entertainment"",
  REGEXMATCH(LOWER(VLOOKUP(A556, Data1_Raw_Slack!A:B, 2, FALSE)), ""lifestyle|home|interior|decor|living|lifestyle"&amp;" enthusiasts""), ""Lifestyle"",
  REGEXMATCH(LOWER(VLOOKUP(A556, Data1_Raw_Slack!A:B, 2, FALSE)), ""financial|finance|investing|stocks|retirement|banking|credit|debt|loans|savings|personal finance|insurance|econ|ecom|business|retail|occupation|sale|job|ma"&amp;"rketing""), ""Finance"",
  REGEXMATCH(LOWER(VLOOKUP(A556, Data1_Raw_Slack!A:B, 2, FALSE)), ""auto|automotive""), ""Auto"",
  REGEXMATCH(LOWER(VLOOKUP(A556, Data1_Raw_Slack!A:B, 2, FALSE)), ""parenting|moms|dads|kids|toddlers|baby|parent|children""), ""Par"&amp;"enting"",
  REGEXMATCH(LOWER(VLOOKUP(A556, Data1_Raw_Slack!A:B, 2, FALSE)), ""education|students|learning|school|teachers|college|university|academics""), ""Education"",
  REGEXMATCH(LOWER(VLOOKUP(A556, Data1_Raw_Slack!A:B, 2, FALSE)), ""age|gender|dem"&amp;"ographic|family|household""), ""Demographics"",
  REGEXMATCH(LOWER(VLOOKUP(A556, Data1_Raw_Slack!A:B, 2, FALSE)), ""mortgage|real estate""), ""Real Estate"",REGEXMATCH(LOWER(VLOOKUP(A556, Data1_Raw_Slack!A:B, 2, FALSE)), ""technology|tech|gadgets|smartpho"&amp;"ne|electro|apps|devices|computing|ai|robots|software|computer|internet|tele|mobile|tablet""), ""Technology"", REGEXMATCH(LOWER(VLOOKUP(A556, Data1_Raw_Slack!A:B, 2, FALSE)), ""entertainment|purchas|movies|tv|netflix|streaming|celebrity|movie lovers|tv fan"&amp;"s|media|hobb|photo|art|shop""), ""Entertainment"", REGEXMATCH(LOWER(VLOOKUP(A556, Data1_Raw_Slack!A:B, 2, FALSE)), ""law|government|""), ""Law and Government"",
  TRUE, ""Other""
)"),"Auto")</f>
        <v>Auto</v>
      </c>
      <c r="G556" s="9"/>
      <c r="H556" s="9" t="s">
        <v>32</v>
      </c>
      <c r="I556" s="9" t="s">
        <v>952</v>
      </c>
      <c r="J556" s="9" t="s">
        <v>46</v>
      </c>
      <c r="K556" s="9" t="s">
        <v>368</v>
      </c>
      <c r="L556" s="9" t="s">
        <v>36</v>
      </c>
      <c r="M556" s="10" t="s">
        <v>279</v>
      </c>
      <c r="N556" s="9" t="str">
        <f ca="1">IFERROR(__xludf.DUMMYFUNCTION("REGEXEXTRACT(LOWER(M556), ""([a-z0-9\-]+)\.(?:co|net|org|io|gg)"")"),"boattrader")</f>
        <v>boattrader</v>
      </c>
      <c r="O556" s="9" t="s">
        <v>103</v>
      </c>
      <c r="P556" s="9" t="s">
        <v>39</v>
      </c>
      <c r="Q556" s="9">
        <v>14047</v>
      </c>
      <c r="R556" s="9">
        <v>44</v>
      </c>
      <c r="S556" s="9">
        <v>9934</v>
      </c>
      <c r="T556" s="9">
        <v>13377</v>
      </c>
      <c r="U556" s="9">
        <v>7</v>
      </c>
      <c r="V556" s="14">
        <v>5729.6507549999997</v>
      </c>
      <c r="W556" s="12">
        <f t="shared" si="14"/>
        <v>818.52153642857138</v>
      </c>
      <c r="X556" s="12">
        <f t="shared" si="15"/>
        <v>0.31323414252153486</v>
      </c>
      <c r="Y556" s="12">
        <f t="shared" si="16"/>
        <v>70.719726632021079</v>
      </c>
      <c r="Z556" s="12">
        <f t="shared" si="17"/>
        <v>576.77176917656527</v>
      </c>
      <c r="AA556" s="12">
        <f t="shared" si="18"/>
        <v>407.89141845233854</v>
      </c>
      <c r="AB556" s="12">
        <f t="shared" si="19"/>
        <v>130.21933534090908</v>
      </c>
      <c r="AC556" s="12">
        <f t="shared" si="20"/>
        <v>15.909090909090908</v>
      </c>
      <c r="AE556" s="13"/>
      <c r="AF556" s="13"/>
    </row>
    <row r="557" spans="1:32">
      <c r="A557" s="8" t="s">
        <v>1931</v>
      </c>
      <c r="B557" s="9" t="s">
        <v>1932</v>
      </c>
      <c r="C557" s="9" t="s">
        <v>67</v>
      </c>
      <c r="D557" s="9" t="s">
        <v>1933</v>
      </c>
      <c r="E557" s="9" t="s">
        <v>1934</v>
      </c>
      <c r="F557" s="9" t="str">
        <f ca="1">IFERROR(__xludf.DUMMYFUNCTION("IFS(
  REGEXMATCH(LOWER(VLOOKUP(A557, Data1_Raw_Slack!A:B, 2, FALSE)), ""news|weather""), ""News and Weather"", REGEXMATCH(LOWER(VLOOKUP(A557, Data1_Raw_Slack!A:B, 2, FALSE)), ""sports|ufc|nba|nfl|mlb|soccer|sports fans""), ""Sports"",
  REGEXMATCH(LOWER("&amp;"VLOOKUP(A557, Data1_Raw_Slack!A:B, 2, FALSE)), ""fashion|style|clothing|apparel|shoes|accessories|beauty|cosmetics|fashionistas""), ""Fashion and Beauty"",
  REGEXMATCH(LOWER(VLOOKUP(A557, Data1_Raw_Slack!A:B, 2, FALSE)), ""food|cooking|recipe|restaurant|"&amp;"snack|grocery|foodies""), ""Food"",
  REGEXMATCH(LOWER(VLOOKUP(A557, Data1_Raw_Slack!A:B, 2, FALSE)), ""travel|vacation|airline|hotel|trip|flights|travelers""), ""Travel"",
  REGEXMATCH(LOWER(VLOOKUP(A557, Data1_Raw_Slack!A:B, 2, FALSE)), ""fitness|workou"&amp;"t|gym|exercise|yoga|wellness|fitness enthusiasts""), ""Fitness"",
  REGEXMATCH(LOWER(VLOOKUP(A557, Data1_Raw_Slack!A:B, 2, FALSE)), ""health|medical|pharmacy|mental health|doctor|health-conscious""), ""Health"",
  REGEXMATCH(LOWER(VLOOKUP(A557, Data1_Raw_"&amp;"Slack!A:B, 2, FALSE)), ""pets|dogs|cats|animals|pet care|pet lovers""), ""Pets"",
  REGEXMATCH(LOWER(VLOOKUP(A557, Data1_Raw_Slack!A:B, 2, FALSE)), ""games|gaming|game|xbox|playstation|nintendo|gamers""), ""Gaming"",
  REGEXMATCH(LOWER(VLOOKUP(A557, Data1"&amp;"_Raw_Slack!A:B, 2, FALSE)), ""entertainment|movies|tv|netflix|streaming|celebrity|movie lovers|tv fans|hobb|photo|art""), ""Entertainment"",
  REGEXMATCH(LOWER(VLOOKUP(A557, Data1_Raw_Slack!A:B, 2, FALSE)), ""lifestyle|home|interior|decor|living|lifestyle"&amp;" enthusiasts""), ""Lifestyle"",
  REGEXMATCH(LOWER(VLOOKUP(A557, Data1_Raw_Slack!A:B, 2, FALSE)), ""financial|finance|investing|stocks|retirement|banking|credit|debt|loans|savings|personal finance|insurance|econ|ecom|business|retail|occupation|sale|job|ma"&amp;"rketing""), ""Finance"",
  REGEXMATCH(LOWER(VLOOKUP(A557, Data1_Raw_Slack!A:B, 2, FALSE)), ""auto|automotive""), ""Auto"",
  REGEXMATCH(LOWER(VLOOKUP(A557, Data1_Raw_Slack!A:B, 2, FALSE)), ""parenting|moms|dads|kids|toddlers|baby|parent|children""), ""Par"&amp;"enting"",
  REGEXMATCH(LOWER(VLOOKUP(A557, Data1_Raw_Slack!A:B, 2, FALSE)), ""education|students|learning|school|teachers|college|university|academics""), ""Education"",
  REGEXMATCH(LOWER(VLOOKUP(A557, Data1_Raw_Slack!A:B, 2, FALSE)), ""age|gender|dem"&amp;"ographic|family|household""), ""Demographics"",
  REGEXMATCH(LOWER(VLOOKUP(A557, Data1_Raw_Slack!A:B, 2, FALSE)), ""mortgage|real estate""), ""Real Estate"",REGEXMATCH(LOWER(VLOOKUP(A557, Data1_Raw_Slack!A:B, 2, FALSE)), ""technology|tech|gadgets|smartpho"&amp;"ne|electro|apps|devices|computing|ai|robots|software|computer|internet|tele|mobile|tablet""), ""Technology"", REGEXMATCH(LOWER(VLOOKUP(A557, Data1_Raw_Slack!A:B, 2, FALSE)), ""entertainment|purchas|movies|tv|netflix|streaming|celebrity|movie lovers|tv fan"&amp;"s|media|hobb|photo|art|shop""), ""Entertainment"", REGEXMATCH(LOWER(VLOOKUP(A557, Data1_Raw_Slack!A:B, 2, FALSE)), ""law|government|""), ""Law and Government"",
  TRUE, ""Other""
)"),"Entertainment")</f>
        <v>Entertainment</v>
      </c>
      <c r="G557" s="9" t="s">
        <v>69</v>
      </c>
      <c r="H557" s="9" t="s">
        <v>44</v>
      </c>
      <c r="I557" s="9" t="s">
        <v>793</v>
      </c>
      <c r="J557" s="9" t="s">
        <v>34</v>
      </c>
      <c r="K557" s="9" t="s">
        <v>236</v>
      </c>
      <c r="L557" s="9" t="s">
        <v>82</v>
      </c>
      <c r="M557" s="10" t="s">
        <v>37</v>
      </c>
      <c r="N557" s="9" t="str">
        <f ca="1">IFERROR(__xludf.DUMMYFUNCTION("REGEXEXTRACT(LOWER(M557), ""([a-z0-9\-]+)\.(?:co|net|org|io|gg)"")"),"cars")</f>
        <v>cars</v>
      </c>
      <c r="O557" s="9" t="s">
        <v>103</v>
      </c>
      <c r="P557" s="9" t="s">
        <v>75</v>
      </c>
      <c r="Q557" s="9">
        <v>69757</v>
      </c>
      <c r="R557" s="9">
        <v>199</v>
      </c>
      <c r="S557" s="9">
        <v>41258</v>
      </c>
      <c r="T557" s="9">
        <v>65374</v>
      </c>
      <c r="U557" s="9">
        <v>20</v>
      </c>
      <c r="V557" s="11">
        <v>1510.6153200000001</v>
      </c>
      <c r="W557" s="12">
        <f t="shared" si="14"/>
        <v>75.530766</v>
      </c>
      <c r="X557" s="12">
        <f t="shared" si="15"/>
        <v>0.28527602964577031</v>
      </c>
      <c r="Y557" s="12">
        <f t="shared" si="16"/>
        <v>59.145318749372819</v>
      </c>
      <c r="Z557" s="12">
        <f t="shared" si="17"/>
        <v>36.61387658151147</v>
      </c>
      <c r="AA557" s="12">
        <f t="shared" si="18"/>
        <v>21.655394010636925</v>
      </c>
      <c r="AB557" s="12">
        <f t="shared" si="19"/>
        <v>7.59103175879397</v>
      </c>
      <c r="AC557" s="12">
        <f t="shared" si="20"/>
        <v>10.050251256281408</v>
      </c>
      <c r="AE557" s="13"/>
      <c r="AF557" s="13"/>
    </row>
    <row r="558" spans="1:32">
      <c r="A558" s="8" t="s">
        <v>1935</v>
      </c>
      <c r="B558" s="9" t="s">
        <v>41</v>
      </c>
      <c r="C558" s="9" t="s">
        <v>154</v>
      </c>
      <c r="D558" s="9" t="s">
        <v>152</v>
      </c>
      <c r="E558" s="9" t="s">
        <v>1936</v>
      </c>
      <c r="F558" s="9" t="str">
        <f ca="1">IFERROR(__xludf.DUMMYFUNCTION("IFS(
  REGEXMATCH(LOWER(VLOOKUP(A558, Data1_Raw_Slack!A:B, 2, FALSE)), ""news|weather""), ""News and Weather"", REGEXMATCH(LOWER(VLOOKUP(A558, Data1_Raw_Slack!A:B, 2, FALSE)), ""sports|ufc|nba|nfl|mlb|soccer|sports fans""), ""Sports"",
  REGEXMATCH(LOWER("&amp;"VLOOKUP(A558, Data1_Raw_Slack!A:B, 2, FALSE)), ""fashion|style|clothing|apparel|shoes|accessories|beauty|cosmetics|fashionistas""), ""Fashion and Beauty"",
  REGEXMATCH(LOWER(VLOOKUP(A558, Data1_Raw_Slack!A:B, 2, FALSE)), ""food|cooking|recipe|restaurant|"&amp;"snack|grocery|foodies""), ""Food"",
  REGEXMATCH(LOWER(VLOOKUP(A558, Data1_Raw_Slack!A:B, 2, FALSE)), ""travel|vacation|airline|hotel|trip|flights|travelers""), ""Travel"",
  REGEXMATCH(LOWER(VLOOKUP(A558, Data1_Raw_Slack!A:B, 2, FALSE)), ""fitness|workou"&amp;"t|gym|exercise|yoga|wellness|fitness enthusiasts""), ""Fitness"",
  REGEXMATCH(LOWER(VLOOKUP(A558, Data1_Raw_Slack!A:B, 2, FALSE)), ""health|medical|pharmacy|mental health|doctor|health-conscious""), ""Health"",
  REGEXMATCH(LOWER(VLOOKUP(A558, Data1_Raw_"&amp;"Slack!A:B, 2, FALSE)), ""pets|dogs|cats|animals|pet care|pet lovers""), ""Pets"",
  REGEXMATCH(LOWER(VLOOKUP(A558, Data1_Raw_Slack!A:B, 2, FALSE)), ""games|gaming|game|xbox|playstation|nintendo|gamers""), ""Gaming"",
  REGEXMATCH(LOWER(VLOOKUP(A558, Data1"&amp;"_Raw_Slack!A:B, 2, FALSE)), ""entertainment|movies|tv|netflix|streaming|celebrity|movie lovers|tv fans|hobb|photo|art""), ""Entertainment"",
  REGEXMATCH(LOWER(VLOOKUP(A558, Data1_Raw_Slack!A:B, 2, FALSE)), ""lifestyle|home|interior|decor|living|lifestyle"&amp;" enthusiasts""), ""Lifestyle"",
  REGEXMATCH(LOWER(VLOOKUP(A558, Data1_Raw_Slack!A:B, 2, FALSE)), ""financial|finance|investing|stocks|retirement|banking|credit|debt|loans|savings|personal finance|insurance|econ|ecom|business|retail|occupation|sale|job|ma"&amp;"rketing""), ""Finance"",
  REGEXMATCH(LOWER(VLOOKUP(A558, Data1_Raw_Slack!A:B, 2, FALSE)), ""auto|automotive""), ""Auto"",
  REGEXMATCH(LOWER(VLOOKUP(A558, Data1_Raw_Slack!A:B, 2, FALSE)), ""parenting|moms|dads|kids|toddlers|baby|parent|children""), ""Par"&amp;"enting"",
  REGEXMATCH(LOWER(VLOOKUP(A558, Data1_Raw_Slack!A:B, 2, FALSE)), ""education|students|learning|school|teachers|college|university|academics""), ""Education"",
  REGEXMATCH(LOWER(VLOOKUP(A558, Data1_Raw_Slack!A:B, 2, FALSE)), ""age|gender|dem"&amp;"ographic|family|household""), ""Demographics"",
  REGEXMATCH(LOWER(VLOOKUP(A558, Data1_Raw_Slack!A:B, 2, FALSE)), ""mortgage|real estate""), ""Real Estate"",REGEXMATCH(LOWER(VLOOKUP(A558, Data1_Raw_Slack!A:B, 2, FALSE)), ""technology|tech|gadgets|smartpho"&amp;"ne|electro|apps|devices|computing|ai|robots|software|computer|internet|tele|mobile|tablet""), ""Technology"", REGEXMATCH(LOWER(VLOOKUP(A558, Data1_Raw_Slack!A:B, 2, FALSE)), ""entertainment|purchas|movies|tv|netflix|streaming|celebrity|movie lovers|tv fan"&amp;"s|media|hobb|photo|art|shop""), ""Entertainment"", REGEXMATCH(LOWER(VLOOKUP(A558, Data1_Raw_Slack!A:B, 2, FALSE)), ""law|government|""), ""Law and Government"",
  TRUE, ""Other""
)"),"Sports")</f>
        <v>Sports</v>
      </c>
      <c r="G558" s="9" t="s">
        <v>154</v>
      </c>
      <c r="H558" s="9" t="s">
        <v>32</v>
      </c>
      <c r="I558" s="9" t="s">
        <v>1937</v>
      </c>
      <c r="J558" s="9" t="s">
        <v>46</v>
      </c>
      <c r="K558" s="9" t="s">
        <v>35</v>
      </c>
      <c r="L558" s="9" t="s">
        <v>36</v>
      </c>
      <c r="M558" s="10" t="s">
        <v>229</v>
      </c>
      <c r="N558" s="9" t="str">
        <f ca="1">IFERROR(__xludf.DUMMYFUNCTION("REGEXEXTRACT(LOWER(M558), ""([a-z0-9\-]+)\.(?:co|net|org|io|gg)"")"),"msn")</f>
        <v>msn</v>
      </c>
      <c r="O558" s="9" t="s">
        <v>74</v>
      </c>
      <c r="P558" s="9" t="s">
        <v>39</v>
      </c>
      <c r="Q558" s="9">
        <v>458931</v>
      </c>
      <c r="R558" s="9">
        <v>974</v>
      </c>
      <c r="S558" s="9">
        <v>264325</v>
      </c>
      <c r="T558" s="9">
        <v>378011</v>
      </c>
      <c r="U558" s="9">
        <v>30</v>
      </c>
      <c r="V558" s="11">
        <v>7462.6779349999997</v>
      </c>
      <c r="W558" s="12">
        <f t="shared" si="14"/>
        <v>248.75593116666667</v>
      </c>
      <c r="X558" s="12">
        <f t="shared" si="15"/>
        <v>0.21223233993781201</v>
      </c>
      <c r="Y558" s="12">
        <f t="shared" si="16"/>
        <v>57.595804162281475</v>
      </c>
      <c r="Z558" s="12">
        <f t="shared" si="17"/>
        <v>28.232962962262363</v>
      </c>
      <c r="AA558" s="12">
        <f t="shared" si="18"/>
        <v>16.261002056954094</v>
      </c>
      <c r="AB558" s="12">
        <f t="shared" si="19"/>
        <v>7.6618869969199173</v>
      </c>
      <c r="AC558" s="12">
        <f t="shared" si="20"/>
        <v>3.0800821355236137</v>
      </c>
      <c r="AE558" s="13"/>
      <c r="AF558" s="13"/>
    </row>
    <row r="559" spans="1:32">
      <c r="A559" s="8" t="s">
        <v>1938</v>
      </c>
      <c r="B559" s="9" t="s">
        <v>498</v>
      </c>
      <c r="C559" s="9" t="s">
        <v>863</v>
      </c>
      <c r="D559" s="9" t="s">
        <v>1939</v>
      </c>
      <c r="E559" s="9"/>
      <c r="F559" s="9" t="str">
        <f ca="1">IFERROR(__xludf.DUMMYFUNCTION("IFS(
  REGEXMATCH(LOWER(VLOOKUP(A559, Data1_Raw_Slack!A:B, 2, FALSE)), ""news|weather""), ""News and Weather"", REGEXMATCH(LOWER(VLOOKUP(A559, Data1_Raw_Slack!A:B, 2, FALSE)), ""sports|ufc|nba|nfl|mlb|soccer|sports fans""), ""Sports"",
  REGEXMATCH(LOWER("&amp;"VLOOKUP(A559, Data1_Raw_Slack!A:B, 2, FALSE)), ""fashion|style|clothing|apparel|shoes|accessories|beauty|cosmetics|fashionistas""), ""Fashion and Beauty"",
  REGEXMATCH(LOWER(VLOOKUP(A559, Data1_Raw_Slack!A:B, 2, FALSE)), ""food|cooking|recipe|restaurant|"&amp;"snack|grocery|foodies""), ""Food"",
  REGEXMATCH(LOWER(VLOOKUP(A559, Data1_Raw_Slack!A:B, 2, FALSE)), ""travel|vacation|airline|hotel|trip|flights|travelers""), ""Travel"",
  REGEXMATCH(LOWER(VLOOKUP(A559, Data1_Raw_Slack!A:B, 2, FALSE)), ""fitness|workou"&amp;"t|gym|exercise|yoga|wellness|fitness enthusiasts""), ""Fitness"",
  REGEXMATCH(LOWER(VLOOKUP(A559, Data1_Raw_Slack!A:B, 2, FALSE)), ""health|medical|pharmacy|mental health|doctor|health-conscious""), ""Health"",
  REGEXMATCH(LOWER(VLOOKUP(A559, Data1_Raw_"&amp;"Slack!A:B, 2, FALSE)), ""pets|dogs|cats|animals|pet care|pet lovers""), ""Pets"",
  REGEXMATCH(LOWER(VLOOKUP(A559, Data1_Raw_Slack!A:B, 2, FALSE)), ""games|gaming|game|xbox|playstation|nintendo|gamers""), ""Gaming"",
  REGEXMATCH(LOWER(VLOOKUP(A559, Data1"&amp;"_Raw_Slack!A:B, 2, FALSE)), ""entertainment|movies|tv|netflix|streaming|celebrity|movie lovers|tv fans|hobb|photo|art""), ""Entertainment"",
  REGEXMATCH(LOWER(VLOOKUP(A559, Data1_Raw_Slack!A:B, 2, FALSE)), ""lifestyle|home|interior|decor|living|lifestyle"&amp;" enthusiasts""), ""Lifestyle"",
  REGEXMATCH(LOWER(VLOOKUP(A559, Data1_Raw_Slack!A:B, 2, FALSE)), ""financial|finance|investing|stocks|retirement|banking|credit|debt|loans|savings|personal finance|insurance|econ|ecom|business|retail|occupation|sale|job|ma"&amp;"rketing""), ""Finance"",
  REGEXMATCH(LOWER(VLOOKUP(A559, Data1_Raw_Slack!A:B, 2, FALSE)), ""auto|automotive""), ""Auto"",
  REGEXMATCH(LOWER(VLOOKUP(A559, Data1_Raw_Slack!A:B, 2, FALSE)), ""parenting|moms|dads|kids|toddlers|baby|parent|children""), ""Par"&amp;"enting"",
  REGEXMATCH(LOWER(VLOOKUP(A559, Data1_Raw_Slack!A:B, 2, FALSE)), ""education|students|learning|school|teachers|college|university|academics""), ""Education"",
  REGEXMATCH(LOWER(VLOOKUP(A559, Data1_Raw_Slack!A:B, 2, FALSE)), ""age|gender|dem"&amp;"ographic|family|household""), ""Demographics"",
  REGEXMATCH(LOWER(VLOOKUP(A559, Data1_Raw_Slack!A:B, 2, FALSE)), ""mortgage|real estate""), ""Real Estate"",REGEXMATCH(LOWER(VLOOKUP(A559, Data1_Raw_Slack!A:B, 2, FALSE)), ""technology|tech|gadgets|smartpho"&amp;"ne|electro|apps|devices|computing|ai|robots|software|computer|internet|tele|mobile|tablet""), ""Technology"", REGEXMATCH(LOWER(VLOOKUP(A559, Data1_Raw_Slack!A:B, 2, FALSE)), ""entertainment|purchas|movies|tv|netflix|streaming|celebrity|movie lovers|tv fan"&amp;"s|media|hobb|photo|art|shop""), ""Entertainment"", REGEXMATCH(LOWER(VLOOKUP(A559, Data1_Raw_Slack!A:B, 2, FALSE)), ""law|government|""), ""Law and Government"",
  TRUE, ""Other""
)"),"Fashion and Beauty")</f>
        <v>Fashion and Beauty</v>
      </c>
      <c r="G559" s="9" t="s">
        <v>865</v>
      </c>
      <c r="H559" s="9" t="s">
        <v>32</v>
      </c>
      <c r="I559" s="9" t="s">
        <v>1940</v>
      </c>
      <c r="J559" s="9" t="s">
        <v>46</v>
      </c>
      <c r="K559" s="9" t="s">
        <v>236</v>
      </c>
      <c r="L559" s="9" t="s">
        <v>82</v>
      </c>
      <c r="M559" s="10" t="s">
        <v>1941</v>
      </c>
      <c r="N559" s="9" t="str">
        <f ca="1">IFERROR(__xludf.DUMMYFUNCTION("REGEXEXTRACT(LOWER(M559), ""([a-z0-9\-]+)\.(?:co|net|org|io|gg)"")"),"msn")</f>
        <v>msn</v>
      </c>
      <c r="O559" s="9" t="s">
        <v>74</v>
      </c>
      <c r="P559" s="9" t="s">
        <v>39</v>
      </c>
      <c r="Q559" s="9">
        <v>10903</v>
      </c>
      <c r="R559" s="9">
        <v>35</v>
      </c>
      <c r="S559" s="9">
        <v>3776</v>
      </c>
      <c r="T559" s="9">
        <v>9581</v>
      </c>
      <c r="U559" s="9">
        <v>2</v>
      </c>
      <c r="V559" s="11">
        <v>1460.0097539999999</v>
      </c>
      <c r="W559" s="12">
        <f t="shared" si="14"/>
        <v>730.00487699999996</v>
      </c>
      <c r="X559" s="12">
        <f t="shared" si="15"/>
        <v>0.32101256534898653</v>
      </c>
      <c r="Y559" s="12">
        <f t="shared" si="16"/>
        <v>34.632669907364942</v>
      </c>
      <c r="Z559" s="12">
        <f t="shared" si="17"/>
        <v>386.65512552966101</v>
      </c>
      <c r="AA559" s="12">
        <f t="shared" si="18"/>
        <v>133.90899330459504</v>
      </c>
      <c r="AB559" s="12">
        <f t="shared" si="19"/>
        <v>41.7145644</v>
      </c>
      <c r="AC559" s="12">
        <f t="shared" si="20"/>
        <v>5.7142857142857144</v>
      </c>
      <c r="AE559" s="13"/>
      <c r="AF559" s="13"/>
    </row>
    <row r="560" spans="1:32">
      <c r="A560" s="8" t="s">
        <v>1942</v>
      </c>
      <c r="B560" s="9" t="s">
        <v>41</v>
      </c>
      <c r="C560" s="9" t="s">
        <v>996</v>
      </c>
      <c r="D560" s="9" t="s">
        <v>1943</v>
      </c>
      <c r="E560" s="9"/>
      <c r="F560" s="9" t="str">
        <f ca="1">IFERROR(__xludf.DUMMYFUNCTION("IFS(
  REGEXMATCH(LOWER(VLOOKUP(A560, Data1_Raw_Slack!A:B, 2, FALSE)), ""news|weather""), ""News and Weather"", REGEXMATCH(LOWER(VLOOKUP(A560, Data1_Raw_Slack!A:B, 2, FALSE)), ""sports|ufc|nba|nfl|mlb|soccer|sports fans""), ""Sports"",
  REGEXMATCH(LOWER("&amp;"VLOOKUP(A560, Data1_Raw_Slack!A:B, 2, FALSE)), ""fashion|style|clothing|apparel|shoes|accessories|beauty|cosmetics|fashionistas""), ""Fashion and Beauty"",
  REGEXMATCH(LOWER(VLOOKUP(A560, Data1_Raw_Slack!A:B, 2, FALSE)), ""food|cooking|recipe|restaurant|"&amp;"snack|grocery|foodies""), ""Food"",
  REGEXMATCH(LOWER(VLOOKUP(A560, Data1_Raw_Slack!A:B, 2, FALSE)), ""travel|vacation|airline|hotel|trip|flights|travelers""), ""Travel"",
  REGEXMATCH(LOWER(VLOOKUP(A560, Data1_Raw_Slack!A:B, 2, FALSE)), ""fitness|workou"&amp;"t|gym|exercise|yoga|wellness|fitness enthusiasts""), ""Fitness"",
  REGEXMATCH(LOWER(VLOOKUP(A560, Data1_Raw_Slack!A:B, 2, FALSE)), ""health|medical|pharmacy|mental health|doctor|health-conscious""), ""Health"",
  REGEXMATCH(LOWER(VLOOKUP(A560, Data1_Raw_"&amp;"Slack!A:B, 2, FALSE)), ""pets|dogs|cats|animals|pet care|pet lovers""), ""Pets"",
  REGEXMATCH(LOWER(VLOOKUP(A560, Data1_Raw_Slack!A:B, 2, FALSE)), ""games|gaming|game|xbox|playstation|nintendo|gamers""), ""Gaming"",
  REGEXMATCH(LOWER(VLOOKUP(A560, Data1"&amp;"_Raw_Slack!A:B, 2, FALSE)), ""entertainment|movies|tv|netflix|streaming|celebrity|movie lovers|tv fans|hobb|photo|art""), ""Entertainment"",
  REGEXMATCH(LOWER(VLOOKUP(A560, Data1_Raw_Slack!A:B, 2, FALSE)), ""lifestyle|home|interior|decor|living|lifestyle"&amp;" enthusiasts""), ""Lifestyle"",
  REGEXMATCH(LOWER(VLOOKUP(A560, Data1_Raw_Slack!A:B, 2, FALSE)), ""financial|finance|investing|stocks|retirement|banking|credit|debt|loans|savings|personal finance|insurance|econ|ecom|business|retail|occupation|sale|job|ma"&amp;"rketing""), ""Finance"",
  REGEXMATCH(LOWER(VLOOKUP(A560, Data1_Raw_Slack!A:B, 2, FALSE)), ""auto|automotive""), ""Auto"",
  REGEXMATCH(LOWER(VLOOKUP(A560, Data1_Raw_Slack!A:B, 2, FALSE)), ""parenting|moms|dads|kids|toddlers|baby|parent|children""), ""Par"&amp;"enting"",
  REGEXMATCH(LOWER(VLOOKUP(A560, Data1_Raw_Slack!A:B, 2, FALSE)), ""education|students|learning|school|teachers|college|university|academics""), ""Education"",
  REGEXMATCH(LOWER(VLOOKUP(A560, Data1_Raw_Slack!A:B, 2, FALSE)), ""age|gender|dem"&amp;"ographic|family|household""), ""Demographics"",
  REGEXMATCH(LOWER(VLOOKUP(A560, Data1_Raw_Slack!A:B, 2, FALSE)), ""mortgage|real estate""), ""Real Estate"",REGEXMATCH(LOWER(VLOOKUP(A560, Data1_Raw_Slack!A:B, 2, FALSE)), ""technology|tech|gadgets|smartpho"&amp;"ne|electro|apps|devices|computing|ai|robots|software|computer|internet|tele|mobile|tablet""), ""Technology"", REGEXMATCH(LOWER(VLOOKUP(A560, Data1_Raw_Slack!A:B, 2, FALSE)), ""entertainment|purchas|movies|tv|netflix|streaming|celebrity|movie lovers|tv fan"&amp;"s|media|hobb|photo|art|shop""), ""Entertainment"", REGEXMATCH(LOWER(VLOOKUP(A560, Data1_Raw_Slack!A:B, 2, FALSE)), ""law|government|""), ""Law and Government"",
  TRUE, ""Other""
)"),"Lifestyle")</f>
        <v>Lifestyle</v>
      </c>
      <c r="G560" s="9"/>
      <c r="H560" s="9" t="s">
        <v>44</v>
      </c>
      <c r="I560" s="9" t="s">
        <v>1813</v>
      </c>
      <c r="J560" s="9" t="s">
        <v>62</v>
      </c>
      <c r="K560" s="9" t="s">
        <v>405</v>
      </c>
      <c r="L560" s="9" t="s">
        <v>72</v>
      </c>
      <c r="M560" s="10" t="s">
        <v>218</v>
      </c>
      <c r="N560" s="9" t="str">
        <f ca="1">IFERROR(__xludf.DUMMYFUNCTION("REGEXEXTRACT(LOWER(M560), ""([a-z0-9\-]+)\.(?:co|net|org|io|gg)"")"),"yahoo")</f>
        <v>yahoo</v>
      </c>
      <c r="O560" s="9" t="s">
        <v>103</v>
      </c>
      <c r="P560" s="9" t="s">
        <v>39</v>
      </c>
      <c r="Q560" s="9">
        <v>8420</v>
      </c>
      <c r="R560" s="9">
        <v>80</v>
      </c>
      <c r="S560" s="9">
        <v>4430</v>
      </c>
      <c r="T560" s="9">
        <v>7869</v>
      </c>
      <c r="U560" s="9">
        <v>8</v>
      </c>
      <c r="V560" s="11">
        <v>5184.5854239999999</v>
      </c>
      <c r="W560" s="12">
        <f t="shared" si="14"/>
        <v>648.07317799999998</v>
      </c>
      <c r="X560" s="12">
        <f t="shared" si="15"/>
        <v>0.95011876484560576</v>
      </c>
      <c r="Y560" s="12">
        <f t="shared" si="16"/>
        <v>52.612826603325416</v>
      </c>
      <c r="Z560" s="12">
        <f t="shared" si="17"/>
        <v>1170.3353101580137</v>
      </c>
      <c r="AA560" s="12">
        <f t="shared" si="18"/>
        <v>615.74648741092631</v>
      </c>
      <c r="AB560" s="12">
        <f t="shared" si="19"/>
        <v>64.807317799999993</v>
      </c>
      <c r="AC560" s="12">
        <f t="shared" si="20"/>
        <v>10</v>
      </c>
      <c r="AE560" s="13"/>
      <c r="AF560" s="13"/>
    </row>
    <row r="561" spans="1:32">
      <c r="A561" s="8" t="s">
        <v>1944</v>
      </c>
      <c r="B561" s="9" t="s">
        <v>521</v>
      </c>
      <c r="C561" s="9" t="s">
        <v>1403</v>
      </c>
      <c r="D561" s="9"/>
      <c r="E561" s="9"/>
      <c r="F561" s="9" t="str">
        <f ca="1">IFERROR(__xludf.DUMMYFUNCTION("IFS(
  REGEXMATCH(LOWER(VLOOKUP(A561, Data1_Raw_Slack!A:B, 2, FALSE)), ""news|weather""), ""News and Weather"", REGEXMATCH(LOWER(VLOOKUP(A561, Data1_Raw_Slack!A:B, 2, FALSE)), ""sports|ufc|nba|nfl|mlb|soccer|sports fans""), ""Sports"",
  REGEXMATCH(LOWER("&amp;"VLOOKUP(A561, Data1_Raw_Slack!A:B, 2, FALSE)), ""fashion|style|clothing|apparel|shoes|accessories|beauty|cosmetics|fashionistas""), ""Fashion and Beauty"",
  REGEXMATCH(LOWER(VLOOKUP(A561, Data1_Raw_Slack!A:B, 2, FALSE)), ""food|cooking|recipe|restaurant|"&amp;"snack|grocery|foodies""), ""Food"",
  REGEXMATCH(LOWER(VLOOKUP(A561, Data1_Raw_Slack!A:B, 2, FALSE)), ""travel|vacation|airline|hotel|trip|flights|travelers""), ""Travel"",
  REGEXMATCH(LOWER(VLOOKUP(A561, Data1_Raw_Slack!A:B, 2, FALSE)), ""fitness|workou"&amp;"t|gym|exercise|yoga|wellness|fitness enthusiasts""), ""Fitness"",
  REGEXMATCH(LOWER(VLOOKUP(A561, Data1_Raw_Slack!A:B, 2, FALSE)), ""health|medical|pharmacy|mental health|doctor|health-conscious""), ""Health"",
  REGEXMATCH(LOWER(VLOOKUP(A561, Data1_Raw_"&amp;"Slack!A:B, 2, FALSE)), ""pets|dogs|cats|animals|pet care|pet lovers""), ""Pets"",
  REGEXMATCH(LOWER(VLOOKUP(A561, Data1_Raw_Slack!A:B, 2, FALSE)), ""games|gaming|game|xbox|playstation|nintendo|gamers""), ""Gaming"",
  REGEXMATCH(LOWER(VLOOKUP(A561, Data1"&amp;"_Raw_Slack!A:B, 2, FALSE)), ""entertainment|movies|tv|netflix|streaming|celebrity|movie lovers|tv fans|hobb|photo|art""), ""Entertainment"",
  REGEXMATCH(LOWER(VLOOKUP(A561, Data1_Raw_Slack!A:B, 2, FALSE)), ""lifestyle|home|interior|decor|living|lifestyle"&amp;" enthusiasts""), ""Lifestyle"",
  REGEXMATCH(LOWER(VLOOKUP(A561, Data1_Raw_Slack!A:B, 2, FALSE)), ""financial|finance|investing|stocks|retirement|banking|credit|debt|loans|savings|personal finance|insurance|econ|ecom|business|retail|occupation|sale|job|ma"&amp;"rketing""), ""Finance"",
  REGEXMATCH(LOWER(VLOOKUP(A561, Data1_Raw_Slack!A:B, 2, FALSE)), ""auto|automotive""), ""Auto"",
  REGEXMATCH(LOWER(VLOOKUP(A561, Data1_Raw_Slack!A:B, 2, FALSE)), ""parenting|moms|dads|kids|toddlers|baby|parent|children""), ""Par"&amp;"enting"",
  REGEXMATCH(LOWER(VLOOKUP(A561, Data1_Raw_Slack!A:B, 2, FALSE)), ""education|students|learning|school|teachers|college|university|academics""), ""Education"",
  REGEXMATCH(LOWER(VLOOKUP(A561, Data1_Raw_Slack!A:B, 2, FALSE)), ""age|gender|dem"&amp;"ographic|family|household""), ""Demographics"",
  REGEXMATCH(LOWER(VLOOKUP(A561, Data1_Raw_Slack!A:B, 2, FALSE)), ""mortgage|real estate""), ""Real Estate"",REGEXMATCH(LOWER(VLOOKUP(A561, Data1_Raw_Slack!A:B, 2, FALSE)), ""technology|tech|gadgets|smartpho"&amp;"ne|electro|apps|devices|computing|ai|robots|software|computer|internet|tele|mobile|tablet""), ""Technology"", REGEXMATCH(LOWER(VLOOKUP(A561, Data1_Raw_Slack!A:B, 2, FALSE)), ""entertainment|purchas|movies|tv|netflix|streaming|celebrity|movie lovers|tv fan"&amp;"s|media|hobb|photo|art|shop""), ""Entertainment"", REGEXMATCH(LOWER(VLOOKUP(A561, Data1_Raw_Slack!A:B, 2, FALSE)), ""law|government|""), ""Law and Government"",
  TRUE, ""Other""
)"),"Travel")</f>
        <v>Travel</v>
      </c>
      <c r="G561" s="9"/>
      <c r="H561" s="9" t="s">
        <v>44</v>
      </c>
      <c r="I561" s="9" t="s">
        <v>129</v>
      </c>
      <c r="J561" s="9" t="s">
        <v>34</v>
      </c>
      <c r="K561" s="9" t="s">
        <v>236</v>
      </c>
      <c r="L561" s="9" t="s">
        <v>82</v>
      </c>
      <c r="M561" s="10" t="s">
        <v>207</v>
      </c>
      <c r="N561" s="9" t="str">
        <f ca="1">IFERROR(__xludf.DUMMYFUNCTION("REGEXEXTRACT(LOWER(M561), ""([a-z0-9\-]+)\.(?:co|net|org|io|gg)"")"),"realtor")</f>
        <v>realtor</v>
      </c>
      <c r="O561" s="9" t="s">
        <v>50</v>
      </c>
      <c r="P561" s="9" t="s">
        <v>64</v>
      </c>
      <c r="Q561" s="9">
        <v>48892</v>
      </c>
      <c r="R561" s="9">
        <v>110</v>
      </c>
      <c r="S561" s="9">
        <v>32060</v>
      </c>
      <c r="T561" s="9">
        <v>45251</v>
      </c>
      <c r="U561" s="9">
        <v>9</v>
      </c>
      <c r="V561" s="11">
        <v>1978.609661</v>
      </c>
      <c r="W561" s="12">
        <f t="shared" si="14"/>
        <v>219.84551788888888</v>
      </c>
      <c r="X561" s="12">
        <f t="shared" si="15"/>
        <v>0.22498568272928088</v>
      </c>
      <c r="Y561" s="12">
        <f t="shared" si="16"/>
        <v>65.573099893643132</v>
      </c>
      <c r="Z561" s="12">
        <f t="shared" si="17"/>
        <v>61.715834716157204</v>
      </c>
      <c r="AA561" s="12">
        <f t="shared" si="18"/>
        <v>40.468985948621452</v>
      </c>
      <c r="AB561" s="12">
        <f t="shared" si="19"/>
        <v>17.987360554545454</v>
      </c>
      <c r="AC561" s="12">
        <f t="shared" si="20"/>
        <v>8.1818181818181817</v>
      </c>
      <c r="AE561" s="13"/>
      <c r="AF561" s="13"/>
    </row>
    <row r="562" spans="1:32">
      <c r="A562" s="8" t="s">
        <v>1945</v>
      </c>
      <c r="B562" s="9" t="s">
        <v>41</v>
      </c>
      <c r="C562" s="9" t="s">
        <v>253</v>
      </c>
      <c r="D562" s="9" t="s">
        <v>1946</v>
      </c>
      <c r="E562" s="9"/>
      <c r="F562" s="9" t="str">
        <f ca="1">IFERROR(__xludf.DUMMYFUNCTION("IFS(
  REGEXMATCH(LOWER(VLOOKUP(A562, Data1_Raw_Slack!A:B, 2, FALSE)), ""news|weather""), ""News and Weather"", REGEXMATCH(LOWER(VLOOKUP(A562, Data1_Raw_Slack!A:B, 2, FALSE)), ""sports|ufc|nba|nfl|mlb|soccer|sports fans""), ""Sports"",
  REGEXMATCH(LOWER("&amp;"VLOOKUP(A562, Data1_Raw_Slack!A:B, 2, FALSE)), ""fashion|style|clothing|apparel|shoes|accessories|beauty|cosmetics|fashionistas""), ""Fashion and Beauty"",
  REGEXMATCH(LOWER(VLOOKUP(A562, Data1_Raw_Slack!A:B, 2, FALSE)), ""food|cooking|recipe|restaurant|"&amp;"snack|grocery|foodies""), ""Food"",
  REGEXMATCH(LOWER(VLOOKUP(A562, Data1_Raw_Slack!A:B, 2, FALSE)), ""travel|vacation|airline|hotel|trip|flights|travelers""), ""Travel"",
  REGEXMATCH(LOWER(VLOOKUP(A562, Data1_Raw_Slack!A:B, 2, FALSE)), ""fitness|workou"&amp;"t|gym|exercise|yoga|wellness|fitness enthusiasts""), ""Fitness"",
  REGEXMATCH(LOWER(VLOOKUP(A562, Data1_Raw_Slack!A:B, 2, FALSE)), ""health|medical|pharmacy|mental health|doctor|health-conscious""), ""Health"",
  REGEXMATCH(LOWER(VLOOKUP(A562, Data1_Raw_"&amp;"Slack!A:B, 2, FALSE)), ""pets|dogs|cats|animals|pet care|pet lovers""), ""Pets"",
  REGEXMATCH(LOWER(VLOOKUP(A562, Data1_Raw_Slack!A:B, 2, FALSE)), ""games|gaming|game|xbox|playstation|nintendo|gamers""), ""Gaming"",
  REGEXMATCH(LOWER(VLOOKUP(A562, Data1"&amp;"_Raw_Slack!A:B, 2, FALSE)), ""entertainment|movies|tv|netflix|streaming|celebrity|movie lovers|tv fans|hobb|photo|art""), ""Entertainment"",
  REGEXMATCH(LOWER(VLOOKUP(A562, Data1_Raw_Slack!A:B, 2, FALSE)), ""lifestyle|home|interior|decor|living|lifestyle"&amp;" enthusiasts""), ""Lifestyle"",
  REGEXMATCH(LOWER(VLOOKUP(A562, Data1_Raw_Slack!A:B, 2, FALSE)), ""financial|finance|investing|stocks|retirement|banking|credit|debt|loans|savings|personal finance|insurance|econ|ecom|business|retail|occupation|sale|job|ma"&amp;"rketing""), ""Finance"",
  REGEXMATCH(LOWER(VLOOKUP(A562, Data1_Raw_Slack!A:B, 2, FALSE)), ""auto|automotive""), ""Auto"",
  REGEXMATCH(LOWER(VLOOKUP(A562, Data1_Raw_Slack!A:B, 2, FALSE)), ""parenting|moms|dads|kids|toddlers|baby|parent|children""), ""Par"&amp;"enting"",
  REGEXMATCH(LOWER(VLOOKUP(A562, Data1_Raw_Slack!A:B, 2, FALSE)), ""education|students|learning|school|teachers|college|university|academics""), ""Education"",
  REGEXMATCH(LOWER(VLOOKUP(A562, Data1_Raw_Slack!A:B, 2, FALSE)), ""age|gender|dem"&amp;"ographic|family|household""), ""Demographics"",
  REGEXMATCH(LOWER(VLOOKUP(A562, Data1_Raw_Slack!A:B, 2, FALSE)), ""mortgage|real estate""), ""Real Estate"",REGEXMATCH(LOWER(VLOOKUP(A562, Data1_Raw_Slack!A:B, 2, FALSE)), ""technology|tech|gadgets|smartpho"&amp;"ne|electro|apps|devices|computing|ai|robots|software|computer|internet|tele|mobile|tablet""), ""Technology"", REGEXMATCH(LOWER(VLOOKUP(A562, Data1_Raw_Slack!A:B, 2, FALSE)), ""entertainment|purchas|movies|tv|netflix|streaming|celebrity|movie lovers|tv fan"&amp;"s|media|hobb|photo|art|shop""), ""Entertainment"", REGEXMATCH(LOWER(VLOOKUP(A562, Data1_Raw_Slack!A:B, 2, FALSE)), ""law|government|""), ""Law and Government"",
  TRUE, ""Other""
)"),"Entertainment")</f>
        <v>Entertainment</v>
      </c>
      <c r="G562" s="9"/>
      <c r="H562" s="9" t="s">
        <v>44</v>
      </c>
      <c r="I562" s="9" t="s">
        <v>1947</v>
      </c>
      <c r="J562" s="9" t="s">
        <v>62</v>
      </c>
      <c r="K562" s="9" t="s">
        <v>148</v>
      </c>
      <c r="L562" s="9" t="s">
        <v>89</v>
      </c>
      <c r="M562" s="10" t="s">
        <v>1948</v>
      </c>
      <c r="N562" s="9" t="str">
        <f ca="1">IFERROR(__xludf.DUMMYFUNCTION("REGEXEXTRACT(LOWER(M562), ""([a-z0-9\-]+)\.(?:co|net|org|io|gg)"")"),"milb")</f>
        <v>milb</v>
      </c>
      <c r="O562" s="9" t="s">
        <v>50</v>
      </c>
      <c r="P562" s="9" t="s">
        <v>64</v>
      </c>
      <c r="Q562" s="9">
        <v>39725</v>
      </c>
      <c r="R562" s="9">
        <v>144</v>
      </c>
      <c r="S562" s="9">
        <v>5402</v>
      </c>
      <c r="T562" s="9">
        <v>36080</v>
      </c>
      <c r="U562" s="9">
        <v>12</v>
      </c>
      <c r="V562" s="11">
        <v>6431.5551519999999</v>
      </c>
      <c r="W562" s="12">
        <f t="shared" si="14"/>
        <v>535.96292933333336</v>
      </c>
      <c r="X562" s="12">
        <f t="shared" si="15"/>
        <v>0.36249213341724357</v>
      </c>
      <c r="Y562" s="12">
        <f t="shared" si="16"/>
        <v>13.598489616110761</v>
      </c>
      <c r="Z562" s="12">
        <f t="shared" si="17"/>
        <v>1190.5877734172527</v>
      </c>
      <c r="AA562" s="12">
        <f t="shared" si="18"/>
        <v>161.90195473882946</v>
      </c>
      <c r="AB562" s="12">
        <f t="shared" si="19"/>
        <v>44.663577444444442</v>
      </c>
      <c r="AC562" s="12">
        <f t="shared" si="20"/>
        <v>8.3333333333333321</v>
      </c>
      <c r="AE562" s="13"/>
      <c r="AF562" s="13"/>
    </row>
    <row r="563" spans="1:32">
      <c r="A563" s="8" t="s">
        <v>1949</v>
      </c>
      <c r="B563" s="9" t="s">
        <v>41</v>
      </c>
      <c r="C563" s="9" t="s">
        <v>193</v>
      </c>
      <c r="D563" s="9" t="s">
        <v>267</v>
      </c>
      <c r="E563" s="9" t="s">
        <v>1950</v>
      </c>
      <c r="F563" s="9" t="str">
        <f ca="1">IFERROR(__xludf.DUMMYFUNCTION("IFS(
  REGEXMATCH(LOWER(VLOOKUP(A563, Data1_Raw_Slack!A:B, 2, FALSE)), ""news|weather""), ""News and Weather"", REGEXMATCH(LOWER(VLOOKUP(A563, Data1_Raw_Slack!A:B, 2, FALSE)), ""sports|ufc|nba|nfl|mlb|soccer|sports fans""), ""Sports"",
  REGEXMATCH(LOWER("&amp;"VLOOKUP(A563, Data1_Raw_Slack!A:B, 2, FALSE)), ""fashion|style|clothing|apparel|shoes|accessories|beauty|cosmetics|fashionistas""), ""Fashion and Beauty"",
  REGEXMATCH(LOWER(VLOOKUP(A563, Data1_Raw_Slack!A:B, 2, FALSE)), ""food|cooking|recipe|restaurant|"&amp;"snack|grocery|foodies""), ""Food"",
  REGEXMATCH(LOWER(VLOOKUP(A563, Data1_Raw_Slack!A:B, 2, FALSE)), ""travel|vacation|airline|hotel|trip|flights|travelers""), ""Travel"",
  REGEXMATCH(LOWER(VLOOKUP(A563, Data1_Raw_Slack!A:B, 2, FALSE)), ""fitness|workou"&amp;"t|gym|exercise|yoga|wellness|fitness enthusiasts""), ""Fitness"",
  REGEXMATCH(LOWER(VLOOKUP(A563, Data1_Raw_Slack!A:B, 2, FALSE)), ""health|medical|pharmacy|mental health|doctor|health-conscious""), ""Health"",
  REGEXMATCH(LOWER(VLOOKUP(A563, Data1_Raw_"&amp;"Slack!A:B, 2, FALSE)), ""pets|dogs|cats|animals|pet care|pet lovers""), ""Pets"",
  REGEXMATCH(LOWER(VLOOKUP(A563, Data1_Raw_Slack!A:B, 2, FALSE)), ""games|gaming|game|xbox|playstation|nintendo|gamers""), ""Gaming"",
  REGEXMATCH(LOWER(VLOOKUP(A563, Data1"&amp;"_Raw_Slack!A:B, 2, FALSE)), ""entertainment|movies|tv|netflix|streaming|celebrity|movie lovers|tv fans|hobb|photo|art""), ""Entertainment"",
  REGEXMATCH(LOWER(VLOOKUP(A563, Data1_Raw_Slack!A:B, 2, FALSE)), ""lifestyle|home|interior|decor|living|lifestyle"&amp;" enthusiasts""), ""Lifestyle"",
  REGEXMATCH(LOWER(VLOOKUP(A563, Data1_Raw_Slack!A:B, 2, FALSE)), ""financial|finance|investing|stocks|retirement|banking|credit|debt|loans|savings|personal finance|insurance|econ|ecom|business|retail|occupation|sale|job|ma"&amp;"rketing""), ""Finance"",
  REGEXMATCH(LOWER(VLOOKUP(A563, Data1_Raw_Slack!A:B, 2, FALSE)), ""auto|automotive""), ""Auto"",
  REGEXMATCH(LOWER(VLOOKUP(A563, Data1_Raw_Slack!A:B, 2, FALSE)), ""parenting|moms|dads|kids|toddlers|baby|parent|children""), ""Par"&amp;"enting"",
  REGEXMATCH(LOWER(VLOOKUP(A563, Data1_Raw_Slack!A:B, 2, FALSE)), ""education|students|learning|school|teachers|college|university|academics""), ""Education"",
  REGEXMATCH(LOWER(VLOOKUP(A563, Data1_Raw_Slack!A:B, 2, FALSE)), ""age|gender|dem"&amp;"ographic|family|household""), ""Demographics"",
  REGEXMATCH(LOWER(VLOOKUP(A563, Data1_Raw_Slack!A:B, 2, FALSE)), ""mortgage|real estate""), ""Real Estate"",REGEXMATCH(LOWER(VLOOKUP(A563, Data1_Raw_Slack!A:B, 2, FALSE)), ""technology|tech|gadgets|smartpho"&amp;"ne|electro|apps|devices|computing|ai|robots|software|computer|internet|tele|mobile|tablet""), ""Technology"", REGEXMATCH(LOWER(VLOOKUP(A563, Data1_Raw_Slack!A:B, 2, FALSE)), ""entertainment|purchas|movies|tv|netflix|streaming|celebrity|movie lovers|tv fan"&amp;"s|media|hobb|photo|art|shop""), ""Entertainment"", REGEXMATCH(LOWER(VLOOKUP(A563, Data1_Raw_Slack!A:B, 2, FALSE)), ""law|government|""), ""Law and Government"",
  TRUE, ""Other""
)"),"Entertainment")</f>
        <v>Entertainment</v>
      </c>
      <c r="G563" s="9" t="s">
        <v>69</v>
      </c>
      <c r="H563" s="9" t="s">
        <v>32</v>
      </c>
      <c r="I563" s="9" t="s">
        <v>1951</v>
      </c>
      <c r="J563" s="9" t="s">
        <v>80</v>
      </c>
      <c r="K563" s="9" t="s">
        <v>236</v>
      </c>
      <c r="L563" s="9" t="s">
        <v>82</v>
      </c>
      <c r="M563" s="10" t="s">
        <v>1333</v>
      </c>
      <c r="N563" s="9" t="str">
        <f ca="1">IFERROR(__xludf.DUMMYFUNCTION("REGEXEXTRACT(LOWER(M563), ""([a-z0-9\-]+)\.(?:co|net|org|io|gg)"")"),"yahoo")</f>
        <v>yahoo</v>
      </c>
      <c r="O563" s="9" t="s">
        <v>50</v>
      </c>
      <c r="P563" s="9" t="s">
        <v>39</v>
      </c>
      <c r="Q563" s="9">
        <v>21028</v>
      </c>
      <c r="R563" s="9">
        <v>10</v>
      </c>
      <c r="S563" s="9">
        <v>5781</v>
      </c>
      <c r="T563" s="9">
        <v>16134</v>
      </c>
      <c r="U563" s="9">
        <v>11</v>
      </c>
      <c r="V563" s="11">
        <v>5101.3216549999997</v>
      </c>
      <c r="W563" s="12">
        <f t="shared" si="14"/>
        <v>463.75651409090909</v>
      </c>
      <c r="X563" s="12">
        <f t="shared" si="15"/>
        <v>4.7555640098915733E-2</v>
      </c>
      <c r="Y563" s="12">
        <f t="shared" si="16"/>
        <v>27.491915541183182</v>
      </c>
      <c r="Z563" s="12">
        <f t="shared" si="17"/>
        <v>882.42893184570141</v>
      </c>
      <c r="AA563" s="12">
        <f t="shared" si="18"/>
        <v>242.59661665398517</v>
      </c>
      <c r="AB563" s="12">
        <f t="shared" si="19"/>
        <v>510.13216549999999</v>
      </c>
      <c r="AC563" s="12">
        <f t="shared" si="20"/>
        <v>110.00000000000001</v>
      </c>
      <c r="AE563" s="13"/>
      <c r="AF563" s="13"/>
    </row>
    <row r="564" spans="1:32">
      <c r="A564" s="8" t="s">
        <v>1952</v>
      </c>
      <c r="B564" s="9" t="s">
        <v>378</v>
      </c>
      <c r="C564" s="9" t="s">
        <v>1953</v>
      </c>
      <c r="D564" s="9" t="s">
        <v>1954</v>
      </c>
      <c r="E564" s="9" t="s">
        <v>1955</v>
      </c>
      <c r="F564" s="9" t="str">
        <f ca="1">IFERROR(__xludf.DUMMYFUNCTION("IFS(
  REGEXMATCH(LOWER(VLOOKUP(A564, Data1_Raw_Slack!A:B, 2, FALSE)), ""news|weather""), ""News and Weather"", REGEXMATCH(LOWER(VLOOKUP(A564, Data1_Raw_Slack!A:B, 2, FALSE)), ""sports|ufc|nba|nfl|mlb|soccer|sports fans""), ""Sports"",
  REGEXMATCH(LOWER("&amp;"VLOOKUP(A564, Data1_Raw_Slack!A:B, 2, FALSE)), ""fashion|style|clothing|apparel|shoes|accessories|beauty|cosmetics|fashionistas""), ""Fashion and Beauty"",
  REGEXMATCH(LOWER(VLOOKUP(A564, Data1_Raw_Slack!A:B, 2, FALSE)), ""food|cooking|recipe|restaurant|"&amp;"snack|grocery|foodies""), ""Food"",
  REGEXMATCH(LOWER(VLOOKUP(A564, Data1_Raw_Slack!A:B, 2, FALSE)), ""travel|vacation|airline|hotel|trip|flights|travelers""), ""Travel"",
  REGEXMATCH(LOWER(VLOOKUP(A564, Data1_Raw_Slack!A:B, 2, FALSE)), ""fitness|workou"&amp;"t|gym|exercise|yoga|wellness|fitness enthusiasts""), ""Fitness"",
  REGEXMATCH(LOWER(VLOOKUP(A564, Data1_Raw_Slack!A:B, 2, FALSE)), ""health|medical|pharmacy|mental health|doctor|health-conscious""), ""Health"",
  REGEXMATCH(LOWER(VLOOKUP(A564, Data1_Raw_"&amp;"Slack!A:B, 2, FALSE)), ""pets|dogs|cats|animals|pet care|pet lovers""), ""Pets"",
  REGEXMATCH(LOWER(VLOOKUP(A564, Data1_Raw_Slack!A:B, 2, FALSE)), ""games|gaming|game|xbox|playstation|nintendo|gamers""), ""Gaming"",
  REGEXMATCH(LOWER(VLOOKUP(A564, Data1"&amp;"_Raw_Slack!A:B, 2, FALSE)), ""entertainment|movies|tv|netflix|streaming|celebrity|movie lovers|tv fans|hobb|photo|art""), ""Entertainment"",
  REGEXMATCH(LOWER(VLOOKUP(A564, Data1_Raw_Slack!A:B, 2, FALSE)), ""lifestyle|home|interior|decor|living|lifestyle"&amp;" enthusiasts""), ""Lifestyle"",
  REGEXMATCH(LOWER(VLOOKUP(A564, Data1_Raw_Slack!A:B, 2, FALSE)), ""financial|finance|investing|stocks|retirement|banking|credit|debt|loans|savings|personal finance|insurance|econ|ecom|business|retail|occupation|sale|job|ma"&amp;"rketing""), ""Finance"",
  REGEXMATCH(LOWER(VLOOKUP(A564, Data1_Raw_Slack!A:B, 2, FALSE)), ""auto|automotive""), ""Auto"",
  REGEXMATCH(LOWER(VLOOKUP(A564, Data1_Raw_Slack!A:B, 2, FALSE)), ""parenting|moms|dads|kids|toddlers|baby|parent|children""), ""Par"&amp;"enting"",
  REGEXMATCH(LOWER(VLOOKUP(A564, Data1_Raw_Slack!A:B, 2, FALSE)), ""education|students|learning|school|teachers|college|university|academics""), ""Education"",
  REGEXMATCH(LOWER(VLOOKUP(A564, Data1_Raw_Slack!A:B, 2, FALSE)), ""age|gender|dem"&amp;"ographic|family|household""), ""Demographics"",
  REGEXMATCH(LOWER(VLOOKUP(A564, Data1_Raw_Slack!A:B, 2, FALSE)), ""mortgage|real estate""), ""Real Estate"",REGEXMATCH(LOWER(VLOOKUP(A564, Data1_Raw_Slack!A:B, 2, FALSE)), ""technology|tech|gadgets|smartpho"&amp;"ne|electro|apps|devices|computing|ai|robots|software|computer|internet|tele|mobile|tablet""), ""Technology"", REGEXMATCH(LOWER(VLOOKUP(A564, Data1_Raw_Slack!A:B, 2, FALSE)), ""entertainment|purchas|movies|tv|netflix|streaming|celebrity|movie lovers|tv fan"&amp;"s|media|hobb|photo|art|shop""), ""Entertainment"", REGEXMATCH(LOWER(VLOOKUP(A564, Data1_Raw_Slack!A:B, 2, FALSE)), ""law|government|""), ""Law and Government"",
  TRUE, ""Other""
)"),"Finance")</f>
        <v>Finance</v>
      </c>
      <c r="G564" s="9"/>
      <c r="H564" s="9" t="s">
        <v>44</v>
      </c>
      <c r="I564" s="9" t="s">
        <v>1638</v>
      </c>
      <c r="J564" s="9" t="s">
        <v>80</v>
      </c>
      <c r="K564" s="9" t="s">
        <v>56</v>
      </c>
      <c r="L564" s="9" t="s">
        <v>57</v>
      </c>
      <c r="M564" s="10" t="s">
        <v>1805</v>
      </c>
      <c r="N564" s="9" t="str">
        <f ca="1">IFERROR(__xludf.DUMMYFUNCTION("REGEXEXTRACT(LOWER(M564), ""([a-z0-9\-]+)\.(?:co|net|org|io|gg)"")"),"webmd")</f>
        <v>webmd</v>
      </c>
      <c r="O564" s="9" t="s">
        <v>50</v>
      </c>
      <c r="P564" s="9" t="s">
        <v>75</v>
      </c>
      <c r="Q564" s="9">
        <v>16175</v>
      </c>
      <c r="R564" s="9">
        <v>35</v>
      </c>
      <c r="S564" s="9">
        <v>1923</v>
      </c>
      <c r="T564" s="9">
        <v>15085</v>
      </c>
      <c r="U564" s="9">
        <v>2</v>
      </c>
      <c r="V564" s="11">
        <v>1649.069475</v>
      </c>
      <c r="W564" s="12">
        <f t="shared" si="14"/>
        <v>824.53473750000001</v>
      </c>
      <c r="X564" s="12">
        <f t="shared" si="15"/>
        <v>0.21638330757341576</v>
      </c>
      <c r="Y564" s="12">
        <f t="shared" si="16"/>
        <v>11.888717156105102</v>
      </c>
      <c r="Z564" s="12">
        <f t="shared" si="17"/>
        <v>857.5504290171607</v>
      </c>
      <c r="AA564" s="12">
        <f t="shared" si="18"/>
        <v>101.95174497681607</v>
      </c>
      <c r="AB564" s="12">
        <f t="shared" si="19"/>
        <v>47.116270714285712</v>
      </c>
      <c r="AC564" s="12">
        <f t="shared" si="20"/>
        <v>5.7142857142857144</v>
      </c>
      <c r="AE564" s="13"/>
      <c r="AF564" s="13"/>
    </row>
    <row r="565" spans="1:32">
      <c r="A565" s="8" t="s">
        <v>1956</v>
      </c>
      <c r="B565" s="9" t="s">
        <v>66</v>
      </c>
      <c r="C565" s="9" t="s">
        <v>1957</v>
      </c>
      <c r="D565" s="9" t="s">
        <v>1958</v>
      </c>
      <c r="E565" s="9"/>
      <c r="F565" s="9" t="str">
        <f ca="1">IFERROR(__xludf.DUMMYFUNCTION("IFS(
  REGEXMATCH(LOWER(VLOOKUP(A565, Data1_Raw_Slack!A:B, 2, FALSE)), ""news|weather""), ""News and Weather"", REGEXMATCH(LOWER(VLOOKUP(A565, Data1_Raw_Slack!A:B, 2, FALSE)), ""sports|ufc|nba|nfl|mlb|soccer|sports fans""), ""Sports"",
  REGEXMATCH(LOWER("&amp;"VLOOKUP(A565, Data1_Raw_Slack!A:B, 2, FALSE)), ""fashion|style|clothing|apparel|shoes|accessories|beauty|cosmetics|fashionistas""), ""Fashion and Beauty"",
  REGEXMATCH(LOWER(VLOOKUP(A565, Data1_Raw_Slack!A:B, 2, FALSE)), ""food|cooking|recipe|restaurant|"&amp;"snack|grocery|foodies""), ""Food"",
  REGEXMATCH(LOWER(VLOOKUP(A565, Data1_Raw_Slack!A:B, 2, FALSE)), ""travel|vacation|airline|hotel|trip|flights|travelers""), ""Travel"",
  REGEXMATCH(LOWER(VLOOKUP(A565, Data1_Raw_Slack!A:B, 2, FALSE)), ""fitness|workou"&amp;"t|gym|exercise|yoga|wellness|fitness enthusiasts""), ""Fitness"",
  REGEXMATCH(LOWER(VLOOKUP(A565, Data1_Raw_Slack!A:B, 2, FALSE)), ""health|medical|pharmacy|mental health|doctor|health-conscious""), ""Health"",
  REGEXMATCH(LOWER(VLOOKUP(A565, Data1_Raw_"&amp;"Slack!A:B, 2, FALSE)), ""pets|dogs|cats|animals|pet care|pet lovers""), ""Pets"",
  REGEXMATCH(LOWER(VLOOKUP(A565, Data1_Raw_Slack!A:B, 2, FALSE)), ""games|gaming|game|xbox|playstation|nintendo|gamers""), ""Gaming"",
  REGEXMATCH(LOWER(VLOOKUP(A565, Data1"&amp;"_Raw_Slack!A:B, 2, FALSE)), ""entertainment|movies|tv|netflix|streaming|celebrity|movie lovers|tv fans|hobb|photo|art""), ""Entertainment"",
  REGEXMATCH(LOWER(VLOOKUP(A565, Data1_Raw_Slack!A:B, 2, FALSE)), ""lifestyle|home|interior|decor|living|lifestyle"&amp;" enthusiasts""), ""Lifestyle"",
  REGEXMATCH(LOWER(VLOOKUP(A565, Data1_Raw_Slack!A:B, 2, FALSE)), ""financial|finance|investing|stocks|retirement|banking|credit|debt|loans|savings|personal finance|insurance|econ|ecom|business|retail|occupation|sale|job|ma"&amp;"rketing""), ""Finance"",
  REGEXMATCH(LOWER(VLOOKUP(A565, Data1_Raw_Slack!A:B, 2, FALSE)), ""auto|automotive""), ""Auto"",
  REGEXMATCH(LOWER(VLOOKUP(A565, Data1_Raw_Slack!A:B, 2, FALSE)), ""parenting|moms|dads|kids|toddlers|baby|parent|children""), ""Par"&amp;"enting"",
  REGEXMATCH(LOWER(VLOOKUP(A565, Data1_Raw_Slack!A:B, 2, FALSE)), ""education|students|learning|school|teachers|college|university|academics""), ""Education"",
  REGEXMATCH(LOWER(VLOOKUP(A565, Data1_Raw_Slack!A:B, 2, FALSE)), ""age|gender|dem"&amp;"ographic|family|household""), ""Demographics"",
  REGEXMATCH(LOWER(VLOOKUP(A565, Data1_Raw_Slack!A:B, 2, FALSE)), ""mortgage|real estate""), ""Real Estate"",REGEXMATCH(LOWER(VLOOKUP(A565, Data1_Raw_Slack!A:B, 2, FALSE)), ""technology|tech|gadgets|smartpho"&amp;"ne|electro|apps|devices|computing|ai|robots|software|computer|internet|tele|mobile|tablet""), ""Technology"", REGEXMATCH(LOWER(VLOOKUP(A565, Data1_Raw_Slack!A:B, 2, FALSE)), ""entertainment|purchas|movies|tv|netflix|streaming|celebrity|movie lovers|tv fan"&amp;"s|media|hobb|photo|art|shop""), ""Entertainment"", REGEXMATCH(LOWER(VLOOKUP(A565, Data1_Raw_Slack!A:B, 2, FALSE)), ""law|government|""), ""Law and Government"",
  TRUE, ""Other""
)"),"Food")</f>
        <v>Food</v>
      </c>
      <c r="G565" s="9"/>
      <c r="H565" s="9" t="s">
        <v>44</v>
      </c>
      <c r="I565" s="9" t="s">
        <v>1191</v>
      </c>
      <c r="J565" s="9" t="s">
        <v>34</v>
      </c>
      <c r="K565" s="9" t="s">
        <v>1959</v>
      </c>
      <c r="L565" s="16" t="s">
        <v>72</v>
      </c>
      <c r="M565" s="10" t="s">
        <v>1257</v>
      </c>
      <c r="N565" s="9" t="str">
        <f ca="1">IFERROR(__xludf.DUMMYFUNCTION("REGEXEXTRACT(LOWER(M565), ""([a-z0-9\-]+)\.(?:co|net|org|io|gg)"")"),"pandora")</f>
        <v>pandora</v>
      </c>
      <c r="O565" s="9" t="s">
        <v>50</v>
      </c>
      <c r="P565" s="9" t="s">
        <v>39</v>
      </c>
      <c r="Q565" s="9">
        <v>13202</v>
      </c>
      <c r="R565" s="9">
        <v>101</v>
      </c>
      <c r="S565" s="9">
        <v>10871</v>
      </c>
      <c r="T565" s="9">
        <v>12885</v>
      </c>
      <c r="U565" s="9">
        <v>3</v>
      </c>
      <c r="V565" s="11">
        <v>1699.0608090000001</v>
      </c>
      <c r="W565" s="12">
        <f t="shared" si="14"/>
        <v>566.35360300000002</v>
      </c>
      <c r="X565" s="12">
        <f t="shared" si="15"/>
        <v>0.76503560066656562</v>
      </c>
      <c r="Y565" s="12">
        <f t="shared" si="16"/>
        <v>82.343584305408271</v>
      </c>
      <c r="Z565" s="12">
        <f t="shared" si="17"/>
        <v>156.2929637567841</v>
      </c>
      <c r="AA565" s="12">
        <f t="shared" si="18"/>
        <v>128.6972283744887</v>
      </c>
      <c r="AB565" s="12">
        <f t="shared" si="19"/>
        <v>16.822384247524752</v>
      </c>
      <c r="AC565" s="12">
        <f t="shared" si="20"/>
        <v>2.9702970297029703</v>
      </c>
      <c r="AE565" s="13"/>
      <c r="AF565" s="13"/>
    </row>
    <row r="566" spans="1:32">
      <c r="A566" s="8" t="s">
        <v>1960</v>
      </c>
      <c r="B566" s="9" t="s">
        <v>52</v>
      </c>
      <c r="C566" s="9" t="s">
        <v>224</v>
      </c>
      <c r="D566" s="9" t="s">
        <v>337</v>
      </c>
      <c r="E566" s="9"/>
      <c r="F566" s="9" t="str">
        <f ca="1">IFERROR(__xludf.DUMMYFUNCTION("IFS(
  REGEXMATCH(LOWER(VLOOKUP(A566, Data1_Raw_Slack!A:B, 2, FALSE)), ""news|weather""), ""News and Weather"", REGEXMATCH(LOWER(VLOOKUP(A566, Data1_Raw_Slack!A:B, 2, FALSE)), ""sports|ufc|nba|nfl|mlb|soccer|sports fans""), ""Sports"",
  REGEXMATCH(LOWER("&amp;"VLOOKUP(A566, Data1_Raw_Slack!A:B, 2, FALSE)), ""fashion|style|clothing|apparel|shoes|accessories|beauty|cosmetics|fashionistas""), ""Fashion and Beauty"",
  REGEXMATCH(LOWER(VLOOKUP(A566, Data1_Raw_Slack!A:B, 2, FALSE)), ""food|cooking|recipe|restaurant|"&amp;"snack|grocery|foodies""), ""Food"",
  REGEXMATCH(LOWER(VLOOKUP(A566, Data1_Raw_Slack!A:B, 2, FALSE)), ""travel|vacation|airline|hotel|trip|flights|travelers""), ""Travel"",
  REGEXMATCH(LOWER(VLOOKUP(A566, Data1_Raw_Slack!A:B, 2, FALSE)), ""fitness|workou"&amp;"t|gym|exercise|yoga|wellness|fitness enthusiasts""), ""Fitness"",
  REGEXMATCH(LOWER(VLOOKUP(A566, Data1_Raw_Slack!A:B, 2, FALSE)), ""health|medical|pharmacy|mental health|doctor|health-conscious""), ""Health"",
  REGEXMATCH(LOWER(VLOOKUP(A566, Data1_Raw_"&amp;"Slack!A:B, 2, FALSE)), ""pets|dogs|cats|animals|pet care|pet lovers""), ""Pets"",
  REGEXMATCH(LOWER(VLOOKUP(A566, Data1_Raw_Slack!A:B, 2, FALSE)), ""games|gaming|game|xbox|playstation|nintendo|gamers""), ""Gaming"",
  REGEXMATCH(LOWER(VLOOKUP(A566, Data1"&amp;"_Raw_Slack!A:B, 2, FALSE)), ""entertainment|movies|tv|netflix|streaming|celebrity|movie lovers|tv fans|hobb|photo|art""), ""Entertainment"",
  REGEXMATCH(LOWER(VLOOKUP(A566, Data1_Raw_Slack!A:B, 2, FALSE)), ""lifestyle|home|interior|decor|living|lifestyle"&amp;" enthusiasts""), ""Lifestyle"",
  REGEXMATCH(LOWER(VLOOKUP(A566, Data1_Raw_Slack!A:B, 2, FALSE)), ""financial|finance|investing|stocks|retirement|banking|credit|debt|loans|savings|personal finance|insurance|econ|ecom|business|retail|occupation|sale|job|ma"&amp;"rketing""), ""Finance"",
  REGEXMATCH(LOWER(VLOOKUP(A566, Data1_Raw_Slack!A:B, 2, FALSE)), ""auto|automotive""), ""Auto"",
  REGEXMATCH(LOWER(VLOOKUP(A566, Data1_Raw_Slack!A:B, 2, FALSE)), ""parenting|moms|dads|kids|toddlers|baby|parent|children""), ""Par"&amp;"enting"",
  REGEXMATCH(LOWER(VLOOKUP(A566, Data1_Raw_Slack!A:B, 2, FALSE)), ""education|students|learning|school|teachers|college|university|academics""), ""Education"",
  REGEXMATCH(LOWER(VLOOKUP(A566, Data1_Raw_Slack!A:B, 2, FALSE)), ""age|gender|dem"&amp;"ographic|family|household""), ""Demographics"",
  REGEXMATCH(LOWER(VLOOKUP(A566, Data1_Raw_Slack!A:B, 2, FALSE)), ""mortgage|real estate""), ""Real Estate"",REGEXMATCH(LOWER(VLOOKUP(A566, Data1_Raw_Slack!A:B, 2, FALSE)), ""technology|tech|gadgets|smartpho"&amp;"ne|electro|apps|devices|computing|ai|robots|software|computer|internet|tele|mobile|tablet""), ""Technology"", REGEXMATCH(LOWER(VLOOKUP(A566, Data1_Raw_Slack!A:B, 2, FALSE)), ""entertainment|purchas|movies|tv|netflix|streaming|celebrity|movie lovers|tv fan"&amp;"s|media|hobb|photo|art|shop""), ""Entertainment"", REGEXMATCH(LOWER(VLOOKUP(A566, Data1_Raw_Slack!A:B, 2, FALSE)), ""law|government|""), ""Law and Government"",
  TRUE, ""Other""
)"),"News and Weather")</f>
        <v>News and Weather</v>
      </c>
      <c r="G566" s="9" t="s">
        <v>127</v>
      </c>
      <c r="H566" s="9" t="s">
        <v>32</v>
      </c>
      <c r="I566" s="9" t="s">
        <v>554</v>
      </c>
      <c r="J566" s="9" t="s">
        <v>46</v>
      </c>
      <c r="K566" s="9" t="s">
        <v>274</v>
      </c>
      <c r="L566" s="9" t="s">
        <v>48</v>
      </c>
      <c r="M566" s="10" t="s">
        <v>1031</v>
      </c>
      <c r="N566" s="9" t="str">
        <f ca="1">IFERROR(__xludf.DUMMYFUNCTION("REGEXEXTRACT(LOWER(M566), ""([a-z0-9\-]+)\.(?:co|net|org|io|gg)"")"),"activebeat")</f>
        <v>activebeat</v>
      </c>
      <c r="O566" s="9" t="s">
        <v>131</v>
      </c>
      <c r="P566" s="9" t="s">
        <v>39</v>
      </c>
      <c r="Q566" s="9">
        <v>16151</v>
      </c>
      <c r="R566" s="9">
        <v>54</v>
      </c>
      <c r="S566" s="9">
        <v>4360</v>
      </c>
      <c r="T566" s="9">
        <v>11358</v>
      </c>
      <c r="U566" s="9">
        <v>3</v>
      </c>
      <c r="V566" s="11">
        <v>1706.224318</v>
      </c>
      <c r="W566" s="12">
        <f t="shared" si="14"/>
        <v>568.74143933333335</v>
      </c>
      <c r="X566" s="12">
        <f t="shared" si="15"/>
        <v>0.33434462262398612</v>
      </c>
      <c r="Y566" s="12">
        <f t="shared" si="16"/>
        <v>26.995232493344069</v>
      </c>
      <c r="Z566" s="12">
        <f t="shared" si="17"/>
        <v>391.33585275229359</v>
      </c>
      <c r="AA566" s="12">
        <f t="shared" si="18"/>
        <v>105.64202328029225</v>
      </c>
      <c r="AB566" s="12">
        <f t="shared" si="19"/>
        <v>31.596746629629632</v>
      </c>
      <c r="AC566" s="12">
        <f t="shared" si="20"/>
        <v>5.5555555555555554</v>
      </c>
      <c r="AE566" s="13"/>
      <c r="AF566" s="13"/>
    </row>
    <row r="567" spans="1:32">
      <c r="A567" s="8" t="s">
        <v>1961</v>
      </c>
      <c r="B567" s="9" t="s">
        <v>41</v>
      </c>
      <c r="C567" s="9" t="s">
        <v>120</v>
      </c>
      <c r="D567" s="9" t="s">
        <v>1962</v>
      </c>
      <c r="E567" s="9"/>
      <c r="F567" s="9" t="str">
        <f ca="1">IFERROR(__xludf.DUMMYFUNCTION("IFS(
  REGEXMATCH(LOWER(VLOOKUP(A567, Data1_Raw_Slack!A:B, 2, FALSE)), ""news|weather""), ""News and Weather"", REGEXMATCH(LOWER(VLOOKUP(A567, Data1_Raw_Slack!A:B, 2, FALSE)), ""sports|ufc|nba|nfl|mlb|soccer|sports fans""), ""Sports"",
  REGEXMATCH(LOWER("&amp;"VLOOKUP(A567, Data1_Raw_Slack!A:B, 2, FALSE)), ""fashion|style|clothing|apparel|shoes|accessories|beauty|cosmetics|fashionistas""), ""Fashion and Beauty"",
  REGEXMATCH(LOWER(VLOOKUP(A567, Data1_Raw_Slack!A:B, 2, FALSE)), ""food|cooking|recipe|restaurant|"&amp;"snack|grocery|foodies""), ""Food"",
  REGEXMATCH(LOWER(VLOOKUP(A567, Data1_Raw_Slack!A:B, 2, FALSE)), ""travel|vacation|airline|hotel|trip|flights|travelers""), ""Travel"",
  REGEXMATCH(LOWER(VLOOKUP(A567, Data1_Raw_Slack!A:B, 2, FALSE)), ""fitness|workou"&amp;"t|gym|exercise|yoga|wellness|fitness enthusiasts""), ""Fitness"",
  REGEXMATCH(LOWER(VLOOKUP(A567, Data1_Raw_Slack!A:B, 2, FALSE)), ""health|medical|pharmacy|mental health|doctor|health-conscious""), ""Health"",
  REGEXMATCH(LOWER(VLOOKUP(A567, Data1_Raw_"&amp;"Slack!A:B, 2, FALSE)), ""pets|dogs|cats|animals|pet care|pet lovers""), ""Pets"",
  REGEXMATCH(LOWER(VLOOKUP(A567, Data1_Raw_Slack!A:B, 2, FALSE)), ""games|gaming|game|xbox|playstation|nintendo|gamers""), ""Gaming"",
  REGEXMATCH(LOWER(VLOOKUP(A567, Data1"&amp;"_Raw_Slack!A:B, 2, FALSE)), ""entertainment|movies|tv|netflix|streaming|celebrity|movie lovers|tv fans|hobb|photo|art""), ""Entertainment"",
  REGEXMATCH(LOWER(VLOOKUP(A567, Data1_Raw_Slack!A:B, 2, FALSE)), ""lifestyle|home|interior|decor|living|lifestyle"&amp;" enthusiasts""), ""Lifestyle"",
  REGEXMATCH(LOWER(VLOOKUP(A567, Data1_Raw_Slack!A:B, 2, FALSE)), ""financial|finance|investing|stocks|retirement|banking|credit|debt|loans|savings|personal finance|insurance|econ|ecom|business|retail|occupation|sale|job|ma"&amp;"rketing""), ""Finance"",
  REGEXMATCH(LOWER(VLOOKUP(A567, Data1_Raw_Slack!A:B, 2, FALSE)), ""auto|automotive""), ""Auto"",
  REGEXMATCH(LOWER(VLOOKUP(A567, Data1_Raw_Slack!A:B, 2, FALSE)), ""parenting|moms|dads|kids|toddlers|baby|parent|children""), ""Par"&amp;"enting"",
  REGEXMATCH(LOWER(VLOOKUP(A567, Data1_Raw_Slack!A:B, 2, FALSE)), ""education|students|learning|school|teachers|college|university|academics""), ""Education"",
  REGEXMATCH(LOWER(VLOOKUP(A567, Data1_Raw_Slack!A:B, 2, FALSE)), ""age|gender|dem"&amp;"ographic|family|household""), ""Demographics"",
  REGEXMATCH(LOWER(VLOOKUP(A567, Data1_Raw_Slack!A:B, 2, FALSE)), ""mortgage|real estate""), ""Real Estate"",REGEXMATCH(LOWER(VLOOKUP(A567, Data1_Raw_Slack!A:B, 2, FALSE)), ""technology|tech|gadgets|smartpho"&amp;"ne|electro|apps|devices|computing|ai|robots|software|computer|internet|tele|mobile|tablet""), ""Technology"", REGEXMATCH(LOWER(VLOOKUP(A567, Data1_Raw_Slack!A:B, 2, FALSE)), ""entertainment|purchas|movies|tv|netflix|streaming|celebrity|movie lovers|tv fan"&amp;"s|media|hobb|photo|art|shop""), ""Entertainment"", REGEXMATCH(LOWER(VLOOKUP(A567, Data1_Raw_Slack!A:B, 2, FALSE)), ""law|government|""), ""Law and Government"",
  TRUE, ""Other""
)"),"Auto")</f>
        <v>Auto</v>
      </c>
      <c r="G567" s="9" t="s">
        <v>122</v>
      </c>
      <c r="H567" s="9" t="s">
        <v>32</v>
      </c>
      <c r="I567" s="9" t="s">
        <v>1365</v>
      </c>
      <c r="J567" s="9" t="s">
        <v>80</v>
      </c>
      <c r="K567" s="9" t="s">
        <v>236</v>
      </c>
      <c r="L567" s="9" t="s">
        <v>82</v>
      </c>
      <c r="M567" s="10" t="s">
        <v>1349</v>
      </c>
      <c r="N567" s="9" t="str">
        <f ca="1">IFERROR(__xludf.DUMMYFUNCTION("REGEXEXTRACT(LOWER(M567), ""([a-z0-9\-]+)\.(?:co|net|org|io|gg)"")"),"fandomwire")</f>
        <v>fandomwire</v>
      </c>
      <c r="O567" s="9" t="s">
        <v>157</v>
      </c>
      <c r="P567" s="9" t="s">
        <v>39</v>
      </c>
      <c r="Q567" s="9">
        <v>111624</v>
      </c>
      <c r="R567" s="9">
        <v>590</v>
      </c>
      <c r="S567" s="9">
        <v>40343</v>
      </c>
      <c r="T567" s="9">
        <v>101306</v>
      </c>
      <c r="U567" s="9">
        <v>21</v>
      </c>
      <c r="V567" s="11">
        <v>6510.4466560000001</v>
      </c>
      <c r="W567" s="12">
        <f t="shared" si="14"/>
        <v>310.02126933333335</v>
      </c>
      <c r="X567" s="12">
        <f t="shared" si="15"/>
        <v>0.52856016627248614</v>
      </c>
      <c r="Y567" s="12">
        <f t="shared" si="16"/>
        <v>36.141869132086292</v>
      </c>
      <c r="Z567" s="12">
        <f t="shared" si="17"/>
        <v>161.37735557593635</v>
      </c>
      <c r="AA567" s="12">
        <f t="shared" si="18"/>
        <v>58.324792661076472</v>
      </c>
      <c r="AB567" s="12">
        <f t="shared" si="19"/>
        <v>11.034655349152542</v>
      </c>
      <c r="AC567" s="12">
        <f t="shared" si="20"/>
        <v>3.5593220338983054</v>
      </c>
      <c r="AE567" s="13"/>
      <c r="AF567" s="13"/>
    </row>
    <row r="568" spans="1:32">
      <c r="A568" s="8" t="s">
        <v>1963</v>
      </c>
      <c r="B568" s="9" t="s">
        <v>41</v>
      </c>
      <c r="C568" s="9" t="s">
        <v>996</v>
      </c>
      <c r="D568" s="9" t="s">
        <v>1964</v>
      </c>
      <c r="E568" s="9"/>
      <c r="F568" s="9" t="str">
        <f ca="1">IFERROR(__xludf.DUMMYFUNCTION("IFS(
  REGEXMATCH(LOWER(VLOOKUP(A568, Data1_Raw_Slack!A:B, 2, FALSE)), ""news|weather""), ""News and Weather"", REGEXMATCH(LOWER(VLOOKUP(A568, Data1_Raw_Slack!A:B, 2, FALSE)), ""sports|ufc|nba|nfl|mlb|soccer|sports fans""), ""Sports"",
  REGEXMATCH(LOWER("&amp;"VLOOKUP(A568, Data1_Raw_Slack!A:B, 2, FALSE)), ""fashion|style|clothing|apparel|shoes|accessories|beauty|cosmetics|fashionistas""), ""Fashion and Beauty"",
  REGEXMATCH(LOWER(VLOOKUP(A568, Data1_Raw_Slack!A:B, 2, FALSE)), ""food|cooking|recipe|restaurant|"&amp;"snack|grocery|foodies""), ""Food"",
  REGEXMATCH(LOWER(VLOOKUP(A568, Data1_Raw_Slack!A:B, 2, FALSE)), ""travel|vacation|airline|hotel|trip|flights|travelers""), ""Travel"",
  REGEXMATCH(LOWER(VLOOKUP(A568, Data1_Raw_Slack!A:B, 2, FALSE)), ""fitness|workou"&amp;"t|gym|exercise|yoga|wellness|fitness enthusiasts""), ""Fitness"",
  REGEXMATCH(LOWER(VLOOKUP(A568, Data1_Raw_Slack!A:B, 2, FALSE)), ""health|medical|pharmacy|mental health|doctor|health-conscious""), ""Health"",
  REGEXMATCH(LOWER(VLOOKUP(A568, Data1_Raw_"&amp;"Slack!A:B, 2, FALSE)), ""pets|dogs|cats|animals|pet care|pet lovers""), ""Pets"",
  REGEXMATCH(LOWER(VLOOKUP(A568, Data1_Raw_Slack!A:B, 2, FALSE)), ""games|gaming|game|xbox|playstation|nintendo|gamers""), ""Gaming"",
  REGEXMATCH(LOWER(VLOOKUP(A568, Data1"&amp;"_Raw_Slack!A:B, 2, FALSE)), ""entertainment|movies|tv|netflix|streaming|celebrity|movie lovers|tv fans|hobb|photo|art""), ""Entertainment"",
  REGEXMATCH(LOWER(VLOOKUP(A568, Data1_Raw_Slack!A:B, 2, FALSE)), ""lifestyle|home|interior|decor|living|lifestyle"&amp;" enthusiasts""), ""Lifestyle"",
  REGEXMATCH(LOWER(VLOOKUP(A568, Data1_Raw_Slack!A:B, 2, FALSE)), ""financial|finance|investing|stocks|retirement|banking|credit|debt|loans|savings|personal finance|insurance|econ|ecom|business|retail|occupation|sale|job|ma"&amp;"rketing""), ""Finance"",
  REGEXMATCH(LOWER(VLOOKUP(A568, Data1_Raw_Slack!A:B, 2, FALSE)), ""auto|automotive""), ""Auto"",
  REGEXMATCH(LOWER(VLOOKUP(A568, Data1_Raw_Slack!A:B, 2, FALSE)), ""parenting|moms|dads|kids|toddlers|baby|parent|children""), ""Par"&amp;"enting"",
  REGEXMATCH(LOWER(VLOOKUP(A568, Data1_Raw_Slack!A:B, 2, FALSE)), ""education|students|learning|school|teachers|college|university|academics""), ""Education"",
  REGEXMATCH(LOWER(VLOOKUP(A568, Data1_Raw_Slack!A:B, 2, FALSE)), ""age|gender|dem"&amp;"ographic|family|household""), ""Demographics"",
  REGEXMATCH(LOWER(VLOOKUP(A568, Data1_Raw_Slack!A:B, 2, FALSE)), ""mortgage|real estate""), ""Real Estate"",REGEXMATCH(LOWER(VLOOKUP(A568, Data1_Raw_Slack!A:B, 2, FALSE)), ""technology|tech|gadgets|smartpho"&amp;"ne|electro|apps|devices|computing|ai|robots|software|computer|internet|tele|mobile|tablet""), ""Technology"", REGEXMATCH(LOWER(VLOOKUP(A568, Data1_Raw_Slack!A:B, 2, FALSE)), ""entertainment|purchas|movies|tv|netflix|streaming|celebrity|movie lovers|tv fan"&amp;"s|media|hobb|photo|art|shop""), ""Entertainment"", REGEXMATCH(LOWER(VLOOKUP(A568, Data1_Raw_Slack!A:B, 2, FALSE)), ""law|government|""), ""Law and Government"",
  TRUE, ""Other""
)"),"Lifestyle")</f>
        <v>Lifestyle</v>
      </c>
      <c r="G568" s="9"/>
      <c r="H568" s="9" t="s">
        <v>44</v>
      </c>
      <c r="I568" s="9" t="s">
        <v>1107</v>
      </c>
      <c r="J568" s="9" t="s">
        <v>62</v>
      </c>
      <c r="K568" s="9" t="s">
        <v>148</v>
      </c>
      <c r="L568" s="9" t="s">
        <v>89</v>
      </c>
      <c r="M568" s="10" t="s">
        <v>799</v>
      </c>
      <c r="N568" s="9" t="str">
        <f ca="1">IFERROR(__xludf.DUMMYFUNCTION("REGEXEXTRACT(LOWER(M568), ""([a-z0-9\-]+)\.(?:co|net|org|io|gg)"")"),"streetinsider")</f>
        <v>streetinsider</v>
      </c>
      <c r="O568" s="9" t="s">
        <v>50</v>
      </c>
      <c r="P568" s="9" t="s">
        <v>64</v>
      </c>
      <c r="Q568" s="9">
        <v>28888</v>
      </c>
      <c r="R568" s="9">
        <v>85</v>
      </c>
      <c r="S568" s="9">
        <v>21437</v>
      </c>
      <c r="T568" s="9">
        <v>27586</v>
      </c>
      <c r="U568" s="9">
        <v>19</v>
      </c>
      <c r="V568" s="11">
        <v>6858.5781180000004</v>
      </c>
      <c r="W568" s="12">
        <f t="shared" si="14"/>
        <v>360.97779568421055</v>
      </c>
      <c r="X568" s="12">
        <f t="shared" si="15"/>
        <v>0.29423982276377736</v>
      </c>
      <c r="Y568" s="12">
        <f t="shared" si="16"/>
        <v>74.207283301024646</v>
      </c>
      <c r="Z568" s="12">
        <f t="shared" si="17"/>
        <v>319.94113532677147</v>
      </c>
      <c r="AA568" s="12">
        <f t="shared" si="18"/>
        <v>237.41962468845196</v>
      </c>
      <c r="AB568" s="12">
        <f t="shared" si="19"/>
        <v>80.689154329411764</v>
      </c>
      <c r="AC568" s="12">
        <f t="shared" si="20"/>
        <v>22.352941176470591</v>
      </c>
      <c r="AE568" s="13"/>
      <c r="AF568" s="13"/>
    </row>
    <row r="569" spans="1:32">
      <c r="A569" s="8" t="s">
        <v>1965</v>
      </c>
      <c r="B569" s="9" t="s">
        <v>41</v>
      </c>
      <c r="C569" s="9" t="s">
        <v>120</v>
      </c>
      <c r="D569" s="9" t="s">
        <v>1966</v>
      </c>
      <c r="E569" s="9"/>
      <c r="F569" s="9" t="str">
        <f ca="1">IFERROR(__xludf.DUMMYFUNCTION("IFS(
  REGEXMATCH(LOWER(VLOOKUP(A569, Data1_Raw_Slack!A:B, 2, FALSE)), ""news|weather""), ""News and Weather"", REGEXMATCH(LOWER(VLOOKUP(A569, Data1_Raw_Slack!A:B, 2, FALSE)), ""sports|ufc|nba|nfl|mlb|soccer|sports fans""), ""Sports"",
  REGEXMATCH(LOWER("&amp;"VLOOKUP(A569, Data1_Raw_Slack!A:B, 2, FALSE)), ""fashion|style|clothing|apparel|shoes|accessories|beauty|cosmetics|fashionistas""), ""Fashion and Beauty"",
  REGEXMATCH(LOWER(VLOOKUP(A569, Data1_Raw_Slack!A:B, 2, FALSE)), ""food|cooking|recipe|restaurant|"&amp;"snack|grocery|foodies""), ""Food"",
  REGEXMATCH(LOWER(VLOOKUP(A569, Data1_Raw_Slack!A:B, 2, FALSE)), ""travel|vacation|airline|hotel|trip|flights|travelers""), ""Travel"",
  REGEXMATCH(LOWER(VLOOKUP(A569, Data1_Raw_Slack!A:B, 2, FALSE)), ""fitness|workou"&amp;"t|gym|exercise|yoga|wellness|fitness enthusiasts""), ""Fitness"",
  REGEXMATCH(LOWER(VLOOKUP(A569, Data1_Raw_Slack!A:B, 2, FALSE)), ""health|medical|pharmacy|mental health|doctor|health-conscious""), ""Health"",
  REGEXMATCH(LOWER(VLOOKUP(A569, Data1_Raw_"&amp;"Slack!A:B, 2, FALSE)), ""pets|dogs|cats|animals|pet care|pet lovers""), ""Pets"",
  REGEXMATCH(LOWER(VLOOKUP(A569, Data1_Raw_Slack!A:B, 2, FALSE)), ""games|gaming|game|xbox|playstation|nintendo|gamers""), ""Gaming"",
  REGEXMATCH(LOWER(VLOOKUP(A569, Data1"&amp;"_Raw_Slack!A:B, 2, FALSE)), ""entertainment|movies|tv|netflix|streaming|celebrity|movie lovers|tv fans|hobb|photo|art""), ""Entertainment"",
  REGEXMATCH(LOWER(VLOOKUP(A569, Data1_Raw_Slack!A:B, 2, FALSE)), ""lifestyle|home|interior|decor|living|lifestyle"&amp;" enthusiasts""), ""Lifestyle"",
  REGEXMATCH(LOWER(VLOOKUP(A569, Data1_Raw_Slack!A:B, 2, FALSE)), ""financial|finance|investing|stocks|retirement|banking|credit|debt|loans|savings|personal finance|insurance|econ|ecom|business|retail|occupation|sale|job|ma"&amp;"rketing""), ""Finance"",
  REGEXMATCH(LOWER(VLOOKUP(A569, Data1_Raw_Slack!A:B, 2, FALSE)), ""auto|automotive""), ""Auto"",
  REGEXMATCH(LOWER(VLOOKUP(A569, Data1_Raw_Slack!A:B, 2, FALSE)), ""parenting|moms|dads|kids|toddlers|baby|parent|children""), ""Par"&amp;"enting"",
  REGEXMATCH(LOWER(VLOOKUP(A569, Data1_Raw_Slack!A:B, 2, FALSE)), ""education|students|learning|school|teachers|college|university|academics""), ""Education"",
  REGEXMATCH(LOWER(VLOOKUP(A569, Data1_Raw_Slack!A:B, 2, FALSE)), ""age|gender|dem"&amp;"ographic|family|household""), ""Demographics"",
  REGEXMATCH(LOWER(VLOOKUP(A569, Data1_Raw_Slack!A:B, 2, FALSE)), ""mortgage|real estate""), ""Real Estate"",REGEXMATCH(LOWER(VLOOKUP(A569, Data1_Raw_Slack!A:B, 2, FALSE)), ""technology|tech|gadgets|smartpho"&amp;"ne|electro|apps|devices|computing|ai|robots|software|computer|internet|tele|mobile|tablet""), ""Technology"", REGEXMATCH(LOWER(VLOOKUP(A569, Data1_Raw_Slack!A:B, 2, FALSE)), ""entertainment|purchas|movies|tv|netflix|streaming|celebrity|movie lovers|tv fan"&amp;"s|media|hobb|photo|art|shop""), ""Entertainment"", REGEXMATCH(LOWER(VLOOKUP(A569, Data1_Raw_Slack!A:B, 2, FALSE)), ""law|government|""), ""Law and Government"",
  TRUE, ""Other""
)"),"Auto")</f>
        <v>Auto</v>
      </c>
      <c r="G569" s="9" t="s">
        <v>122</v>
      </c>
      <c r="H569" s="9" t="s">
        <v>32</v>
      </c>
      <c r="I569" s="9" t="s">
        <v>1748</v>
      </c>
      <c r="J569" s="9" t="s">
        <v>80</v>
      </c>
      <c r="K569" s="9" t="s">
        <v>35</v>
      </c>
      <c r="L569" s="9" t="s">
        <v>36</v>
      </c>
      <c r="M569" s="10" t="s">
        <v>372</v>
      </c>
      <c r="N569" s="9" t="str">
        <f ca="1">IFERROR(__xludf.DUMMYFUNCTION("REGEXEXTRACT(LOWER(M569), ""([a-z0-9\-]+)\.(?:co|net|org|io|gg)"")"),"accuweather")</f>
        <v>accuweather</v>
      </c>
      <c r="O569" s="9" t="s">
        <v>74</v>
      </c>
      <c r="P569" s="9" t="s">
        <v>39</v>
      </c>
      <c r="Q569" s="9">
        <v>23965</v>
      </c>
      <c r="R569" s="9">
        <v>270</v>
      </c>
      <c r="S569" s="9">
        <v>13608</v>
      </c>
      <c r="T569" s="9">
        <v>21704</v>
      </c>
      <c r="U569" s="9">
        <v>12</v>
      </c>
      <c r="V569" s="11">
        <v>5706.8644169999998</v>
      </c>
      <c r="W569" s="12">
        <f t="shared" si="14"/>
        <v>475.57203475</v>
      </c>
      <c r="X569" s="12">
        <f t="shared" si="15"/>
        <v>1.1266430210723972</v>
      </c>
      <c r="Y569" s="12">
        <f t="shared" si="16"/>
        <v>56.782808262048825</v>
      </c>
      <c r="Z569" s="12">
        <f t="shared" si="17"/>
        <v>419.37569201940033</v>
      </c>
      <c r="AA569" s="12">
        <f t="shared" si="18"/>
        <v>238.13329509701649</v>
      </c>
      <c r="AB569" s="12">
        <f t="shared" si="19"/>
        <v>21.136534877777777</v>
      </c>
      <c r="AC569" s="12">
        <f t="shared" si="20"/>
        <v>4.4444444444444446</v>
      </c>
      <c r="AE569" s="13"/>
      <c r="AF569" s="13"/>
    </row>
    <row r="570" spans="1:32">
      <c r="A570" s="8" t="s">
        <v>1967</v>
      </c>
      <c r="B570" s="9" t="s">
        <v>41</v>
      </c>
      <c r="C570" s="9" t="s">
        <v>85</v>
      </c>
      <c r="D570" s="9" t="s">
        <v>99</v>
      </c>
      <c r="E570" s="9" t="s">
        <v>1968</v>
      </c>
      <c r="F570" s="9" t="str">
        <f ca="1">IFERROR(__xludf.DUMMYFUNCTION("IFS(
  REGEXMATCH(LOWER(VLOOKUP(A570, Data1_Raw_Slack!A:B, 2, FALSE)), ""news|weather""), ""News and Weather"", REGEXMATCH(LOWER(VLOOKUP(A570, Data1_Raw_Slack!A:B, 2, FALSE)), ""sports|ufc|nba|nfl|mlb|soccer|sports fans""), ""Sports"",
  REGEXMATCH(LOWER("&amp;"VLOOKUP(A570, Data1_Raw_Slack!A:B, 2, FALSE)), ""fashion|style|clothing|apparel|shoes|accessories|beauty|cosmetics|fashionistas""), ""Fashion and Beauty"",
  REGEXMATCH(LOWER(VLOOKUP(A570, Data1_Raw_Slack!A:B, 2, FALSE)), ""food|cooking|recipe|restaurant|"&amp;"snack|grocery|foodies""), ""Food"",
  REGEXMATCH(LOWER(VLOOKUP(A570, Data1_Raw_Slack!A:B, 2, FALSE)), ""travel|vacation|airline|hotel|trip|flights|travelers""), ""Travel"",
  REGEXMATCH(LOWER(VLOOKUP(A570, Data1_Raw_Slack!A:B, 2, FALSE)), ""fitness|workou"&amp;"t|gym|exercise|yoga|wellness|fitness enthusiasts""), ""Fitness"",
  REGEXMATCH(LOWER(VLOOKUP(A570, Data1_Raw_Slack!A:B, 2, FALSE)), ""health|medical|pharmacy|mental health|doctor|health-conscious""), ""Health"",
  REGEXMATCH(LOWER(VLOOKUP(A570, Data1_Raw_"&amp;"Slack!A:B, 2, FALSE)), ""pets|dogs|cats|animals|pet care|pet lovers""), ""Pets"",
  REGEXMATCH(LOWER(VLOOKUP(A570, Data1_Raw_Slack!A:B, 2, FALSE)), ""games|gaming|game|xbox|playstation|nintendo|gamers""), ""Gaming"",
  REGEXMATCH(LOWER(VLOOKUP(A570, Data1"&amp;"_Raw_Slack!A:B, 2, FALSE)), ""entertainment|movies|tv|netflix|streaming|celebrity|movie lovers|tv fans|hobb|photo|art""), ""Entertainment"",
  REGEXMATCH(LOWER(VLOOKUP(A570, Data1_Raw_Slack!A:B, 2, FALSE)), ""lifestyle|home|interior|decor|living|lifestyle"&amp;" enthusiasts""), ""Lifestyle"",
  REGEXMATCH(LOWER(VLOOKUP(A570, Data1_Raw_Slack!A:B, 2, FALSE)), ""financial|finance|investing|stocks|retirement|banking|credit|debt|loans|savings|personal finance|insurance|econ|ecom|business|retail|occupation|sale|job|ma"&amp;"rketing""), ""Finance"",
  REGEXMATCH(LOWER(VLOOKUP(A570, Data1_Raw_Slack!A:B, 2, FALSE)), ""auto|automotive""), ""Auto"",
  REGEXMATCH(LOWER(VLOOKUP(A570, Data1_Raw_Slack!A:B, 2, FALSE)), ""parenting|moms|dads|kids|toddlers|baby|parent|children""), ""Par"&amp;"enting"",
  REGEXMATCH(LOWER(VLOOKUP(A570, Data1_Raw_Slack!A:B, 2, FALSE)), ""education|students|learning|school|teachers|college|university|academics""), ""Education"",
  REGEXMATCH(LOWER(VLOOKUP(A570, Data1_Raw_Slack!A:B, 2, FALSE)), ""age|gender|dem"&amp;"ographic|family|household""), ""Demographics"",
  REGEXMATCH(LOWER(VLOOKUP(A570, Data1_Raw_Slack!A:B, 2, FALSE)), ""mortgage|real estate""), ""Real Estate"",REGEXMATCH(LOWER(VLOOKUP(A570, Data1_Raw_Slack!A:B, 2, FALSE)), ""technology|tech|gadgets|smartpho"&amp;"ne|electro|apps|devices|computing|ai|robots|software|computer|internet|tele|mobile|tablet""), ""Technology"", REGEXMATCH(LOWER(VLOOKUP(A570, Data1_Raw_Slack!A:B, 2, FALSE)), ""entertainment|purchas|movies|tv|netflix|streaming|celebrity|movie lovers|tv fan"&amp;"s|media|hobb|photo|art|shop""), ""Entertainment"", REGEXMATCH(LOWER(VLOOKUP(A570, Data1_Raw_Slack!A:B, 2, FALSE)), ""law|government|""), ""Law and Government"",
  TRUE, ""Other""
)"),"Travel")</f>
        <v>Travel</v>
      </c>
      <c r="G570" s="9" t="s">
        <v>85</v>
      </c>
      <c r="H570" s="9" t="s">
        <v>32</v>
      </c>
      <c r="I570" s="9" t="s">
        <v>1383</v>
      </c>
      <c r="J570" s="9" t="s">
        <v>34</v>
      </c>
      <c r="K570" s="9" t="s">
        <v>148</v>
      </c>
      <c r="L570" s="9" t="s">
        <v>89</v>
      </c>
      <c r="M570" s="10" t="s">
        <v>202</v>
      </c>
      <c r="N570" s="9" t="str">
        <f ca="1">IFERROR(__xludf.DUMMYFUNCTION("REGEXEXTRACT(LOWER(M570), ""([a-z0-9\-]+)\.(?:co|net|org|io|gg)"")"),"zillow")</f>
        <v>zillow</v>
      </c>
      <c r="O570" s="9" t="s">
        <v>50</v>
      </c>
      <c r="P570" s="9" t="s">
        <v>39</v>
      </c>
      <c r="Q570" s="9">
        <v>318269</v>
      </c>
      <c r="R570" s="9">
        <v>914</v>
      </c>
      <c r="S570" s="9">
        <v>33355</v>
      </c>
      <c r="T570" s="9">
        <v>295405</v>
      </c>
      <c r="U570" s="9">
        <v>44</v>
      </c>
      <c r="V570" s="11">
        <v>7854.7319909999997</v>
      </c>
      <c r="W570" s="12">
        <f t="shared" si="14"/>
        <v>178.51663615909089</v>
      </c>
      <c r="X570" s="12">
        <f t="shared" si="15"/>
        <v>0.2871784559602098</v>
      </c>
      <c r="Y570" s="12">
        <f t="shared" si="16"/>
        <v>10.480128444806123</v>
      </c>
      <c r="Z570" s="12">
        <f t="shared" si="17"/>
        <v>235.48889195023233</v>
      </c>
      <c r="AA570" s="12">
        <f t="shared" si="18"/>
        <v>24.679538349635056</v>
      </c>
      <c r="AB570" s="12">
        <f t="shared" si="19"/>
        <v>8.5937986772428872</v>
      </c>
      <c r="AC570" s="12">
        <f t="shared" si="20"/>
        <v>4.814004376367615</v>
      </c>
      <c r="AE570" s="13"/>
      <c r="AF570" s="13"/>
    </row>
    <row r="571" spans="1:32">
      <c r="A571" s="8" t="s">
        <v>1969</v>
      </c>
      <c r="B571" s="9" t="s">
        <v>198</v>
      </c>
      <c r="C571" s="9" t="s">
        <v>1970</v>
      </c>
      <c r="D571" s="9"/>
      <c r="E571" s="9"/>
      <c r="F571" s="9" t="str">
        <f ca="1">IFERROR(__xludf.DUMMYFUNCTION("IFS(
  REGEXMATCH(LOWER(VLOOKUP(A571, Data1_Raw_Slack!A:B, 2, FALSE)), ""news|weather""), ""News and Weather"", REGEXMATCH(LOWER(VLOOKUP(A571, Data1_Raw_Slack!A:B, 2, FALSE)), ""sports|ufc|nba|nfl|mlb|soccer|sports fans""), ""Sports"",
  REGEXMATCH(LOWER("&amp;"VLOOKUP(A571, Data1_Raw_Slack!A:B, 2, FALSE)), ""fashion|style|clothing|apparel|shoes|accessories|beauty|cosmetics|fashionistas""), ""Fashion and Beauty"",
  REGEXMATCH(LOWER(VLOOKUP(A571, Data1_Raw_Slack!A:B, 2, FALSE)), ""food|cooking|recipe|restaurant|"&amp;"snack|grocery|foodies""), ""Food"",
  REGEXMATCH(LOWER(VLOOKUP(A571, Data1_Raw_Slack!A:B, 2, FALSE)), ""travel|vacation|airline|hotel|trip|flights|travelers""), ""Travel"",
  REGEXMATCH(LOWER(VLOOKUP(A571, Data1_Raw_Slack!A:B, 2, FALSE)), ""fitness|workou"&amp;"t|gym|exercise|yoga|wellness|fitness enthusiasts""), ""Fitness"",
  REGEXMATCH(LOWER(VLOOKUP(A571, Data1_Raw_Slack!A:B, 2, FALSE)), ""health|medical|pharmacy|mental health|doctor|health-conscious""), ""Health"",
  REGEXMATCH(LOWER(VLOOKUP(A571, Data1_Raw_"&amp;"Slack!A:B, 2, FALSE)), ""pets|dogs|cats|animals|pet care|pet lovers""), ""Pets"",
  REGEXMATCH(LOWER(VLOOKUP(A571, Data1_Raw_Slack!A:B, 2, FALSE)), ""games|gaming|game|xbox|playstation|nintendo|gamers""), ""Gaming"",
  REGEXMATCH(LOWER(VLOOKUP(A571, Data1"&amp;"_Raw_Slack!A:B, 2, FALSE)), ""entertainment|movies|tv|netflix|streaming|celebrity|movie lovers|tv fans|hobb|photo|art""), ""Entertainment"",
  REGEXMATCH(LOWER(VLOOKUP(A571, Data1_Raw_Slack!A:B, 2, FALSE)), ""lifestyle|home|interior|decor|living|lifestyle"&amp;" enthusiasts""), ""Lifestyle"",
  REGEXMATCH(LOWER(VLOOKUP(A571, Data1_Raw_Slack!A:B, 2, FALSE)), ""financial|finance|investing|stocks|retirement|banking|credit|debt|loans|savings|personal finance|insurance|econ|ecom|business|retail|occupation|sale|job|ma"&amp;"rketing""), ""Finance"",
  REGEXMATCH(LOWER(VLOOKUP(A571, Data1_Raw_Slack!A:B, 2, FALSE)), ""auto|automotive""), ""Auto"",
  REGEXMATCH(LOWER(VLOOKUP(A571, Data1_Raw_Slack!A:B, 2, FALSE)), ""parenting|moms|dads|kids|toddlers|baby|parent|children""), ""Par"&amp;"enting"",
  REGEXMATCH(LOWER(VLOOKUP(A571, Data1_Raw_Slack!A:B, 2, FALSE)), ""education|students|learning|school|teachers|college|university|academics""), ""Education"",
  REGEXMATCH(LOWER(VLOOKUP(A571, Data1_Raw_Slack!A:B, 2, FALSE)), ""age|gender|dem"&amp;"ographic|family|household""), ""Demographics"",
  REGEXMATCH(LOWER(VLOOKUP(A571, Data1_Raw_Slack!A:B, 2, FALSE)), ""mortgage|real estate""), ""Real Estate"",REGEXMATCH(LOWER(VLOOKUP(A571, Data1_Raw_Slack!A:B, 2, FALSE)), ""technology|tech|gadgets|smartpho"&amp;"ne|electro|apps|devices|computing|ai|robots|software|computer|internet|tele|mobile|tablet""), ""Technology"", REGEXMATCH(LOWER(VLOOKUP(A571, Data1_Raw_Slack!A:B, 2, FALSE)), ""entertainment|purchas|movies|tv|netflix|streaming|celebrity|movie lovers|tv fan"&amp;"s|media|hobb|photo|art|shop""), ""Entertainment"", REGEXMATCH(LOWER(VLOOKUP(A571, Data1_Raw_Slack!A:B, 2, FALSE)), ""law|government|""), ""Law and Government"",
  TRUE, ""Other""
)"),"Finance")</f>
        <v>Finance</v>
      </c>
      <c r="G571" s="9"/>
      <c r="H571" s="9" t="s">
        <v>32</v>
      </c>
      <c r="I571" s="9" t="s">
        <v>1292</v>
      </c>
      <c r="J571" s="9" t="s">
        <v>34</v>
      </c>
      <c r="K571" s="9" t="s">
        <v>170</v>
      </c>
      <c r="L571" s="9" t="s">
        <v>72</v>
      </c>
      <c r="M571" s="10" t="s">
        <v>1971</v>
      </c>
      <c r="N571" s="9" t="str">
        <f ca="1">IFERROR(__xludf.DUMMYFUNCTION("REGEXEXTRACT(LOWER(M571), ""([a-z0-9\-]+)\.(?:co|net|org|io|gg)"")"),"fortune")</f>
        <v>fortune</v>
      </c>
      <c r="O571" s="9" t="s">
        <v>50</v>
      </c>
      <c r="P571" s="9" t="s">
        <v>39</v>
      </c>
      <c r="Q571" s="9">
        <v>54134</v>
      </c>
      <c r="R571" s="9">
        <v>155</v>
      </c>
      <c r="S571" s="9">
        <v>37418</v>
      </c>
      <c r="T571" s="9">
        <v>51299</v>
      </c>
      <c r="U571" s="9">
        <v>4</v>
      </c>
      <c r="V571" s="11">
        <v>1502.01775</v>
      </c>
      <c r="W571" s="12">
        <f t="shared" si="14"/>
        <v>375.50443749999999</v>
      </c>
      <c r="X571" s="12">
        <f t="shared" si="15"/>
        <v>0.28632652307237594</v>
      </c>
      <c r="Y571" s="12">
        <f t="shared" si="16"/>
        <v>69.121069937562339</v>
      </c>
      <c r="Z571" s="12">
        <f t="shared" si="17"/>
        <v>40.141582928002563</v>
      </c>
      <c r="AA571" s="12">
        <f t="shared" si="18"/>
        <v>27.746291609709242</v>
      </c>
      <c r="AB571" s="12">
        <f t="shared" si="19"/>
        <v>9.6904370967741933</v>
      </c>
      <c r="AC571" s="12">
        <f t="shared" si="20"/>
        <v>2.5806451612903225</v>
      </c>
      <c r="AE571" s="13"/>
      <c r="AF571" s="13"/>
    </row>
    <row r="572" spans="1:32">
      <c r="A572" s="8" t="s">
        <v>1972</v>
      </c>
      <c r="B572" s="9" t="s">
        <v>459</v>
      </c>
      <c r="C572" s="9" t="s">
        <v>154</v>
      </c>
      <c r="D572" s="9" t="s">
        <v>1973</v>
      </c>
      <c r="E572" s="9" t="s">
        <v>1974</v>
      </c>
      <c r="F572" s="9" t="str">
        <f ca="1">IFERROR(__xludf.DUMMYFUNCTION("IFS(
  REGEXMATCH(LOWER(VLOOKUP(A572, Data1_Raw_Slack!A:B, 2, FALSE)), ""news|weather""), ""News and Weather"", REGEXMATCH(LOWER(VLOOKUP(A572, Data1_Raw_Slack!A:B, 2, FALSE)), ""sports|ufc|nba|nfl|mlb|soccer|sports fans""), ""Sports"",
  REGEXMATCH(LOWER("&amp;"VLOOKUP(A572, Data1_Raw_Slack!A:B, 2, FALSE)), ""fashion|style|clothing|apparel|shoes|accessories|beauty|cosmetics|fashionistas""), ""Fashion and Beauty"",
  REGEXMATCH(LOWER(VLOOKUP(A572, Data1_Raw_Slack!A:B, 2, FALSE)), ""food|cooking|recipe|restaurant|"&amp;"snack|grocery|foodies""), ""Food"",
  REGEXMATCH(LOWER(VLOOKUP(A572, Data1_Raw_Slack!A:B, 2, FALSE)), ""travel|vacation|airline|hotel|trip|flights|travelers""), ""Travel"",
  REGEXMATCH(LOWER(VLOOKUP(A572, Data1_Raw_Slack!A:B, 2, FALSE)), ""fitness|workou"&amp;"t|gym|exercise|yoga|wellness|fitness enthusiasts""), ""Fitness"",
  REGEXMATCH(LOWER(VLOOKUP(A572, Data1_Raw_Slack!A:B, 2, FALSE)), ""health|medical|pharmacy|mental health|doctor|health-conscious""), ""Health"",
  REGEXMATCH(LOWER(VLOOKUP(A572, Data1_Raw_"&amp;"Slack!A:B, 2, FALSE)), ""pets|dogs|cats|animals|pet care|pet lovers""), ""Pets"",
  REGEXMATCH(LOWER(VLOOKUP(A572, Data1_Raw_Slack!A:B, 2, FALSE)), ""games|gaming|game|xbox|playstation|nintendo|gamers""), ""Gaming"",
  REGEXMATCH(LOWER(VLOOKUP(A572, Data1"&amp;"_Raw_Slack!A:B, 2, FALSE)), ""entertainment|movies|tv|netflix|streaming|celebrity|movie lovers|tv fans|hobb|photo|art""), ""Entertainment"",
  REGEXMATCH(LOWER(VLOOKUP(A572, Data1_Raw_Slack!A:B, 2, FALSE)), ""lifestyle|home|interior|decor|living|lifestyle"&amp;" enthusiasts""), ""Lifestyle"",
  REGEXMATCH(LOWER(VLOOKUP(A572, Data1_Raw_Slack!A:B, 2, FALSE)), ""financial|finance|investing|stocks|retirement|banking|credit|debt|loans|savings|personal finance|insurance|econ|ecom|business|retail|occupation|sale|job|ma"&amp;"rketing""), ""Finance"",
  REGEXMATCH(LOWER(VLOOKUP(A572, Data1_Raw_Slack!A:B, 2, FALSE)), ""auto|automotive""), ""Auto"",
  REGEXMATCH(LOWER(VLOOKUP(A572, Data1_Raw_Slack!A:B, 2, FALSE)), ""parenting|moms|dads|kids|toddlers|baby|parent|children""), ""Par"&amp;"enting"",
  REGEXMATCH(LOWER(VLOOKUP(A572, Data1_Raw_Slack!A:B, 2, FALSE)), ""education|students|learning|school|teachers|college|university|academics""), ""Education"",
  REGEXMATCH(LOWER(VLOOKUP(A572, Data1_Raw_Slack!A:B, 2, FALSE)), ""age|gender|dem"&amp;"ographic|family|household""), ""Demographics"",
  REGEXMATCH(LOWER(VLOOKUP(A572, Data1_Raw_Slack!A:B, 2, FALSE)), ""mortgage|real estate""), ""Real Estate"",REGEXMATCH(LOWER(VLOOKUP(A572, Data1_Raw_Slack!A:B, 2, FALSE)), ""technology|tech|gadgets|smartpho"&amp;"ne|electro|apps|devices|computing|ai|robots|software|computer|internet|tele|mobile|tablet""), ""Technology"", REGEXMATCH(LOWER(VLOOKUP(A572, Data1_Raw_Slack!A:B, 2, FALSE)), ""entertainment|purchas|movies|tv|netflix|streaming|celebrity|movie lovers|tv fan"&amp;"s|media|hobb|photo|art|shop""), ""Entertainment"", REGEXMATCH(LOWER(VLOOKUP(A572, Data1_Raw_Slack!A:B, 2, FALSE)), ""law|government|""), ""Law and Government"",
  TRUE, ""Other""
)"),"Sports")</f>
        <v>Sports</v>
      </c>
      <c r="G572" s="9" t="s">
        <v>154</v>
      </c>
      <c r="H572" s="9" t="s">
        <v>32</v>
      </c>
      <c r="I572" s="9" t="s">
        <v>836</v>
      </c>
      <c r="J572" s="9" t="s">
        <v>34</v>
      </c>
      <c r="K572" s="9" t="s">
        <v>895</v>
      </c>
      <c r="L572" s="9" t="s">
        <v>265</v>
      </c>
      <c r="M572" s="10" t="s">
        <v>354</v>
      </c>
      <c r="N572" s="9" t="str">
        <f ca="1">IFERROR(__xludf.DUMMYFUNCTION("REGEXEXTRACT(LOWER(M572), ""([a-z0-9\-]+)\.(?:co|net|org|io|gg)"")"),"yahoo")</f>
        <v>yahoo</v>
      </c>
      <c r="O572" s="9" t="s">
        <v>50</v>
      </c>
      <c r="P572" s="9" t="s">
        <v>39</v>
      </c>
      <c r="Q572" s="9">
        <v>74516</v>
      </c>
      <c r="R572" s="9">
        <v>200</v>
      </c>
      <c r="S572" s="9">
        <v>23985</v>
      </c>
      <c r="T572" s="9">
        <v>63853</v>
      </c>
      <c r="U572" s="9">
        <v>24</v>
      </c>
      <c r="V572" s="11">
        <v>1523.783909</v>
      </c>
      <c r="W572" s="12">
        <f t="shared" si="14"/>
        <v>63.490996208333335</v>
      </c>
      <c r="X572" s="12">
        <f t="shared" si="15"/>
        <v>0.26839873315797952</v>
      </c>
      <c r="Y572" s="12">
        <f t="shared" si="16"/>
        <v>32.187718073970686</v>
      </c>
      <c r="Z572" s="12">
        <f t="shared" si="17"/>
        <v>63.530702897644353</v>
      </c>
      <c r="AA572" s="12">
        <f t="shared" si="18"/>
        <v>20.449083539105693</v>
      </c>
      <c r="AB572" s="12">
        <f t="shared" si="19"/>
        <v>7.6189195449999998</v>
      </c>
      <c r="AC572" s="12">
        <f t="shared" si="20"/>
        <v>12</v>
      </c>
      <c r="AE572" s="13"/>
      <c r="AF572" s="13"/>
    </row>
    <row r="573" spans="1:32">
      <c r="A573" s="8" t="s">
        <v>1975</v>
      </c>
      <c r="B573" s="9" t="s">
        <v>66</v>
      </c>
      <c r="C573" s="9" t="s">
        <v>1976</v>
      </c>
      <c r="D573" s="9" t="s">
        <v>1977</v>
      </c>
      <c r="E573" s="9"/>
      <c r="F573" s="9" t="str">
        <f ca="1">IFERROR(__xludf.DUMMYFUNCTION("IFS(
  REGEXMATCH(LOWER(VLOOKUP(A573, Data1_Raw_Slack!A:B, 2, FALSE)), ""news|weather""), ""News and Weather"", REGEXMATCH(LOWER(VLOOKUP(A573, Data1_Raw_Slack!A:B, 2, FALSE)), ""sports|ufc|nba|nfl|mlb|soccer|sports fans""), ""Sports"",
  REGEXMATCH(LOWER("&amp;"VLOOKUP(A573, Data1_Raw_Slack!A:B, 2, FALSE)), ""fashion|style|clothing|apparel|shoes|accessories|beauty|cosmetics|fashionistas""), ""Fashion and Beauty"",
  REGEXMATCH(LOWER(VLOOKUP(A573, Data1_Raw_Slack!A:B, 2, FALSE)), ""food|cooking|recipe|restaurant|"&amp;"snack|grocery|foodies""), ""Food"",
  REGEXMATCH(LOWER(VLOOKUP(A573, Data1_Raw_Slack!A:B, 2, FALSE)), ""travel|vacation|airline|hotel|trip|flights|travelers""), ""Travel"",
  REGEXMATCH(LOWER(VLOOKUP(A573, Data1_Raw_Slack!A:B, 2, FALSE)), ""fitness|workou"&amp;"t|gym|exercise|yoga|wellness|fitness enthusiasts""), ""Fitness"",
  REGEXMATCH(LOWER(VLOOKUP(A573, Data1_Raw_Slack!A:B, 2, FALSE)), ""health|medical|pharmacy|mental health|doctor|health-conscious""), ""Health"",
  REGEXMATCH(LOWER(VLOOKUP(A573, Data1_Raw_"&amp;"Slack!A:B, 2, FALSE)), ""pets|dogs|cats|animals|pet care|pet lovers""), ""Pets"",
  REGEXMATCH(LOWER(VLOOKUP(A573, Data1_Raw_Slack!A:B, 2, FALSE)), ""games|gaming|game|xbox|playstation|nintendo|gamers""), ""Gaming"",
  REGEXMATCH(LOWER(VLOOKUP(A573, Data1"&amp;"_Raw_Slack!A:B, 2, FALSE)), ""entertainment|movies|tv|netflix|streaming|celebrity|movie lovers|tv fans|hobb|photo|art""), ""Entertainment"",
  REGEXMATCH(LOWER(VLOOKUP(A573, Data1_Raw_Slack!A:B, 2, FALSE)), ""lifestyle|home|interior|decor|living|lifestyle"&amp;" enthusiasts""), ""Lifestyle"",
  REGEXMATCH(LOWER(VLOOKUP(A573, Data1_Raw_Slack!A:B, 2, FALSE)), ""financial|finance|investing|stocks|retirement|banking|credit|debt|loans|savings|personal finance|insurance|econ|ecom|business|retail|occupation|sale|job|ma"&amp;"rketing""), ""Finance"",
  REGEXMATCH(LOWER(VLOOKUP(A573, Data1_Raw_Slack!A:B, 2, FALSE)), ""auto|automotive""), ""Auto"",
  REGEXMATCH(LOWER(VLOOKUP(A573, Data1_Raw_Slack!A:B, 2, FALSE)), ""parenting|moms|dads|kids|toddlers|baby|parent|children""), ""Par"&amp;"enting"",
  REGEXMATCH(LOWER(VLOOKUP(A573, Data1_Raw_Slack!A:B, 2, FALSE)), ""education|students|learning|school|teachers|college|university|academics""), ""Education"",
  REGEXMATCH(LOWER(VLOOKUP(A573, Data1_Raw_Slack!A:B, 2, FALSE)), ""age|gender|dem"&amp;"ographic|family|household""), ""Demographics"",
  REGEXMATCH(LOWER(VLOOKUP(A573, Data1_Raw_Slack!A:B, 2, FALSE)), ""mortgage|real estate""), ""Real Estate"",REGEXMATCH(LOWER(VLOOKUP(A573, Data1_Raw_Slack!A:B, 2, FALSE)), ""technology|tech|gadgets|smartpho"&amp;"ne|electro|apps|devices|computing|ai|robots|software|computer|internet|tele|mobile|tablet""), ""Technology"", REGEXMATCH(LOWER(VLOOKUP(A573, Data1_Raw_Slack!A:B, 2, FALSE)), ""entertainment|purchas|movies|tv|netflix|streaming|celebrity|movie lovers|tv fan"&amp;"s|media|hobb|photo|art|shop""), ""Entertainment"", REGEXMATCH(LOWER(VLOOKUP(A573, Data1_Raw_Slack!A:B, 2, FALSE)), ""law|government|""), ""Law and Government"",
  TRUE, ""Other""
)"),"Technology")</f>
        <v>Technology</v>
      </c>
      <c r="G573" s="9" t="s">
        <v>69</v>
      </c>
      <c r="H573" s="9" t="s">
        <v>44</v>
      </c>
      <c r="I573" s="9" t="s">
        <v>1978</v>
      </c>
      <c r="J573" s="9" t="s">
        <v>62</v>
      </c>
      <c r="K573" s="9" t="s">
        <v>35</v>
      </c>
      <c r="L573" s="9" t="s">
        <v>36</v>
      </c>
      <c r="M573" s="10" t="s">
        <v>229</v>
      </c>
      <c r="N573" s="9" t="str">
        <f ca="1">IFERROR(__xludf.DUMMYFUNCTION("REGEXEXTRACT(LOWER(M573), ""([a-z0-9\-]+)\.(?:co|net|org|io|gg)"")"),"msn")</f>
        <v>msn</v>
      </c>
      <c r="O573" s="9" t="s">
        <v>50</v>
      </c>
      <c r="P573" s="9" t="s">
        <v>75</v>
      </c>
      <c r="Q573" s="9">
        <v>60412</v>
      </c>
      <c r="R573" s="9">
        <v>169</v>
      </c>
      <c r="S573" s="9">
        <v>33457</v>
      </c>
      <c r="T573" s="9">
        <v>52172</v>
      </c>
      <c r="U573" s="9">
        <v>24</v>
      </c>
      <c r="V573" s="11">
        <v>1679.5727079999999</v>
      </c>
      <c r="W573" s="12">
        <f t="shared" si="14"/>
        <v>69.982196166666668</v>
      </c>
      <c r="X573" s="12">
        <f t="shared" si="15"/>
        <v>0.27974574587830237</v>
      </c>
      <c r="Y573" s="12">
        <f t="shared" si="16"/>
        <v>55.381381182546519</v>
      </c>
      <c r="Z573" s="12">
        <f t="shared" si="17"/>
        <v>50.200935768299608</v>
      </c>
      <c r="AA573" s="12">
        <f t="shared" si="18"/>
        <v>27.801971595047341</v>
      </c>
      <c r="AB573" s="12">
        <f t="shared" si="19"/>
        <v>9.9383000473372771</v>
      </c>
      <c r="AC573" s="12">
        <f t="shared" si="20"/>
        <v>14.201183431952662</v>
      </c>
      <c r="AE573" s="13"/>
      <c r="AF573" s="13"/>
    </row>
    <row r="574" spans="1:32">
      <c r="A574" s="8" t="s">
        <v>1979</v>
      </c>
      <c r="B574" s="9" t="s">
        <v>41</v>
      </c>
      <c r="C574" s="9" t="s">
        <v>105</v>
      </c>
      <c r="D574" s="9" t="s">
        <v>530</v>
      </c>
      <c r="E574" s="9" t="s">
        <v>1980</v>
      </c>
      <c r="F574" s="9" t="str">
        <f ca="1">IFERROR(__xludf.DUMMYFUNCTION("IFS(
  REGEXMATCH(LOWER(VLOOKUP(A574, Data1_Raw_Slack!A:B, 2, FALSE)), ""news|weather""), ""News and Weather"", REGEXMATCH(LOWER(VLOOKUP(A574, Data1_Raw_Slack!A:B, 2, FALSE)), ""sports|ufc|nba|nfl|mlb|soccer|sports fans""), ""Sports"",
  REGEXMATCH(LOWER("&amp;"VLOOKUP(A574, Data1_Raw_Slack!A:B, 2, FALSE)), ""fashion|style|clothing|apparel|shoes|accessories|beauty|cosmetics|fashionistas""), ""Fashion and Beauty"",
  REGEXMATCH(LOWER(VLOOKUP(A574, Data1_Raw_Slack!A:B, 2, FALSE)), ""food|cooking|recipe|restaurant|"&amp;"snack|grocery|foodies""), ""Food"",
  REGEXMATCH(LOWER(VLOOKUP(A574, Data1_Raw_Slack!A:B, 2, FALSE)), ""travel|vacation|airline|hotel|trip|flights|travelers""), ""Travel"",
  REGEXMATCH(LOWER(VLOOKUP(A574, Data1_Raw_Slack!A:B, 2, FALSE)), ""fitness|workou"&amp;"t|gym|exercise|yoga|wellness|fitness enthusiasts""), ""Fitness"",
  REGEXMATCH(LOWER(VLOOKUP(A574, Data1_Raw_Slack!A:B, 2, FALSE)), ""health|medical|pharmacy|mental health|doctor|health-conscious""), ""Health"",
  REGEXMATCH(LOWER(VLOOKUP(A574, Data1_Raw_"&amp;"Slack!A:B, 2, FALSE)), ""pets|dogs|cats|animals|pet care|pet lovers""), ""Pets"",
  REGEXMATCH(LOWER(VLOOKUP(A574, Data1_Raw_Slack!A:B, 2, FALSE)), ""games|gaming|game|xbox|playstation|nintendo|gamers""), ""Gaming"",
  REGEXMATCH(LOWER(VLOOKUP(A574, Data1"&amp;"_Raw_Slack!A:B, 2, FALSE)), ""entertainment|movies|tv|netflix|streaming|celebrity|movie lovers|tv fans|hobb|photo|art""), ""Entertainment"",
  REGEXMATCH(LOWER(VLOOKUP(A574, Data1_Raw_Slack!A:B, 2, FALSE)), ""lifestyle|home|interior|decor|living|lifestyle"&amp;" enthusiasts""), ""Lifestyle"",
  REGEXMATCH(LOWER(VLOOKUP(A574, Data1_Raw_Slack!A:B, 2, FALSE)), ""financial|finance|investing|stocks|retirement|banking|credit|debt|loans|savings|personal finance|insurance|econ|ecom|business|retail|occupation|sale|job|ma"&amp;"rketing""), ""Finance"",
  REGEXMATCH(LOWER(VLOOKUP(A574, Data1_Raw_Slack!A:B, 2, FALSE)), ""auto|automotive""), ""Auto"",
  REGEXMATCH(LOWER(VLOOKUP(A574, Data1_Raw_Slack!A:B, 2, FALSE)), ""parenting|moms|dads|kids|toddlers|baby|parent|children""), ""Par"&amp;"enting"",
  REGEXMATCH(LOWER(VLOOKUP(A574, Data1_Raw_Slack!A:B, 2, FALSE)), ""education|students|learning|school|teachers|college|university|academics""), ""Education"",
  REGEXMATCH(LOWER(VLOOKUP(A574, Data1_Raw_Slack!A:B, 2, FALSE)), ""age|gender|dem"&amp;"ographic|family|household""), ""Demographics"",
  REGEXMATCH(LOWER(VLOOKUP(A574, Data1_Raw_Slack!A:B, 2, FALSE)), ""mortgage|real estate""), ""Real Estate"",REGEXMATCH(LOWER(VLOOKUP(A574, Data1_Raw_Slack!A:B, 2, FALSE)), ""technology|tech|gadgets|smartpho"&amp;"ne|electro|apps|devices|computing|ai|robots|software|computer|internet|tele|mobile|tablet""), ""Technology"", REGEXMATCH(LOWER(VLOOKUP(A574, Data1_Raw_Slack!A:B, 2, FALSE)), ""entertainment|purchas|movies|tv|netflix|streaming|celebrity|movie lovers|tv fan"&amp;"s|media|hobb|photo|art|shop""), ""Entertainment"", REGEXMATCH(LOWER(VLOOKUP(A574, Data1_Raw_Slack!A:B, 2, FALSE)), ""law|government|""), ""Law and Government"",
  TRUE, ""Other""
)"),"Fashion and Beauty")</f>
        <v>Fashion and Beauty</v>
      </c>
      <c r="G574" s="9" t="s">
        <v>530</v>
      </c>
      <c r="H574" s="9" t="s">
        <v>32</v>
      </c>
      <c r="I574" s="9" t="s">
        <v>1981</v>
      </c>
      <c r="J574" s="9" t="s">
        <v>46</v>
      </c>
      <c r="K574" s="9" t="s">
        <v>56</v>
      </c>
      <c r="L574" s="9" t="s">
        <v>57</v>
      </c>
      <c r="M574" s="10" t="s">
        <v>1908</v>
      </c>
      <c r="N574" s="9" t="str">
        <f ca="1">IFERROR(__xludf.DUMMYFUNCTION("REGEXEXTRACT(LOWER(M574), ""([a-z0-9\-]+)\.(?:co|net|org|io|gg)"")"),"rollingstone")</f>
        <v>rollingstone</v>
      </c>
      <c r="O574" s="9" t="s">
        <v>50</v>
      </c>
      <c r="P574" s="9" t="s">
        <v>39</v>
      </c>
      <c r="Q574" s="9">
        <v>25835</v>
      </c>
      <c r="R574" s="9">
        <v>69</v>
      </c>
      <c r="S574" s="9">
        <v>3753</v>
      </c>
      <c r="T574" s="9">
        <v>20808</v>
      </c>
      <c r="U574" s="9">
        <v>11</v>
      </c>
      <c r="V574" s="11">
        <v>5751.9122969999999</v>
      </c>
      <c r="W574" s="12">
        <f t="shared" si="14"/>
        <v>522.90111790909089</v>
      </c>
      <c r="X574" s="12">
        <f t="shared" si="15"/>
        <v>0.26707954325527383</v>
      </c>
      <c r="Y574" s="12">
        <f t="shared" si="16"/>
        <v>14.526804722275982</v>
      </c>
      <c r="Z574" s="12">
        <f t="shared" si="17"/>
        <v>1532.6171854516385</v>
      </c>
      <c r="AA574" s="12">
        <f t="shared" si="18"/>
        <v>222.64030567060189</v>
      </c>
      <c r="AB574" s="12">
        <f t="shared" si="19"/>
        <v>83.361047782608694</v>
      </c>
      <c r="AC574" s="12">
        <f t="shared" si="20"/>
        <v>15.942028985507244</v>
      </c>
      <c r="AE574" s="13"/>
      <c r="AF574" s="13"/>
    </row>
    <row r="575" spans="1:32">
      <c r="A575" s="8" t="s">
        <v>1982</v>
      </c>
      <c r="B575" s="9" t="s">
        <v>378</v>
      </c>
      <c r="C575" s="9" t="s">
        <v>1983</v>
      </c>
      <c r="D575" s="9" t="s">
        <v>1984</v>
      </c>
      <c r="E575" s="9" t="s">
        <v>1985</v>
      </c>
      <c r="F575" s="9" t="str">
        <f ca="1">IFERROR(__xludf.DUMMYFUNCTION("IFS(
  REGEXMATCH(LOWER(VLOOKUP(A575, Data1_Raw_Slack!A:B, 2, FALSE)), ""news|weather""), ""News and Weather"", REGEXMATCH(LOWER(VLOOKUP(A575, Data1_Raw_Slack!A:B, 2, FALSE)), ""sports|ufc|nba|nfl|mlb|soccer|sports fans""), ""Sports"",
  REGEXMATCH(LOWER("&amp;"VLOOKUP(A575, Data1_Raw_Slack!A:B, 2, FALSE)), ""fashion|style|clothing|apparel|shoes|accessories|beauty|cosmetics|fashionistas""), ""Fashion and Beauty"",
  REGEXMATCH(LOWER(VLOOKUP(A575, Data1_Raw_Slack!A:B, 2, FALSE)), ""food|cooking|recipe|restaurant|"&amp;"snack|grocery|foodies""), ""Food"",
  REGEXMATCH(LOWER(VLOOKUP(A575, Data1_Raw_Slack!A:B, 2, FALSE)), ""travel|vacation|airline|hotel|trip|flights|travelers""), ""Travel"",
  REGEXMATCH(LOWER(VLOOKUP(A575, Data1_Raw_Slack!A:B, 2, FALSE)), ""fitness|workou"&amp;"t|gym|exercise|yoga|wellness|fitness enthusiasts""), ""Fitness"",
  REGEXMATCH(LOWER(VLOOKUP(A575, Data1_Raw_Slack!A:B, 2, FALSE)), ""health|medical|pharmacy|mental health|doctor|health-conscious""), ""Health"",
  REGEXMATCH(LOWER(VLOOKUP(A575, Data1_Raw_"&amp;"Slack!A:B, 2, FALSE)), ""pets|dogs|cats|animals|pet care|pet lovers""), ""Pets"",
  REGEXMATCH(LOWER(VLOOKUP(A575, Data1_Raw_Slack!A:B, 2, FALSE)), ""games|gaming|game|xbox|playstation|nintendo|gamers""), ""Gaming"",
  REGEXMATCH(LOWER(VLOOKUP(A575, Data1"&amp;"_Raw_Slack!A:B, 2, FALSE)), ""entertainment|movies|tv|netflix|streaming|celebrity|movie lovers|tv fans|hobb|photo|art""), ""Entertainment"",
  REGEXMATCH(LOWER(VLOOKUP(A575, Data1_Raw_Slack!A:B, 2, FALSE)), ""lifestyle|home|interior|decor|living|lifestyle"&amp;" enthusiasts""), ""Lifestyle"",
  REGEXMATCH(LOWER(VLOOKUP(A575, Data1_Raw_Slack!A:B, 2, FALSE)), ""financial|finance|investing|stocks|retirement|banking|credit|debt|loans|savings|personal finance|insurance|econ|ecom|business|retail|occupation|sale|job|ma"&amp;"rketing""), ""Finance"",
  REGEXMATCH(LOWER(VLOOKUP(A575, Data1_Raw_Slack!A:B, 2, FALSE)), ""auto|automotive""), ""Auto"",
  REGEXMATCH(LOWER(VLOOKUP(A575, Data1_Raw_Slack!A:B, 2, FALSE)), ""parenting|moms|dads|kids|toddlers|baby|parent|children""), ""Par"&amp;"enting"",
  REGEXMATCH(LOWER(VLOOKUP(A575, Data1_Raw_Slack!A:B, 2, FALSE)), ""education|students|learning|school|teachers|college|university|academics""), ""Education"",
  REGEXMATCH(LOWER(VLOOKUP(A575, Data1_Raw_Slack!A:B, 2, FALSE)), ""age|gender|dem"&amp;"ographic|family|household""), ""Demographics"",
  REGEXMATCH(LOWER(VLOOKUP(A575, Data1_Raw_Slack!A:B, 2, FALSE)), ""mortgage|real estate""), ""Real Estate"",REGEXMATCH(LOWER(VLOOKUP(A575, Data1_Raw_Slack!A:B, 2, FALSE)), ""technology|tech|gadgets|smartpho"&amp;"ne|electro|apps|devices|computing|ai|robots|software|computer|internet|tele|mobile|tablet""), ""Technology"", REGEXMATCH(LOWER(VLOOKUP(A575, Data1_Raw_Slack!A:B, 2, FALSE)), ""entertainment|purchas|movies|tv|netflix|streaming|celebrity|movie lovers|tv fan"&amp;"s|media|hobb|photo|art|shop""), ""Entertainment"", REGEXMATCH(LOWER(VLOOKUP(A575, Data1_Raw_Slack!A:B, 2, FALSE)), ""law|government|""), ""Law and Government"",
  TRUE, ""Other""
)"),"Finance")</f>
        <v>Finance</v>
      </c>
      <c r="G575" s="9"/>
      <c r="H575" s="9" t="s">
        <v>44</v>
      </c>
      <c r="I575" s="9" t="s">
        <v>1986</v>
      </c>
      <c r="J575" s="9" t="s">
        <v>46</v>
      </c>
      <c r="K575" s="9" t="s">
        <v>391</v>
      </c>
      <c r="L575" s="9" t="s">
        <v>392</v>
      </c>
      <c r="M575" s="10" t="s">
        <v>229</v>
      </c>
      <c r="N575" s="9" t="str">
        <f ca="1">IFERROR(__xludf.DUMMYFUNCTION("REGEXEXTRACT(LOWER(M575), ""([a-z0-9\-]+)\.(?:co|net|org|io|gg)"")"),"msn")</f>
        <v>msn</v>
      </c>
      <c r="O575" s="9" t="s">
        <v>131</v>
      </c>
      <c r="P575" s="9" t="s">
        <v>39</v>
      </c>
      <c r="Q575" s="9">
        <v>177632</v>
      </c>
      <c r="R575" s="9">
        <v>485</v>
      </c>
      <c r="S575" s="9">
        <v>70865</v>
      </c>
      <c r="T575" s="9">
        <v>95871</v>
      </c>
      <c r="U575" s="9">
        <v>5</v>
      </c>
      <c r="V575" s="11">
        <v>1483.3844039999999</v>
      </c>
      <c r="W575" s="12">
        <f t="shared" si="14"/>
        <v>296.67688079999999</v>
      </c>
      <c r="X575" s="12">
        <f t="shared" si="15"/>
        <v>0.27303638983966849</v>
      </c>
      <c r="Y575" s="12">
        <f t="shared" si="16"/>
        <v>39.894275806161048</v>
      </c>
      <c r="Z575" s="12">
        <f t="shared" si="17"/>
        <v>20.93253939180131</v>
      </c>
      <c r="AA575" s="12">
        <f t="shared" si="18"/>
        <v>8.3508849981985218</v>
      </c>
      <c r="AB575" s="12">
        <f t="shared" si="19"/>
        <v>3.0585245443298965</v>
      </c>
      <c r="AC575" s="12">
        <f t="shared" si="20"/>
        <v>1.0309278350515463</v>
      </c>
      <c r="AE575" s="13"/>
      <c r="AF575" s="13"/>
    </row>
    <row r="576" spans="1:32">
      <c r="A576" s="8" t="s">
        <v>1987</v>
      </c>
      <c r="B576" s="9" t="s">
        <v>41</v>
      </c>
      <c r="C576" s="9" t="s">
        <v>281</v>
      </c>
      <c r="D576" s="9" t="s">
        <v>1988</v>
      </c>
      <c r="E576" s="9"/>
      <c r="F576" s="9" t="str">
        <f ca="1">IFERROR(__xludf.DUMMYFUNCTION("IFS(
  REGEXMATCH(LOWER(VLOOKUP(A576, Data1_Raw_Slack!A:B, 2, FALSE)), ""news|weather""), ""News and Weather"", REGEXMATCH(LOWER(VLOOKUP(A576, Data1_Raw_Slack!A:B, 2, FALSE)), ""sports|ufc|nba|nfl|mlb|soccer|sports fans""), ""Sports"",
  REGEXMATCH(LOWER("&amp;"VLOOKUP(A576, Data1_Raw_Slack!A:B, 2, FALSE)), ""fashion|style|clothing|apparel|shoes|accessories|beauty|cosmetics|fashionistas""), ""Fashion and Beauty"",
  REGEXMATCH(LOWER(VLOOKUP(A576, Data1_Raw_Slack!A:B, 2, FALSE)), ""food|cooking|recipe|restaurant|"&amp;"snack|grocery|foodies""), ""Food"",
  REGEXMATCH(LOWER(VLOOKUP(A576, Data1_Raw_Slack!A:B, 2, FALSE)), ""travel|vacation|airline|hotel|trip|flights|travelers""), ""Travel"",
  REGEXMATCH(LOWER(VLOOKUP(A576, Data1_Raw_Slack!A:B, 2, FALSE)), ""fitness|workou"&amp;"t|gym|exercise|yoga|wellness|fitness enthusiasts""), ""Fitness"",
  REGEXMATCH(LOWER(VLOOKUP(A576, Data1_Raw_Slack!A:B, 2, FALSE)), ""health|medical|pharmacy|mental health|doctor|health-conscious""), ""Health"",
  REGEXMATCH(LOWER(VLOOKUP(A576, Data1_Raw_"&amp;"Slack!A:B, 2, FALSE)), ""pets|dogs|cats|animals|pet care|pet lovers""), ""Pets"",
  REGEXMATCH(LOWER(VLOOKUP(A576, Data1_Raw_Slack!A:B, 2, FALSE)), ""games|gaming|game|xbox|playstation|nintendo|gamers""), ""Gaming"",
  REGEXMATCH(LOWER(VLOOKUP(A576, Data1"&amp;"_Raw_Slack!A:B, 2, FALSE)), ""entertainment|movies|tv|netflix|streaming|celebrity|movie lovers|tv fans|hobb|photo|art""), ""Entertainment"",
  REGEXMATCH(LOWER(VLOOKUP(A576, Data1_Raw_Slack!A:B, 2, FALSE)), ""lifestyle|home|interior|decor|living|lifestyle"&amp;" enthusiasts""), ""Lifestyle"",
  REGEXMATCH(LOWER(VLOOKUP(A576, Data1_Raw_Slack!A:B, 2, FALSE)), ""financial|finance|investing|stocks|retirement|banking|credit|debt|loans|savings|personal finance|insurance|econ|ecom|business|retail|occupation|sale|job|ma"&amp;"rketing""), ""Finance"",
  REGEXMATCH(LOWER(VLOOKUP(A576, Data1_Raw_Slack!A:B, 2, FALSE)), ""auto|automotive""), ""Auto"",
  REGEXMATCH(LOWER(VLOOKUP(A576, Data1_Raw_Slack!A:B, 2, FALSE)), ""parenting|moms|dads|kids|toddlers|baby|parent|children""), ""Par"&amp;"enting"",
  REGEXMATCH(LOWER(VLOOKUP(A576, Data1_Raw_Slack!A:B, 2, FALSE)), ""education|students|learning|school|teachers|college|university|academics""), ""Education"",
  REGEXMATCH(LOWER(VLOOKUP(A576, Data1_Raw_Slack!A:B, 2, FALSE)), ""age|gender|dem"&amp;"ographic|family|household""), ""Demographics"",
  REGEXMATCH(LOWER(VLOOKUP(A576, Data1_Raw_Slack!A:B, 2, FALSE)), ""mortgage|real estate""), ""Real Estate"",REGEXMATCH(LOWER(VLOOKUP(A576, Data1_Raw_Slack!A:B, 2, FALSE)), ""technology|tech|gadgets|smartpho"&amp;"ne|electro|apps|devices|computing|ai|robots|software|computer|internet|tele|mobile|tablet""), ""Technology"", REGEXMATCH(LOWER(VLOOKUP(A576, Data1_Raw_Slack!A:B, 2, FALSE)), ""entertainment|purchas|movies|tv|netflix|streaming|celebrity|movie lovers|tv fan"&amp;"s|media|hobb|photo|art|shop""), ""Entertainment"", REGEXMATCH(LOWER(VLOOKUP(A576, Data1_Raw_Slack!A:B, 2, FALSE)), ""law|government|""), ""Law and Government"",
  TRUE, ""Other""
)"),"Gaming")</f>
        <v>Gaming</v>
      </c>
      <c r="G576" s="9" t="s">
        <v>69</v>
      </c>
      <c r="H576" s="9" t="s">
        <v>123</v>
      </c>
      <c r="I576" s="9" t="s">
        <v>1989</v>
      </c>
      <c r="J576" s="9" t="s">
        <v>46</v>
      </c>
      <c r="K576" s="9" t="s">
        <v>142</v>
      </c>
      <c r="L576" s="9" t="s">
        <v>72</v>
      </c>
      <c r="M576" s="10" t="s">
        <v>58</v>
      </c>
      <c r="N576" s="9" t="str">
        <f ca="1">IFERROR(__xludf.DUMMYFUNCTION("REGEXEXTRACT(LOWER(M576), ""([a-z0-9\-]+)\.(?:co|net|org|io|gg)"")"),"forbes")</f>
        <v>forbes</v>
      </c>
      <c r="O576" s="9" t="s">
        <v>50</v>
      </c>
      <c r="P576" s="9" t="s">
        <v>39</v>
      </c>
      <c r="Q576" s="9">
        <v>119280</v>
      </c>
      <c r="R576" s="9">
        <v>400</v>
      </c>
      <c r="S576" s="9">
        <v>55665</v>
      </c>
      <c r="T576" s="9">
        <v>112913</v>
      </c>
      <c r="U576" s="9">
        <v>23</v>
      </c>
      <c r="V576" s="11">
        <v>6492.6763430000001</v>
      </c>
      <c r="W576" s="12">
        <f t="shared" si="14"/>
        <v>282.29027578260872</v>
      </c>
      <c r="X576" s="12">
        <f t="shared" si="15"/>
        <v>0.33534540576794097</v>
      </c>
      <c r="Y576" s="12">
        <f t="shared" si="16"/>
        <v>46.66750503018109</v>
      </c>
      <c r="Z576" s="12">
        <f t="shared" si="17"/>
        <v>116.63839653283033</v>
      </c>
      <c r="AA576" s="12">
        <f t="shared" si="18"/>
        <v>54.432229569081159</v>
      </c>
      <c r="AB576" s="12">
        <f t="shared" si="19"/>
        <v>16.231690857499999</v>
      </c>
      <c r="AC576" s="12">
        <f t="shared" si="20"/>
        <v>5.75</v>
      </c>
      <c r="AE576" s="13"/>
      <c r="AF576" s="13"/>
    </row>
    <row r="577" spans="1:32">
      <c r="A577" s="8" t="s">
        <v>1990</v>
      </c>
      <c r="B577" s="9" t="s">
        <v>41</v>
      </c>
      <c r="C577" s="9" t="s">
        <v>1220</v>
      </c>
      <c r="D577" s="9" t="s">
        <v>1991</v>
      </c>
      <c r="E577" s="9"/>
      <c r="F577" s="9" t="str">
        <f ca="1">IFERROR(__xludf.DUMMYFUNCTION("IFS(
  REGEXMATCH(LOWER(VLOOKUP(A577, Data1_Raw_Slack!A:B, 2, FALSE)), ""news|weather""), ""News and Weather"", REGEXMATCH(LOWER(VLOOKUP(A577, Data1_Raw_Slack!A:B, 2, FALSE)), ""sports|ufc|nba|nfl|mlb|soccer|sports fans""), ""Sports"",
  REGEXMATCH(LOWER("&amp;"VLOOKUP(A577, Data1_Raw_Slack!A:B, 2, FALSE)), ""fashion|style|clothing|apparel|shoes|accessories|beauty|cosmetics|fashionistas""), ""Fashion and Beauty"",
  REGEXMATCH(LOWER(VLOOKUP(A577, Data1_Raw_Slack!A:B, 2, FALSE)), ""food|cooking|recipe|restaurant|"&amp;"snack|grocery|foodies""), ""Food"",
  REGEXMATCH(LOWER(VLOOKUP(A577, Data1_Raw_Slack!A:B, 2, FALSE)), ""travel|vacation|airline|hotel|trip|flights|travelers""), ""Travel"",
  REGEXMATCH(LOWER(VLOOKUP(A577, Data1_Raw_Slack!A:B, 2, FALSE)), ""fitness|workou"&amp;"t|gym|exercise|yoga|wellness|fitness enthusiasts""), ""Fitness"",
  REGEXMATCH(LOWER(VLOOKUP(A577, Data1_Raw_Slack!A:B, 2, FALSE)), ""health|medical|pharmacy|mental health|doctor|health-conscious""), ""Health"",
  REGEXMATCH(LOWER(VLOOKUP(A577, Data1_Raw_"&amp;"Slack!A:B, 2, FALSE)), ""pets|dogs|cats|animals|pet care|pet lovers""), ""Pets"",
  REGEXMATCH(LOWER(VLOOKUP(A577, Data1_Raw_Slack!A:B, 2, FALSE)), ""games|gaming|game|xbox|playstation|nintendo|gamers""), ""Gaming"",
  REGEXMATCH(LOWER(VLOOKUP(A577, Data1"&amp;"_Raw_Slack!A:B, 2, FALSE)), ""entertainment|movies|tv|netflix|streaming|celebrity|movie lovers|tv fans|hobb|photo|art""), ""Entertainment"",
  REGEXMATCH(LOWER(VLOOKUP(A577, Data1_Raw_Slack!A:B, 2, FALSE)), ""lifestyle|home|interior|decor|living|lifestyle"&amp;" enthusiasts""), ""Lifestyle"",
  REGEXMATCH(LOWER(VLOOKUP(A577, Data1_Raw_Slack!A:B, 2, FALSE)), ""financial|finance|investing|stocks|retirement|banking|credit|debt|loans|savings|personal finance|insurance|econ|ecom|business|retail|occupation|sale|job|ma"&amp;"rketing""), ""Finance"",
  REGEXMATCH(LOWER(VLOOKUP(A577, Data1_Raw_Slack!A:B, 2, FALSE)), ""auto|automotive""), ""Auto"",
  REGEXMATCH(LOWER(VLOOKUP(A577, Data1_Raw_Slack!A:B, 2, FALSE)), ""parenting|moms|dads|kids|toddlers|baby|parent|children""), ""Par"&amp;"enting"",
  REGEXMATCH(LOWER(VLOOKUP(A577, Data1_Raw_Slack!A:B, 2, FALSE)), ""education|students|learning|school|teachers|college|university|academics""), ""Education"",
  REGEXMATCH(LOWER(VLOOKUP(A577, Data1_Raw_Slack!A:B, 2, FALSE)), ""age|gender|dem"&amp;"ographic|family|household""), ""Demographics"",
  REGEXMATCH(LOWER(VLOOKUP(A577, Data1_Raw_Slack!A:B, 2, FALSE)), ""mortgage|real estate""), ""Real Estate"",REGEXMATCH(LOWER(VLOOKUP(A577, Data1_Raw_Slack!A:B, 2, FALSE)), ""technology|tech|gadgets|smartpho"&amp;"ne|electro|apps|devices|computing|ai|robots|software|computer|internet|tele|mobile|tablet""), ""Technology"", REGEXMATCH(LOWER(VLOOKUP(A577, Data1_Raw_Slack!A:B, 2, FALSE)), ""entertainment|purchas|movies|tv|netflix|streaming|celebrity|movie lovers|tv fan"&amp;"s|media|hobb|photo|art|shop""), ""Entertainment"", REGEXMATCH(LOWER(VLOOKUP(A577, Data1_Raw_Slack!A:B, 2, FALSE)), ""law|government|""), ""Law and Government"",
  TRUE, ""Other""
)"),"Law and Government")</f>
        <v>Law and Government</v>
      </c>
      <c r="G577" s="9" t="s">
        <v>1220</v>
      </c>
      <c r="H577" s="9" t="s">
        <v>44</v>
      </c>
      <c r="I577" s="9" t="s">
        <v>1992</v>
      </c>
      <c r="J577" s="9" t="s">
        <v>46</v>
      </c>
      <c r="K577" s="9" t="s">
        <v>236</v>
      </c>
      <c r="L577" s="9" t="s">
        <v>82</v>
      </c>
      <c r="M577" s="10" t="s">
        <v>668</v>
      </c>
      <c r="N577" s="9" t="str">
        <f ca="1">IFERROR(__xludf.DUMMYFUNCTION("REGEXEXTRACT(LOWER(M577), ""([a-z0-9\-]+)\.(?:co|net|org|io|gg)"")"),"slickdeals")</f>
        <v>slickdeals</v>
      </c>
      <c r="O577" s="9" t="s">
        <v>157</v>
      </c>
      <c r="P577" s="9" t="s">
        <v>75</v>
      </c>
      <c r="Q577" s="9">
        <v>18537</v>
      </c>
      <c r="R577" s="9">
        <v>95</v>
      </c>
      <c r="S577" s="9">
        <v>6473</v>
      </c>
      <c r="T577" s="9">
        <v>17081</v>
      </c>
      <c r="U577" s="9">
        <v>4</v>
      </c>
      <c r="V577" s="11">
        <v>5206.2389679999997</v>
      </c>
      <c r="W577" s="12">
        <f t="shared" si="14"/>
        <v>1301.5597419999999</v>
      </c>
      <c r="X577" s="12">
        <f t="shared" si="15"/>
        <v>0.5124885364406323</v>
      </c>
      <c r="Y577" s="12">
        <f t="shared" si="16"/>
        <v>34.919350488212764</v>
      </c>
      <c r="Z577" s="12">
        <f t="shared" si="17"/>
        <v>804.30078294453881</v>
      </c>
      <c r="AA577" s="12">
        <f t="shared" si="18"/>
        <v>280.85660937584288</v>
      </c>
      <c r="AB577" s="12">
        <f t="shared" si="19"/>
        <v>54.802515452631575</v>
      </c>
      <c r="AC577" s="12">
        <f t="shared" si="20"/>
        <v>4.2105263157894735</v>
      </c>
      <c r="AE577" s="13"/>
      <c r="AF577" s="13"/>
    </row>
    <row r="578" spans="1:32">
      <c r="A578" s="8" t="s">
        <v>1993</v>
      </c>
      <c r="B578" s="9" t="s">
        <v>41</v>
      </c>
      <c r="C578" s="9" t="s">
        <v>120</v>
      </c>
      <c r="D578" s="9" t="s">
        <v>1994</v>
      </c>
      <c r="E578" s="9"/>
      <c r="F578" s="9" t="str">
        <f ca="1">IFERROR(__xludf.DUMMYFUNCTION("IFS(
  REGEXMATCH(LOWER(VLOOKUP(A578, Data1_Raw_Slack!A:B, 2, FALSE)), ""news|weather""), ""News and Weather"", REGEXMATCH(LOWER(VLOOKUP(A578, Data1_Raw_Slack!A:B, 2, FALSE)), ""sports|ufc|nba|nfl|mlb|soccer|sports fans""), ""Sports"",
  REGEXMATCH(LOWER("&amp;"VLOOKUP(A578, Data1_Raw_Slack!A:B, 2, FALSE)), ""fashion|style|clothing|apparel|shoes|accessories|beauty|cosmetics|fashionistas""), ""Fashion and Beauty"",
  REGEXMATCH(LOWER(VLOOKUP(A578, Data1_Raw_Slack!A:B, 2, FALSE)), ""food|cooking|recipe|restaurant|"&amp;"snack|grocery|foodies""), ""Food"",
  REGEXMATCH(LOWER(VLOOKUP(A578, Data1_Raw_Slack!A:B, 2, FALSE)), ""travel|vacation|airline|hotel|trip|flights|travelers""), ""Travel"",
  REGEXMATCH(LOWER(VLOOKUP(A578, Data1_Raw_Slack!A:B, 2, FALSE)), ""fitness|workou"&amp;"t|gym|exercise|yoga|wellness|fitness enthusiasts""), ""Fitness"",
  REGEXMATCH(LOWER(VLOOKUP(A578, Data1_Raw_Slack!A:B, 2, FALSE)), ""health|medical|pharmacy|mental health|doctor|health-conscious""), ""Health"",
  REGEXMATCH(LOWER(VLOOKUP(A578, Data1_Raw_"&amp;"Slack!A:B, 2, FALSE)), ""pets|dogs|cats|animals|pet care|pet lovers""), ""Pets"",
  REGEXMATCH(LOWER(VLOOKUP(A578, Data1_Raw_Slack!A:B, 2, FALSE)), ""games|gaming|game|xbox|playstation|nintendo|gamers""), ""Gaming"",
  REGEXMATCH(LOWER(VLOOKUP(A578, Data1"&amp;"_Raw_Slack!A:B, 2, FALSE)), ""entertainment|movies|tv|netflix|streaming|celebrity|movie lovers|tv fans|hobb|photo|art""), ""Entertainment"",
  REGEXMATCH(LOWER(VLOOKUP(A578, Data1_Raw_Slack!A:B, 2, FALSE)), ""lifestyle|home|interior|decor|living|lifestyle"&amp;" enthusiasts""), ""Lifestyle"",
  REGEXMATCH(LOWER(VLOOKUP(A578, Data1_Raw_Slack!A:B, 2, FALSE)), ""financial|finance|investing|stocks|retirement|banking|credit|debt|loans|savings|personal finance|insurance|econ|ecom|business|retail|occupation|sale|job|ma"&amp;"rketing""), ""Finance"",
  REGEXMATCH(LOWER(VLOOKUP(A578, Data1_Raw_Slack!A:B, 2, FALSE)), ""auto|automotive""), ""Auto"",
  REGEXMATCH(LOWER(VLOOKUP(A578, Data1_Raw_Slack!A:B, 2, FALSE)), ""parenting|moms|dads|kids|toddlers|baby|parent|children""), ""Par"&amp;"enting"",
  REGEXMATCH(LOWER(VLOOKUP(A578, Data1_Raw_Slack!A:B, 2, FALSE)), ""education|students|learning|school|teachers|college|university|academics""), ""Education"",
  REGEXMATCH(LOWER(VLOOKUP(A578, Data1_Raw_Slack!A:B, 2, FALSE)), ""age|gender|dem"&amp;"ographic|family|household""), ""Demographics"",
  REGEXMATCH(LOWER(VLOOKUP(A578, Data1_Raw_Slack!A:B, 2, FALSE)), ""mortgage|real estate""), ""Real Estate"",REGEXMATCH(LOWER(VLOOKUP(A578, Data1_Raw_Slack!A:B, 2, FALSE)), ""technology|tech|gadgets|smartpho"&amp;"ne|electro|apps|devices|computing|ai|robots|software|computer|internet|tele|mobile|tablet""), ""Technology"", REGEXMATCH(LOWER(VLOOKUP(A578, Data1_Raw_Slack!A:B, 2, FALSE)), ""entertainment|purchas|movies|tv|netflix|streaming|celebrity|movie lovers|tv fan"&amp;"s|media|hobb|photo|art|shop""), ""Entertainment"", REGEXMATCH(LOWER(VLOOKUP(A578, Data1_Raw_Slack!A:B, 2, FALSE)), ""law|government|""), ""Law and Government"",
  TRUE, ""Other""
)"),"Auto")</f>
        <v>Auto</v>
      </c>
      <c r="G578" s="9" t="s">
        <v>122</v>
      </c>
      <c r="H578" s="9" t="s">
        <v>32</v>
      </c>
      <c r="I578" s="9" t="s">
        <v>87</v>
      </c>
      <c r="J578" s="9" t="s">
        <v>46</v>
      </c>
      <c r="K578" s="9" t="s">
        <v>142</v>
      </c>
      <c r="L578" s="9" t="s">
        <v>72</v>
      </c>
      <c r="M578" s="10" t="s">
        <v>1995</v>
      </c>
      <c r="N578" s="9" t="str">
        <f ca="1">IFERROR(__xludf.DUMMYFUNCTION("REGEXEXTRACT(LOWER(M578), ""([a-z0-9\-]+)\.(?:co|net|org|io|gg)"")"),"insidethemagic")</f>
        <v>insidethemagic</v>
      </c>
      <c r="O578" s="9" t="s">
        <v>131</v>
      </c>
      <c r="P578" s="9" t="s">
        <v>39</v>
      </c>
      <c r="Q578" s="9">
        <v>23941</v>
      </c>
      <c r="R578" s="9">
        <v>150</v>
      </c>
      <c r="S578" s="9">
        <v>13054</v>
      </c>
      <c r="T578" s="9">
        <v>22276</v>
      </c>
      <c r="U578" s="9">
        <v>6</v>
      </c>
      <c r="V578" s="11">
        <v>2856.1654250000001</v>
      </c>
      <c r="W578" s="12">
        <f t="shared" si="14"/>
        <v>476.02757083333336</v>
      </c>
      <c r="X578" s="12">
        <f t="shared" si="15"/>
        <v>0.62654024476838899</v>
      </c>
      <c r="Y578" s="12">
        <f t="shared" si="16"/>
        <v>54.525709034710331</v>
      </c>
      <c r="Z578" s="12">
        <f t="shared" si="17"/>
        <v>218.79618699249272</v>
      </c>
      <c r="AA578" s="12">
        <f t="shared" si="18"/>
        <v>119.30017229856732</v>
      </c>
      <c r="AB578" s="12">
        <f t="shared" si="19"/>
        <v>19.041102833333333</v>
      </c>
      <c r="AC578" s="12">
        <f t="shared" si="20"/>
        <v>4</v>
      </c>
      <c r="AE578" s="13"/>
      <c r="AF578" s="13"/>
    </row>
    <row r="579" spans="1:32">
      <c r="A579" s="8" t="s">
        <v>1996</v>
      </c>
      <c r="B579" s="9" t="s">
        <v>41</v>
      </c>
      <c r="C579" s="9" t="s">
        <v>85</v>
      </c>
      <c r="D579" s="9" t="s">
        <v>85</v>
      </c>
      <c r="E579" s="9"/>
      <c r="F579" s="9" t="str">
        <f ca="1">IFERROR(__xludf.DUMMYFUNCTION("IFS(
  REGEXMATCH(LOWER(VLOOKUP(A579, Data1_Raw_Slack!A:B, 2, FALSE)), ""news|weather""), ""News and Weather"", REGEXMATCH(LOWER(VLOOKUP(A579, Data1_Raw_Slack!A:B, 2, FALSE)), ""sports|ufc|nba|nfl|mlb|soccer|sports fans""), ""Sports"",
  REGEXMATCH(LOWER("&amp;"VLOOKUP(A579, Data1_Raw_Slack!A:B, 2, FALSE)), ""fashion|style|clothing|apparel|shoes|accessories|beauty|cosmetics|fashionistas""), ""Fashion and Beauty"",
  REGEXMATCH(LOWER(VLOOKUP(A579, Data1_Raw_Slack!A:B, 2, FALSE)), ""food|cooking|recipe|restaurant|"&amp;"snack|grocery|foodies""), ""Food"",
  REGEXMATCH(LOWER(VLOOKUP(A579, Data1_Raw_Slack!A:B, 2, FALSE)), ""travel|vacation|airline|hotel|trip|flights|travelers""), ""Travel"",
  REGEXMATCH(LOWER(VLOOKUP(A579, Data1_Raw_Slack!A:B, 2, FALSE)), ""fitness|workou"&amp;"t|gym|exercise|yoga|wellness|fitness enthusiasts""), ""Fitness"",
  REGEXMATCH(LOWER(VLOOKUP(A579, Data1_Raw_Slack!A:B, 2, FALSE)), ""health|medical|pharmacy|mental health|doctor|health-conscious""), ""Health"",
  REGEXMATCH(LOWER(VLOOKUP(A579, Data1_Raw_"&amp;"Slack!A:B, 2, FALSE)), ""pets|dogs|cats|animals|pet care|pet lovers""), ""Pets"",
  REGEXMATCH(LOWER(VLOOKUP(A579, Data1_Raw_Slack!A:B, 2, FALSE)), ""games|gaming|game|xbox|playstation|nintendo|gamers""), ""Gaming"",
  REGEXMATCH(LOWER(VLOOKUP(A579, Data1"&amp;"_Raw_Slack!A:B, 2, FALSE)), ""entertainment|movies|tv|netflix|streaming|celebrity|movie lovers|tv fans|hobb|photo|art""), ""Entertainment"",
  REGEXMATCH(LOWER(VLOOKUP(A579, Data1_Raw_Slack!A:B, 2, FALSE)), ""lifestyle|home|interior|decor|living|lifestyle"&amp;" enthusiasts""), ""Lifestyle"",
  REGEXMATCH(LOWER(VLOOKUP(A579, Data1_Raw_Slack!A:B, 2, FALSE)), ""financial|finance|investing|stocks|retirement|banking|credit|debt|loans|savings|personal finance|insurance|econ|ecom|business|retail|occupation|sale|job|ma"&amp;"rketing""), ""Finance"",
  REGEXMATCH(LOWER(VLOOKUP(A579, Data1_Raw_Slack!A:B, 2, FALSE)), ""auto|automotive""), ""Auto"",
  REGEXMATCH(LOWER(VLOOKUP(A579, Data1_Raw_Slack!A:B, 2, FALSE)), ""parenting|moms|dads|kids|toddlers|baby|parent|children""), ""Par"&amp;"enting"",
  REGEXMATCH(LOWER(VLOOKUP(A579, Data1_Raw_Slack!A:B, 2, FALSE)), ""education|students|learning|school|teachers|college|university|academics""), ""Education"",
  REGEXMATCH(LOWER(VLOOKUP(A579, Data1_Raw_Slack!A:B, 2, FALSE)), ""age|gender|dem"&amp;"ographic|family|household""), ""Demographics"",
  REGEXMATCH(LOWER(VLOOKUP(A579, Data1_Raw_Slack!A:B, 2, FALSE)), ""mortgage|real estate""), ""Real Estate"",REGEXMATCH(LOWER(VLOOKUP(A579, Data1_Raw_Slack!A:B, 2, FALSE)), ""technology|tech|gadgets|smartpho"&amp;"ne|electro|apps|devices|computing|ai|robots|software|computer|internet|tele|mobile|tablet""), ""Technology"", REGEXMATCH(LOWER(VLOOKUP(A579, Data1_Raw_Slack!A:B, 2, FALSE)), ""entertainment|purchas|movies|tv|netflix|streaming|celebrity|movie lovers|tv fan"&amp;"s|media|hobb|photo|art|shop""), ""Entertainment"", REGEXMATCH(LOWER(VLOOKUP(A579, Data1_Raw_Slack!A:B, 2, FALSE)), ""law|government|""), ""Law and Government"",
  TRUE, ""Other""
)"),"Travel")</f>
        <v>Travel</v>
      </c>
      <c r="G579" s="9" t="s">
        <v>85</v>
      </c>
      <c r="H579" s="9" t="s">
        <v>32</v>
      </c>
      <c r="I579" s="9" t="s">
        <v>1600</v>
      </c>
      <c r="J579" s="9" t="s">
        <v>80</v>
      </c>
      <c r="K579" s="9" t="s">
        <v>56</v>
      </c>
      <c r="L579" s="9" t="s">
        <v>57</v>
      </c>
      <c r="M579" s="10" t="s">
        <v>1087</v>
      </c>
      <c r="N579" s="9" t="str">
        <f ca="1">IFERROR(__xludf.DUMMYFUNCTION("REGEXEXTRACT(LOWER(M579), ""([a-z0-9\-]+)\.(?:co|net|org|io|gg)"")"),"cnn")</f>
        <v>cnn</v>
      </c>
      <c r="O579" s="9" t="s">
        <v>50</v>
      </c>
      <c r="P579" s="9" t="s">
        <v>39</v>
      </c>
      <c r="Q579" s="9">
        <v>272509</v>
      </c>
      <c r="R579" s="9">
        <v>736</v>
      </c>
      <c r="S579" s="9">
        <v>89526</v>
      </c>
      <c r="T579" s="9">
        <v>237859</v>
      </c>
      <c r="U579" s="9">
        <v>69</v>
      </c>
      <c r="V579" s="11">
        <v>8168.3470770000004</v>
      </c>
      <c r="W579" s="12">
        <f t="shared" si="14"/>
        <v>118.38184169565218</v>
      </c>
      <c r="X579" s="12">
        <f t="shared" si="15"/>
        <v>0.27008282295263641</v>
      </c>
      <c r="Y579" s="12">
        <f t="shared" si="16"/>
        <v>32.852492945187137</v>
      </c>
      <c r="Z579" s="12">
        <f t="shared" si="17"/>
        <v>91.23994232960257</v>
      </c>
      <c r="AA579" s="12">
        <f t="shared" si="18"/>
        <v>29.974595617025493</v>
      </c>
      <c r="AB579" s="12">
        <f t="shared" si="19"/>
        <v>11.098297658967391</v>
      </c>
      <c r="AC579" s="12">
        <f t="shared" si="20"/>
        <v>9.375</v>
      </c>
      <c r="AE579" s="13"/>
      <c r="AF579" s="13"/>
    </row>
    <row r="580" spans="1:32">
      <c r="A580" s="8" t="s">
        <v>1997</v>
      </c>
      <c r="B580" s="9" t="s">
        <v>41</v>
      </c>
      <c r="C580" s="9" t="s">
        <v>253</v>
      </c>
      <c r="D580" s="9" t="s">
        <v>254</v>
      </c>
      <c r="E580" s="9" t="s">
        <v>1998</v>
      </c>
      <c r="F580" s="9" t="str">
        <f ca="1">IFERROR(__xludf.DUMMYFUNCTION("IFS(
  REGEXMATCH(LOWER(VLOOKUP(A580, Data1_Raw_Slack!A:B, 2, FALSE)), ""news|weather""), ""News and Weather"", REGEXMATCH(LOWER(VLOOKUP(A580, Data1_Raw_Slack!A:B, 2, FALSE)), ""sports|ufc|nba|nfl|mlb|soccer|sports fans""), ""Sports"",
  REGEXMATCH(LOWER("&amp;"VLOOKUP(A580, Data1_Raw_Slack!A:B, 2, FALSE)), ""fashion|style|clothing|apparel|shoes|accessories|beauty|cosmetics|fashionistas""), ""Fashion and Beauty"",
  REGEXMATCH(LOWER(VLOOKUP(A580, Data1_Raw_Slack!A:B, 2, FALSE)), ""food|cooking|recipe|restaurant|"&amp;"snack|grocery|foodies""), ""Food"",
  REGEXMATCH(LOWER(VLOOKUP(A580, Data1_Raw_Slack!A:B, 2, FALSE)), ""travel|vacation|airline|hotel|trip|flights|travelers""), ""Travel"",
  REGEXMATCH(LOWER(VLOOKUP(A580, Data1_Raw_Slack!A:B, 2, FALSE)), ""fitness|workou"&amp;"t|gym|exercise|yoga|wellness|fitness enthusiasts""), ""Fitness"",
  REGEXMATCH(LOWER(VLOOKUP(A580, Data1_Raw_Slack!A:B, 2, FALSE)), ""health|medical|pharmacy|mental health|doctor|health-conscious""), ""Health"",
  REGEXMATCH(LOWER(VLOOKUP(A580, Data1_Raw_"&amp;"Slack!A:B, 2, FALSE)), ""pets|dogs|cats|animals|pet care|pet lovers""), ""Pets"",
  REGEXMATCH(LOWER(VLOOKUP(A580, Data1_Raw_Slack!A:B, 2, FALSE)), ""games|gaming|game|xbox|playstation|nintendo|gamers""), ""Gaming"",
  REGEXMATCH(LOWER(VLOOKUP(A580, Data1"&amp;"_Raw_Slack!A:B, 2, FALSE)), ""entertainment|movies|tv|netflix|streaming|celebrity|movie lovers|tv fans|hobb|photo|art""), ""Entertainment"",
  REGEXMATCH(LOWER(VLOOKUP(A580, Data1_Raw_Slack!A:B, 2, FALSE)), ""lifestyle|home|interior|decor|living|lifestyle"&amp;" enthusiasts""), ""Lifestyle"",
  REGEXMATCH(LOWER(VLOOKUP(A580, Data1_Raw_Slack!A:B, 2, FALSE)), ""financial|finance|investing|stocks|retirement|banking|credit|debt|loans|savings|personal finance|insurance|econ|ecom|business|retail|occupation|sale|job|ma"&amp;"rketing""), ""Finance"",
  REGEXMATCH(LOWER(VLOOKUP(A580, Data1_Raw_Slack!A:B, 2, FALSE)), ""auto|automotive""), ""Auto"",
  REGEXMATCH(LOWER(VLOOKUP(A580, Data1_Raw_Slack!A:B, 2, FALSE)), ""parenting|moms|dads|kids|toddlers|baby|parent|children""), ""Par"&amp;"enting"",
  REGEXMATCH(LOWER(VLOOKUP(A580, Data1_Raw_Slack!A:B, 2, FALSE)), ""education|students|learning|school|teachers|college|university|academics""), ""Education"",
  REGEXMATCH(LOWER(VLOOKUP(A580, Data1_Raw_Slack!A:B, 2, FALSE)), ""age|gender|dem"&amp;"ographic|family|household""), ""Demographics"",
  REGEXMATCH(LOWER(VLOOKUP(A580, Data1_Raw_Slack!A:B, 2, FALSE)), ""mortgage|real estate""), ""Real Estate"",REGEXMATCH(LOWER(VLOOKUP(A580, Data1_Raw_Slack!A:B, 2, FALSE)), ""technology|tech|gadgets|smartpho"&amp;"ne|electro|apps|devices|computing|ai|robots|software|computer|internet|tele|mobile|tablet""), ""Technology"", REGEXMATCH(LOWER(VLOOKUP(A580, Data1_Raw_Slack!A:B, 2, FALSE)), ""entertainment|purchas|movies|tv|netflix|streaming|celebrity|movie lovers|tv fan"&amp;"s|media|hobb|photo|art|shop""), ""Entertainment"", REGEXMATCH(LOWER(VLOOKUP(A580, Data1_Raw_Slack!A:B, 2, FALSE)), ""law|government|""), ""Law and Government"",
  TRUE, ""Other""
)"),"Gaming")</f>
        <v>Gaming</v>
      </c>
      <c r="G580" s="9" t="s">
        <v>135</v>
      </c>
      <c r="H580" s="9" t="s">
        <v>44</v>
      </c>
      <c r="I580" s="9" t="s">
        <v>1999</v>
      </c>
      <c r="J580" s="9" t="s">
        <v>62</v>
      </c>
      <c r="K580" s="9" t="s">
        <v>236</v>
      </c>
      <c r="L580" s="9" t="s">
        <v>82</v>
      </c>
      <c r="M580" s="10" t="s">
        <v>2000</v>
      </c>
      <c r="N580" s="9" t="str">
        <f ca="1">IFERROR(__xludf.DUMMYFUNCTION("REGEXEXTRACT(LOWER(M580), ""([a-z0-9\-]+)\.(?:co|net|org|io|gg)"")"),"factinate")</f>
        <v>factinate</v>
      </c>
      <c r="O580" s="9" t="s">
        <v>131</v>
      </c>
      <c r="P580" s="9" t="s">
        <v>64</v>
      </c>
      <c r="Q580" s="9">
        <v>39314</v>
      </c>
      <c r="R580" s="9">
        <v>100</v>
      </c>
      <c r="S580" s="9">
        <v>27671</v>
      </c>
      <c r="T580" s="9">
        <v>35488</v>
      </c>
      <c r="U580" s="9">
        <v>8</v>
      </c>
      <c r="V580" s="11">
        <v>5530.8004579999997</v>
      </c>
      <c r="W580" s="12">
        <f t="shared" si="14"/>
        <v>691.35005724999996</v>
      </c>
      <c r="X580" s="12">
        <f t="shared" si="15"/>
        <v>0.25436231367960527</v>
      </c>
      <c r="Y580" s="12">
        <f t="shared" si="16"/>
        <v>70.384595818283572</v>
      </c>
      <c r="Z580" s="12">
        <f t="shared" si="17"/>
        <v>199.87714423042175</v>
      </c>
      <c r="AA580" s="12">
        <f t="shared" si="18"/>
        <v>140.68272009971002</v>
      </c>
      <c r="AB580" s="12">
        <f t="shared" si="19"/>
        <v>55.308004579999995</v>
      </c>
      <c r="AC580" s="12">
        <f t="shared" si="20"/>
        <v>8</v>
      </c>
      <c r="AE580" s="13"/>
      <c r="AF580" s="13"/>
    </row>
    <row r="581" spans="1:32">
      <c r="A581" s="8" t="s">
        <v>2001</v>
      </c>
      <c r="B581" s="9" t="s">
        <v>144</v>
      </c>
      <c r="C581" s="9" t="s">
        <v>193</v>
      </c>
      <c r="D581" s="9"/>
      <c r="E581" s="9"/>
      <c r="F581" s="9" t="str">
        <f ca="1">IFERROR(__xludf.DUMMYFUNCTION("IFS(
  REGEXMATCH(LOWER(VLOOKUP(A581, Data1_Raw_Slack!A:B, 2, FALSE)), ""news|weather""), ""News and Weather"", REGEXMATCH(LOWER(VLOOKUP(A581, Data1_Raw_Slack!A:B, 2, FALSE)), ""sports|ufc|nba|nfl|mlb|soccer|sports fans""), ""Sports"",
  REGEXMATCH(LOWER("&amp;"VLOOKUP(A581, Data1_Raw_Slack!A:B, 2, FALSE)), ""fashion|style|clothing|apparel|shoes|accessories|beauty|cosmetics|fashionistas""), ""Fashion and Beauty"",
  REGEXMATCH(LOWER(VLOOKUP(A581, Data1_Raw_Slack!A:B, 2, FALSE)), ""food|cooking|recipe|restaurant|"&amp;"snack|grocery|foodies""), ""Food"",
  REGEXMATCH(LOWER(VLOOKUP(A581, Data1_Raw_Slack!A:B, 2, FALSE)), ""travel|vacation|airline|hotel|trip|flights|travelers""), ""Travel"",
  REGEXMATCH(LOWER(VLOOKUP(A581, Data1_Raw_Slack!A:B, 2, FALSE)), ""fitness|workou"&amp;"t|gym|exercise|yoga|wellness|fitness enthusiasts""), ""Fitness"",
  REGEXMATCH(LOWER(VLOOKUP(A581, Data1_Raw_Slack!A:B, 2, FALSE)), ""health|medical|pharmacy|mental health|doctor|health-conscious""), ""Health"",
  REGEXMATCH(LOWER(VLOOKUP(A581, Data1_Raw_"&amp;"Slack!A:B, 2, FALSE)), ""pets|dogs|cats|animals|pet care|pet lovers""), ""Pets"",
  REGEXMATCH(LOWER(VLOOKUP(A581, Data1_Raw_Slack!A:B, 2, FALSE)), ""games|gaming|game|xbox|playstation|nintendo|gamers""), ""Gaming"",
  REGEXMATCH(LOWER(VLOOKUP(A581, Data1"&amp;"_Raw_Slack!A:B, 2, FALSE)), ""entertainment|movies|tv|netflix|streaming|celebrity|movie lovers|tv fans|hobb|photo|art""), ""Entertainment"",
  REGEXMATCH(LOWER(VLOOKUP(A581, Data1_Raw_Slack!A:B, 2, FALSE)), ""lifestyle|home|interior|decor|living|lifestyle"&amp;" enthusiasts""), ""Lifestyle"",
  REGEXMATCH(LOWER(VLOOKUP(A581, Data1_Raw_Slack!A:B, 2, FALSE)), ""financial|finance|investing|stocks|retirement|banking|credit|debt|loans|savings|personal finance|insurance|econ|ecom|business|retail|occupation|sale|job|ma"&amp;"rketing""), ""Finance"",
  REGEXMATCH(LOWER(VLOOKUP(A581, Data1_Raw_Slack!A:B, 2, FALSE)), ""auto|automotive""), ""Auto"",
  REGEXMATCH(LOWER(VLOOKUP(A581, Data1_Raw_Slack!A:B, 2, FALSE)), ""parenting|moms|dads|kids|toddlers|baby|parent|children""), ""Par"&amp;"enting"",
  REGEXMATCH(LOWER(VLOOKUP(A581, Data1_Raw_Slack!A:B, 2, FALSE)), ""education|students|learning|school|teachers|college|university|academics""), ""Education"",
  REGEXMATCH(LOWER(VLOOKUP(A581, Data1_Raw_Slack!A:B, 2, FALSE)), ""age|gender|dem"&amp;"ographic|family|household""), ""Demographics"",
  REGEXMATCH(LOWER(VLOOKUP(A581, Data1_Raw_Slack!A:B, 2, FALSE)), ""mortgage|real estate""), ""Real Estate"",REGEXMATCH(LOWER(VLOOKUP(A581, Data1_Raw_Slack!A:B, 2, FALSE)), ""technology|tech|gadgets|smartpho"&amp;"ne|electro|apps|devices|computing|ai|robots|software|computer|internet|tele|mobile|tablet""), ""Technology"", REGEXMATCH(LOWER(VLOOKUP(A581, Data1_Raw_Slack!A:B, 2, FALSE)), ""entertainment|purchas|movies|tv|netflix|streaming|celebrity|movie lovers|tv fan"&amp;"s|media|hobb|photo|art|shop""), ""Entertainment"", REGEXMATCH(LOWER(VLOOKUP(A581, Data1_Raw_Slack!A:B, 2, FALSE)), ""law|government|""), ""Law and Government"",
  TRUE, ""Other""
)"),"Entertainment")</f>
        <v>Entertainment</v>
      </c>
      <c r="G581" s="9" t="s">
        <v>69</v>
      </c>
      <c r="H581" s="9" t="s">
        <v>32</v>
      </c>
      <c r="I581" s="9" t="s">
        <v>240</v>
      </c>
      <c r="J581" s="9" t="s">
        <v>80</v>
      </c>
      <c r="K581" s="9" t="s">
        <v>148</v>
      </c>
      <c r="L581" s="9" t="s">
        <v>89</v>
      </c>
      <c r="M581" s="10" t="s">
        <v>2002</v>
      </c>
      <c r="N581" s="9" t="str">
        <f ca="1">IFERROR(__xludf.DUMMYFUNCTION("REGEXEXTRACT(LOWER(M581), ""([a-z0-9\-]+)\.(?:co|net|org|io|gg)"")"),"redfin")</f>
        <v>redfin</v>
      </c>
      <c r="O581" s="9" t="s">
        <v>157</v>
      </c>
      <c r="P581" s="9" t="s">
        <v>39</v>
      </c>
      <c r="Q581" s="9">
        <v>37617</v>
      </c>
      <c r="R581" s="9">
        <v>85</v>
      </c>
      <c r="S581" s="9">
        <v>5092</v>
      </c>
      <c r="T581" s="9">
        <v>34373</v>
      </c>
      <c r="U581" s="9">
        <v>6</v>
      </c>
      <c r="V581" s="11">
        <v>1608.8829519999999</v>
      </c>
      <c r="W581" s="12">
        <f t="shared" si="14"/>
        <v>268.14715866666666</v>
      </c>
      <c r="X581" s="12">
        <f t="shared" si="15"/>
        <v>0.22596166626791075</v>
      </c>
      <c r="Y581" s="12">
        <f t="shared" si="16"/>
        <v>13.536432995720022</v>
      </c>
      <c r="Z581" s="12">
        <f t="shared" si="17"/>
        <v>315.96287352710135</v>
      </c>
      <c r="AA581" s="12">
        <f t="shared" si="18"/>
        <v>42.770102666347661</v>
      </c>
      <c r="AB581" s="12">
        <f t="shared" si="19"/>
        <v>18.928034729411763</v>
      </c>
      <c r="AC581" s="12">
        <f t="shared" si="20"/>
        <v>7.0588235294117645</v>
      </c>
      <c r="AE581" s="13"/>
      <c r="AF581" s="13"/>
    </row>
    <row r="582" spans="1:32">
      <c r="A582" s="8" t="s">
        <v>2003</v>
      </c>
      <c r="B582" s="9"/>
      <c r="C582" s="9" t="s">
        <v>2004</v>
      </c>
      <c r="D582" s="9" t="s">
        <v>2005</v>
      </c>
      <c r="E582" s="9"/>
      <c r="F582" s="9" t="str">
        <f ca="1">IFERROR(__xludf.DUMMYFUNCTION("IFS(
  REGEXMATCH(LOWER(VLOOKUP(A582, Data1_Raw_Slack!A:B, 2, FALSE)), ""news|weather""), ""News and Weather"", REGEXMATCH(LOWER(VLOOKUP(A582, Data1_Raw_Slack!A:B, 2, FALSE)), ""sports|ufc|nba|nfl|mlb|soccer|sports fans""), ""Sports"",
  REGEXMATCH(LOWER("&amp;"VLOOKUP(A582, Data1_Raw_Slack!A:B, 2, FALSE)), ""fashion|style|clothing|apparel|shoes|accessories|beauty|cosmetics|fashionistas""), ""Fashion and Beauty"",
  REGEXMATCH(LOWER(VLOOKUP(A582, Data1_Raw_Slack!A:B, 2, FALSE)), ""food|cooking|recipe|restaurant|"&amp;"snack|grocery|foodies""), ""Food"",
  REGEXMATCH(LOWER(VLOOKUP(A582, Data1_Raw_Slack!A:B, 2, FALSE)), ""travel|vacation|airline|hotel|trip|flights|travelers""), ""Travel"",
  REGEXMATCH(LOWER(VLOOKUP(A582, Data1_Raw_Slack!A:B, 2, FALSE)), ""fitness|workou"&amp;"t|gym|exercise|yoga|wellness|fitness enthusiasts""), ""Fitness"",
  REGEXMATCH(LOWER(VLOOKUP(A582, Data1_Raw_Slack!A:B, 2, FALSE)), ""health|medical|pharmacy|mental health|doctor|health-conscious""), ""Health"",
  REGEXMATCH(LOWER(VLOOKUP(A582, Data1_Raw_"&amp;"Slack!A:B, 2, FALSE)), ""pets|dogs|cats|animals|pet care|pet lovers""), ""Pets"",
  REGEXMATCH(LOWER(VLOOKUP(A582, Data1_Raw_Slack!A:B, 2, FALSE)), ""games|gaming|game|xbox|playstation|nintendo|gamers""), ""Gaming"",
  REGEXMATCH(LOWER(VLOOKUP(A582, Data1"&amp;"_Raw_Slack!A:B, 2, FALSE)), ""entertainment|movies|tv|netflix|streaming|celebrity|movie lovers|tv fans|hobb|photo|art""), ""Entertainment"",
  REGEXMATCH(LOWER(VLOOKUP(A582, Data1_Raw_Slack!A:B, 2, FALSE)), ""lifestyle|home|interior|decor|living|lifestyle"&amp;" enthusiasts""), ""Lifestyle"",
  REGEXMATCH(LOWER(VLOOKUP(A582, Data1_Raw_Slack!A:B, 2, FALSE)), ""financial|finance|investing|stocks|retirement|banking|credit|debt|loans|savings|personal finance|insurance|econ|ecom|business|retail|occupation|sale|job|ma"&amp;"rketing""), ""Finance"",
  REGEXMATCH(LOWER(VLOOKUP(A582, Data1_Raw_Slack!A:B, 2, FALSE)), ""auto|automotive""), ""Auto"",
  REGEXMATCH(LOWER(VLOOKUP(A582, Data1_Raw_Slack!A:B, 2, FALSE)), ""parenting|moms|dads|kids|toddlers|baby|parent|children""), ""Par"&amp;"enting"",
  REGEXMATCH(LOWER(VLOOKUP(A582, Data1_Raw_Slack!A:B, 2, FALSE)), ""education|students|learning|school|teachers|college|university|academics""), ""Education"",
  REGEXMATCH(LOWER(VLOOKUP(A582, Data1_Raw_Slack!A:B, 2, FALSE)), ""age|gender|dem"&amp;"ographic|family|household""), ""Demographics"",
  REGEXMATCH(LOWER(VLOOKUP(A582, Data1_Raw_Slack!A:B, 2, FALSE)), ""mortgage|real estate""), ""Real Estate"",REGEXMATCH(LOWER(VLOOKUP(A582, Data1_Raw_Slack!A:B, 2, FALSE)), ""technology|tech|gadgets|smartpho"&amp;"ne|electro|apps|devices|computing|ai|robots|software|computer|internet|tele|mobile|tablet""), ""Technology"", REGEXMATCH(LOWER(VLOOKUP(A582, Data1_Raw_Slack!A:B, 2, FALSE)), ""entertainment|purchas|movies|tv|netflix|streaming|celebrity|movie lovers|tv fan"&amp;"s|media|hobb|photo|art|shop""), ""Entertainment"", REGEXMATCH(LOWER(VLOOKUP(A582, Data1_Raw_Slack!A:B, 2, FALSE)), ""law|government|""), ""Law and Government"",
  TRUE, ""Other""
)"),"Lifestyle")</f>
        <v>Lifestyle</v>
      </c>
      <c r="G582" s="9"/>
      <c r="H582" s="9" t="s">
        <v>44</v>
      </c>
      <c r="I582" s="9" t="s">
        <v>2006</v>
      </c>
      <c r="J582" s="9" t="s">
        <v>34</v>
      </c>
      <c r="K582" s="9" t="s">
        <v>236</v>
      </c>
      <c r="L582" s="9" t="s">
        <v>82</v>
      </c>
      <c r="M582" s="10" t="s">
        <v>2007</v>
      </c>
      <c r="N582" s="9" t="str">
        <f ca="1">IFERROR(__xludf.DUMMYFUNCTION("REGEXEXTRACT(LOWER(M582), ""([a-z0-9\-]+)\.(?:co|net|org|io|gg)"")"),"thesaltymarshmallow")</f>
        <v>thesaltymarshmallow</v>
      </c>
      <c r="O582" s="9" t="s">
        <v>50</v>
      </c>
      <c r="P582" s="9" t="s">
        <v>39</v>
      </c>
      <c r="Q582" s="9">
        <v>15547</v>
      </c>
      <c r="R582" s="9">
        <v>70</v>
      </c>
      <c r="S582" s="9">
        <v>7615</v>
      </c>
      <c r="T582" s="9">
        <v>14939</v>
      </c>
      <c r="U582" s="9">
        <v>3</v>
      </c>
      <c r="V582" s="11">
        <v>1767.4644559999999</v>
      </c>
      <c r="W582" s="12">
        <f t="shared" si="14"/>
        <v>589.15481866666664</v>
      </c>
      <c r="X582" s="12">
        <f t="shared" si="15"/>
        <v>0.45024763619990993</v>
      </c>
      <c r="Y582" s="12">
        <f t="shared" si="16"/>
        <v>48.980510709461633</v>
      </c>
      <c r="Z582" s="12">
        <f t="shared" si="17"/>
        <v>232.10301457649376</v>
      </c>
      <c r="AA582" s="12">
        <f t="shared" si="18"/>
        <v>113.68524191162281</v>
      </c>
      <c r="AB582" s="12">
        <f t="shared" si="19"/>
        <v>25.249492228571427</v>
      </c>
      <c r="AC582" s="12">
        <f t="shared" si="20"/>
        <v>4.2857142857142856</v>
      </c>
      <c r="AE582" s="13"/>
      <c r="AF582" s="13"/>
    </row>
    <row r="583" spans="1:32">
      <c r="A583" s="8" t="s">
        <v>2008</v>
      </c>
      <c r="B583" s="9" t="s">
        <v>905</v>
      </c>
      <c r="C583" s="9" t="s">
        <v>85</v>
      </c>
      <c r="D583" s="9" t="s">
        <v>2009</v>
      </c>
      <c r="E583" s="9" t="s">
        <v>2010</v>
      </c>
      <c r="F583" s="9" t="str">
        <f ca="1">IFERROR(__xludf.DUMMYFUNCTION("IFS(
  REGEXMATCH(LOWER(VLOOKUP(A583, Data1_Raw_Slack!A:B, 2, FALSE)), ""news|weather""), ""News and Weather"", REGEXMATCH(LOWER(VLOOKUP(A583, Data1_Raw_Slack!A:B, 2, FALSE)), ""sports|ufc|nba|nfl|mlb|soccer|sports fans""), ""Sports"",
  REGEXMATCH(LOWER("&amp;"VLOOKUP(A583, Data1_Raw_Slack!A:B, 2, FALSE)), ""fashion|style|clothing|apparel|shoes|accessories|beauty|cosmetics|fashionistas""), ""Fashion and Beauty"",
  REGEXMATCH(LOWER(VLOOKUP(A583, Data1_Raw_Slack!A:B, 2, FALSE)), ""food|cooking|recipe|restaurant|"&amp;"snack|grocery|foodies""), ""Food"",
  REGEXMATCH(LOWER(VLOOKUP(A583, Data1_Raw_Slack!A:B, 2, FALSE)), ""travel|vacation|airline|hotel|trip|flights|travelers""), ""Travel"",
  REGEXMATCH(LOWER(VLOOKUP(A583, Data1_Raw_Slack!A:B, 2, FALSE)), ""fitness|workou"&amp;"t|gym|exercise|yoga|wellness|fitness enthusiasts""), ""Fitness"",
  REGEXMATCH(LOWER(VLOOKUP(A583, Data1_Raw_Slack!A:B, 2, FALSE)), ""health|medical|pharmacy|mental health|doctor|health-conscious""), ""Health"",
  REGEXMATCH(LOWER(VLOOKUP(A583, Data1_Raw_"&amp;"Slack!A:B, 2, FALSE)), ""pets|dogs|cats|animals|pet care|pet lovers""), ""Pets"",
  REGEXMATCH(LOWER(VLOOKUP(A583, Data1_Raw_Slack!A:B, 2, FALSE)), ""games|gaming|game|xbox|playstation|nintendo|gamers""), ""Gaming"",
  REGEXMATCH(LOWER(VLOOKUP(A583, Data1"&amp;"_Raw_Slack!A:B, 2, FALSE)), ""entertainment|movies|tv|netflix|streaming|celebrity|movie lovers|tv fans|hobb|photo|art""), ""Entertainment"",
  REGEXMATCH(LOWER(VLOOKUP(A583, Data1_Raw_Slack!A:B, 2, FALSE)), ""lifestyle|home|interior|decor|living|lifestyle"&amp;" enthusiasts""), ""Lifestyle"",
  REGEXMATCH(LOWER(VLOOKUP(A583, Data1_Raw_Slack!A:B, 2, FALSE)), ""financial|finance|investing|stocks|retirement|banking|credit|debt|loans|savings|personal finance|insurance|econ|ecom|business|retail|occupation|sale|job|ma"&amp;"rketing""), ""Finance"",
  REGEXMATCH(LOWER(VLOOKUP(A583, Data1_Raw_Slack!A:B, 2, FALSE)), ""auto|automotive""), ""Auto"",
  REGEXMATCH(LOWER(VLOOKUP(A583, Data1_Raw_Slack!A:B, 2, FALSE)), ""parenting|moms|dads|kids|toddlers|baby|parent|children""), ""Par"&amp;"enting"",
  REGEXMATCH(LOWER(VLOOKUP(A583, Data1_Raw_Slack!A:B, 2, FALSE)), ""education|students|learning|school|teachers|college|university|academics""), ""Education"",
  REGEXMATCH(LOWER(VLOOKUP(A583, Data1_Raw_Slack!A:B, 2, FALSE)), ""age|gender|dem"&amp;"ographic|family|household""), ""Demographics"",
  REGEXMATCH(LOWER(VLOOKUP(A583, Data1_Raw_Slack!A:B, 2, FALSE)), ""mortgage|real estate""), ""Real Estate"",REGEXMATCH(LOWER(VLOOKUP(A583, Data1_Raw_Slack!A:B, 2, FALSE)), ""technology|tech|gadgets|smartpho"&amp;"ne|electro|apps|devices|computing|ai|robots|software|computer|internet|tele|mobile|tablet""), ""Technology"", REGEXMATCH(LOWER(VLOOKUP(A583, Data1_Raw_Slack!A:B, 2, FALSE)), ""entertainment|purchas|movies|tv|netflix|streaming|celebrity|movie lovers|tv fan"&amp;"s|media|hobb|photo|art|shop""), ""Entertainment"", REGEXMATCH(LOWER(VLOOKUP(A583, Data1_Raw_Slack!A:B, 2, FALSE)), ""law|government|""), ""Law and Government"",
  TRUE, ""Other""
)"),"Travel")</f>
        <v>Travel</v>
      </c>
      <c r="G583" s="9" t="s">
        <v>85</v>
      </c>
      <c r="H583" s="9" t="s">
        <v>32</v>
      </c>
      <c r="I583" s="9" t="s">
        <v>2011</v>
      </c>
      <c r="J583" s="9" t="s">
        <v>46</v>
      </c>
      <c r="K583" s="9" t="s">
        <v>236</v>
      </c>
      <c r="L583" s="9" t="s">
        <v>82</v>
      </c>
      <c r="M583" s="10" t="s">
        <v>112</v>
      </c>
      <c r="N583" s="9" t="str">
        <f ca="1">IFERROR(__xludf.DUMMYFUNCTION("REGEXEXTRACT(LOWER(M583), ""([a-z0-9\-]+)\.(?:co|net|org|io|gg)"")"),"ebay")</f>
        <v>ebay</v>
      </c>
      <c r="O583" s="9" t="s">
        <v>103</v>
      </c>
      <c r="P583" s="9" t="s">
        <v>39</v>
      </c>
      <c r="Q583" s="9">
        <v>87287</v>
      </c>
      <c r="R583" s="9">
        <v>203</v>
      </c>
      <c r="S583" s="9">
        <v>40039</v>
      </c>
      <c r="T583" s="9">
        <v>80040</v>
      </c>
      <c r="U583" s="9">
        <v>18</v>
      </c>
      <c r="V583" s="11">
        <v>1579.367346</v>
      </c>
      <c r="W583" s="12">
        <f t="shared" si="14"/>
        <v>87.742630333333338</v>
      </c>
      <c r="X583" s="12">
        <f t="shared" si="15"/>
        <v>0.23256613241376148</v>
      </c>
      <c r="Y583" s="12">
        <f t="shared" si="16"/>
        <v>45.870519092190129</v>
      </c>
      <c r="Z583" s="12">
        <f t="shared" si="17"/>
        <v>39.445724069032693</v>
      </c>
      <c r="AA583" s="12">
        <f t="shared" si="18"/>
        <v>18.09395839013828</v>
      </c>
      <c r="AB583" s="12">
        <f t="shared" si="19"/>
        <v>7.780134709359606</v>
      </c>
      <c r="AC583" s="12">
        <f t="shared" si="20"/>
        <v>8.8669950738916263</v>
      </c>
      <c r="AE583" s="13"/>
      <c r="AF583" s="13"/>
    </row>
    <row r="584" spans="1:32">
      <c r="A584" s="8" t="s">
        <v>2012</v>
      </c>
      <c r="B584" s="9" t="s">
        <v>2013</v>
      </c>
      <c r="C584" s="9" t="s">
        <v>2014</v>
      </c>
      <c r="D584" s="9" t="s">
        <v>2015</v>
      </c>
      <c r="E584" s="9"/>
      <c r="F584" s="9" t="str">
        <f ca="1">IFERROR(__xludf.DUMMYFUNCTION("IFS(
  REGEXMATCH(LOWER(VLOOKUP(A584, Data1_Raw_Slack!A:B, 2, FALSE)), ""news|weather""), ""News and Weather"", REGEXMATCH(LOWER(VLOOKUP(A584, Data1_Raw_Slack!A:B, 2, FALSE)), ""sports|ufc|nba|nfl|mlb|soccer|sports fans""), ""Sports"",
  REGEXMATCH(LOWER("&amp;"VLOOKUP(A584, Data1_Raw_Slack!A:B, 2, FALSE)), ""fashion|style|clothing|apparel|shoes|accessories|beauty|cosmetics|fashionistas""), ""Fashion and Beauty"",
  REGEXMATCH(LOWER(VLOOKUP(A584, Data1_Raw_Slack!A:B, 2, FALSE)), ""food|cooking|recipe|restaurant|"&amp;"snack|grocery|foodies""), ""Food"",
  REGEXMATCH(LOWER(VLOOKUP(A584, Data1_Raw_Slack!A:B, 2, FALSE)), ""travel|vacation|airline|hotel|trip|flights|travelers""), ""Travel"",
  REGEXMATCH(LOWER(VLOOKUP(A584, Data1_Raw_Slack!A:B, 2, FALSE)), ""fitness|workou"&amp;"t|gym|exercise|yoga|wellness|fitness enthusiasts""), ""Fitness"",
  REGEXMATCH(LOWER(VLOOKUP(A584, Data1_Raw_Slack!A:B, 2, FALSE)), ""health|medical|pharmacy|mental health|doctor|health-conscious""), ""Health"",
  REGEXMATCH(LOWER(VLOOKUP(A584, Data1_Raw_"&amp;"Slack!A:B, 2, FALSE)), ""pets|dogs|cats|animals|pet care|pet lovers""), ""Pets"",
  REGEXMATCH(LOWER(VLOOKUP(A584, Data1_Raw_Slack!A:B, 2, FALSE)), ""games|gaming|game|xbox|playstation|nintendo|gamers""), ""Gaming"",
  REGEXMATCH(LOWER(VLOOKUP(A584, Data1"&amp;"_Raw_Slack!A:B, 2, FALSE)), ""entertainment|movies|tv|netflix|streaming|celebrity|movie lovers|tv fans|hobb|photo|art""), ""Entertainment"",
  REGEXMATCH(LOWER(VLOOKUP(A584, Data1_Raw_Slack!A:B, 2, FALSE)), ""lifestyle|home|interior|decor|living|lifestyle"&amp;" enthusiasts""), ""Lifestyle"",
  REGEXMATCH(LOWER(VLOOKUP(A584, Data1_Raw_Slack!A:B, 2, FALSE)), ""financial|finance|investing|stocks|retirement|banking|credit|debt|loans|savings|personal finance|insurance|econ|ecom|business|retail|occupation|sale|job|ma"&amp;"rketing""), ""Finance"",
  REGEXMATCH(LOWER(VLOOKUP(A584, Data1_Raw_Slack!A:B, 2, FALSE)), ""auto|automotive""), ""Auto"",
  REGEXMATCH(LOWER(VLOOKUP(A584, Data1_Raw_Slack!A:B, 2, FALSE)), ""parenting|moms|dads|kids|toddlers|baby|parent|children""), ""Par"&amp;"enting"",
  REGEXMATCH(LOWER(VLOOKUP(A584, Data1_Raw_Slack!A:B, 2, FALSE)), ""education|students|learning|school|teachers|college|university|academics""), ""Education"",
  REGEXMATCH(LOWER(VLOOKUP(A584, Data1_Raw_Slack!A:B, 2, FALSE)), ""age|gender|dem"&amp;"ographic|family|household""), ""Demographics"",
  REGEXMATCH(LOWER(VLOOKUP(A584, Data1_Raw_Slack!A:B, 2, FALSE)), ""mortgage|real estate""), ""Real Estate"",REGEXMATCH(LOWER(VLOOKUP(A584, Data1_Raw_Slack!A:B, 2, FALSE)), ""technology|tech|gadgets|smartpho"&amp;"ne|electro|apps|devices|computing|ai|robots|software|computer|internet|tele|mobile|tablet""), ""Technology"", REGEXMATCH(LOWER(VLOOKUP(A584, Data1_Raw_Slack!A:B, 2, FALSE)), ""entertainment|purchas|movies|tv|netflix|streaming|celebrity|movie lovers|tv fan"&amp;"s|media|hobb|photo|art|shop""), ""Entertainment"", REGEXMATCH(LOWER(VLOOKUP(A584, Data1_Raw_Slack!A:B, 2, FALSE)), ""law|government|""), ""Law and Government"",
  TRUE, ""Other""
)"),"Entertainment")</f>
        <v>Entertainment</v>
      </c>
      <c r="G584" s="9"/>
      <c r="H584" s="9" t="s">
        <v>44</v>
      </c>
      <c r="I584" s="9" t="s">
        <v>793</v>
      </c>
      <c r="J584" s="9" t="s">
        <v>80</v>
      </c>
      <c r="K584" s="9" t="s">
        <v>236</v>
      </c>
      <c r="L584" s="9" t="s">
        <v>82</v>
      </c>
      <c r="M584" s="10" t="s">
        <v>130</v>
      </c>
      <c r="N584" s="9" t="str">
        <f ca="1">IFERROR(__xludf.DUMMYFUNCTION("REGEXEXTRACT(LOWER(M584), ""([a-z0-9\-]+)\.(?:co|net|org|io|gg)"")"),"weather")</f>
        <v>weather</v>
      </c>
      <c r="O584" s="9" t="s">
        <v>317</v>
      </c>
      <c r="P584" s="9" t="s">
        <v>39</v>
      </c>
      <c r="Q584" s="9">
        <v>12280</v>
      </c>
      <c r="R584" s="9">
        <v>90</v>
      </c>
      <c r="S584" s="9">
        <v>7633</v>
      </c>
      <c r="T584" s="9">
        <v>11053</v>
      </c>
      <c r="U584" s="9">
        <v>5</v>
      </c>
      <c r="V584" s="11">
        <v>1452.207361</v>
      </c>
      <c r="W584" s="12">
        <f t="shared" si="14"/>
        <v>290.44147220000002</v>
      </c>
      <c r="X584" s="12">
        <f t="shared" si="15"/>
        <v>0.73289902280130292</v>
      </c>
      <c r="Y584" s="12">
        <f t="shared" si="16"/>
        <v>62.15798045602606</v>
      </c>
      <c r="Z584" s="12">
        <f t="shared" si="17"/>
        <v>190.25381383466527</v>
      </c>
      <c r="AA584" s="12">
        <f t="shared" si="18"/>
        <v>118.25792842019543</v>
      </c>
      <c r="AB584" s="12">
        <f t="shared" si="19"/>
        <v>16.135637344444444</v>
      </c>
      <c r="AC584" s="12">
        <f t="shared" si="20"/>
        <v>5.5555555555555554</v>
      </c>
      <c r="AE584" s="13"/>
      <c r="AF584" s="13"/>
    </row>
    <row r="585" spans="1:32">
      <c r="A585" s="8" t="s">
        <v>2016</v>
      </c>
      <c r="B585" s="9" t="s">
        <v>144</v>
      </c>
      <c r="C585" s="9" t="s">
        <v>414</v>
      </c>
      <c r="D585" s="9"/>
      <c r="E585" s="9"/>
      <c r="F585" s="9" t="str">
        <f ca="1">IFERROR(__xludf.DUMMYFUNCTION("IFS(
  REGEXMATCH(LOWER(VLOOKUP(A585, Data1_Raw_Slack!A:B, 2, FALSE)), ""news|weather""), ""News and Weather"", REGEXMATCH(LOWER(VLOOKUP(A585, Data1_Raw_Slack!A:B, 2, FALSE)), ""sports|ufc|nba|nfl|mlb|soccer|sports fans""), ""Sports"",
  REGEXMATCH(LOWER("&amp;"VLOOKUP(A585, Data1_Raw_Slack!A:B, 2, FALSE)), ""fashion|style|clothing|apparel|shoes|accessories|beauty|cosmetics|fashionistas""), ""Fashion and Beauty"",
  REGEXMATCH(LOWER(VLOOKUP(A585, Data1_Raw_Slack!A:B, 2, FALSE)), ""food|cooking|recipe|restaurant|"&amp;"snack|grocery|foodies""), ""Food"",
  REGEXMATCH(LOWER(VLOOKUP(A585, Data1_Raw_Slack!A:B, 2, FALSE)), ""travel|vacation|airline|hotel|trip|flights|travelers""), ""Travel"",
  REGEXMATCH(LOWER(VLOOKUP(A585, Data1_Raw_Slack!A:B, 2, FALSE)), ""fitness|workou"&amp;"t|gym|exercise|yoga|wellness|fitness enthusiasts""), ""Fitness"",
  REGEXMATCH(LOWER(VLOOKUP(A585, Data1_Raw_Slack!A:B, 2, FALSE)), ""health|medical|pharmacy|mental health|doctor|health-conscious""), ""Health"",
  REGEXMATCH(LOWER(VLOOKUP(A585, Data1_Raw_"&amp;"Slack!A:B, 2, FALSE)), ""pets|dogs|cats|animals|pet care|pet lovers""), ""Pets"",
  REGEXMATCH(LOWER(VLOOKUP(A585, Data1_Raw_Slack!A:B, 2, FALSE)), ""games|gaming|game|xbox|playstation|nintendo|gamers""), ""Gaming"",
  REGEXMATCH(LOWER(VLOOKUP(A585, Data1"&amp;"_Raw_Slack!A:B, 2, FALSE)), ""entertainment|movies|tv|netflix|streaming|celebrity|movie lovers|tv fans|hobb|photo|art""), ""Entertainment"",
  REGEXMATCH(LOWER(VLOOKUP(A585, Data1_Raw_Slack!A:B, 2, FALSE)), ""lifestyle|home|interior|decor|living|lifestyle"&amp;" enthusiasts""), ""Lifestyle"",
  REGEXMATCH(LOWER(VLOOKUP(A585, Data1_Raw_Slack!A:B, 2, FALSE)), ""financial|finance|investing|stocks|retirement|banking|credit|debt|loans|savings|personal finance|insurance|econ|ecom|business|retail|occupation|sale|job|ma"&amp;"rketing""), ""Finance"",
  REGEXMATCH(LOWER(VLOOKUP(A585, Data1_Raw_Slack!A:B, 2, FALSE)), ""auto|automotive""), ""Auto"",
  REGEXMATCH(LOWER(VLOOKUP(A585, Data1_Raw_Slack!A:B, 2, FALSE)), ""parenting|moms|dads|kids|toddlers|baby|parent|children""), ""Par"&amp;"enting"",
  REGEXMATCH(LOWER(VLOOKUP(A585, Data1_Raw_Slack!A:B, 2, FALSE)), ""education|students|learning|school|teachers|college|university|academics""), ""Education"",
  REGEXMATCH(LOWER(VLOOKUP(A585, Data1_Raw_Slack!A:B, 2, FALSE)), ""age|gender|dem"&amp;"ographic|family|household""), ""Demographics"",
  REGEXMATCH(LOWER(VLOOKUP(A585, Data1_Raw_Slack!A:B, 2, FALSE)), ""mortgage|real estate""), ""Real Estate"",REGEXMATCH(LOWER(VLOOKUP(A585, Data1_Raw_Slack!A:B, 2, FALSE)), ""technology|tech|gadgets|smartpho"&amp;"ne|electro|apps|devices|computing|ai|robots|software|computer|internet|tele|mobile|tablet""), ""Technology"", REGEXMATCH(LOWER(VLOOKUP(A585, Data1_Raw_Slack!A:B, 2, FALSE)), ""entertainment|purchas|movies|tv|netflix|streaming|celebrity|movie lovers|tv fan"&amp;"s|media|hobb|photo|art|shop""), ""Entertainment"", REGEXMATCH(LOWER(VLOOKUP(A585, Data1_Raw_Slack!A:B, 2, FALSE)), ""law|government|""), ""Law and Government"",
  TRUE, ""Other""
)"),"Law and Government")</f>
        <v>Law and Government</v>
      </c>
      <c r="G585" s="9" t="s">
        <v>154</v>
      </c>
      <c r="H585" s="9" t="s">
        <v>44</v>
      </c>
      <c r="I585" s="9" t="s">
        <v>853</v>
      </c>
      <c r="J585" s="9" t="s">
        <v>34</v>
      </c>
      <c r="K585" s="9" t="s">
        <v>236</v>
      </c>
      <c r="L585" s="9" t="s">
        <v>82</v>
      </c>
      <c r="M585" s="10" t="s">
        <v>1272</v>
      </c>
      <c r="N585" s="9" t="str">
        <f ca="1">IFERROR(__xludf.DUMMYFUNCTION("REGEXEXTRACT(LOWER(M585), ""([a-z0-9\-]+)\.(?:co|net|org|io|gg)"")"),"calculator")</f>
        <v>calculator</v>
      </c>
      <c r="O585" s="9" t="s">
        <v>74</v>
      </c>
      <c r="P585" s="9" t="s">
        <v>39</v>
      </c>
      <c r="Q585" s="9">
        <v>22004</v>
      </c>
      <c r="R585" s="9">
        <v>80</v>
      </c>
      <c r="S585" s="9">
        <v>18735</v>
      </c>
      <c r="T585" s="9">
        <v>21127</v>
      </c>
      <c r="U585" s="9">
        <v>4</v>
      </c>
      <c r="V585" s="11">
        <v>1632.4727820000001</v>
      </c>
      <c r="W585" s="12">
        <f t="shared" si="14"/>
        <v>408.11819550000001</v>
      </c>
      <c r="X585" s="12">
        <f t="shared" si="15"/>
        <v>0.36357025995273584</v>
      </c>
      <c r="Y585" s="12">
        <f t="shared" si="16"/>
        <v>85.143610252681327</v>
      </c>
      <c r="Z585" s="12">
        <f t="shared" si="17"/>
        <v>87.134922978382718</v>
      </c>
      <c r="AA585" s="12">
        <f t="shared" si="18"/>
        <v>74.189819214688242</v>
      </c>
      <c r="AB585" s="12">
        <f t="shared" si="19"/>
        <v>20.405909775000001</v>
      </c>
      <c r="AC585" s="12">
        <f t="shared" si="20"/>
        <v>5</v>
      </c>
      <c r="AE585" s="13"/>
      <c r="AF585" s="13"/>
    </row>
    <row r="586" spans="1:32">
      <c r="A586" s="8" t="s">
        <v>2017</v>
      </c>
      <c r="B586" s="9" t="s">
        <v>41</v>
      </c>
      <c r="C586" s="9" t="s">
        <v>42</v>
      </c>
      <c r="D586" s="9" t="s">
        <v>2018</v>
      </c>
      <c r="E586" s="9"/>
      <c r="F586" s="9" t="str">
        <f ca="1">IFERROR(__xludf.DUMMYFUNCTION("IFS(
  REGEXMATCH(LOWER(VLOOKUP(A586, Data1_Raw_Slack!A:B, 2, FALSE)), ""news|weather""), ""News and Weather"", REGEXMATCH(LOWER(VLOOKUP(A586, Data1_Raw_Slack!A:B, 2, FALSE)), ""sports|ufc|nba|nfl|mlb|soccer|sports fans""), ""Sports"",
  REGEXMATCH(LOWER("&amp;"VLOOKUP(A586, Data1_Raw_Slack!A:B, 2, FALSE)), ""fashion|style|clothing|apparel|shoes|accessories|beauty|cosmetics|fashionistas""), ""Fashion and Beauty"",
  REGEXMATCH(LOWER(VLOOKUP(A586, Data1_Raw_Slack!A:B, 2, FALSE)), ""food|cooking|recipe|restaurant|"&amp;"snack|grocery|foodies""), ""Food"",
  REGEXMATCH(LOWER(VLOOKUP(A586, Data1_Raw_Slack!A:B, 2, FALSE)), ""travel|vacation|airline|hotel|trip|flights|travelers""), ""Travel"",
  REGEXMATCH(LOWER(VLOOKUP(A586, Data1_Raw_Slack!A:B, 2, FALSE)), ""fitness|workou"&amp;"t|gym|exercise|yoga|wellness|fitness enthusiasts""), ""Fitness"",
  REGEXMATCH(LOWER(VLOOKUP(A586, Data1_Raw_Slack!A:B, 2, FALSE)), ""health|medical|pharmacy|mental health|doctor|health-conscious""), ""Health"",
  REGEXMATCH(LOWER(VLOOKUP(A586, Data1_Raw_"&amp;"Slack!A:B, 2, FALSE)), ""pets|dogs|cats|animals|pet care|pet lovers""), ""Pets"",
  REGEXMATCH(LOWER(VLOOKUP(A586, Data1_Raw_Slack!A:B, 2, FALSE)), ""games|gaming|game|xbox|playstation|nintendo|gamers""), ""Gaming"",
  REGEXMATCH(LOWER(VLOOKUP(A586, Data1"&amp;"_Raw_Slack!A:B, 2, FALSE)), ""entertainment|movies|tv|netflix|streaming|celebrity|movie lovers|tv fans|hobb|photo|art""), ""Entertainment"",
  REGEXMATCH(LOWER(VLOOKUP(A586, Data1_Raw_Slack!A:B, 2, FALSE)), ""lifestyle|home|interior|decor|living|lifestyle"&amp;" enthusiasts""), ""Lifestyle"",
  REGEXMATCH(LOWER(VLOOKUP(A586, Data1_Raw_Slack!A:B, 2, FALSE)), ""financial|finance|investing|stocks|retirement|banking|credit|debt|loans|savings|personal finance|insurance|econ|ecom|business|retail|occupation|sale|job|ma"&amp;"rketing""), ""Finance"",
  REGEXMATCH(LOWER(VLOOKUP(A586, Data1_Raw_Slack!A:B, 2, FALSE)), ""auto|automotive""), ""Auto"",
  REGEXMATCH(LOWER(VLOOKUP(A586, Data1_Raw_Slack!A:B, 2, FALSE)), ""parenting|moms|dads|kids|toddlers|baby|parent|children""), ""Par"&amp;"enting"",
  REGEXMATCH(LOWER(VLOOKUP(A586, Data1_Raw_Slack!A:B, 2, FALSE)), ""education|students|learning|school|teachers|college|university|academics""), ""Education"",
  REGEXMATCH(LOWER(VLOOKUP(A586, Data1_Raw_Slack!A:B, 2, FALSE)), ""age|gender|dem"&amp;"ographic|family|household""), ""Demographics"",
  REGEXMATCH(LOWER(VLOOKUP(A586, Data1_Raw_Slack!A:B, 2, FALSE)), ""mortgage|real estate""), ""Real Estate"",REGEXMATCH(LOWER(VLOOKUP(A586, Data1_Raw_Slack!A:B, 2, FALSE)), ""technology|tech|gadgets|smartpho"&amp;"ne|electro|apps|devices|computing|ai|robots|software|computer|internet|tele|mobile|tablet""), ""Technology"", REGEXMATCH(LOWER(VLOOKUP(A586, Data1_Raw_Slack!A:B, 2, FALSE)), ""entertainment|purchas|movies|tv|netflix|streaming|celebrity|movie lovers|tv fan"&amp;"s|media|hobb|photo|art|shop""), ""Entertainment"", REGEXMATCH(LOWER(VLOOKUP(A586, Data1_Raw_Slack!A:B, 2, FALSE)), ""law|government|""), ""Law and Government"",
  TRUE, ""Other""
)"),"Food")</f>
        <v>Food</v>
      </c>
      <c r="G586" s="9"/>
      <c r="H586" s="9" t="s">
        <v>44</v>
      </c>
      <c r="I586" s="9" t="s">
        <v>2019</v>
      </c>
      <c r="J586" s="9" t="s">
        <v>80</v>
      </c>
      <c r="K586" s="9" t="s">
        <v>148</v>
      </c>
      <c r="L586" s="9" t="s">
        <v>89</v>
      </c>
      <c r="M586" s="10" t="s">
        <v>73</v>
      </c>
      <c r="N586" s="9" t="str">
        <f ca="1">IFERROR(__xludf.DUMMYFUNCTION("REGEXEXTRACT(LOWER(M586), ""([a-z0-9\-]+)\.(?:co|net|org|io|gg)"")"),"aol")</f>
        <v>aol</v>
      </c>
      <c r="O586" s="9" t="s">
        <v>74</v>
      </c>
      <c r="P586" s="9" t="s">
        <v>39</v>
      </c>
      <c r="Q586" s="9">
        <v>103665</v>
      </c>
      <c r="R586" s="9">
        <v>270</v>
      </c>
      <c r="S586" s="9">
        <v>77283</v>
      </c>
      <c r="T586" s="9">
        <v>94019</v>
      </c>
      <c r="U586" s="9">
        <v>4</v>
      </c>
      <c r="V586" s="11">
        <v>5284.6855649999998</v>
      </c>
      <c r="W586" s="12">
        <f t="shared" si="14"/>
        <v>1321.1713912499999</v>
      </c>
      <c r="X586" s="12">
        <f t="shared" si="15"/>
        <v>0.26045434814064533</v>
      </c>
      <c r="Y586" s="12">
        <f t="shared" si="16"/>
        <v>74.550716249457381</v>
      </c>
      <c r="Z586" s="12">
        <f t="shared" si="17"/>
        <v>68.380957843251423</v>
      </c>
      <c r="AA586" s="12">
        <f t="shared" si="18"/>
        <v>50.978493850383444</v>
      </c>
      <c r="AB586" s="12">
        <f t="shared" si="19"/>
        <v>19.572909499999998</v>
      </c>
      <c r="AC586" s="12">
        <f t="shared" si="20"/>
        <v>1.4814814814814816</v>
      </c>
      <c r="AE586" s="13"/>
      <c r="AF586" s="13"/>
    </row>
    <row r="587" spans="1:32">
      <c r="A587" s="8" t="s">
        <v>2020</v>
      </c>
      <c r="B587" s="9" t="s">
        <v>41</v>
      </c>
      <c r="C587" s="9" t="s">
        <v>145</v>
      </c>
      <c r="D587" s="9" t="s">
        <v>2021</v>
      </c>
      <c r="E587" s="9"/>
      <c r="F587" s="9" t="str">
        <f ca="1">IFERROR(__xludf.DUMMYFUNCTION("IFS(
  REGEXMATCH(LOWER(VLOOKUP(A587, Data1_Raw_Slack!A:B, 2, FALSE)), ""news|weather""), ""News and Weather"", REGEXMATCH(LOWER(VLOOKUP(A587, Data1_Raw_Slack!A:B, 2, FALSE)), ""sports|ufc|nba|nfl|mlb|soccer|sports fans""), ""Sports"",
  REGEXMATCH(LOWER("&amp;"VLOOKUP(A587, Data1_Raw_Slack!A:B, 2, FALSE)), ""fashion|style|clothing|apparel|shoes|accessories|beauty|cosmetics|fashionistas""), ""Fashion and Beauty"",
  REGEXMATCH(LOWER(VLOOKUP(A587, Data1_Raw_Slack!A:B, 2, FALSE)), ""food|cooking|recipe|restaurant|"&amp;"snack|grocery|foodies""), ""Food"",
  REGEXMATCH(LOWER(VLOOKUP(A587, Data1_Raw_Slack!A:B, 2, FALSE)), ""travel|vacation|airline|hotel|trip|flights|travelers""), ""Travel"",
  REGEXMATCH(LOWER(VLOOKUP(A587, Data1_Raw_Slack!A:B, 2, FALSE)), ""fitness|workou"&amp;"t|gym|exercise|yoga|wellness|fitness enthusiasts""), ""Fitness"",
  REGEXMATCH(LOWER(VLOOKUP(A587, Data1_Raw_Slack!A:B, 2, FALSE)), ""health|medical|pharmacy|mental health|doctor|health-conscious""), ""Health"",
  REGEXMATCH(LOWER(VLOOKUP(A587, Data1_Raw_"&amp;"Slack!A:B, 2, FALSE)), ""pets|dogs|cats|animals|pet care|pet lovers""), ""Pets"",
  REGEXMATCH(LOWER(VLOOKUP(A587, Data1_Raw_Slack!A:B, 2, FALSE)), ""games|gaming|game|xbox|playstation|nintendo|gamers""), ""Gaming"",
  REGEXMATCH(LOWER(VLOOKUP(A587, Data1"&amp;"_Raw_Slack!A:B, 2, FALSE)), ""entertainment|movies|tv|netflix|streaming|celebrity|movie lovers|tv fans|hobb|photo|art""), ""Entertainment"",
  REGEXMATCH(LOWER(VLOOKUP(A587, Data1_Raw_Slack!A:B, 2, FALSE)), ""lifestyle|home|interior|decor|living|lifestyle"&amp;" enthusiasts""), ""Lifestyle"",
  REGEXMATCH(LOWER(VLOOKUP(A587, Data1_Raw_Slack!A:B, 2, FALSE)), ""financial|finance|investing|stocks|retirement|banking|credit|debt|loans|savings|personal finance|insurance|econ|ecom|business|retail|occupation|sale|job|ma"&amp;"rketing""), ""Finance"",
  REGEXMATCH(LOWER(VLOOKUP(A587, Data1_Raw_Slack!A:B, 2, FALSE)), ""auto|automotive""), ""Auto"",
  REGEXMATCH(LOWER(VLOOKUP(A587, Data1_Raw_Slack!A:B, 2, FALSE)), ""parenting|moms|dads|kids|toddlers|baby|parent|children""), ""Par"&amp;"enting"",
  REGEXMATCH(LOWER(VLOOKUP(A587, Data1_Raw_Slack!A:B, 2, FALSE)), ""education|students|learning|school|teachers|college|university|academics""), ""Education"",
  REGEXMATCH(LOWER(VLOOKUP(A587, Data1_Raw_Slack!A:B, 2, FALSE)), ""age|gender|dem"&amp;"ographic|family|household""), ""Demographics"",
  REGEXMATCH(LOWER(VLOOKUP(A587, Data1_Raw_Slack!A:B, 2, FALSE)), ""mortgage|real estate""), ""Real Estate"",REGEXMATCH(LOWER(VLOOKUP(A587, Data1_Raw_Slack!A:B, 2, FALSE)), ""technology|tech|gadgets|smartpho"&amp;"ne|electro|apps|devices|computing|ai|robots|software|computer|internet|tele|mobile|tablet""), ""Technology"", REGEXMATCH(LOWER(VLOOKUP(A587, Data1_Raw_Slack!A:B, 2, FALSE)), ""entertainment|purchas|movies|tv|netflix|streaming|celebrity|movie lovers|tv fan"&amp;"s|media|hobb|photo|art|shop""), ""Entertainment"", REGEXMATCH(LOWER(VLOOKUP(A587, Data1_Raw_Slack!A:B, 2, FALSE)), ""law|government|""), ""Law and Government"",
  TRUE, ""Other""
)"),"News and Weather")</f>
        <v>News and Weather</v>
      </c>
      <c r="G587" s="9" t="s">
        <v>145</v>
      </c>
      <c r="H587" s="9" t="s">
        <v>32</v>
      </c>
      <c r="I587" s="9" t="s">
        <v>129</v>
      </c>
      <c r="J587" s="9" t="s">
        <v>46</v>
      </c>
      <c r="K587" s="9" t="s">
        <v>56</v>
      </c>
      <c r="L587" s="9" t="s">
        <v>57</v>
      </c>
      <c r="M587" s="10" t="s">
        <v>393</v>
      </c>
      <c r="N587" s="9" t="str">
        <f ca="1">IFERROR(__xludf.DUMMYFUNCTION("REGEXEXTRACT(LOWER(M587), ""([a-z0-9\-]+)\.(?:co|net|org|io|gg)"")"),"thesaurus")</f>
        <v>thesaurus</v>
      </c>
      <c r="O587" s="9" t="s">
        <v>50</v>
      </c>
      <c r="P587" s="9" t="s">
        <v>39</v>
      </c>
      <c r="Q587" s="9">
        <v>55445</v>
      </c>
      <c r="R587" s="9">
        <v>155</v>
      </c>
      <c r="S587" s="9">
        <v>4565</v>
      </c>
      <c r="T587" s="9">
        <v>53407</v>
      </c>
      <c r="U587" s="9">
        <v>36</v>
      </c>
      <c r="V587" s="11">
        <v>7948.4807520000004</v>
      </c>
      <c r="W587" s="12">
        <f t="shared" si="14"/>
        <v>220.791132</v>
      </c>
      <c r="X587" s="12">
        <f t="shared" si="15"/>
        <v>0.27955631707097123</v>
      </c>
      <c r="Y587" s="12">
        <f t="shared" si="16"/>
        <v>8.2333844350256999</v>
      </c>
      <c r="Z587" s="12">
        <f t="shared" si="17"/>
        <v>1741.1786970427163</v>
      </c>
      <c r="AA587" s="12">
        <f t="shared" si="18"/>
        <v>143.35793582829831</v>
      </c>
      <c r="AB587" s="12">
        <f t="shared" si="19"/>
        <v>51.280520980645164</v>
      </c>
      <c r="AC587" s="12">
        <f t="shared" si="20"/>
        <v>23.225806451612904</v>
      </c>
      <c r="AE587" s="13"/>
      <c r="AF587" s="13"/>
    </row>
    <row r="588" spans="1:32">
      <c r="A588" s="8" t="s">
        <v>2022</v>
      </c>
      <c r="B588" s="9" t="s">
        <v>2023</v>
      </c>
      <c r="C588" s="9" t="s">
        <v>2024</v>
      </c>
      <c r="D588" s="9" t="s">
        <v>2025</v>
      </c>
      <c r="E588" s="9" t="s">
        <v>2026</v>
      </c>
      <c r="F588" s="9" t="str">
        <f ca="1">IFERROR(__xludf.DUMMYFUNCTION("IFS(
  REGEXMATCH(LOWER(VLOOKUP(A588, Data1_Raw_Slack!A:B, 2, FALSE)), ""news|weather""), ""News and Weather"", REGEXMATCH(LOWER(VLOOKUP(A588, Data1_Raw_Slack!A:B, 2, FALSE)), ""sports|ufc|nba|nfl|mlb|soccer|sports fans""), ""Sports"",
  REGEXMATCH(LOWER("&amp;"VLOOKUP(A588, Data1_Raw_Slack!A:B, 2, FALSE)), ""fashion|style|clothing|apparel|shoes|accessories|beauty|cosmetics|fashionistas""), ""Fashion and Beauty"",
  REGEXMATCH(LOWER(VLOOKUP(A588, Data1_Raw_Slack!A:B, 2, FALSE)), ""food|cooking|recipe|restaurant|"&amp;"snack|grocery|foodies""), ""Food"",
  REGEXMATCH(LOWER(VLOOKUP(A588, Data1_Raw_Slack!A:B, 2, FALSE)), ""travel|vacation|airline|hotel|trip|flights|travelers""), ""Travel"",
  REGEXMATCH(LOWER(VLOOKUP(A588, Data1_Raw_Slack!A:B, 2, FALSE)), ""fitness|workou"&amp;"t|gym|exercise|yoga|wellness|fitness enthusiasts""), ""Fitness"",
  REGEXMATCH(LOWER(VLOOKUP(A588, Data1_Raw_Slack!A:B, 2, FALSE)), ""health|medical|pharmacy|mental health|doctor|health-conscious""), ""Health"",
  REGEXMATCH(LOWER(VLOOKUP(A588, Data1_Raw_"&amp;"Slack!A:B, 2, FALSE)), ""pets|dogs|cats|animals|pet care|pet lovers""), ""Pets"",
  REGEXMATCH(LOWER(VLOOKUP(A588, Data1_Raw_Slack!A:B, 2, FALSE)), ""games|gaming|game|xbox|playstation|nintendo|gamers""), ""Gaming"",
  REGEXMATCH(LOWER(VLOOKUP(A588, Data1"&amp;"_Raw_Slack!A:B, 2, FALSE)), ""entertainment|movies|tv|netflix|streaming|celebrity|movie lovers|tv fans|hobb|photo|art""), ""Entertainment"",
  REGEXMATCH(LOWER(VLOOKUP(A588, Data1_Raw_Slack!A:B, 2, FALSE)), ""lifestyle|home|interior|decor|living|lifestyle"&amp;" enthusiasts""), ""Lifestyle"",
  REGEXMATCH(LOWER(VLOOKUP(A588, Data1_Raw_Slack!A:B, 2, FALSE)), ""financial|finance|investing|stocks|retirement|banking|credit|debt|loans|savings|personal finance|insurance|econ|ecom|business|retail|occupation|sale|job|ma"&amp;"rketing""), ""Finance"",
  REGEXMATCH(LOWER(VLOOKUP(A588, Data1_Raw_Slack!A:B, 2, FALSE)), ""auto|automotive""), ""Auto"",
  REGEXMATCH(LOWER(VLOOKUP(A588, Data1_Raw_Slack!A:B, 2, FALSE)), ""parenting|moms|dads|kids|toddlers|baby|parent|children""), ""Par"&amp;"enting"",
  REGEXMATCH(LOWER(VLOOKUP(A588, Data1_Raw_Slack!A:B, 2, FALSE)), ""education|students|learning|school|teachers|college|university|academics""), ""Education"",
  REGEXMATCH(LOWER(VLOOKUP(A588, Data1_Raw_Slack!A:B, 2, FALSE)), ""age|gender|dem"&amp;"ographic|family|household""), ""Demographics"",
  REGEXMATCH(LOWER(VLOOKUP(A588, Data1_Raw_Slack!A:B, 2, FALSE)), ""mortgage|real estate""), ""Real Estate"",REGEXMATCH(LOWER(VLOOKUP(A588, Data1_Raw_Slack!A:B, 2, FALSE)), ""technology|tech|gadgets|smartpho"&amp;"ne|electro|apps|devices|computing|ai|robots|software|computer|internet|tele|mobile|tablet""), ""Technology"", REGEXMATCH(LOWER(VLOOKUP(A588, Data1_Raw_Slack!A:B, 2, FALSE)), ""entertainment|purchas|movies|tv|netflix|streaming|celebrity|movie lovers|tv fan"&amp;"s|media|hobb|photo|art|shop""), ""Entertainment"", REGEXMATCH(LOWER(VLOOKUP(A588, Data1_Raw_Slack!A:B, 2, FALSE)), ""law|government|""), ""Law and Government"",
  TRUE, ""Other""
)"),"Travel")</f>
        <v>Travel</v>
      </c>
      <c r="G588" s="9"/>
      <c r="H588" s="9" t="s">
        <v>123</v>
      </c>
      <c r="I588" s="9" t="s">
        <v>2027</v>
      </c>
      <c r="J588" s="9" t="s">
        <v>46</v>
      </c>
      <c r="K588" s="9" t="s">
        <v>299</v>
      </c>
      <c r="L588" s="9" t="s">
        <v>72</v>
      </c>
      <c r="M588" s="10" t="s">
        <v>562</v>
      </c>
      <c r="N588" s="9" t="str">
        <f ca="1">IFERROR(__xludf.DUMMYFUNCTION("REGEXEXTRACT(LOWER(M588), ""([a-z0-9\-]+)\.(?:co|net|org|io|gg)"")"),"screenrant")</f>
        <v>screenrant</v>
      </c>
      <c r="O588" s="9" t="s">
        <v>50</v>
      </c>
      <c r="P588" s="9" t="s">
        <v>39</v>
      </c>
      <c r="Q588" s="9">
        <v>81054</v>
      </c>
      <c r="R588" s="9">
        <v>265</v>
      </c>
      <c r="S588" s="9">
        <v>56762</v>
      </c>
      <c r="T588" s="9">
        <v>76198</v>
      </c>
      <c r="U588" s="9">
        <v>16</v>
      </c>
      <c r="V588" s="11">
        <v>1532.357841</v>
      </c>
      <c r="W588" s="12">
        <f t="shared" si="14"/>
        <v>95.7723650625</v>
      </c>
      <c r="X588" s="12">
        <f t="shared" si="15"/>
        <v>0.32694253213906777</v>
      </c>
      <c r="Y588" s="12">
        <f t="shared" si="16"/>
        <v>70.029856638784011</v>
      </c>
      <c r="Z588" s="12">
        <f t="shared" si="17"/>
        <v>26.996191836087526</v>
      </c>
      <c r="AA588" s="12">
        <f t="shared" si="18"/>
        <v>18.905394440743208</v>
      </c>
      <c r="AB588" s="12">
        <f t="shared" si="19"/>
        <v>5.7824824188679242</v>
      </c>
      <c r="AC588" s="12">
        <f t="shared" si="20"/>
        <v>6.0377358490566042</v>
      </c>
      <c r="AE588" s="13"/>
      <c r="AF588" s="13"/>
    </row>
    <row r="589" spans="1:32">
      <c r="A589" s="8" t="s">
        <v>2028</v>
      </c>
      <c r="B589" s="9" t="s">
        <v>66</v>
      </c>
      <c r="C589" s="9" t="s">
        <v>67</v>
      </c>
      <c r="D589" s="9" t="s">
        <v>2029</v>
      </c>
      <c r="E589" s="9"/>
      <c r="F589" s="9" t="str">
        <f ca="1">IFERROR(__xludf.DUMMYFUNCTION("IFS(
  REGEXMATCH(LOWER(VLOOKUP(A589, Data1_Raw_Slack!A:B, 2, FALSE)), ""news|weather""), ""News and Weather"", REGEXMATCH(LOWER(VLOOKUP(A589, Data1_Raw_Slack!A:B, 2, FALSE)), ""sports|ufc|nba|nfl|mlb|soccer|sports fans""), ""Sports"",
  REGEXMATCH(LOWER("&amp;"VLOOKUP(A589, Data1_Raw_Slack!A:B, 2, FALSE)), ""fashion|style|clothing|apparel|shoes|accessories|beauty|cosmetics|fashionistas""), ""Fashion and Beauty"",
  REGEXMATCH(LOWER(VLOOKUP(A589, Data1_Raw_Slack!A:B, 2, FALSE)), ""food|cooking|recipe|restaurant|"&amp;"snack|grocery|foodies""), ""Food"",
  REGEXMATCH(LOWER(VLOOKUP(A589, Data1_Raw_Slack!A:B, 2, FALSE)), ""travel|vacation|airline|hotel|trip|flights|travelers""), ""Travel"",
  REGEXMATCH(LOWER(VLOOKUP(A589, Data1_Raw_Slack!A:B, 2, FALSE)), ""fitness|workou"&amp;"t|gym|exercise|yoga|wellness|fitness enthusiasts""), ""Fitness"",
  REGEXMATCH(LOWER(VLOOKUP(A589, Data1_Raw_Slack!A:B, 2, FALSE)), ""health|medical|pharmacy|mental health|doctor|health-conscious""), ""Health"",
  REGEXMATCH(LOWER(VLOOKUP(A589, Data1_Raw_"&amp;"Slack!A:B, 2, FALSE)), ""pets|dogs|cats|animals|pet care|pet lovers""), ""Pets"",
  REGEXMATCH(LOWER(VLOOKUP(A589, Data1_Raw_Slack!A:B, 2, FALSE)), ""games|gaming|game|xbox|playstation|nintendo|gamers""), ""Gaming"",
  REGEXMATCH(LOWER(VLOOKUP(A589, Data1"&amp;"_Raw_Slack!A:B, 2, FALSE)), ""entertainment|movies|tv|netflix|streaming|celebrity|movie lovers|tv fans|hobb|photo|art""), ""Entertainment"",
  REGEXMATCH(LOWER(VLOOKUP(A589, Data1_Raw_Slack!A:B, 2, FALSE)), ""lifestyle|home|interior|decor|living|lifestyle"&amp;" enthusiasts""), ""Lifestyle"",
  REGEXMATCH(LOWER(VLOOKUP(A589, Data1_Raw_Slack!A:B, 2, FALSE)), ""financial|finance|investing|stocks|retirement|banking|credit|debt|loans|savings|personal finance|insurance|econ|ecom|business|retail|occupation|sale|job|ma"&amp;"rketing""), ""Finance"",
  REGEXMATCH(LOWER(VLOOKUP(A589, Data1_Raw_Slack!A:B, 2, FALSE)), ""auto|automotive""), ""Auto"",
  REGEXMATCH(LOWER(VLOOKUP(A589, Data1_Raw_Slack!A:B, 2, FALSE)), ""parenting|moms|dads|kids|toddlers|baby|parent|children""), ""Par"&amp;"enting"",
  REGEXMATCH(LOWER(VLOOKUP(A589, Data1_Raw_Slack!A:B, 2, FALSE)), ""education|students|learning|school|teachers|college|university|academics""), ""Education"",
  REGEXMATCH(LOWER(VLOOKUP(A589, Data1_Raw_Slack!A:B, 2, FALSE)), ""age|gender|dem"&amp;"ographic|family|household""), ""Demographics"",
  REGEXMATCH(LOWER(VLOOKUP(A589, Data1_Raw_Slack!A:B, 2, FALSE)), ""mortgage|real estate""), ""Real Estate"",REGEXMATCH(LOWER(VLOOKUP(A589, Data1_Raw_Slack!A:B, 2, FALSE)), ""technology|tech|gadgets|smartpho"&amp;"ne|electro|apps|devices|computing|ai|robots|software|computer|internet|tele|mobile|tablet""), ""Technology"", REGEXMATCH(LOWER(VLOOKUP(A589, Data1_Raw_Slack!A:B, 2, FALSE)), ""entertainment|purchas|movies|tv|netflix|streaming|celebrity|movie lovers|tv fan"&amp;"s|media|hobb|photo|art|shop""), ""Entertainment"", REGEXMATCH(LOWER(VLOOKUP(A589, Data1_Raw_Slack!A:B, 2, FALSE)), ""law|government|""), ""Law and Government"",
  TRUE, ""Other""
)"),"Entertainment")</f>
        <v>Entertainment</v>
      </c>
      <c r="G589" s="9" t="s">
        <v>69</v>
      </c>
      <c r="H589" s="9" t="s">
        <v>44</v>
      </c>
      <c r="I589" s="9" t="s">
        <v>2030</v>
      </c>
      <c r="J589" s="9" t="s">
        <v>62</v>
      </c>
      <c r="K589" s="9" t="s">
        <v>236</v>
      </c>
      <c r="L589" s="9" t="s">
        <v>82</v>
      </c>
      <c r="M589" s="10" t="s">
        <v>737</v>
      </c>
      <c r="N589" s="9" t="str">
        <f ca="1">IFERROR(__xludf.DUMMYFUNCTION("REGEXEXTRACT(LOWER(M589), ""([a-z0-9\-]+)\.(?:co|net|org|io|gg)"")"),"yellowpages")</f>
        <v>yellowpages</v>
      </c>
      <c r="O589" s="9" t="s">
        <v>186</v>
      </c>
      <c r="P589" s="9" t="s">
        <v>39</v>
      </c>
      <c r="Q589" s="9">
        <v>61227</v>
      </c>
      <c r="R589" s="9">
        <v>174</v>
      </c>
      <c r="S589" s="9">
        <v>10434</v>
      </c>
      <c r="T589" s="9">
        <v>53104</v>
      </c>
      <c r="U589" s="9">
        <v>8</v>
      </c>
      <c r="V589" s="11">
        <v>1919.553678</v>
      </c>
      <c r="W589" s="12">
        <f t="shared" si="14"/>
        <v>239.94420975</v>
      </c>
      <c r="X589" s="12">
        <f t="shared" si="15"/>
        <v>0.2841883482777206</v>
      </c>
      <c r="Y589" s="12">
        <f t="shared" si="16"/>
        <v>17.041501298446761</v>
      </c>
      <c r="Z589" s="12">
        <f t="shared" si="17"/>
        <v>183.97102530189764</v>
      </c>
      <c r="AA589" s="12">
        <f t="shared" si="18"/>
        <v>31.351424665588713</v>
      </c>
      <c r="AB589" s="12">
        <f t="shared" si="19"/>
        <v>11.031917689655172</v>
      </c>
      <c r="AC589" s="12">
        <f t="shared" si="20"/>
        <v>4.5977011494252871</v>
      </c>
      <c r="AE589" s="13"/>
      <c r="AF589" s="13"/>
    </row>
    <row r="590" spans="1:32">
      <c r="A590" s="8" t="s">
        <v>2031</v>
      </c>
      <c r="B590" s="9" t="s">
        <v>41</v>
      </c>
      <c r="C590" s="9" t="s">
        <v>127</v>
      </c>
      <c r="D590" s="9" t="s">
        <v>746</v>
      </c>
      <c r="E590" s="9" t="s">
        <v>2032</v>
      </c>
      <c r="F590" s="9" t="str">
        <f ca="1">IFERROR(__xludf.DUMMYFUNCTION("IFS(
  REGEXMATCH(LOWER(VLOOKUP(A590, Data1_Raw_Slack!A:B, 2, FALSE)), ""news|weather""), ""News and Weather"", REGEXMATCH(LOWER(VLOOKUP(A590, Data1_Raw_Slack!A:B, 2, FALSE)), ""sports|ufc|nba|nfl|mlb|soccer|sports fans""), ""Sports"",
  REGEXMATCH(LOWER("&amp;"VLOOKUP(A590, Data1_Raw_Slack!A:B, 2, FALSE)), ""fashion|style|clothing|apparel|shoes|accessories|beauty|cosmetics|fashionistas""), ""Fashion and Beauty"",
  REGEXMATCH(LOWER(VLOOKUP(A590, Data1_Raw_Slack!A:B, 2, FALSE)), ""food|cooking|recipe|restaurant|"&amp;"snack|grocery|foodies""), ""Food"",
  REGEXMATCH(LOWER(VLOOKUP(A590, Data1_Raw_Slack!A:B, 2, FALSE)), ""travel|vacation|airline|hotel|trip|flights|travelers""), ""Travel"",
  REGEXMATCH(LOWER(VLOOKUP(A590, Data1_Raw_Slack!A:B, 2, FALSE)), ""fitness|workou"&amp;"t|gym|exercise|yoga|wellness|fitness enthusiasts""), ""Fitness"",
  REGEXMATCH(LOWER(VLOOKUP(A590, Data1_Raw_Slack!A:B, 2, FALSE)), ""health|medical|pharmacy|mental health|doctor|health-conscious""), ""Health"",
  REGEXMATCH(LOWER(VLOOKUP(A590, Data1_Raw_"&amp;"Slack!A:B, 2, FALSE)), ""pets|dogs|cats|animals|pet care|pet lovers""), ""Pets"",
  REGEXMATCH(LOWER(VLOOKUP(A590, Data1_Raw_Slack!A:B, 2, FALSE)), ""games|gaming|game|xbox|playstation|nintendo|gamers""), ""Gaming"",
  REGEXMATCH(LOWER(VLOOKUP(A590, Data1"&amp;"_Raw_Slack!A:B, 2, FALSE)), ""entertainment|movies|tv|netflix|streaming|celebrity|movie lovers|tv fans|hobb|photo|art""), ""Entertainment"",
  REGEXMATCH(LOWER(VLOOKUP(A590, Data1_Raw_Slack!A:B, 2, FALSE)), ""lifestyle|home|interior|decor|living|lifestyle"&amp;" enthusiasts""), ""Lifestyle"",
  REGEXMATCH(LOWER(VLOOKUP(A590, Data1_Raw_Slack!A:B, 2, FALSE)), ""financial|finance|investing|stocks|retirement|banking|credit|debt|loans|savings|personal finance|insurance|econ|ecom|business|retail|occupation|sale|job|ma"&amp;"rketing""), ""Finance"",
  REGEXMATCH(LOWER(VLOOKUP(A590, Data1_Raw_Slack!A:B, 2, FALSE)), ""auto|automotive""), ""Auto"",
  REGEXMATCH(LOWER(VLOOKUP(A590, Data1_Raw_Slack!A:B, 2, FALSE)), ""parenting|moms|dads|kids|toddlers|baby|parent|children""), ""Par"&amp;"enting"",
  REGEXMATCH(LOWER(VLOOKUP(A590, Data1_Raw_Slack!A:B, 2, FALSE)), ""education|students|learning|school|teachers|college|university|academics""), ""Education"",
  REGEXMATCH(LOWER(VLOOKUP(A590, Data1_Raw_Slack!A:B, 2, FALSE)), ""age|gender|dem"&amp;"ographic|family|household""), ""Demographics"",
  REGEXMATCH(LOWER(VLOOKUP(A590, Data1_Raw_Slack!A:B, 2, FALSE)), ""mortgage|real estate""), ""Real Estate"",REGEXMATCH(LOWER(VLOOKUP(A590, Data1_Raw_Slack!A:B, 2, FALSE)), ""technology|tech|gadgets|smartpho"&amp;"ne|electro|apps|devices|computing|ai|robots|software|computer|internet|tele|mobile|tablet""), ""Technology"", REGEXMATCH(LOWER(VLOOKUP(A590, Data1_Raw_Slack!A:B, 2, FALSE)), ""entertainment|purchas|movies|tv|netflix|streaming|celebrity|movie lovers|tv fan"&amp;"s|media|hobb|photo|art|shop""), ""Entertainment"", REGEXMATCH(LOWER(VLOOKUP(A590, Data1_Raw_Slack!A:B, 2, FALSE)), ""law|government|""), ""Law and Government"",
  TRUE, ""Other""
)"),"Finance")</f>
        <v>Finance</v>
      </c>
      <c r="G590" s="9" t="s">
        <v>127</v>
      </c>
      <c r="H590" s="9" t="s">
        <v>32</v>
      </c>
      <c r="I590" s="9" t="s">
        <v>2033</v>
      </c>
      <c r="J590" s="9" t="s">
        <v>80</v>
      </c>
      <c r="K590" s="9" t="s">
        <v>56</v>
      </c>
      <c r="L590" s="9" t="s">
        <v>57</v>
      </c>
      <c r="M590" s="10" t="s">
        <v>112</v>
      </c>
      <c r="N590" s="9" t="str">
        <f ca="1">IFERROR(__xludf.DUMMYFUNCTION("REGEXEXTRACT(LOWER(M590), ""([a-z0-9\-]+)\.(?:co|net|org|io|gg)"")"),"ebay")</f>
        <v>ebay</v>
      </c>
      <c r="O590" s="9" t="s">
        <v>50</v>
      </c>
      <c r="P590" s="9" t="s">
        <v>39</v>
      </c>
      <c r="Q590" s="9">
        <v>221720</v>
      </c>
      <c r="R590" s="9">
        <v>499</v>
      </c>
      <c r="S590" s="9">
        <v>35178</v>
      </c>
      <c r="T590" s="9">
        <v>196583</v>
      </c>
      <c r="U590" s="9">
        <v>69</v>
      </c>
      <c r="V590" s="11">
        <v>7890.221963</v>
      </c>
      <c r="W590" s="12">
        <f t="shared" si="14"/>
        <v>114.35104294202898</v>
      </c>
      <c r="X590" s="12">
        <f t="shared" si="15"/>
        <v>0.22505863250947139</v>
      </c>
      <c r="Y590" s="12">
        <f t="shared" si="16"/>
        <v>15.865957062962293</v>
      </c>
      <c r="Z590" s="12">
        <f t="shared" si="17"/>
        <v>224.29421692535107</v>
      </c>
      <c r="AA590" s="12">
        <f t="shared" si="18"/>
        <v>35.586424152083715</v>
      </c>
      <c r="AB590" s="12">
        <f t="shared" si="19"/>
        <v>15.812068062124249</v>
      </c>
      <c r="AC590" s="12">
        <f t="shared" si="20"/>
        <v>13.827655310621243</v>
      </c>
      <c r="AE590" s="13"/>
      <c r="AF590" s="13"/>
    </row>
    <row r="591" spans="1:32">
      <c r="A591" s="8" t="s">
        <v>2034</v>
      </c>
      <c r="B591" s="9" t="s">
        <v>52</v>
      </c>
      <c r="C591" s="9" t="s">
        <v>204</v>
      </c>
      <c r="D591" s="9" t="s">
        <v>1710</v>
      </c>
      <c r="E591" s="9"/>
      <c r="F591" s="9" t="str">
        <f ca="1">IFERROR(__xludf.DUMMYFUNCTION("IFS(
  REGEXMATCH(LOWER(VLOOKUP(A591, Data1_Raw_Slack!A:B, 2, FALSE)), ""news|weather""), ""News and Weather"", REGEXMATCH(LOWER(VLOOKUP(A591, Data1_Raw_Slack!A:B, 2, FALSE)), ""sports|ufc|nba|nfl|mlb|soccer|sports fans""), ""Sports"",
  REGEXMATCH(LOWER("&amp;"VLOOKUP(A591, Data1_Raw_Slack!A:B, 2, FALSE)), ""fashion|style|clothing|apparel|shoes|accessories|beauty|cosmetics|fashionistas""), ""Fashion and Beauty"",
  REGEXMATCH(LOWER(VLOOKUP(A591, Data1_Raw_Slack!A:B, 2, FALSE)), ""food|cooking|recipe|restaurant|"&amp;"snack|grocery|foodies""), ""Food"",
  REGEXMATCH(LOWER(VLOOKUP(A591, Data1_Raw_Slack!A:B, 2, FALSE)), ""travel|vacation|airline|hotel|trip|flights|travelers""), ""Travel"",
  REGEXMATCH(LOWER(VLOOKUP(A591, Data1_Raw_Slack!A:B, 2, FALSE)), ""fitness|workou"&amp;"t|gym|exercise|yoga|wellness|fitness enthusiasts""), ""Fitness"",
  REGEXMATCH(LOWER(VLOOKUP(A591, Data1_Raw_Slack!A:B, 2, FALSE)), ""health|medical|pharmacy|mental health|doctor|health-conscious""), ""Health"",
  REGEXMATCH(LOWER(VLOOKUP(A591, Data1_Raw_"&amp;"Slack!A:B, 2, FALSE)), ""pets|dogs|cats|animals|pet care|pet lovers""), ""Pets"",
  REGEXMATCH(LOWER(VLOOKUP(A591, Data1_Raw_Slack!A:B, 2, FALSE)), ""games|gaming|game|xbox|playstation|nintendo|gamers""), ""Gaming"",
  REGEXMATCH(LOWER(VLOOKUP(A591, Data1"&amp;"_Raw_Slack!A:B, 2, FALSE)), ""entertainment|movies|tv|netflix|streaming|celebrity|movie lovers|tv fans|hobb|photo|art""), ""Entertainment"",
  REGEXMATCH(LOWER(VLOOKUP(A591, Data1_Raw_Slack!A:B, 2, FALSE)), ""lifestyle|home|interior|decor|living|lifestyle"&amp;" enthusiasts""), ""Lifestyle"",
  REGEXMATCH(LOWER(VLOOKUP(A591, Data1_Raw_Slack!A:B, 2, FALSE)), ""financial|finance|investing|stocks|retirement|banking|credit|debt|loans|savings|personal finance|insurance|econ|ecom|business|retail|occupation|sale|job|ma"&amp;"rketing""), ""Finance"",
  REGEXMATCH(LOWER(VLOOKUP(A591, Data1_Raw_Slack!A:B, 2, FALSE)), ""auto|automotive""), ""Auto"",
  REGEXMATCH(LOWER(VLOOKUP(A591, Data1_Raw_Slack!A:B, 2, FALSE)), ""parenting|moms|dads|kids|toddlers|baby|parent|children""), ""Par"&amp;"enting"",
  REGEXMATCH(LOWER(VLOOKUP(A591, Data1_Raw_Slack!A:B, 2, FALSE)), ""education|students|learning|school|teachers|college|university|academics""), ""Education"",
  REGEXMATCH(LOWER(VLOOKUP(A591, Data1_Raw_Slack!A:B, 2, FALSE)), ""age|gender|dem"&amp;"ographic|family|household""), ""Demographics"",
  REGEXMATCH(LOWER(VLOOKUP(A591, Data1_Raw_Slack!A:B, 2, FALSE)), ""mortgage|real estate""), ""Real Estate"",REGEXMATCH(LOWER(VLOOKUP(A591, Data1_Raw_Slack!A:B, 2, FALSE)), ""technology|tech|gadgets|smartpho"&amp;"ne|electro|apps|devices|computing|ai|robots|software|computer|internet|tele|mobile|tablet""), ""Technology"", REGEXMATCH(LOWER(VLOOKUP(A591, Data1_Raw_Slack!A:B, 2, FALSE)), ""entertainment|purchas|movies|tv|netflix|streaming|celebrity|movie lovers|tv fan"&amp;"s|media|hobb|photo|art|shop""), ""Entertainment"", REGEXMATCH(LOWER(VLOOKUP(A591, Data1_Raw_Slack!A:B, 2, FALSE)), ""law|government|""), ""Law and Government"",
  TRUE, ""Other""
)"),"Entertainment")</f>
        <v>Entertainment</v>
      </c>
      <c r="G591" s="9"/>
      <c r="H591" s="9" t="s">
        <v>44</v>
      </c>
      <c r="I591" s="9" t="s">
        <v>1444</v>
      </c>
      <c r="J591" s="9" t="s">
        <v>62</v>
      </c>
      <c r="K591" s="9" t="s">
        <v>148</v>
      </c>
      <c r="L591" s="9" t="s">
        <v>89</v>
      </c>
      <c r="M591" s="10" t="s">
        <v>354</v>
      </c>
      <c r="N591" s="9" t="str">
        <f ca="1">IFERROR(__xludf.DUMMYFUNCTION("REGEXEXTRACT(LOWER(M591), ""([a-z0-9\-]+)\.(?:co|net|org|io|gg)"")"),"yahoo")</f>
        <v>yahoo</v>
      </c>
      <c r="O591" s="9" t="s">
        <v>74</v>
      </c>
      <c r="P591" s="9" t="s">
        <v>39</v>
      </c>
      <c r="Q591" s="9">
        <v>556152</v>
      </c>
      <c r="R591" s="9">
        <v>1867</v>
      </c>
      <c r="S591" s="9">
        <v>221833</v>
      </c>
      <c r="T591" s="9">
        <v>480882</v>
      </c>
      <c r="U591" s="9">
        <v>7</v>
      </c>
      <c r="V591" s="11">
        <v>1818.100044</v>
      </c>
      <c r="W591" s="12">
        <f t="shared" si="14"/>
        <v>259.72857771428573</v>
      </c>
      <c r="X591" s="12">
        <f t="shared" si="15"/>
        <v>0.33569959291704426</v>
      </c>
      <c r="Y591" s="12">
        <f t="shared" si="16"/>
        <v>39.887117190983759</v>
      </c>
      <c r="Z591" s="12">
        <f t="shared" si="17"/>
        <v>8.1958051507214904</v>
      </c>
      <c r="AA591" s="12">
        <f t="shared" si="18"/>
        <v>3.2690704052129633</v>
      </c>
      <c r="AB591" s="12">
        <f t="shared" si="19"/>
        <v>0.9738082720942689</v>
      </c>
      <c r="AC591" s="12">
        <f t="shared" si="20"/>
        <v>0.37493304767005892</v>
      </c>
      <c r="AE591" s="13"/>
      <c r="AF591" s="13"/>
    </row>
    <row r="592" spans="1:32">
      <c r="A592" s="8" t="s">
        <v>2035</v>
      </c>
      <c r="B592" s="9" t="s">
        <v>41</v>
      </c>
      <c r="C592" s="9" t="s">
        <v>162</v>
      </c>
      <c r="D592" s="9" t="s">
        <v>163</v>
      </c>
      <c r="E592" s="9" t="s">
        <v>2036</v>
      </c>
      <c r="F592" s="9" t="str">
        <f ca="1">IFERROR(__xludf.DUMMYFUNCTION("IFS(
  REGEXMATCH(LOWER(VLOOKUP(A592, Data1_Raw_Slack!A:B, 2, FALSE)), ""news|weather""), ""News and Weather"", REGEXMATCH(LOWER(VLOOKUP(A592, Data1_Raw_Slack!A:B, 2, FALSE)), ""sports|ufc|nba|nfl|mlb|soccer|sports fans""), ""Sports"",
  REGEXMATCH(LOWER("&amp;"VLOOKUP(A592, Data1_Raw_Slack!A:B, 2, FALSE)), ""fashion|style|clothing|apparel|shoes|accessories|beauty|cosmetics|fashionistas""), ""Fashion and Beauty"",
  REGEXMATCH(LOWER(VLOOKUP(A592, Data1_Raw_Slack!A:B, 2, FALSE)), ""food|cooking|recipe|restaurant|"&amp;"snack|grocery|foodies""), ""Food"",
  REGEXMATCH(LOWER(VLOOKUP(A592, Data1_Raw_Slack!A:B, 2, FALSE)), ""travel|vacation|airline|hotel|trip|flights|travelers""), ""Travel"",
  REGEXMATCH(LOWER(VLOOKUP(A592, Data1_Raw_Slack!A:B, 2, FALSE)), ""fitness|workou"&amp;"t|gym|exercise|yoga|wellness|fitness enthusiasts""), ""Fitness"",
  REGEXMATCH(LOWER(VLOOKUP(A592, Data1_Raw_Slack!A:B, 2, FALSE)), ""health|medical|pharmacy|mental health|doctor|health-conscious""), ""Health"",
  REGEXMATCH(LOWER(VLOOKUP(A592, Data1_Raw_"&amp;"Slack!A:B, 2, FALSE)), ""pets|dogs|cats|animals|pet care|pet lovers""), ""Pets"",
  REGEXMATCH(LOWER(VLOOKUP(A592, Data1_Raw_Slack!A:B, 2, FALSE)), ""games|gaming|game|xbox|playstation|nintendo|gamers""), ""Gaming"",
  REGEXMATCH(LOWER(VLOOKUP(A592, Data1"&amp;"_Raw_Slack!A:B, 2, FALSE)), ""entertainment|movies|tv|netflix|streaming|celebrity|movie lovers|tv fans|hobb|photo|art""), ""Entertainment"",
  REGEXMATCH(LOWER(VLOOKUP(A592, Data1_Raw_Slack!A:B, 2, FALSE)), ""lifestyle|home|interior|decor|living|lifestyle"&amp;" enthusiasts""), ""Lifestyle"",
  REGEXMATCH(LOWER(VLOOKUP(A592, Data1_Raw_Slack!A:B, 2, FALSE)), ""financial|finance|investing|stocks|retirement|banking|credit|debt|loans|savings|personal finance|insurance|econ|ecom|business|retail|occupation|sale|job|ma"&amp;"rketing""), ""Finance"",
  REGEXMATCH(LOWER(VLOOKUP(A592, Data1_Raw_Slack!A:B, 2, FALSE)), ""auto|automotive""), ""Auto"",
  REGEXMATCH(LOWER(VLOOKUP(A592, Data1_Raw_Slack!A:B, 2, FALSE)), ""parenting|moms|dads|kids|toddlers|baby|parent|children""), ""Par"&amp;"enting"",
  REGEXMATCH(LOWER(VLOOKUP(A592, Data1_Raw_Slack!A:B, 2, FALSE)), ""education|students|learning|school|teachers|college|university|academics""), ""Education"",
  REGEXMATCH(LOWER(VLOOKUP(A592, Data1_Raw_Slack!A:B, 2, FALSE)), ""age|gender|dem"&amp;"ographic|family|household""), ""Demographics"",
  REGEXMATCH(LOWER(VLOOKUP(A592, Data1_Raw_Slack!A:B, 2, FALSE)), ""mortgage|real estate""), ""Real Estate"",REGEXMATCH(LOWER(VLOOKUP(A592, Data1_Raw_Slack!A:B, 2, FALSE)), ""technology|tech|gadgets|smartpho"&amp;"ne|electro|apps|devices|computing|ai|robots|software|computer|internet|tele|mobile|tablet""), ""Technology"", REGEXMATCH(LOWER(VLOOKUP(A592, Data1_Raw_Slack!A:B, 2, FALSE)), ""entertainment|purchas|movies|tv|netflix|streaming|celebrity|movie lovers|tv fan"&amp;"s|media|hobb|photo|art|shop""), ""Entertainment"", REGEXMATCH(LOWER(VLOOKUP(A592, Data1_Raw_Slack!A:B, 2, FALSE)), ""law|government|""), ""Law and Government"",
  TRUE, ""Other""
)"),"Auto")</f>
        <v>Auto</v>
      </c>
      <c r="G592" s="9" t="s">
        <v>122</v>
      </c>
      <c r="H592" s="9" t="s">
        <v>32</v>
      </c>
      <c r="I592" s="9" t="s">
        <v>311</v>
      </c>
      <c r="J592" s="9" t="s">
        <v>80</v>
      </c>
      <c r="K592" s="9" t="s">
        <v>142</v>
      </c>
      <c r="L592" s="9" t="s">
        <v>72</v>
      </c>
      <c r="M592" s="10" t="s">
        <v>2037</v>
      </c>
      <c r="N592" s="9" t="str">
        <f ca="1">IFERROR(__xludf.DUMMYFUNCTION("REGEXEXTRACT(LOWER(M592), ""([a-z0-9\-]+)\.(?:co|net|org|io|gg)"")"),"britannica")</f>
        <v>britannica</v>
      </c>
      <c r="O592" s="9" t="s">
        <v>50</v>
      </c>
      <c r="P592" s="9" t="s">
        <v>39</v>
      </c>
      <c r="Q592" s="9">
        <v>8068</v>
      </c>
      <c r="R592" s="9">
        <v>10</v>
      </c>
      <c r="S592" s="9">
        <v>5545</v>
      </c>
      <c r="T592" s="9">
        <v>7554</v>
      </c>
      <c r="U592" s="9">
        <v>1</v>
      </c>
      <c r="V592" s="11">
        <v>5995.0410019999999</v>
      </c>
      <c r="W592" s="12">
        <f t="shared" si="14"/>
        <v>5995.0410019999999</v>
      </c>
      <c r="X592" s="12">
        <f t="shared" si="15"/>
        <v>0.12394645513138325</v>
      </c>
      <c r="Y592" s="12">
        <f t="shared" si="16"/>
        <v>68.728309370352008</v>
      </c>
      <c r="Z592" s="12">
        <f t="shared" si="17"/>
        <v>1081.1615873760143</v>
      </c>
      <c r="AA592" s="12">
        <f t="shared" si="18"/>
        <v>743.06408056519581</v>
      </c>
      <c r="AB592" s="12">
        <f t="shared" si="19"/>
        <v>599.50410020000004</v>
      </c>
      <c r="AC592" s="12">
        <f t="shared" si="20"/>
        <v>10</v>
      </c>
      <c r="AE592" s="13"/>
      <c r="AF592" s="13"/>
    </row>
    <row r="593" spans="1:32">
      <c r="A593" s="8" t="s">
        <v>2038</v>
      </c>
      <c r="B593" s="9" t="s">
        <v>144</v>
      </c>
      <c r="C593" s="9" t="s">
        <v>85</v>
      </c>
      <c r="D593" s="9"/>
      <c r="E593" s="9"/>
      <c r="F593" s="9" t="str">
        <f ca="1">IFERROR(__xludf.DUMMYFUNCTION("IFS(
  REGEXMATCH(LOWER(VLOOKUP(A593, Data1_Raw_Slack!A:B, 2, FALSE)), ""news|weather""), ""News and Weather"", REGEXMATCH(LOWER(VLOOKUP(A593, Data1_Raw_Slack!A:B, 2, FALSE)), ""sports|ufc|nba|nfl|mlb|soccer|sports fans""), ""Sports"",
  REGEXMATCH(LOWER("&amp;"VLOOKUP(A593, Data1_Raw_Slack!A:B, 2, FALSE)), ""fashion|style|clothing|apparel|shoes|accessories|beauty|cosmetics|fashionistas""), ""Fashion and Beauty"",
  REGEXMATCH(LOWER(VLOOKUP(A593, Data1_Raw_Slack!A:B, 2, FALSE)), ""food|cooking|recipe|restaurant|"&amp;"snack|grocery|foodies""), ""Food"",
  REGEXMATCH(LOWER(VLOOKUP(A593, Data1_Raw_Slack!A:B, 2, FALSE)), ""travel|vacation|airline|hotel|trip|flights|travelers""), ""Travel"",
  REGEXMATCH(LOWER(VLOOKUP(A593, Data1_Raw_Slack!A:B, 2, FALSE)), ""fitness|workou"&amp;"t|gym|exercise|yoga|wellness|fitness enthusiasts""), ""Fitness"",
  REGEXMATCH(LOWER(VLOOKUP(A593, Data1_Raw_Slack!A:B, 2, FALSE)), ""health|medical|pharmacy|mental health|doctor|health-conscious""), ""Health"",
  REGEXMATCH(LOWER(VLOOKUP(A593, Data1_Raw_"&amp;"Slack!A:B, 2, FALSE)), ""pets|dogs|cats|animals|pet care|pet lovers""), ""Pets"",
  REGEXMATCH(LOWER(VLOOKUP(A593, Data1_Raw_Slack!A:B, 2, FALSE)), ""games|gaming|game|xbox|playstation|nintendo|gamers""), ""Gaming"",
  REGEXMATCH(LOWER(VLOOKUP(A593, Data1"&amp;"_Raw_Slack!A:B, 2, FALSE)), ""entertainment|movies|tv|netflix|streaming|celebrity|movie lovers|tv fans|hobb|photo|art""), ""Entertainment"",
  REGEXMATCH(LOWER(VLOOKUP(A593, Data1_Raw_Slack!A:B, 2, FALSE)), ""lifestyle|home|interior|decor|living|lifestyle"&amp;" enthusiasts""), ""Lifestyle"",
  REGEXMATCH(LOWER(VLOOKUP(A593, Data1_Raw_Slack!A:B, 2, FALSE)), ""financial|finance|investing|stocks|retirement|banking|credit|debt|loans|savings|personal finance|insurance|econ|ecom|business|retail|occupation|sale|job|ma"&amp;"rketing""), ""Finance"",
  REGEXMATCH(LOWER(VLOOKUP(A593, Data1_Raw_Slack!A:B, 2, FALSE)), ""auto|automotive""), ""Auto"",
  REGEXMATCH(LOWER(VLOOKUP(A593, Data1_Raw_Slack!A:B, 2, FALSE)), ""parenting|moms|dads|kids|toddlers|baby|parent|children""), ""Par"&amp;"enting"",
  REGEXMATCH(LOWER(VLOOKUP(A593, Data1_Raw_Slack!A:B, 2, FALSE)), ""education|students|learning|school|teachers|college|university|academics""), ""Education"",
  REGEXMATCH(LOWER(VLOOKUP(A593, Data1_Raw_Slack!A:B, 2, FALSE)), ""age|gender|dem"&amp;"ographic|family|household""), ""Demographics"",
  REGEXMATCH(LOWER(VLOOKUP(A593, Data1_Raw_Slack!A:B, 2, FALSE)), ""mortgage|real estate""), ""Real Estate"",REGEXMATCH(LOWER(VLOOKUP(A593, Data1_Raw_Slack!A:B, 2, FALSE)), ""technology|tech|gadgets|smartpho"&amp;"ne|electro|apps|devices|computing|ai|robots|software|computer|internet|tele|mobile|tablet""), ""Technology"", REGEXMATCH(LOWER(VLOOKUP(A593, Data1_Raw_Slack!A:B, 2, FALSE)), ""entertainment|purchas|movies|tv|netflix|streaming|celebrity|movie lovers|tv fan"&amp;"s|media|hobb|photo|art|shop""), ""Entertainment"", REGEXMATCH(LOWER(VLOOKUP(A593, Data1_Raw_Slack!A:B, 2, FALSE)), ""law|government|""), ""Law and Government"",
  TRUE, ""Other""
)"),"Travel")</f>
        <v>Travel</v>
      </c>
      <c r="G593" s="9" t="s">
        <v>85</v>
      </c>
      <c r="H593" s="9" t="s">
        <v>44</v>
      </c>
      <c r="I593" s="9" t="s">
        <v>713</v>
      </c>
      <c r="J593" s="9" t="s">
        <v>80</v>
      </c>
      <c r="K593" s="9" t="s">
        <v>236</v>
      </c>
      <c r="L593" s="9" t="s">
        <v>82</v>
      </c>
      <c r="M593" s="10" t="s">
        <v>229</v>
      </c>
      <c r="N593" s="9" t="str">
        <f ca="1">IFERROR(__xludf.DUMMYFUNCTION("REGEXEXTRACT(LOWER(M593), ""([a-z0-9\-]+)\.(?:co|net|org|io|gg)"")"),"msn")</f>
        <v>msn</v>
      </c>
      <c r="O593" s="9" t="s">
        <v>103</v>
      </c>
      <c r="P593" s="9" t="s">
        <v>64</v>
      </c>
      <c r="Q593" s="9">
        <v>96031</v>
      </c>
      <c r="R593" s="9">
        <v>311</v>
      </c>
      <c r="S593" s="9">
        <v>57187</v>
      </c>
      <c r="T593" s="9">
        <v>78396</v>
      </c>
      <c r="U593" s="9">
        <v>21</v>
      </c>
      <c r="V593" s="11">
        <v>1508.9076700000001</v>
      </c>
      <c r="W593" s="12">
        <f t="shared" si="14"/>
        <v>71.852746190476196</v>
      </c>
      <c r="X593" s="12">
        <f t="shared" si="15"/>
        <v>0.32385375555810103</v>
      </c>
      <c r="Y593" s="12">
        <f t="shared" si="16"/>
        <v>59.550561797752813</v>
      </c>
      <c r="Z593" s="12">
        <f t="shared" si="17"/>
        <v>26.385501425149073</v>
      </c>
      <c r="AA593" s="12">
        <f t="shared" si="18"/>
        <v>15.712714331830346</v>
      </c>
      <c r="AB593" s="12">
        <f t="shared" si="19"/>
        <v>4.8517931511254018</v>
      </c>
      <c r="AC593" s="12">
        <f t="shared" si="20"/>
        <v>6.7524115755627019</v>
      </c>
      <c r="AE593" s="13"/>
      <c r="AF593" s="13"/>
    </row>
    <row r="594" spans="1:32">
      <c r="A594" s="8" t="s">
        <v>2039</v>
      </c>
      <c r="B594" s="9" t="s">
        <v>92</v>
      </c>
      <c r="C594" s="9" t="s">
        <v>178</v>
      </c>
      <c r="D594" s="9" t="s">
        <v>465</v>
      </c>
      <c r="E594" s="9" t="s">
        <v>2040</v>
      </c>
      <c r="F594" s="9" t="str">
        <f ca="1">IFERROR(__xludf.DUMMYFUNCTION("IFS(
  REGEXMATCH(LOWER(VLOOKUP(A594, Data1_Raw_Slack!A:B, 2, FALSE)), ""news|weather""), ""News and Weather"", REGEXMATCH(LOWER(VLOOKUP(A594, Data1_Raw_Slack!A:B, 2, FALSE)), ""sports|ufc|nba|nfl|mlb|soccer|sports fans""), ""Sports"",
  REGEXMATCH(LOWER("&amp;"VLOOKUP(A594, Data1_Raw_Slack!A:B, 2, FALSE)), ""fashion|style|clothing|apparel|shoes|accessories|beauty|cosmetics|fashionistas""), ""Fashion and Beauty"",
  REGEXMATCH(LOWER(VLOOKUP(A594, Data1_Raw_Slack!A:B, 2, FALSE)), ""food|cooking|recipe|restaurant|"&amp;"snack|grocery|foodies""), ""Food"",
  REGEXMATCH(LOWER(VLOOKUP(A594, Data1_Raw_Slack!A:B, 2, FALSE)), ""travel|vacation|airline|hotel|trip|flights|travelers""), ""Travel"",
  REGEXMATCH(LOWER(VLOOKUP(A594, Data1_Raw_Slack!A:B, 2, FALSE)), ""fitness|workou"&amp;"t|gym|exercise|yoga|wellness|fitness enthusiasts""), ""Fitness"",
  REGEXMATCH(LOWER(VLOOKUP(A594, Data1_Raw_Slack!A:B, 2, FALSE)), ""health|medical|pharmacy|mental health|doctor|health-conscious""), ""Health"",
  REGEXMATCH(LOWER(VLOOKUP(A594, Data1_Raw_"&amp;"Slack!A:B, 2, FALSE)), ""pets|dogs|cats|animals|pet care|pet lovers""), ""Pets"",
  REGEXMATCH(LOWER(VLOOKUP(A594, Data1_Raw_Slack!A:B, 2, FALSE)), ""games|gaming|game|xbox|playstation|nintendo|gamers""), ""Gaming"",
  REGEXMATCH(LOWER(VLOOKUP(A594, Data1"&amp;"_Raw_Slack!A:B, 2, FALSE)), ""entertainment|movies|tv|netflix|streaming|celebrity|movie lovers|tv fans|hobb|photo|art""), ""Entertainment"",
  REGEXMATCH(LOWER(VLOOKUP(A594, Data1_Raw_Slack!A:B, 2, FALSE)), ""lifestyle|home|interior|decor|living|lifestyle"&amp;" enthusiasts""), ""Lifestyle"",
  REGEXMATCH(LOWER(VLOOKUP(A594, Data1_Raw_Slack!A:B, 2, FALSE)), ""financial|finance|investing|stocks|retirement|banking|credit|debt|loans|savings|personal finance|insurance|econ|ecom|business|retail|occupation|sale|job|ma"&amp;"rketing""), ""Finance"",
  REGEXMATCH(LOWER(VLOOKUP(A594, Data1_Raw_Slack!A:B, 2, FALSE)), ""auto|automotive""), ""Auto"",
  REGEXMATCH(LOWER(VLOOKUP(A594, Data1_Raw_Slack!A:B, 2, FALSE)), ""parenting|moms|dads|kids|toddlers|baby|parent|children""), ""Par"&amp;"enting"",
  REGEXMATCH(LOWER(VLOOKUP(A594, Data1_Raw_Slack!A:B, 2, FALSE)), ""education|students|learning|school|teachers|college|university|academics""), ""Education"",
  REGEXMATCH(LOWER(VLOOKUP(A594, Data1_Raw_Slack!A:B, 2, FALSE)), ""age|gender|dem"&amp;"ographic|family|household""), ""Demographics"",
  REGEXMATCH(LOWER(VLOOKUP(A594, Data1_Raw_Slack!A:B, 2, FALSE)), ""mortgage|real estate""), ""Real Estate"",REGEXMATCH(LOWER(VLOOKUP(A594, Data1_Raw_Slack!A:B, 2, FALSE)), ""technology|tech|gadgets|smartpho"&amp;"ne|electro|apps|devices|computing|ai|robots|software|computer|internet|tele|mobile|tablet""), ""Technology"", REGEXMATCH(LOWER(VLOOKUP(A594, Data1_Raw_Slack!A:B, 2, FALSE)), ""entertainment|purchas|movies|tv|netflix|streaming|celebrity|movie lovers|tv fan"&amp;"s|media|hobb|photo|art|shop""), ""Entertainment"", REGEXMATCH(LOWER(VLOOKUP(A594, Data1_Raw_Slack!A:B, 2, FALSE)), ""law|government|""), ""Law and Government"",
  TRUE, ""Other""
)"),"Pets")</f>
        <v>Pets</v>
      </c>
      <c r="G594" s="9"/>
      <c r="H594" s="9" t="s">
        <v>44</v>
      </c>
      <c r="I594" s="9" t="s">
        <v>1086</v>
      </c>
      <c r="J594" s="9" t="s">
        <v>34</v>
      </c>
      <c r="K594" s="9" t="s">
        <v>148</v>
      </c>
      <c r="L594" s="9" t="s">
        <v>89</v>
      </c>
      <c r="M594" s="10" t="s">
        <v>229</v>
      </c>
      <c r="N594" s="9" t="str">
        <f ca="1">IFERROR(__xludf.DUMMYFUNCTION("REGEXEXTRACT(LOWER(M594), ""([a-z0-9\-]+)\.(?:co|net|org|io|gg)"")"),"msn")</f>
        <v>msn</v>
      </c>
      <c r="O594" s="9" t="s">
        <v>50</v>
      </c>
      <c r="P594" s="9" t="s">
        <v>39</v>
      </c>
      <c r="Q594" s="9">
        <v>321263</v>
      </c>
      <c r="R594" s="9">
        <v>852</v>
      </c>
      <c r="S594" s="9">
        <v>172887</v>
      </c>
      <c r="T594" s="9">
        <v>263424</v>
      </c>
      <c r="U594" s="9">
        <v>6</v>
      </c>
      <c r="V594" s="11">
        <v>1576.051434</v>
      </c>
      <c r="W594" s="12">
        <f t="shared" si="14"/>
        <v>262.67523899999998</v>
      </c>
      <c r="X594" s="12">
        <f t="shared" si="15"/>
        <v>0.26520327582074499</v>
      </c>
      <c r="Y594" s="12">
        <f t="shared" si="16"/>
        <v>53.814787261527165</v>
      </c>
      <c r="Z594" s="12">
        <f t="shared" si="17"/>
        <v>9.1160783286192721</v>
      </c>
      <c r="AA594" s="12">
        <f t="shared" si="18"/>
        <v>4.9057981591406419</v>
      </c>
      <c r="AB594" s="12">
        <f t="shared" si="19"/>
        <v>1.8498256267605633</v>
      </c>
      <c r="AC594" s="12">
        <f t="shared" si="20"/>
        <v>0.70422535211267612</v>
      </c>
      <c r="AE594" s="13"/>
      <c r="AF594" s="13"/>
    </row>
    <row r="595" spans="1:32">
      <c r="A595" s="8" t="s">
        <v>2041</v>
      </c>
      <c r="B595" s="9" t="s">
        <v>41</v>
      </c>
      <c r="C595" s="9" t="s">
        <v>154</v>
      </c>
      <c r="D595" s="9" t="s">
        <v>975</v>
      </c>
      <c r="E595" s="9" t="s">
        <v>2042</v>
      </c>
      <c r="F595" s="9" t="str">
        <f ca="1">IFERROR(__xludf.DUMMYFUNCTION("IFS(
  REGEXMATCH(LOWER(VLOOKUP(A595, Data1_Raw_Slack!A:B, 2, FALSE)), ""news|weather""), ""News and Weather"", REGEXMATCH(LOWER(VLOOKUP(A595, Data1_Raw_Slack!A:B, 2, FALSE)), ""sports|ufc|nba|nfl|mlb|soccer|sports fans""), ""Sports"",
  REGEXMATCH(LOWER("&amp;"VLOOKUP(A595, Data1_Raw_Slack!A:B, 2, FALSE)), ""fashion|style|clothing|apparel|shoes|accessories|beauty|cosmetics|fashionistas""), ""Fashion and Beauty"",
  REGEXMATCH(LOWER(VLOOKUP(A595, Data1_Raw_Slack!A:B, 2, FALSE)), ""food|cooking|recipe|restaurant|"&amp;"snack|grocery|foodies""), ""Food"",
  REGEXMATCH(LOWER(VLOOKUP(A595, Data1_Raw_Slack!A:B, 2, FALSE)), ""travel|vacation|airline|hotel|trip|flights|travelers""), ""Travel"",
  REGEXMATCH(LOWER(VLOOKUP(A595, Data1_Raw_Slack!A:B, 2, FALSE)), ""fitness|workou"&amp;"t|gym|exercise|yoga|wellness|fitness enthusiasts""), ""Fitness"",
  REGEXMATCH(LOWER(VLOOKUP(A595, Data1_Raw_Slack!A:B, 2, FALSE)), ""health|medical|pharmacy|mental health|doctor|health-conscious""), ""Health"",
  REGEXMATCH(LOWER(VLOOKUP(A595, Data1_Raw_"&amp;"Slack!A:B, 2, FALSE)), ""pets|dogs|cats|animals|pet care|pet lovers""), ""Pets"",
  REGEXMATCH(LOWER(VLOOKUP(A595, Data1_Raw_Slack!A:B, 2, FALSE)), ""games|gaming|game|xbox|playstation|nintendo|gamers""), ""Gaming"",
  REGEXMATCH(LOWER(VLOOKUP(A595, Data1"&amp;"_Raw_Slack!A:B, 2, FALSE)), ""entertainment|movies|tv|netflix|streaming|celebrity|movie lovers|tv fans|hobb|photo|art""), ""Entertainment"",
  REGEXMATCH(LOWER(VLOOKUP(A595, Data1_Raw_Slack!A:B, 2, FALSE)), ""lifestyle|home|interior|decor|living|lifestyle"&amp;" enthusiasts""), ""Lifestyle"",
  REGEXMATCH(LOWER(VLOOKUP(A595, Data1_Raw_Slack!A:B, 2, FALSE)), ""financial|finance|investing|stocks|retirement|banking|credit|debt|loans|savings|personal finance|insurance|econ|ecom|business|retail|occupation|sale|job|ma"&amp;"rketing""), ""Finance"",
  REGEXMATCH(LOWER(VLOOKUP(A595, Data1_Raw_Slack!A:B, 2, FALSE)), ""auto|automotive""), ""Auto"",
  REGEXMATCH(LOWER(VLOOKUP(A595, Data1_Raw_Slack!A:B, 2, FALSE)), ""parenting|moms|dads|kids|toddlers|baby|parent|children""), ""Par"&amp;"enting"",
  REGEXMATCH(LOWER(VLOOKUP(A595, Data1_Raw_Slack!A:B, 2, FALSE)), ""education|students|learning|school|teachers|college|university|academics""), ""Education"",
  REGEXMATCH(LOWER(VLOOKUP(A595, Data1_Raw_Slack!A:B, 2, FALSE)), ""age|gender|dem"&amp;"ographic|family|household""), ""Demographics"",
  REGEXMATCH(LOWER(VLOOKUP(A595, Data1_Raw_Slack!A:B, 2, FALSE)), ""mortgage|real estate""), ""Real Estate"",REGEXMATCH(LOWER(VLOOKUP(A595, Data1_Raw_Slack!A:B, 2, FALSE)), ""technology|tech|gadgets|smartpho"&amp;"ne|electro|apps|devices|computing|ai|robots|software|computer|internet|tele|mobile|tablet""), ""Technology"", REGEXMATCH(LOWER(VLOOKUP(A595, Data1_Raw_Slack!A:B, 2, FALSE)), ""entertainment|purchas|movies|tv|netflix|streaming|celebrity|movie lovers|tv fan"&amp;"s|media|hobb|photo|art|shop""), ""Entertainment"", REGEXMATCH(LOWER(VLOOKUP(A595, Data1_Raw_Slack!A:B, 2, FALSE)), ""law|government|""), ""Law and Government"",
  TRUE, ""Other""
)"),"Sports")</f>
        <v>Sports</v>
      </c>
      <c r="G595" s="9" t="s">
        <v>154</v>
      </c>
      <c r="H595" s="9" t="s">
        <v>32</v>
      </c>
      <c r="I595" s="9" t="s">
        <v>2043</v>
      </c>
      <c r="J595" s="9" t="s">
        <v>62</v>
      </c>
      <c r="K595" s="9" t="s">
        <v>176</v>
      </c>
      <c r="L595" s="9" t="s">
        <v>36</v>
      </c>
      <c r="M595" s="10" t="s">
        <v>1272</v>
      </c>
      <c r="N595" s="9" t="str">
        <f ca="1">IFERROR(__xludf.DUMMYFUNCTION("REGEXEXTRACT(LOWER(M595), ""([a-z0-9\-]+)\.(?:co|net|org|io|gg)"")"),"calculator")</f>
        <v>calculator</v>
      </c>
      <c r="O595" s="9" t="s">
        <v>50</v>
      </c>
      <c r="P595" s="9" t="s">
        <v>39</v>
      </c>
      <c r="Q595" s="9">
        <v>29251</v>
      </c>
      <c r="R595" s="9">
        <v>95</v>
      </c>
      <c r="S595" s="9">
        <v>25060</v>
      </c>
      <c r="T595" s="9">
        <v>28038</v>
      </c>
      <c r="U595" s="9">
        <v>8</v>
      </c>
      <c r="V595" s="11">
        <v>5994.7468339999996</v>
      </c>
      <c r="W595" s="12">
        <f t="shared" si="14"/>
        <v>749.34335424999995</v>
      </c>
      <c r="X595" s="12">
        <f t="shared" si="15"/>
        <v>0.32477522135995351</v>
      </c>
      <c r="Y595" s="12">
        <f t="shared" si="16"/>
        <v>85.672284708215102</v>
      </c>
      <c r="Z595" s="12">
        <f t="shared" si="17"/>
        <v>239.21575554668792</v>
      </c>
      <c r="AA595" s="12">
        <f t="shared" si="18"/>
        <v>204.94160315886634</v>
      </c>
      <c r="AB595" s="12">
        <f t="shared" si="19"/>
        <v>63.102598252631573</v>
      </c>
      <c r="AC595" s="12">
        <f t="shared" si="20"/>
        <v>8.4210526315789469</v>
      </c>
      <c r="AE595" s="13"/>
      <c r="AF595" s="13"/>
    </row>
    <row r="596" spans="1:32">
      <c r="A596" s="8" t="s">
        <v>2044</v>
      </c>
      <c r="B596" s="9" t="s">
        <v>874</v>
      </c>
      <c r="C596" s="9" t="s">
        <v>122</v>
      </c>
      <c r="D596" s="9" t="s">
        <v>2045</v>
      </c>
      <c r="E596" s="9" t="s">
        <v>2046</v>
      </c>
      <c r="F596" s="9" t="str">
        <f ca="1">IFERROR(__xludf.DUMMYFUNCTION("IFS(
  REGEXMATCH(LOWER(VLOOKUP(A596, Data1_Raw_Slack!A:B, 2, FALSE)), ""news|weather""), ""News and Weather"", REGEXMATCH(LOWER(VLOOKUP(A596, Data1_Raw_Slack!A:B, 2, FALSE)), ""sports|ufc|nba|nfl|mlb|soccer|sports fans""), ""Sports"",
  REGEXMATCH(LOWER("&amp;"VLOOKUP(A596, Data1_Raw_Slack!A:B, 2, FALSE)), ""fashion|style|clothing|apparel|shoes|accessories|beauty|cosmetics|fashionistas""), ""Fashion and Beauty"",
  REGEXMATCH(LOWER(VLOOKUP(A596, Data1_Raw_Slack!A:B, 2, FALSE)), ""food|cooking|recipe|restaurant|"&amp;"snack|grocery|foodies""), ""Food"",
  REGEXMATCH(LOWER(VLOOKUP(A596, Data1_Raw_Slack!A:B, 2, FALSE)), ""travel|vacation|airline|hotel|trip|flights|travelers""), ""Travel"",
  REGEXMATCH(LOWER(VLOOKUP(A596, Data1_Raw_Slack!A:B, 2, FALSE)), ""fitness|workou"&amp;"t|gym|exercise|yoga|wellness|fitness enthusiasts""), ""Fitness"",
  REGEXMATCH(LOWER(VLOOKUP(A596, Data1_Raw_Slack!A:B, 2, FALSE)), ""health|medical|pharmacy|mental health|doctor|health-conscious""), ""Health"",
  REGEXMATCH(LOWER(VLOOKUP(A596, Data1_Raw_"&amp;"Slack!A:B, 2, FALSE)), ""pets|dogs|cats|animals|pet care|pet lovers""), ""Pets"",
  REGEXMATCH(LOWER(VLOOKUP(A596, Data1_Raw_Slack!A:B, 2, FALSE)), ""games|gaming|game|xbox|playstation|nintendo|gamers""), ""Gaming"",
  REGEXMATCH(LOWER(VLOOKUP(A596, Data1"&amp;"_Raw_Slack!A:B, 2, FALSE)), ""entertainment|movies|tv|netflix|streaming|celebrity|movie lovers|tv fans|hobb|photo|art""), ""Entertainment"",
  REGEXMATCH(LOWER(VLOOKUP(A596, Data1_Raw_Slack!A:B, 2, FALSE)), ""lifestyle|home|interior|decor|living|lifestyle"&amp;" enthusiasts""), ""Lifestyle"",
  REGEXMATCH(LOWER(VLOOKUP(A596, Data1_Raw_Slack!A:B, 2, FALSE)), ""financial|finance|investing|stocks|retirement|banking|credit|debt|loans|savings|personal finance|insurance|econ|ecom|business|retail|occupation|sale|job|ma"&amp;"rketing""), ""Finance"",
  REGEXMATCH(LOWER(VLOOKUP(A596, Data1_Raw_Slack!A:B, 2, FALSE)), ""auto|automotive""), ""Auto"",
  REGEXMATCH(LOWER(VLOOKUP(A596, Data1_Raw_Slack!A:B, 2, FALSE)), ""parenting|moms|dads|kids|toddlers|baby|parent|children""), ""Par"&amp;"enting"",
  REGEXMATCH(LOWER(VLOOKUP(A596, Data1_Raw_Slack!A:B, 2, FALSE)), ""education|students|learning|school|teachers|college|university|academics""), ""Education"",
  REGEXMATCH(LOWER(VLOOKUP(A596, Data1_Raw_Slack!A:B, 2, FALSE)), ""age|gender|dem"&amp;"ographic|family|household""), ""Demographics"",
  REGEXMATCH(LOWER(VLOOKUP(A596, Data1_Raw_Slack!A:B, 2, FALSE)), ""mortgage|real estate""), ""Real Estate"",REGEXMATCH(LOWER(VLOOKUP(A596, Data1_Raw_Slack!A:B, 2, FALSE)), ""technology|tech|gadgets|smartpho"&amp;"ne|electro|apps|devices|computing|ai|robots|software|computer|internet|tele|mobile|tablet""), ""Technology"", REGEXMATCH(LOWER(VLOOKUP(A596, Data1_Raw_Slack!A:B, 2, FALSE)), ""entertainment|purchas|movies|tv|netflix|streaming|celebrity|movie lovers|tv fan"&amp;"s|media|hobb|photo|art|shop""), ""Entertainment"", REGEXMATCH(LOWER(VLOOKUP(A596, Data1_Raw_Slack!A:B, 2, FALSE)), ""law|government|""), ""Law and Government"",
  TRUE, ""Other""
)"),"Auto")</f>
        <v>Auto</v>
      </c>
      <c r="G596" s="9" t="s">
        <v>122</v>
      </c>
      <c r="H596" s="9" t="s">
        <v>32</v>
      </c>
      <c r="I596" s="9" t="s">
        <v>1600</v>
      </c>
      <c r="J596" s="9" t="s">
        <v>80</v>
      </c>
      <c r="K596" s="9" t="s">
        <v>274</v>
      </c>
      <c r="L596" s="9" t="s">
        <v>48</v>
      </c>
      <c r="M596" s="10" t="s">
        <v>484</v>
      </c>
      <c r="N596" s="9" t="str">
        <f ca="1">IFERROR(__xludf.DUMMYFUNCTION("REGEXEXTRACT(LOWER(M596), ""([a-z0-9\-]+)\.(?:co|net|org|io|gg)"")"),"whatismyipaddress")</f>
        <v>whatismyipaddress</v>
      </c>
      <c r="O596" s="9" t="s">
        <v>186</v>
      </c>
      <c r="P596" s="9" t="s">
        <v>39</v>
      </c>
      <c r="Q596" s="9">
        <v>31359</v>
      </c>
      <c r="R596" s="9">
        <v>66</v>
      </c>
      <c r="S596" s="9">
        <v>18348</v>
      </c>
      <c r="T596" s="9">
        <v>25950</v>
      </c>
      <c r="U596" s="9">
        <v>24</v>
      </c>
      <c r="V596" s="11">
        <v>1623.614838</v>
      </c>
      <c r="W596" s="12">
        <f t="shared" si="14"/>
        <v>67.650618249999994</v>
      </c>
      <c r="X596" s="12">
        <f t="shared" si="15"/>
        <v>0.21046589495838514</v>
      </c>
      <c r="Y596" s="12">
        <f t="shared" si="16"/>
        <v>58.509518798431074</v>
      </c>
      <c r="Z596" s="12">
        <f t="shared" si="17"/>
        <v>88.490017331589272</v>
      </c>
      <c r="AA596" s="12">
        <f t="shared" si="18"/>
        <v>51.775083325361138</v>
      </c>
      <c r="AB596" s="12">
        <f t="shared" si="19"/>
        <v>24.600224818181818</v>
      </c>
      <c r="AC596" s="12">
        <f t="shared" si="20"/>
        <v>36.363636363636367</v>
      </c>
      <c r="AE596" s="13"/>
      <c r="AF596" s="13"/>
    </row>
    <row r="597" spans="1:32">
      <c r="A597" s="8" t="s">
        <v>2047</v>
      </c>
      <c r="B597" s="9" t="s">
        <v>144</v>
      </c>
      <c r="C597" s="9" t="s">
        <v>253</v>
      </c>
      <c r="D597" s="9"/>
      <c r="E597" s="9"/>
      <c r="F597" s="9" t="str">
        <f ca="1">IFERROR(__xludf.DUMMYFUNCTION("IFS(
  REGEXMATCH(LOWER(VLOOKUP(A597, Data1_Raw_Slack!A:B, 2, FALSE)), ""news|weather""), ""News and Weather"", REGEXMATCH(LOWER(VLOOKUP(A597, Data1_Raw_Slack!A:B, 2, FALSE)), ""sports|ufc|nba|nfl|mlb|soccer|sports fans""), ""Sports"",
  REGEXMATCH(LOWER("&amp;"VLOOKUP(A597, Data1_Raw_Slack!A:B, 2, FALSE)), ""fashion|style|clothing|apparel|shoes|accessories|beauty|cosmetics|fashionistas""), ""Fashion and Beauty"",
  REGEXMATCH(LOWER(VLOOKUP(A597, Data1_Raw_Slack!A:B, 2, FALSE)), ""food|cooking|recipe|restaurant|"&amp;"snack|grocery|foodies""), ""Food"",
  REGEXMATCH(LOWER(VLOOKUP(A597, Data1_Raw_Slack!A:B, 2, FALSE)), ""travel|vacation|airline|hotel|trip|flights|travelers""), ""Travel"",
  REGEXMATCH(LOWER(VLOOKUP(A597, Data1_Raw_Slack!A:B, 2, FALSE)), ""fitness|workou"&amp;"t|gym|exercise|yoga|wellness|fitness enthusiasts""), ""Fitness"",
  REGEXMATCH(LOWER(VLOOKUP(A597, Data1_Raw_Slack!A:B, 2, FALSE)), ""health|medical|pharmacy|mental health|doctor|health-conscious""), ""Health"",
  REGEXMATCH(LOWER(VLOOKUP(A597, Data1_Raw_"&amp;"Slack!A:B, 2, FALSE)), ""pets|dogs|cats|animals|pet care|pet lovers""), ""Pets"",
  REGEXMATCH(LOWER(VLOOKUP(A597, Data1_Raw_Slack!A:B, 2, FALSE)), ""games|gaming|game|xbox|playstation|nintendo|gamers""), ""Gaming"",
  REGEXMATCH(LOWER(VLOOKUP(A597, Data1"&amp;"_Raw_Slack!A:B, 2, FALSE)), ""entertainment|movies|tv|netflix|streaming|celebrity|movie lovers|tv fans|hobb|photo|art""), ""Entertainment"",
  REGEXMATCH(LOWER(VLOOKUP(A597, Data1_Raw_Slack!A:B, 2, FALSE)), ""lifestyle|home|interior|decor|living|lifestyle"&amp;" enthusiasts""), ""Lifestyle"",
  REGEXMATCH(LOWER(VLOOKUP(A597, Data1_Raw_Slack!A:B, 2, FALSE)), ""financial|finance|investing|stocks|retirement|banking|credit|debt|loans|savings|personal finance|insurance|econ|ecom|business|retail|occupation|sale|job|ma"&amp;"rketing""), ""Finance"",
  REGEXMATCH(LOWER(VLOOKUP(A597, Data1_Raw_Slack!A:B, 2, FALSE)), ""auto|automotive""), ""Auto"",
  REGEXMATCH(LOWER(VLOOKUP(A597, Data1_Raw_Slack!A:B, 2, FALSE)), ""parenting|moms|dads|kids|toddlers|baby|parent|children""), ""Par"&amp;"enting"",
  REGEXMATCH(LOWER(VLOOKUP(A597, Data1_Raw_Slack!A:B, 2, FALSE)), ""education|students|learning|school|teachers|college|university|academics""), ""Education"",
  REGEXMATCH(LOWER(VLOOKUP(A597, Data1_Raw_Slack!A:B, 2, FALSE)), ""age|gender|dem"&amp;"ographic|family|household""), ""Demographics"",
  REGEXMATCH(LOWER(VLOOKUP(A597, Data1_Raw_Slack!A:B, 2, FALSE)), ""mortgage|real estate""), ""Real Estate"",REGEXMATCH(LOWER(VLOOKUP(A597, Data1_Raw_Slack!A:B, 2, FALSE)), ""technology|tech|gadgets|smartpho"&amp;"ne|electro|apps|devices|computing|ai|robots|software|computer|internet|tele|mobile|tablet""), ""Technology"", REGEXMATCH(LOWER(VLOOKUP(A597, Data1_Raw_Slack!A:B, 2, FALSE)), ""entertainment|purchas|movies|tv|netflix|streaming|celebrity|movie lovers|tv fan"&amp;"s|media|hobb|photo|art|shop""), ""Entertainment"", REGEXMATCH(LOWER(VLOOKUP(A597, Data1_Raw_Slack!A:B, 2, FALSE)), ""law|government|""), ""Law and Government"",
  TRUE, ""Other""
)"),"Entertainment")</f>
        <v>Entertainment</v>
      </c>
      <c r="G597" s="9"/>
      <c r="H597" s="9" t="s">
        <v>123</v>
      </c>
      <c r="I597" s="9" t="s">
        <v>1238</v>
      </c>
      <c r="J597" s="9" t="s">
        <v>80</v>
      </c>
      <c r="K597" s="9" t="s">
        <v>299</v>
      </c>
      <c r="L597" s="9" t="s">
        <v>72</v>
      </c>
      <c r="M597" s="10" t="s">
        <v>218</v>
      </c>
      <c r="N597" s="9" t="str">
        <f ca="1">IFERROR(__xludf.DUMMYFUNCTION("REGEXEXTRACT(LOWER(M597), ""([a-z0-9\-]+)\.(?:co|net|org|io|gg)"")"),"yahoo")</f>
        <v>yahoo</v>
      </c>
      <c r="O597" s="9" t="s">
        <v>50</v>
      </c>
      <c r="P597" s="9" t="s">
        <v>39</v>
      </c>
      <c r="Q597" s="9">
        <v>63415</v>
      </c>
      <c r="R597" s="9">
        <v>185</v>
      </c>
      <c r="S597" s="9">
        <v>28161</v>
      </c>
      <c r="T597" s="9">
        <v>59169</v>
      </c>
      <c r="U597" s="9">
        <v>9</v>
      </c>
      <c r="V597" s="11">
        <v>1924.162675</v>
      </c>
      <c r="W597" s="12">
        <f t="shared" si="14"/>
        <v>213.79585277777778</v>
      </c>
      <c r="X597" s="12">
        <f t="shared" si="15"/>
        <v>0.29172908617834897</v>
      </c>
      <c r="Y597" s="12">
        <f t="shared" si="16"/>
        <v>44.407474572262082</v>
      </c>
      <c r="Z597" s="12">
        <f t="shared" si="17"/>
        <v>68.327214054898619</v>
      </c>
      <c r="AA597" s="12">
        <f t="shared" si="18"/>
        <v>30.34239020736419</v>
      </c>
      <c r="AB597" s="12">
        <f t="shared" si="19"/>
        <v>10.400879324324325</v>
      </c>
      <c r="AC597" s="12">
        <f t="shared" si="20"/>
        <v>4.8648648648648649</v>
      </c>
      <c r="AE597" s="13"/>
      <c r="AF597" s="13"/>
    </row>
    <row r="598" spans="1:32">
      <c r="A598" s="8" t="s">
        <v>2048</v>
      </c>
      <c r="B598" s="9" t="s">
        <v>198</v>
      </c>
      <c r="C598" s="9" t="s">
        <v>2049</v>
      </c>
      <c r="D598" s="9"/>
      <c r="E598" s="9"/>
      <c r="F598" s="9" t="str">
        <f ca="1">IFERROR(__xludf.DUMMYFUNCTION("IFS(
  REGEXMATCH(LOWER(VLOOKUP(A598, Data1_Raw_Slack!A:B, 2, FALSE)), ""news|weather""), ""News and Weather"", REGEXMATCH(LOWER(VLOOKUP(A598, Data1_Raw_Slack!A:B, 2, FALSE)), ""sports|ufc|nba|nfl|mlb|soccer|sports fans""), ""Sports"",
  REGEXMATCH(LOWER("&amp;"VLOOKUP(A598, Data1_Raw_Slack!A:B, 2, FALSE)), ""fashion|style|clothing|apparel|shoes|accessories|beauty|cosmetics|fashionistas""), ""Fashion and Beauty"",
  REGEXMATCH(LOWER(VLOOKUP(A598, Data1_Raw_Slack!A:B, 2, FALSE)), ""food|cooking|recipe|restaurant|"&amp;"snack|grocery|foodies""), ""Food"",
  REGEXMATCH(LOWER(VLOOKUP(A598, Data1_Raw_Slack!A:B, 2, FALSE)), ""travel|vacation|airline|hotel|trip|flights|travelers""), ""Travel"",
  REGEXMATCH(LOWER(VLOOKUP(A598, Data1_Raw_Slack!A:B, 2, FALSE)), ""fitness|workou"&amp;"t|gym|exercise|yoga|wellness|fitness enthusiasts""), ""Fitness"",
  REGEXMATCH(LOWER(VLOOKUP(A598, Data1_Raw_Slack!A:B, 2, FALSE)), ""health|medical|pharmacy|mental health|doctor|health-conscious""), ""Health"",
  REGEXMATCH(LOWER(VLOOKUP(A598, Data1_Raw_"&amp;"Slack!A:B, 2, FALSE)), ""pets|dogs|cats|animals|pet care|pet lovers""), ""Pets"",
  REGEXMATCH(LOWER(VLOOKUP(A598, Data1_Raw_Slack!A:B, 2, FALSE)), ""games|gaming|game|xbox|playstation|nintendo|gamers""), ""Gaming"",
  REGEXMATCH(LOWER(VLOOKUP(A598, Data1"&amp;"_Raw_Slack!A:B, 2, FALSE)), ""entertainment|movies|tv|netflix|streaming|celebrity|movie lovers|tv fans|hobb|photo|art""), ""Entertainment"",
  REGEXMATCH(LOWER(VLOOKUP(A598, Data1_Raw_Slack!A:B, 2, FALSE)), ""lifestyle|home|interior|decor|living|lifestyle"&amp;" enthusiasts""), ""Lifestyle"",
  REGEXMATCH(LOWER(VLOOKUP(A598, Data1_Raw_Slack!A:B, 2, FALSE)), ""financial|finance|investing|stocks|retirement|banking|credit|debt|loans|savings|personal finance|insurance|econ|ecom|business|retail|occupation|sale|job|ma"&amp;"rketing""), ""Finance"",
  REGEXMATCH(LOWER(VLOOKUP(A598, Data1_Raw_Slack!A:B, 2, FALSE)), ""auto|automotive""), ""Auto"",
  REGEXMATCH(LOWER(VLOOKUP(A598, Data1_Raw_Slack!A:B, 2, FALSE)), ""parenting|moms|dads|kids|toddlers|baby|parent|children""), ""Par"&amp;"enting"",
  REGEXMATCH(LOWER(VLOOKUP(A598, Data1_Raw_Slack!A:B, 2, FALSE)), ""education|students|learning|school|teachers|college|university|academics""), ""Education"",
  REGEXMATCH(LOWER(VLOOKUP(A598, Data1_Raw_Slack!A:B, 2, FALSE)), ""age|gender|dem"&amp;"ographic|family|household""), ""Demographics"",
  REGEXMATCH(LOWER(VLOOKUP(A598, Data1_Raw_Slack!A:B, 2, FALSE)), ""mortgage|real estate""), ""Real Estate"",REGEXMATCH(LOWER(VLOOKUP(A598, Data1_Raw_Slack!A:B, 2, FALSE)), ""technology|tech|gadgets|smartpho"&amp;"ne|electro|apps|devices|computing|ai|robots|software|computer|internet|tele|mobile|tablet""), ""Technology"", REGEXMATCH(LOWER(VLOOKUP(A598, Data1_Raw_Slack!A:B, 2, FALSE)), ""entertainment|purchas|movies|tv|netflix|streaming|celebrity|movie lovers|tv fan"&amp;"s|media|hobb|photo|art|shop""), ""Entertainment"", REGEXMATCH(LOWER(VLOOKUP(A598, Data1_Raw_Slack!A:B, 2, FALSE)), ""law|government|""), ""Law and Government"",
  TRUE, ""Other""
)"),"Auto")</f>
        <v>Auto</v>
      </c>
      <c r="G598" s="9"/>
      <c r="H598" s="9" t="s">
        <v>44</v>
      </c>
      <c r="I598" s="9" t="s">
        <v>1034</v>
      </c>
      <c r="J598" s="9" t="s">
        <v>80</v>
      </c>
      <c r="K598" s="9" t="s">
        <v>895</v>
      </c>
      <c r="L598" s="9" t="s">
        <v>265</v>
      </c>
      <c r="M598" s="10" t="s">
        <v>354</v>
      </c>
      <c r="N598" s="9" t="str">
        <f ca="1">IFERROR(__xludf.DUMMYFUNCTION("REGEXEXTRACT(LOWER(M598), ""([a-z0-9\-]+)\.(?:co|net|org|io|gg)"")"),"yahoo")</f>
        <v>yahoo</v>
      </c>
      <c r="O598" s="9" t="s">
        <v>74</v>
      </c>
      <c r="P598" s="9" t="s">
        <v>39</v>
      </c>
      <c r="Q598" s="9">
        <v>276716</v>
      </c>
      <c r="R598" s="9">
        <v>799</v>
      </c>
      <c r="S598" s="9">
        <v>114927</v>
      </c>
      <c r="T598" s="9">
        <v>255481</v>
      </c>
      <c r="U598" s="9">
        <v>49</v>
      </c>
      <c r="V598" s="11">
        <v>2276.2774709999999</v>
      </c>
      <c r="W598" s="12">
        <f t="shared" si="14"/>
        <v>46.45464226530612</v>
      </c>
      <c r="X598" s="12">
        <f t="shared" si="15"/>
        <v>0.28874369389554633</v>
      </c>
      <c r="Y598" s="12">
        <f t="shared" si="16"/>
        <v>41.532473727576289</v>
      </c>
      <c r="Z598" s="12">
        <f t="shared" si="17"/>
        <v>19.806289827455689</v>
      </c>
      <c r="AA598" s="12">
        <f t="shared" si="18"/>
        <v>8.2260421189956485</v>
      </c>
      <c r="AB598" s="12">
        <f t="shared" si="19"/>
        <v>2.8489079737171461</v>
      </c>
      <c r="AC598" s="12">
        <f t="shared" si="20"/>
        <v>6.1326658322903622</v>
      </c>
      <c r="AE598" s="13"/>
      <c r="AF598" s="13"/>
    </row>
    <row r="599" spans="1:32">
      <c r="A599" s="8" t="s">
        <v>2050</v>
      </c>
      <c r="B599" s="9" t="s">
        <v>2051</v>
      </c>
      <c r="C599" s="9" t="s">
        <v>69</v>
      </c>
      <c r="D599" s="9" t="s">
        <v>2052</v>
      </c>
      <c r="E599" s="9"/>
      <c r="F599" s="9" t="str">
        <f ca="1">IFERROR(__xludf.DUMMYFUNCTION("IFS(
  REGEXMATCH(LOWER(VLOOKUP(A599, Data1_Raw_Slack!A:B, 2, FALSE)), ""news|weather""), ""News and Weather"", REGEXMATCH(LOWER(VLOOKUP(A599, Data1_Raw_Slack!A:B, 2, FALSE)), ""sports|ufc|nba|nfl|mlb|soccer|sports fans""), ""Sports"",
  REGEXMATCH(LOWER("&amp;"VLOOKUP(A599, Data1_Raw_Slack!A:B, 2, FALSE)), ""fashion|style|clothing|apparel|shoes|accessories|beauty|cosmetics|fashionistas""), ""Fashion and Beauty"",
  REGEXMATCH(LOWER(VLOOKUP(A599, Data1_Raw_Slack!A:B, 2, FALSE)), ""food|cooking|recipe|restaurant|"&amp;"snack|grocery|foodies""), ""Food"",
  REGEXMATCH(LOWER(VLOOKUP(A599, Data1_Raw_Slack!A:B, 2, FALSE)), ""travel|vacation|airline|hotel|trip|flights|travelers""), ""Travel"",
  REGEXMATCH(LOWER(VLOOKUP(A599, Data1_Raw_Slack!A:B, 2, FALSE)), ""fitness|workou"&amp;"t|gym|exercise|yoga|wellness|fitness enthusiasts""), ""Fitness"",
  REGEXMATCH(LOWER(VLOOKUP(A599, Data1_Raw_Slack!A:B, 2, FALSE)), ""health|medical|pharmacy|mental health|doctor|health-conscious""), ""Health"",
  REGEXMATCH(LOWER(VLOOKUP(A599, Data1_Raw_"&amp;"Slack!A:B, 2, FALSE)), ""pets|dogs|cats|animals|pet care|pet lovers""), ""Pets"",
  REGEXMATCH(LOWER(VLOOKUP(A599, Data1_Raw_Slack!A:B, 2, FALSE)), ""games|gaming|game|xbox|playstation|nintendo|gamers""), ""Gaming"",
  REGEXMATCH(LOWER(VLOOKUP(A599, Data1"&amp;"_Raw_Slack!A:B, 2, FALSE)), ""entertainment|movies|tv|netflix|streaming|celebrity|movie lovers|tv fans|hobb|photo|art""), ""Entertainment"",
  REGEXMATCH(LOWER(VLOOKUP(A599, Data1_Raw_Slack!A:B, 2, FALSE)), ""lifestyle|home|interior|decor|living|lifestyle"&amp;" enthusiasts""), ""Lifestyle"",
  REGEXMATCH(LOWER(VLOOKUP(A599, Data1_Raw_Slack!A:B, 2, FALSE)), ""financial|finance|investing|stocks|retirement|banking|credit|debt|loans|savings|personal finance|insurance|econ|ecom|business|retail|occupation|sale|job|ma"&amp;"rketing""), ""Finance"",
  REGEXMATCH(LOWER(VLOOKUP(A599, Data1_Raw_Slack!A:B, 2, FALSE)), ""auto|automotive""), ""Auto"",
  REGEXMATCH(LOWER(VLOOKUP(A599, Data1_Raw_Slack!A:B, 2, FALSE)), ""parenting|moms|dads|kids|toddlers|baby|parent|children""), ""Par"&amp;"enting"",
  REGEXMATCH(LOWER(VLOOKUP(A599, Data1_Raw_Slack!A:B, 2, FALSE)), ""education|students|learning|school|teachers|college|university|academics""), ""Education"",
  REGEXMATCH(LOWER(VLOOKUP(A599, Data1_Raw_Slack!A:B, 2, FALSE)), ""age|gender|dem"&amp;"ographic|family|household""), ""Demographics"",
  REGEXMATCH(LOWER(VLOOKUP(A599, Data1_Raw_Slack!A:B, 2, FALSE)), ""mortgage|real estate""), ""Real Estate"",REGEXMATCH(LOWER(VLOOKUP(A599, Data1_Raw_Slack!A:B, 2, FALSE)), ""technology|tech|gadgets|smartpho"&amp;"ne|electro|apps|devices|computing|ai|robots|software|computer|internet|tele|mobile|tablet""), ""Technology"", REGEXMATCH(LOWER(VLOOKUP(A599, Data1_Raw_Slack!A:B, 2, FALSE)), ""entertainment|purchas|movies|tv|netflix|streaming|celebrity|movie lovers|tv fan"&amp;"s|media|hobb|photo|art|shop""), ""Entertainment"", REGEXMATCH(LOWER(VLOOKUP(A599, Data1_Raw_Slack!A:B, 2, FALSE)), ""law|government|""), ""Law and Government"",
  TRUE, ""Other""
)"),"Entertainment")</f>
        <v>Entertainment</v>
      </c>
      <c r="G599" s="9"/>
      <c r="H599" s="9" t="s">
        <v>44</v>
      </c>
      <c r="I599" s="9" t="s">
        <v>2053</v>
      </c>
      <c r="J599" s="9" t="s">
        <v>34</v>
      </c>
      <c r="K599" s="9" t="s">
        <v>443</v>
      </c>
      <c r="L599" s="9" t="s">
        <v>72</v>
      </c>
      <c r="M599" s="10" t="s">
        <v>2054</v>
      </c>
      <c r="N599" s="9" t="str">
        <f ca="1">IFERROR(__xludf.DUMMYFUNCTION("REGEXEXTRACT(LOWER(M599), ""([a-z0-9\-]+)\.(?:co|net|org|io|gg)"")"),"rent")</f>
        <v>rent</v>
      </c>
      <c r="O599" s="9" t="s">
        <v>103</v>
      </c>
      <c r="P599" s="9" t="s">
        <v>39</v>
      </c>
      <c r="Q599" s="9">
        <v>15277</v>
      </c>
      <c r="R599" s="9">
        <v>69</v>
      </c>
      <c r="S599" s="9">
        <v>3089</v>
      </c>
      <c r="T599" s="9">
        <v>13644</v>
      </c>
      <c r="U599" s="9">
        <v>4</v>
      </c>
      <c r="V599" s="11">
        <v>1904.5643459999999</v>
      </c>
      <c r="W599" s="12">
        <f t="shared" si="14"/>
        <v>476.14108649999997</v>
      </c>
      <c r="X599" s="12">
        <f t="shared" si="15"/>
        <v>0.45165935720363948</v>
      </c>
      <c r="Y599" s="12">
        <f t="shared" si="16"/>
        <v>20.219938469594815</v>
      </c>
      <c r="Z599" s="12">
        <f t="shared" si="17"/>
        <v>616.5634011006797</v>
      </c>
      <c r="AA599" s="12">
        <f t="shared" si="18"/>
        <v>124.66874032859853</v>
      </c>
      <c r="AB599" s="12">
        <f t="shared" si="19"/>
        <v>27.602381826086955</v>
      </c>
      <c r="AC599" s="12">
        <f t="shared" si="20"/>
        <v>5.7971014492753623</v>
      </c>
      <c r="AE599" s="13"/>
      <c r="AF599" s="13"/>
    </row>
    <row r="600" spans="1:32">
      <c r="A600" s="8" t="s">
        <v>2055</v>
      </c>
      <c r="B600" s="9" t="s">
        <v>144</v>
      </c>
      <c r="C600" s="9" t="s">
        <v>145</v>
      </c>
      <c r="D600" s="9"/>
      <c r="E600" s="9"/>
      <c r="F600" s="9" t="str">
        <f ca="1">IFERROR(__xludf.DUMMYFUNCTION("IFS(
  REGEXMATCH(LOWER(VLOOKUP(A600, Data1_Raw_Slack!A:B, 2, FALSE)), ""news|weather""), ""News and Weather"", REGEXMATCH(LOWER(VLOOKUP(A600, Data1_Raw_Slack!A:B, 2, FALSE)), ""sports|ufc|nba|nfl|mlb|soccer|sports fans""), ""Sports"",
  REGEXMATCH(LOWER("&amp;"VLOOKUP(A600, Data1_Raw_Slack!A:B, 2, FALSE)), ""fashion|style|clothing|apparel|shoes|accessories|beauty|cosmetics|fashionistas""), ""Fashion and Beauty"",
  REGEXMATCH(LOWER(VLOOKUP(A600, Data1_Raw_Slack!A:B, 2, FALSE)), ""food|cooking|recipe|restaurant|"&amp;"snack|grocery|foodies""), ""Food"",
  REGEXMATCH(LOWER(VLOOKUP(A600, Data1_Raw_Slack!A:B, 2, FALSE)), ""travel|vacation|airline|hotel|trip|flights|travelers""), ""Travel"",
  REGEXMATCH(LOWER(VLOOKUP(A600, Data1_Raw_Slack!A:B, 2, FALSE)), ""fitness|workou"&amp;"t|gym|exercise|yoga|wellness|fitness enthusiasts""), ""Fitness"",
  REGEXMATCH(LOWER(VLOOKUP(A600, Data1_Raw_Slack!A:B, 2, FALSE)), ""health|medical|pharmacy|mental health|doctor|health-conscious""), ""Health"",
  REGEXMATCH(LOWER(VLOOKUP(A600, Data1_Raw_"&amp;"Slack!A:B, 2, FALSE)), ""pets|dogs|cats|animals|pet care|pet lovers""), ""Pets"",
  REGEXMATCH(LOWER(VLOOKUP(A600, Data1_Raw_Slack!A:B, 2, FALSE)), ""games|gaming|game|xbox|playstation|nintendo|gamers""), ""Gaming"",
  REGEXMATCH(LOWER(VLOOKUP(A600, Data1"&amp;"_Raw_Slack!A:B, 2, FALSE)), ""entertainment|movies|tv|netflix|streaming|celebrity|movie lovers|tv fans|hobb|photo|art""), ""Entertainment"",
  REGEXMATCH(LOWER(VLOOKUP(A600, Data1_Raw_Slack!A:B, 2, FALSE)), ""lifestyle|home|interior|decor|living|lifestyle"&amp;" enthusiasts""), ""Lifestyle"",
  REGEXMATCH(LOWER(VLOOKUP(A600, Data1_Raw_Slack!A:B, 2, FALSE)), ""financial|finance|investing|stocks|retirement|banking|credit|debt|loans|savings|personal finance|insurance|econ|ecom|business|retail|occupation|sale|job|ma"&amp;"rketing""), ""Finance"",
  REGEXMATCH(LOWER(VLOOKUP(A600, Data1_Raw_Slack!A:B, 2, FALSE)), ""auto|automotive""), ""Auto"",
  REGEXMATCH(LOWER(VLOOKUP(A600, Data1_Raw_Slack!A:B, 2, FALSE)), ""parenting|moms|dads|kids|toddlers|baby|parent|children""), ""Par"&amp;"enting"",
  REGEXMATCH(LOWER(VLOOKUP(A600, Data1_Raw_Slack!A:B, 2, FALSE)), ""education|students|learning|school|teachers|college|university|academics""), ""Education"",
  REGEXMATCH(LOWER(VLOOKUP(A600, Data1_Raw_Slack!A:B, 2, FALSE)), ""age|gender|dem"&amp;"ographic|family|household""), ""Demographics"",
  REGEXMATCH(LOWER(VLOOKUP(A600, Data1_Raw_Slack!A:B, 2, FALSE)), ""mortgage|real estate""), ""Real Estate"",REGEXMATCH(LOWER(VLOOKUP(A600, Data1_Raw_Slack!A:B, 2, FALSE)), ""technology|tech|gadgets|smartpho"&amp;"ne|electro|apps|devices|computing|ai|robots|software|computer|internet|tele|mobile|tablet""), ""Technology"", REGEXMATCH(LOWER(VLOOKUP(A600, Data1_Raw_Slack!A:B, 2, FALSE)), ""entertainment|purchas|movies|tv|netflix|streaming|celebrity|movie lovers|tv fan"&amp;"s|media|hobb|photo|art|shop""), ""Entertainment"", REGEXMATCH(LOWER(VLOOKUP(A600, Data1_Raw_Slack!A:B, 2, FALSE)), ""law|government|""), ""Law and Government"",
  TRUE, ""Other""
)"),"News and Weather")</f>
        <v>News and Weather</v>
      </c>
      <c r="G600" s="9" t="s">
        <v>145</v>
      </c>
      <c r="H600" s="9" t="s">
        <v>32</v>
      </c>
      <c r="I600" s="9" t="s">
        <v>2030</v>
      </c>
      <c r="J600" s="9" t="s">
        <v>62</v>
      </c>
      <c r="K600" s="9" t="s">
        <v>274</v>
      </c>
      <c r="L600" s="9" t="s">
        <v>48</v>
      </c>
      <c r="M600" s="10" t="s">
        <v>90</v>
      </c>
      <c r="N600" s="9" t="str">
        <f ca="1">IFERROR(__xludf.DUMMYFUNCTION("REGEXEXTRACT(LOWER(M600), ""([a-z0-9\-]+)\.(?:co|net|org|io|gg)"")"),"live")</f>
        <v>live</v>
      </c>
      <c r="O600" s="9" t="s">
        <v>50</v>
      </c>
      <c r="P600" s="9" t="s">
        <v>39</v>
      </c>
      <c r="Q600" s="9">
        <v>42833</v>
      </c>
      <c r="R600" s="9">
        <v>120</v>
      </c>
      <c r="S600" s="9">
        <v>37438</v>
      </c>
      <c r="T600" s="9">
        <v>40447</v>
      </c>
      <c r="U600" s="9">
        <v>9</v>
      </c>
      <c r="V600" s="11">
        <v>2040.9348190000001</v>
      </c>
      <c r="W600" s="12">
        <f t="shared" si="14"/>
        <v>226.77053544444445</v>
      </c>
      <c r="X600" s="12">
        <f t="shared" si="15"/>
        <v>0.2801578222398618</v>
      </c>
      <c r="Y600" s="12">
        <f t="shared" si="16"/>
        <v>87.404571241799545</v>
      </c>
      <c r="Z600" s="12">
        <f t="shared" si="17"/>
        <v>54.515060072653455</v>
      </c>
      <c r="AA600" s="12">
        <f t="shared" si="18"/>
        <v>47.648654518712213</v>
      </c>
      <c r="AB600" s="12">
        <f t="shared" si="19"/>
        <v>17.007790158333332</v>
      </c>
      <c r="AC600" s="12">
        <f t="shared" si="20"/>
        <v>7.5</v>
      </c>
      <c r="AE600" s="13"/>
      <c r="AF600" s="13"/>
    </row>
    <row r="601" spans="1:32">
      <c r="A601" s="8" t="s">
        <v>2056</v>
      </c>
      <c r="B601" s="9" t="s">
        <v>459</v>
      </c>
      <c r="C601" s="9" t="s">
        <v>154</v>
      </c>
      <c r="D601" s="9" t="s">
        <v>2057</v>
      </c>
      <c r="E601" s="9"/>
      <c r="F601" s="9" t="str">
        <f ca="1">IFERROR(__xludf.DUMMYFUNCTION("IFS(
  REGEXMATCH(LOWER(VLOOKUP(A601, Data1_Raw_Slack!A:B, 2, FALSE)), ""news|weather""), ""News and Weather"", REGEXMATCH(LOWER(VLOOKUP(A601, Data1_Raw_Slack!A:B, 2, FALSE)), ""sports|ufc|nba|nfl|mlb|soccer|sports fans""), ""Sports"",
  REGEXMATCH(LOWER("&amp;"VLOOKUP(A601, Data1_Raw_Slack!A:B, 2, FALSE)), ""fashion|style|clothing|apparel|shoes|accessories|beauty|cosmetics|fashionistas""), ""Fashion and Beauty"",
  REGEXMATCH(LOWER(VLOOKUP(A601, Data1_Raw_Slack!A:B, 2, FALSE)), ""food|cooking|recipe|restaurant|"&amp;"snack|grocery|foodies""), ""Food"",
  REGEXMATCH(LOWER(VLOOKUP(A601, Data1_Raw_Slack!A:B, 2, FALSE)), ""travel|vacation|airline|hotel|trip|flights|travelers""), ""Travel"",
  REGEXMATCH(LOWER(VLOOKUP(A601, Data1_Raw_Slack!A:B, 2, FALSE)), ""fitness|workou"&amp;"t|gym|exercise|yoga|wellness|fitness enthusiasts""), ""Fitness"",
  REGEXMATCH(LOWER(VLOOKUP(A601, Data1_Raw_Slack!A:B, 2, FALSE)), ""health|medical|pharmacy|mental health|doctor|health-conscious""), ""Health"",
  REGEXMATCH(LOWER(VLOOKUP(A601, Data1_Raw_"&amp;"Slack!A:B, 2, FALSE)), ""pets|dogs|cats|animals|pet care|pet lovers""), ""Pets"",
  REGEXMATCH(LOWER(VLOOKUP(A601, Data1_Raw_Slack!A:B, 2, FALSE)), ""games|gaming|game|xbox|playstation|nintendo|gamers""), ""Gaming"",
  REGEXMATCH(LOWER(VLOOKUP(A601, Data1"&amp;"_Raw_Slack!A:B, 2, FALSE)), ""entertainment|movies|tv|netflix|streaming|celebrity|movie lovers|tv fans|hobb|photo|art""), ""Entertainment"",
  REGEXMATCH(LOWER(VLOOKUP(A601, Data1_Raw_Slack!A:B, 2, FALSE)), ""lifestyle|home|interior|decor|living|lifestyle"&amp;" enthusiasts""), ""Lifestyle"",
  REGEXMATCH(LOWER(VLOOKUP(A601, Data1_Raw_Slack!A:B, 2, FALSE)), ""financial|finance|investing|stocks|retirement|banking|credit|debt|loans|savings|personal finance|insurance|econ|ecom|business|retail|occupation|sale|job|ma"&amp;"rketing""), ""Finance"",
  REGEXMATCH(LOWER(VLOOKUP(A601, Data1_Raw_Slack!A:B, 2, FALSE)), ""auto|automotive""), ""Auto"",
  REGEXMATCH(LOWER(VLOOKUP(A601, Data1_Raw_Slack!A:B, 2, FALSE)), ""parenting|moms|dads|kids|toddlers|baby|parent|children""), ""Par"&amp;"enting"",
  REGEXMATCH(LOWER(VLOOKUP(A601, Data1_Raw_Slack!A:B, 2, FALSE)), ""education|students|learning|school|teachers|college|university|academics""), ""Education"",
  REGEXMATCH(LOWER(VLOOKUP(A601, Data1_Raw_Slack!A:B, 2, FALSE)), ""age|gender|dem"&amp;"ographic|family|household""), ""Demographics"",
  REGEXMATCH(LOWER(VLOOKUP(A601, Data1_Raw_Slack!A:B, 2, FALSE)), ""mortgage|real estate""), ""Real Estate"",REGEXMATCH(LOWER(VLOOKUP(A601, Data1_Raw_Slack!A:B, 2, FALSE)), ""technology|tech|gadgets|smartpho"&amp;"ne|electro|apps|devices|computing|ai|robots|software|computer|internet|tele|mobile|tablet""), ""Technology"", REGEXMATCH(LOWER(VLOOKUP(A601, Data1_Raw_Slack!A:B, 2, FALSE)), ""entertainment|purchas|movies|tv|netflix|streaming|celebrity|movie lovers|tv fan"&amp;"s|media|hobb|photo|art|shop""), ""Entertainment"", REGEXMATCH(LOWER(VLOOKUP(A601, Data1_Raw_Slack!A:B, 2, FALSE)), ""law|government|""), ""Law and Government"",
  TRUE, ""Other""
)"),"Sports")</f>
        <v>Sports</v>
      </c>
      <c r="G601" s="9" t="s">
        <v>154</v>
      </c>
      <c r="H601" s="9" t="s">
        <v>32</v>
      </c>
      <c r="I601" s="9" t="s">
        <v>628</v>
      </c>
      <c r="J601" s="9" t="s">
        <v>46</v>
      </c>
      <c r="K601" s="9" t="s">
        <v>438</v>
      </c>
      <c r="L601" s="9" t="s">
        <v>82</v>
      </c>
      <c r="M601" s="10" t="s">
        <v>634</v>
      </c>
      <c r="N601" s="9" t="str">
        <f ca="1">IFERROR(__xludf.DUMMYFUNCTION("REGEXEXTRACT(LOWER(M601), ""([a-z0-9\-]+)\.(?:co|net|org|io|gg)"")"),"ign")</f>
        <v>ign</v>
      </c>
      <c r="O601" s="9" t="s">
        <v>50</v>
      </c>
      <c r="P601" s="9" t="s">
        <v>39</v>
      </c>
      <c r="Q601" s="9">
        <v>22180</v>
      </c>
      <c r="R601" s="9">
        <v>60</v>
      </c>
      <c r="S601" s="9">
        <v>4835</v>
      </c>
      <c r="T601" s="9">
        <v>19291</v>
      </c>
      <c r="U601" s="9">
        <v>9</v>
      </c>
      <c r="V601" s="11">
        <v>1441.631095</v>
      </c>
      <c r="W601" s="12">
        <f t="shared" si="14"/>
        <v>160.18123277777778</v>
      </c>
      <c r="X601" s="12">
        <f t="shared" si="15"/>
        <v>0.27051397655545539</v>
      </c>
      <c r="Y601" s="12">
        <f t="shared" si="16"/>
        <v>21.79891794409378</v>
      </c>
      <c r="Z601" s="12">
        <f t="shared" si="17"/>
        <v>298.16568665977252</v>
      </c>
      <c r="AA601" s="12">
        <f t="shared" si="18"/>
        <v>64.996893372407584</v>
      </c>
      <c r="AB601" s="12">
        <f t="shared" si="19"/>
        <v>24.027184916666666</v>
      </c>
      <c r="AC601" s="12">
        <f t="shared" si="20"/>
        <v>15</v>
      </c>
      <c r="AE601" s="13"/>
      <c r="AF601" s="13"/>
    </row>
    <row r="602" spans="1:32">
      <c r="A602" s="8" t="s">
        <v>2058</v>
      </c>
      <c r="B602" s="9" t="s">
        <v>52</v>
      </c>
      <c r="C602" s="9" t="s">
        <v>53</v>
      </c>
      <c r="D602" s="9" t="s">
        <v>2059</v>
      </c>
      <c r="E602" s="9"/>
      <c r="F602" s="9" t="str">
        <f ca="1">IFERROR(__xludf.DUMMYFUNCTION("IFS(
  REGEXMATCH(LOWER(VLOOKUP(A602, Data1_Raw_Slack!A:B, 2, FALSE)), ""news|weather""), ""News and Weather"", REGEXMATCH(LOWER(VLOOKUP(A602, Data1_Raw_Slack!A:B, 2, FALSE)), ""sports|ufc|nba|nfl|mlb|soccer|sports fans""), ""Sports"",
  REGEXMATCH(LOWER("&amp;"VLOOKUP(A602, Data1_Raw_Slack!A:B, 2, FALSE)), ""fashion|style|clothing|apparel|shoes|accessories|beauty|cosmetics|fashionistas""), ""Fashion and Beauty"",
  REGEXMATCH(LOWER(VLOOKUP(A602, Data1_Raw_Slack!A:B, 2, FALSE)), ""food|cooking|recipe|restaurant|"&amp;"snack|grocery|foodies""), ""Food"",
  REGEXMATCH(LOWER(VLOOKUP(A602, Data1_Raw_Slack!A:B, 2, FALSE)), ""travel|vacation|airline|hotel|trip|flights|travelers""), ""Travel"",
  REGEXMATCH(LOWER(VLOOKUP(A602, Data1_Raw_Slack!A:B, 2, FALSE)), ""fitness|workou"&amp;"t|gym|exercise|yoga|wellness|fitness enthusiasts""), ""Fitness"",
  REGEXMATCH(LOWER(VLOOKUP(A602, Data1_Raw_Slack!A:B, 2, FALSE)), ""health|medical|pharmacy|mental health|doctor|health-conscious""), ""Health"",
  REGEXMATCH(LOWER(VLOOKUP(A602, Data1_Raw_"&amp;"Slack!A:B, 2, FALSE)), ""pets|dogs|cats|animals|pet care|pet lovers""), ""Pets"",
  REGEXMATCH(LOWER(VLOOKUP(A602, Data1_Raw_Slack!A:B, 2, FALSE)), ""games|gaming|game|xbox|playstation|nintendo|gamers""), ""Gaming"",
  REGEXMATCH(LOWER(VLOOKUP(A602, Data1"&amp;"_Raw_Slack!A:B, 2, FALSE)), ""entertainment|movies|tv|netflix|streaming|celebrity|movie lovers|tv fans|hobb|photo|art""), ""Entertainment"",
  REGEXMATCH(LOWER(VLOOKUP(A602, Data1_Raw_Slack!A:B, 2, FALSE)), ""lifestyle|home|interior|decor|living|lifestyle"&amp;" enthusiasts""), ""Lifestyle"",
  REGEXMATCH(LOWER(VLOOKUP(A602, Data1_Raw_Slack!A:B, 2, FALSE)), ""financial|finance|investing|stocks|retirement|banking|credit|debt|loans|savings|personal finance|insurance|econ|ecom|business|retail|occupation|sale|job|ma"&amp;"rketing""), ""Finance"",
  REGEXMATCH(LOWER(VLOOKUP(A602, Data1_Raw_Slack!A:B, 2, FALSE)), ""auto|automotive""), ""Auto"",
  REGEXMATCH(LOWER(VLOOKUP(A602, Data1_Raw_Slack!A:B, 2, FALSE)), ""parenting|moms|dads|kids|toddlers|baby|parent|children""), ""Par"&amp;"enting"",
  REGEXMATCH(LOWER(VLOOKUP(A602, Data1_Raw_Slack!A:B, 2, FALSE)), ""education|students|learning|school|teachers|college|university|academics""), ""Education"",
  REGEXMATCH(LOWER(VLOOKUP(A602, Data1_Raw_Slack!A:B, 2, FALSE)), ""age|gender|dem"&amp;"ographic|family|household""), ""Demographics"",
  REGEXMATCH(LOWER(VLOOKUP(A602, Data1_Raw_Slack!A:B, 2, FALSE)), ""mortgage|real estate""), ""Real Estate"",REGEXMATCH(LOWER(VLOOKUP(A602, Data1_Raw_Slack!A:B, 2, FALSE)), ""technology|tech|gadgets|smartpho"&amp;"ne|electro|apps|devices|computing|ai|robots|software|computer|internet|tele|mobile|tablet""), ""Technology"", REGEXMATCH(LOWER(VLOOKUP(A602, Data1_Raw_Slack!A:B, 2, FALSE)), ""entertainment|purchas|movies|tv|netflix|streaming|celebrity|movie lovers|tv fan"&amp;"s|media|hobb|photo|art|shop""), ""Entertainment"", REGEXMATCH(LOWER(VLOOKUP(A602, Data1_Raw_Slack!A:B, 2, FALSE)), ""law|government|""), ""Law and Government"",
  TRUE, ""Other""
)"),"Finance")</f>
        <v>Finance</v>
      </c>
      <c r="G602" s="9"/>
      <c r="H602" s="9" t="s">
        <v>44</v>
      </c>
      <c r="I602" s="9" t="s">
        <v>269</v>
      </c>
      <c r="J602" s="9" t="s">
        <v>62</v>
      </c>
      <c r="K602" s="9" t="s">
        <v>56</v>
      </c>
      <c r="L602" s="9" t="s">
        <v>57</v>
      </c>
      <c r="M602" s="10" t="s">
        <v>284</v>
      </c>
      <c r="N602" s="9" t="str">
        <f ca="1">IFERROR(__xludf.DUMMYFUNCTION("REGEXEXTRACT(LOWER(M602), ""([a-z0-9\-]+)\.(?:co|net|org|io|gg)"")"),"bbc")</f>
        <v>bbc</v>
      </c>
      <c r="O602" s="9" t="s">
        <v>50</v>
      </c>
      <c r="P602" s="9" t="s">
        <v>75</v>
      </c>
      <c r="Q602" s="9">
        <v>32845</v>
      </c>
      <c r="R602" s="9">
        <v>164</v>
      </c>
      <c r="S602" s="9">
        <v>16163</v>
      </c>
      <c r="T602" s="9">
        <v>30368</v>
      </c>
      <c r="U602" s="9">
        <v>5</v>
      </c>
      <c r="V602" s="11">
        <v>1910.436686</v>
      </c>
      <c r="W602" s="12">
        <f t="shared" si="14"/>
        <v>382.08733719999998</v>
      </c>
      <c r="X602" s="12">
        <f t="shared" si="15"/>
        <v>0.49931496422590954</v>
      </c>
      <c r="Y602" s="12">
        <f t="shared" si="16"/>
        <v>49.209925407215707</v>
      </c>
      <c r="Z602" s="12">
        <f t="shared" si="17"/>
        <v>118.1981492297222</v>
      </c>
      <c r="AA602" s="12">
        <f t="shared" si="18"/>
        <v>58.165221068655804</v>
      </c>
      <c r="AB602" s="12">
        <f t="shared" si="19"/>
        <v>11.649004182926829</v>
      </c>
      <c r="AC602" s="12">
        <f t="shared" si="20"/>
        <v>3.0487804878048781</v>
      </c>
      <c r="AE602" s="13"/>
      <c r="AF602" s="13"/>
    </row>
    <row r="603" spans="1:32">
      <c r="A603" s="8" t="s">
        <v>2060</v>
      </c>
      <c r="B603" s="9" t="s">
        <v>41</v>
      </c>
      <c r="C603" s="9" t="s">
        <v>162</v>
      </c>
      <c r="D603" s="9" t="s">
        <v>163</v>
      </c>
      <c r="E603" s="9" t="s">
        <v>887</v>
      </c>
      <c r="F603" s="9" t="str">
        <f ca="1">IFERROR(__xludf.DUMMYFUNCTION("IFS(
  REGEXMATCH(LOWER(VLOOKUP(A603, Data1_Raw_Slack!A:B, 2, FALSE)), ""news|weather""), ""News and Weather"", REGEXMATCH(LOWER(VLOOKUP(A603, Data1_Raw_Slack!A:B, 2, FALSE)), ""sports|ufc|nba|nfl|mlb|soccer|sports fans""), ""Sports"",
  REGEXMATCH(LOWER("&amp;"VLOOKUP(A603, Data1_Raw_Slack!A:B, 2, FALSE)), ""fashion|style|clothing|apparel|shoes|accessories|beauty|cosmetics|fashionistas""), ""Fashion and Beauty"",
  REGEXMATCH(LOWER(VLOOKUP(A603, Data1_Raw_Slack!A:B, 2, FALSE)), ""food|cooking|recipe|restaurant|"&amp;"snack|grocery|foodies""), ""Food"",
  REGEXMATCH(LOWER(VLOOKUP(A603, Data1_Raw_Slack!A:B, 2, FALSE)), ""travel|vacation|airline|hotel|trip|flights|travelers""), ""Travel"",
  REGEXMATCH(LOWER(VLOOKUP(A603, Data1_Raw_Slack!A:B, 2, FALSE)), ""fitness|workou"&amp;"t|gym|exercise|yoga|wellness|fitness enthusiasts""), ""Fitness"",
  REGEXMATCH(LOWER(VLOOKUP(A603, Data1_Raw_Slack!A:B, 2, FALSE)), ""health|medical|pharmacy|mental health|doctor|health-conscious""), ""Health"",
  REGEXMATCH(LOWER(VLOOKUP(A603, Data1_Raw_"&amp;"Slack!A:B, 2, FALSE)), ""pets|dogs|cats|animals|pet care|pet lovers""), ""Pets"",
  REGEXMATCH(LOWER(VLOOKUP(A603, Data1_Raw_Slack!A:B, 2, FALSE)), ""games|gaming|game|xbox|playstation|nintendo|gamers""), ""Gaming"",
  REGEXMATCH(LOWER(VLOOKUP(A603, Data1"&amp;"_Raw_Slack!A:B, 2, FALSE)), ""entertainment|movies|tv|netflix|streaming|celebrity|movie lovers|tv fans|hobb|photo|art""), ""Entertainment"",
  REGEXMATCH(LOWER(VLOOKUP(A603, Data1_Raw_Slack!A:B, 2, FALSE)), ""lifestyle|home|interior|decor|living|lifestyle"&amp;" enthusiasts""), ""Lifestyle"",
  REGEXMATCH(LOWER(VLOOKUP(A603, Data1_Raw_Slack!A:B, 2, FALSE)), ""financial|finance|investing|stocks|retirement|banking|credit|debt|loans|savings|personal finance|insurance|econ|ecom|business|retail|occupation|sale|job|ma"&amp;"rketing""), ""Finance"",
  REGEXMATCH(LOWER(VLOOKUP(A603, Data1_Raw_Slack!A:B, 2, FALSE)), ""auto|automotive""), ""Auto"",
  REGEXMATCH(LOWER(VLOOKUP(A603, Data1_Raw_Slack!A:B, 2, FALSE)), ""parenting|moms|dads|kids|toddlers|baby|parent|children""), ""Par"&amp;"enting"",
  REGEXMATCH(LOWER(VLOOKUP(A603, Data1_Raw_Slack!A:B, 2, FALSE)), ""education|students|learning|school|teachers|college|university|academics""), ""Education"",
  REGEXMATCH(LOWER(VLOOKUP(A603, Data1_Raw_Slack!A:B, 2, FALSE)), ""age|gender|dem"&amp;"ographic|family|household""), ""Demographics"",
  REGEXMATCH(LOWER(VLOOKUP(A603, Data1_Raw_Slack!A:B, 2, FALSE)), ""mortgage|real estate""), ""Real Estate"",REGEXMATCH(LOWER(VLOOKUP(A603, Data1_Raw_Slack!A:B, 2, FALSE)), ""technology|tech|gadgets|smartpho"&amp;"ne|electro|apps|devices|computing|ai|robots|software|computer|internet|tele|mobile|tablet""), ""Technology"", REGEXMATCH(LOWER(VLOOKUP(A603, Data1_Raw_Slack!A:B, 2, FALSE)), ""entertainment|purchas|movies|tv|netflix|streaming|celebrity|movie lovers|tv fan"&amp;"s|media|hobb|photo|art|shop""), ""Entertainment"", REGEXMATCH(LOWER(VLOOKUP(A603, Data1_Raw_Slack!A:B, 2, FALSE)), ""law|government|""), ""Law and Government"",
  TRUE, ""Other""
)"),"Auto")</f>
        <v>Auto</v>
      </c>
      <c r="G603" s="9" t="s">
        <v>122</v>
      </c>
      <c r="H603" s="9" t="s">
        <v>44</v>
      </c>
      <c r="I603" s="9" t="s">
        <v>586</v>
      </c>
      <c r="J603" s="9" t="s">
        <v>80</v>
      </c>
      <c r="K603" s="9" t="s">
        <v>35</v>
      </c>
      <c r="L603" s="9" t="s">
        <v>36</v>
      </c>
      <c r="M603" s="10" t="s">
        <v>1782</v>
      </c>
      <c r="N603" s="9" t="str">
        <f ca="1">IFERROR(__xludf.DUMMYFUNCTION("REGEXEXTRACT(LOWER(M603), ""([a-z0-9\-]+)\.(?:co|net|org|io|gg)"")"),"npr")</f>
        <v>npr</v>
      </c>
      <c r="O603" s="9" t="s">
        <v>593</v>
      </c>
      <c r="P603" s="9" t="s">
        <v>39</v>
      </c>
      <c r="Q603" s="9">
        <v>8000</v>
      </c>
      <c r="R603" s="9">
        <v>10</v>
      </c>
      <c r="S603" s="9">
        <v>4400</v>
      </c>
      <c r="T603" s="9">
        <v>6379</v>
      </c>
      <c r="U603" s="9">
        <v>1</v>
      </c>
      <c r="V603" s="11">
        <v>6159.3669019999998</v>
      </c>
      <c r="W603" s="12">
        <f t="shared" si="14"/>
        <v>6159.3669019999998</v>
      </c>
      <c r="X603" s="12">
        <f t="shared" si="15"/>
        <v>0.125</v>
      </c>
      <c r="Y603" s="12">
        <f t="shared" si="16"/>
        <v>55.000000000000007</v>
      </c>
      <c r="Z603" s="12">
        <f t="shared" si="17"/>
        <v>1399.8561140909089</v>
      </c>
      <c r="AA603" s="12">
        <f t="shared" si="18"/>
        <v>769.92086274999997</v>
      </c>
      <c r="AB603" s="12">
        <f t="shared" si="19"/>
        <v>615.93669019999993</v>
      </c>
      <c r="AC603" s="12">
        <f t="shared" si="20"/>
        <v>10</v>
      </c>
      <c r="AE603" s="13"/>
      <c r="AF603" s="13"/>
    </row>
    <row r="604" spans="1:32">
      <c r="A604" s="8" t="s">
        <v>2061</v>
      </c>
      <c r="B604" s="9" t="s">
        <v>521</v>
      </c>
      <c r="C604" s="9" t="s">
        <v>1828</v>
      </c>
      <c r="D604" s="9" t="s">
        <v>2062</v>
      </c>
      <c r="E604" s="9"/>
      <c r="F604" s="9" t="str">
        <f ca="1">IFERROR(__xludf.DUMMYFUNCTION("IFS(
  REGEXMATCH(LOWER(VLOOKUP(A604, Data1_Raw_Slack!A:B, 2, FALSE)), ""news|weather""), ""News and Weather"", REGEXMATCH(LOWER(VLOOKUP(A604, Data1_Raw_Slack!A:B, 2, FALSE)), ""sports|ufc|nba|nfl|mlb|soccer|sports fans""), ""Sports"",
  REGEXMATCH(LOWER("&amp;"VLOOKUP(A604, Data1_Raw_Slack!A:B, 2, FALSE)), ""fashion|style|clothing|apparel|shoes|accessories|beauty|cosmetics|fashionistas""), ""Fashion and Beauty"",
  REGEXMATCH(LOWER(VLOOKUP(A604, Data1_Raw_Slack!A:B, 2, FALSE)), ""food|cooking|recipe|restaurant|"&amp;"snack|grocery|foodies""), ""Food"",
  REGEXMATCH(LOWER(VLOOKUP(A604, Data1_Raw_Slack!A:B, 2, FALSE)), ""travel|vacation|airline|hotel|trip|flights|travelers""), ""Travel"",
  REGEXMATCH(LOWER(VLOOKUP(A604, Data1_Raw_Slack!A:B, 2, FALSE)), ""fitness|workou"&amp;"t|gym|exercise|yoga|wellness|fitness enthusiasts""), ""Fitness"",
  REGEXMATCH(LOWER(VLOOKUP(A604, Data1_Raw_Slack!A:B, 2, FALSE)), ""health|medical|pharmacy|mental health|doctor|health-conscious""), ""Health"",
  REGEXMATCH(LOWER(VLOOKUP(A604, Data1_Raw_"&amp;"Slack!A:B, 2, FALSE)), ""pets|dogs|cats|animals|pet care|pet lovers""), ""Pets"",
  REGEXMATCH(LOWER(VLOOKUP(A604, Data1_Raw_Slack!A:B, 2, FALSE)), ""games|gaming|game|xbox|playstation|nintendo|gamers""), ""Gaming"",
  REGEXMATCH(LOWER(VLOOKUP(A604, Data1"&amp;"_Raw_Slack!A:B, 2, FALSE)), ""entertainment|movies|tv|netflix|streaming|celebrity|movie lovers|tv fans|hobb|photo|art""), ""Entertainment"",
  REGEXMATCH(LOWER(VLOOKUP(A604, Data1_Raw_Slack!A:B, 2, FALSE)), ""lifestyle|home|interior|decor|living|lifestyle"&amp;" enthusiasts""), ""Lifestyle"",
  REGEXMATCH(LOWER(VLOOKUP(A604, Data1_Raw_Slack!A:B, 2, FALSE)), ""financial|finance|investing|stocks|retirement|banking|credit|debt|loans|savings|personal finance|insurance|econ|ecom|business|retail|occupation|sale|job|ma"&amp;"rketing""), ""Finance"",
  REGEXMATCH(LOWER(VLOOKUP(A604, Data1_Raw_Slack!A:B, 2, FALSE)), ""auto|automotive""), ""Auto"",
  REGEXMATCH(LOWER(VLOOKUP(A604, Data1_Raw_Slack!A:B, 2, FALSE)), ""parenting|moms|dads|kids|toddlers|baby|parent|children""), ""Par"&amp;"enting"",
  REGEXMATCH(LOWER(VLOOKUP(A604, Data1_Raw_Slack!A:B, 2, FALSE)), ""education|students|learning|school|teachers|college|university|academics""), ""Education"",
  REGEXMATCH(LOWER(VLOOKUP(A604, Data1_Raw_Slack!A:B, 2, FALSE)), ""age|gender|dem"&amp;"ographic|family|household""), ""Demographics"",
  REGEXMATCH(LOWER(VLOOKUP(A604, Data1_Raw_Slack!A:B, 2, FALSE)), ""mortgage|real estate""), ""Real Estate"",REGEXMATCH(LOWER(VLOOKUP(A604, Data1_Raw_Slack!A:B, 2, FALSE)), ""technology|tech|gadgets|smartpho"&amp;"ne|electro|apps|devices|computing|ai|robots|software|computer|internet|tele|mobile|tablet""), ""Technology"", REGEXMATCH(LOWER(VLOOKUP(A604, Data1_Raw_Slack!A:B, 2, FALSE)), ""entertainment|purchas|movies|tv|netflix|streaming|celebrity|movie lovers|tv fan"&amp;"s|media|hobb|photo|art|shop""), ""Entertainment"", REGEXMATCH(LOWER(VLOOKUP(A604, Data1_Raw_Slack!A:B, 2, FALSE)), ""law|government|""), ""Law and Government"",
  TRUE, ""Other""
)"),"Travel")</f>
        <v>Travel</v>
      </c>
      <c r="G604" s="9"/>
      <c r="H604" s="9" t="s">
        <v>44</v>
      </c>
      <c r="I604" s="9" t="s">
        <v>2063</v>
      </c>
      <c r="J604" s="9" t="s">
        <v>46</v>
      </c>
      <c r="K604" s="9" t="s">
        <v>142</v>
      </c>
      <c r="L604" s="9" t="s">
        <v>72</v>
      </c>
      <c r="M604" s="10" t="s">
        <v>49</v>
      </c>
      <c r="N604" s="9" t="str">
        <f ca="1">IFERROR(__xludf.DUMMYFUNCTION("REGEXEXTRACT(LOWER(M604), ""([a-z0-9\-]+)\.(?:co|net|org|io|gg)"")"),"yahoo")</f>
        <v>yahoo</v>
      </c>
      <c r="O604" s="9" t="s">
        <v>349</v>
      </c>
      <c r="P604" s="9" t="s">
        <v>39</v>
      </c>
      <c r="Q604" s="9">
        <v>679098</v>
      </c>
      <c r="R604" s="9">
        <v>1984</v>
      </c>
      <c r="S604" s="9">
        <v>467726</v>
      </c>
      <c r="T604" s="9">
        <v>634589</v>
      </c>
      <c r="U604" s="9">
        <v>9</v>
      </c>
      <c r="V604" s="11">
        <v>1477.4248560000001</v>
      </c>
      <c r="W604" s="12">
        <f t="shared" si="14"/>
        <v>164.15831733333334</v>
      </c>
      <c r="X604" s="12">
        <f t="shared" si="15"/>
        <v>0.2921522372323288</v>
      </c>
      <c r="Y604" s="12">
        <f t="shared" si="16"/>
        <v>68.87459541921784</v>
      </c>
      <c r="Z604" s="12">
        <f t="shared" si="17"/>
        <v>3.1587400657649995</v>
      </c>
      <c r="AA604" s="12">
        <f t="shared" si="18"/>
        <v>2.1755694406403787</v>
      </c>
      <c r="AB604" s="12">
        <f t="shared" si="19"/>
        <v>0.74466978629032266</v>
      </c>
      <c r="AC604" s="12">
        <f t="shared" si="20"/>
        <v>0.45362903225806456</v>
      </c>
      <c r="AE604" s="13"/>
      <c r="AF604" s="13"/>
    </row>
    <row r="605" spans="1:32">
      <c r="A605" s="8" t="s">
        <v>2064</v>
      </c>
      <c r="B605" s="9" t="s">
        <v>41</v>
      </c>
      <c r="C605" s="9" t="s">
        <v>214</v>
      </c>
      <c r="D605" s="9" t="s">
        <v>215</v>
      </c>
      <c r="E605" s="9" t="s">
        <v>2065</v>
      </c>
      <c r="F605" s="9" t="str">
        <f ca="1">IFERROR(__xludf.DUMMYFUNCTION("IFS(
  REGEXMATCH(LOWER(VLOOKUP(A605, Data1_Raw_Slack!A:B, 2, FALSE)), ""news|weather""), ""News and Weather"", REGEXMATCH(LOWER(VLOOKUP(A605, Data1_Raw_Slack!A:B, 2, FALSE)), ""sports|ufc|nba|nfl|mlb|soccer|sports fans""), ""Sports"",
  REGEXMATCH(LOWER("&amp;"VLOOKUP(A605, Data1_Raw_Slack!A:B, 2, FALSE)), ""fashion|style|clothing|apparel|shoes|accessories|beauty|cosmetics|fashionistas""), ""Fashion and Beauty"",
  REGEXMATCH(LOWER(VLOOKUP(A605, Data1_Raw_Slack!A:B, 2, FALSE)), ""food|cooking|recipe|restaurant|"&amp;"snack|grocery|foodies""), ""Food"",
  REGEXMATCH(LOWER(VLOOKUP(A605, Data1_Raw_Slack!A:B, 2, FALSE)), ""travel|vacation|airline|hotel|trip|flights|travelers""), ""Travel"",
  REGEXMATCH(LOWER(VLOOKUP(A605, Data1_Raw_Slack!A:B, 2, FALSE)), ""fitness|workou"&amp;"t|gym|exercise|yoga|wellness|fitness enthusiasts""), ""Fitness"",
  REGEXMATCH(LOWER(VLOOKUP(A605, Data1_Raw_Slack!A:B, 2, FALSE)), ""health|medical|pharmacy|mental health|doctor|health-conscious""), ""Health"",
  REGEXMATCH(LOWER(VLOOKUP(A605, Data1_Raw_"&amp;"Slack!A:B, 2, FALSE)), ""pets|dogs|cats|animals|pet care|pet lovers""), ""Pets"",
  REGEXMATCH(LOWER(VLOOKUP(A605, Data1_Raw_Slack!A:B, 2, FALSE)), ""games|gaming|game|xbox|playstation|nintendo|gamers""), ""Gaming"",
  REGEXMATCH(LOWER(VLOOKUP(A605, Data1"&amp;"_Raw_Slack!A:B, 2, FALSE)), ""entertainment|movies|tv|netflix|streaming|celebrity|movie lovers|tv fans|hobb|photo|art""), ""Entertainment"",
  REGEXMATCH(LOWER(VLOOKUP(A605, Data1_Raw_Slack!A:B, 2, FALSE)), ""lifestyle|home|interior|decor|living|lifestyle"&amp;" enthusiasts""), ""Lifestyle"",
  REGEXMATCH(LOWER(VLOOKUP(A605, Data1_Raw_Slack!A:B, 2, FALSE)), ""financial|finance|investing|stocks|retirement|banking|credit|debt|loans|savings|personal finance|insurance|econ|ecom|business|retail|occupation|sale|job|ma"&amp;"rketing""), ""Finance"",
  REGEXMATCH(LOWER(VLOOKUP(A605, Data1_Raw_Slack!A:B, 2, FALSE)), ""auto|automotive""), ""Auto"",
  REGEXMATCH(LOWER(VLOOKUP(A605, Data1_Raw_Slack!A:B, 2, FALSE)), ""parenting|moms|dads|kids|toddlers|baby|parent|children""), ""Par"&amp;"enting"",
  REGEXMATCH(LOWER(VLOOKUP(A605, Data1_Raw_Slack!A:B, 2, FALSE)), ""education|students|learning|school|teachers|college|university|academics""), ""Education"",
  REGEXMATCH(LOWER(VLOOKUP(A605, Data1_Raw_Slack!A:B, 2, FALSE)), ""age|gender|dem"&amp;"ographic|family|household""), ""Demographics"",
  REGEXMATCH(LOWER(VLOOKUP(A605, Data1_Raw_Slack!A:B, 2, FALSE)), ""mortgage|real estate""), ""Real Estate"",REGEXMATCH(LOWER(VLOOKUP(A605, Data1_Raw_Slack!A:B, 2, FALSE)), ""technology|tech|gadgets|smartpho"&amp;"ne|electro|apps|devices|computing|ai|robots|software|computer|internet|tele|mobile|tablet""), ""Technology"", REGEXMATCH(LOWER(VLOOKUP(A605, Data1_Raw_Slack!A:B, 2, FALSE)), ""entertainment|purchas|movies|tv|netflix|streaming|celebrity|movie lovers|tv fan"&amp;"s|media|hobb|photo|art|shop""), ""Entertainment"", REGEXMATCH(LOWER(VLOOKUP(A605, Data1_Raw_Slack!A:B, 2, FALSE)), ""law|government|""), ""Law and Government"",
  TRUE, ""Other""
)"),"Demographics")</f>
        <v>Demographics</v>
      </c>
      <c r="G605" s="9"/>
      <c r="H605" s="9" t="s">
        <v>32</v>
      </c>
      <c r="I605" s="9" t="s">
        <v>645</v>
      </c>
      <c r="J605" s="9" t="s">
        <v>46</v>
      </c>
      <c r="K605" s="9" t="s">
        <v>236</v>
      </c>
      <c r="L605" s="9" t="s">
        <v>82</v>
      </c>
      <c r="M605" s="10" t="s">
        <v>295</v>
      </c>
      <c r="N605" s="9" t="str">
        <f ca="1">IFERROR(__xludf.DUMMYFUNCTION("REGEXEXTRACT(LOWER(M605), ""([a-z0-9\-]+)\.(?:co|net|org|io|gg)"")"),"yahoo")</f>
        <v>yahoo</v>
      </c>
      <c r="O605" s="9" t="s">
        <v>50</v>
      </c>
      <c r="P605" s="9" t="s">
        <v>39</v>
      </c>
      <c r="Q605" s="9">
        <v>232470</v>
      </c>
      <c r="R605" s="9">
        <v>504</v>
      </c>
      <c r="S605" s="9">
        <v>40870</v>
      </c>
      <c r="T605" s="9">
        <v>195447</v>
      </c>
      <c r="U605" s="9">
        <v>36</v>
      </c>
      <c r="V605" s="11">
        <v>5401.3650850000004</v>
      </c>
      <c r="W605" s="12">
        <f t="shared" si="14"/>
        <v>150.03791902777778</v>
      </c>
      <c r="X605" s="12">
        <f t="shared" si="15"/>
        <v>0.21680216802168023</v>
      </c>
      <c r="Y605" s="12">
        <f t="shared" si="16"/>
        <v>17.580763109218395</v>
      </c>
      <c r="Z605" s="12">
        <f t="shared" si="17"/>
        <v>132.15965463665279</v>
      </c>
      <c r="AA605" s="12">
        <f t="shared" si="18"/>
        <v>23.234675807631092</v>
      </c>
      <c r="AB605" s="12">
        <f t="shared" si="19"/>
        <v>10.716994216269843</v>
      </c>
      <c r="AC605" s="12">
        <f t="shared" si="20"/>
        <v>7.1428571428571423</v>
      </c>
      <c r="AE605" s="13"/>
      <c r="AF605" s="13"/>
    </row>
    <row r="606" spans="1:32">
      <c r="A606" s="8" t="s">
        <v>2066</v>
      </c>
      <c r="B606" s="9" t="s">
        <v>66</v>
      </c>
      <c r="C606" s="9" t="s">
        <v>388</v>
      </c>
      <c r="D606" s="9" t="s">
        <v>2067</v>
      </c>
      <c r="E606" s="9"/>
      <c r="F606" s="9" t="str">
        <f ca="1">IFERROR(__xludf.DUMMYFUNCTION("IFS(
  REGEXMATCH(LOWER(VLOOKUP(A606, Data1_Raw_Slack!A:B, 2, FALSE)), ""news|weather""), ""News and Weather"", REGEXMATCH(LOWER(VLOOKUP(A606, Data1_Raw_Slack!A:B, 2, FALSE)), ""sports|ufc|nba|nfl|mlb|soccer|sports fans""), ""Sports"",
  REGEXMATCH(LOWER("&amp;"VLOOKUP(A606, Data1_Raw_Slack!A:B, 2, FALSE)), ""fashion|style|clothing|apparel|shoes|accessories|beauty|cosmetics|fashionistas""), ""Fashion and Beauty"",
  REGEXMATCH(LOWER(VLOOKUP(A606, Data1_Raw_Slack!A:B, 2, FALSE)), ""food|cooking|recipe|restaurant|"&amp;"snack|grocery|foodies""), ""Food"",
  REGEXMATCH(LOWER(VLOOKUP(A606, Data1_Raw_Slack!A:B, 2, FALSE)), ""travel|vacation|airline|hotel|trip|flights|travelers""), ""Travel"",
  REGEXMATCH(LOWER(VLOOKUP(A606, Data1_Raw_Slack!A:B, 2, FALSE)), ""fitness|workou"&amp;"t|gym|exercise|yoga|wellness|fitness enthusiasts""), ""Fitness"",
  REGEXMATCH(LOWER(VLOOKUP(A606, Data1_Raw_Slack!A:B, 2, FALSE)), ""health|medical|pharmacy|mental health|doctor|health-conscious""), ""Health"",
  REGEXMATCH(LOWER(VLOOKUP(A606, Data1_Raw_"&amp;"Slack!A:B, 2, FALSE)), ""pets|dogs|cats|animals|pet care|pet lovers""), ""Pets"",
  REGEXMATCH(LOWER(VLOOKUP(A606, Data1_Raw_Slack!A:B, 2, FALSE)), ""games|gaming|game|xbox|playstation|nintendo|gamers""), ""Gaming"",
  REGEXMATCH(LOWER(VLOOKUP(A606, Data1"&amp;"_Raw_Slack!A:B, 2, FALSE)), ""entertainment|movies|tv|netflix|streaming|celebrity|movie lovers|tv fans|hobb|photo|art""), ""Entertainment"",
  REGEXMATCH(LOWER(VLOOKUP(A606, Data1_Raw_Slack!A:B, 2, FALSE)), ""lifestyle|home|interior|decor|living|lifestyle"&amp;" enthusiasts""), ""Lifestyle"",
  REGEXMATCH(LOWER(VLOOKUP(A606, Data1_Raw_Slack!A:B, 2, FALSE)), ""financial|finance|investing|stocks|retirement|banking|credit|debt|loans|savings|personal finance|insurance|econ|ecom|business|retail|occupation|sale|job|ma"&amp;"rketing""), ""Finance"",
  REGEXMATCH(LOWER(VLOOKUP(A606, Data1_Raw_Slack!A:B, 2, FALSE)), ""auto|automotive""), ""Auto"",
  REGEXMATCH(LOWER(VLOOKUP(A606, Data1_Raw_Slack!A:B, 2, FALSE)), ""parenting|moms|dads|kids|toddlers|baby|parent|children""), ""Par"&amp;"enting"",
  REGEXMATCH(LOWER(VLOOKUP(A606, Data1_Raw_Slack!A:B, 2, FALSE)), ""education|students|learning|school|teachers|college|university|academics""), ""Education"",
  REGEXMATCH(LOWER(VLOOKUP(A606, Data1_Raw_Slack!A:B, 2, FALSE)), ""age|gender|dem"&amp;"ographic|family|household""), ""Demographics"",
  REGEXMATCH(LOWER(VLOOKUP(A606, Data1_Raw_Slack!A:B, 2, FALSE)), ""mortgage|real estate""), ""Real Estate"",REGEXMATCH(LOWER(VLOOKUP(A606, Data1_Raw_Slack!A:B, 2, FALSE)), ""technology|tech|gadgets|smartpho"&amp;"ne|electro|apps|devices|computing|ai|robots|software|computer|internet|tele|mobile|tablet""), ""Technology"", REGEXMATCH(LOWER(VLOOKUP(A606, Data1_Raw_Slack!A:B, 2, FALSE)), ""entertainment|purchas|movies|tv|netflix|streaming|celebrity|movie lovers|tv fan"&amp;"s|media|hobb|photo|art|shop""), ""Entertainment"", REGEXMATCH(LOWER(VLOOKUP(A606, Data1_Raw_Slack!A:B, 2, FALSE)), ""law|government|""), ""Law and Government"",
  TRUE, ""Other""
)"),"Fashion and Beauty")</f>
        <v>Fashion and Beauty</v>
      </c>
      <c r="G606" s="9"/>
      <c r="H606" s="9" t="s">
        <v>44</v>
      </c>
      <c r="I606" s="9" t="s">
        <v>2068</v>
      </c>
      <c r="J606" s="9" t="s">
        <v>34</v>
      </c>
      <c r="K606" s="9" t="s">
        <v>299</v>
      </c>
      <c r="L606" s="9" t="s">
        <v>72</v>
      </c>
      <c r="M606" s="10" t="s">
        <v>354</v>
      </c>
      <c r="N606" s="9" t="str">
        <f ca="1">IFERROR(__xludf.DUMMYFUNCTION("REGEXEXTRACT(LOWER(M606), ""([a-z0-9\-]+)\.(?:co|net|org|io|gg)"")"),"yahoo")</f>
        <v>yahoo</v>
      </c>
      <c r="O606" s="9" t="s">
        <v>103</v>
      </c>
      <c r="P606" s="9" t="s">
        <v>75</v>
      </c>
      <c r="Q606" s="9">
        <v>59296</v>
      </c>
      <c r="R606" s="9">
        <v>170</v>
      </c>
      <c r="S606" s="9">
        <v>25482</v>
      </c>
      <c r="T606" s="9">
        <v>54149</v>
      </c>
      <c r="U606" s="9">
        <v>4</v>
      </c>
      <c r="V606" s="11">
        <v>1568.7152590000001</v>
      </c>
      <c r="W606" s="12">
        <f t="shared" si="14"/>
        <v>392.17881475000002</v>
      </c>
      <c r="X606" s="12">
        <f t="shared" si="15"/>
        <v>0.28669724770642202</v>
      </c>
      <c r="Y606" s="12">
        <f t="shared" si="16"/>
        <v>42.974230976794388</v>
      </c>
      <c r="Z606" s="12">
        <f t="shared" si="17"/>
        <v>61.5617007691704</v>
      </c>
      <c r="AA606" s="12">
        <f t="shared" si="18"/>
        <v>26.455667481786293</v>
      </c>
      <c r="AB606" s="12">
        <f t="shared" si="19"/>
        <v>9.2277368176470596</v>
      </c>
      <c r="AC606" s="12">
        <f t="shared" si="20"/>
        <v>2.3529411764705883</v>
      </c>
      <c r="AE606" s="13"/>
      <c r="AF606" s="13"/>
    </row>
    <row r="607" spans="1:32">
      <c r="A607" s="8" t="s">
        <v>2069</v>
      </c>
      <c r="B607" s="9" t="s">
        <v>41</v>
      </c>
      <c r="C607" s="9" t="s">
        <v>127</v>
      </c>
      <c r="D607" s="9" t="s">
        <v>427</v>
      </c>
      <c r="E607" s="9" t="s">
        <v>427</v>
      </c>
      <c r="F607" s="9" t="str">
        <f ca="1">IFERROR(__xludf.DUMMYFUNCTION("IFS(
  REGEXMATCH(LOWER(VLOOKUP(A607, Data1_Raw_Slack!A:B, 2, FALSE)), ""news|weather""), ""News and Weather"", REGEXMATCH(LOWER(VLOOKUP(A607, Data1_Raw_Slack!A:B, 2, FALSE)), ""sports|ufc|nba|nfl|mlb|soccer|sports fans""), ""Sports"",
  REGEXMATCH(LOWER("&amp;"VLOOKUP(A607, Data1_Raw_Slack!A:B, 2, FALSE)), ""fashion|style|clothing|apparel|shoes|accessories|beauty|cosmetics|fashionistas""), ""Fashion and Beauty"",
  REGEXMATCH(LOWER(VLOOKUP(A607, Data1_Raw_Slack!A:B, 2, FALSE)), ""food|cooking|recipe|restaurant|"&amp;"snack|grocery|foodies""), ""Food"",
  REGEXMATCH(LOWER(VLOOKUP(A607, Data1_Raw_Slack!A:B, 2, FALSE)), ""travel|vacation|airline|hotel|trip|flights|travelers""), ""Travel"",
  REGEXMATCH(LOWER(VLOOKUP(A607, Data1_Raw_Slack!A:B, 2, FALSE)), ""fitness|workou"&amp;"t|gym|exercise|yoga|wellness|fitness enthusiasts""), ""Fitness"",
  REGEXMATCH(LOWER(VLOOKUP(A607, Data1_Raw_Slack!A:B, 2, FALSE)), ""health|medical|pharmacy|mental health|doctor|health-conscious""), ""Health"",
  REGEXMATCH(LOWER(VLOOKUP(A607, Data1_Raw_"&amp;"Slack!A:B, 2, FALSE)), ""pets|dogs|cats|animals|pet care|pet lovers""), ""Pets"",
  REGEXMATCH(LOWER(VLOOKUP(A607, Data1_Raw_Slack!A:B, 2, FALSE)), ""games|gaming|game|xbox|playstation|nintendo|gamers""), ""Gaming"",
  REGEXMATCH(LOWER(VLOOKUP(A607, Data1"&amp;"_Raw_Slack!A:B, 2, FALSE)), ""entertainment|movies|tv|netflix|streaming|celebrity|movie lovers|tv fans|hobb|photo|art""), ""Entertainment"",
  REGEXMATCH(LOWER(VLOOKUP(A607, Data1_Raw_Slack!A:B, 2, FALSE)), ""lifestyle|home|interior|decor|living|lifestyle"&amp;" enthusiasts""), ""Lifestyle"",
  REGEXMATCH(LOWER(VLOOKUP(A607, Data1_Raw_Slack!A:B, 2, FALSE)), ""financial|finance|investing|stocks|retirement|banking|credit|debt|loans|savings|personal finance|insurance|econ|ecom|business|retail|occupation|sale|job|ma"&amp;"rketing""), ""Finance"",
  REGEXMATCH(LOWER(VLOOKUP(A607, Data1_Raw_Slack!A:B, 2, FALSE)), ""auto|automotive""), ""Auto"",
  REGEXMATCH(LOWER(VLOOKUP(A607, Data1_Raw_Slack!A:B, 2, FALSE)), ""parenting|moms|dads|kids|toddlers|baby|parent|children""), ""Par"&amp;"enting"",
  REGEXMATCH(LOWER(VLOOKUP(A607, Data1_Raw_Slack!A:B, 2, FALSE)), ""education|students|learning|school|teachers|college|university|academics""), ""Education"",
  REGEXMATCH(LOWER(VLOOKUP(A607, Data1_Raw_Slack!A:B, 2, FALSE)), ""age|gender|dem"&amp;"ographic|family|household""), ""Demographics"",
  REGEXMATCH(LOWER(VLOOKUP(A607, Data1_Raw_Slack!A:B, 2, FALSE)), ""mortgage|real estate""), ""Real Estate"",REGEXMATCH(LOWER(VLOOKUP(A607, Data1_Raw_Slack!A:B, 2, FALSE)), ""technology|tech|gadgets|smartpho"&amp;"ne|electro|apps|devices|computing|ai|robots|software|computer|internet|tele|mobile|tablet""), ""Technology"", REGEXMATCH(LOWER(VLOOKUP(A607, Data1_Raw_Slack!A:B, 2, FALSE)), ""entertainment|purchas|movies|tv|netflix|streaming|celebrity|movie lovers|tv fan"&amp;"s|media|hobb|photo|art|shop""), ""Entertainment"", REGEXMATCH(LOWER(VLOOKUP(A607, Data1_Raw_Slack!A:B, 2, FALSE)), ""law|government|""), ""Law and Government"",
  TRUE, ""Other""
)"),"Finance")</f>
        <v>Finance</v>
      </c>
      <c r="G607" s="9" t="s">
        <v>127</v>
      </c>
      <c r="H607" s="9" t="s">
        <v>32</v>
      </c>
      <c r="I607" s="9" t="s">
        <v>1823</v>
      </c>
      <c r="J607" s="9" t="s">
        <v>80</v>
      </c>
      <c r="K607" s="9" t="s">
        <v>142</v>
      </c>
      <c r="L607" s="9" t="s">
        <v>72</v>
      </c>
      <c r="M607" s="10" t="s">
        <v>229</v>
      </c>
      <c r="N607" s="9" t="str">
        <f ca="1">IFERROR(__xludf.DUMMYFUNCTION("REGEXEXTRACT(LOWER(M607), ""([a-z0-9\-]+)\.(?:co|net|org|io|gg)"")"),"msn")</f>
        <v>msn</v>
      </c>
      <c r="O607" s="9" t="s">
        <v>50</v>
      </c>
      <c r="P607" s="9" t="s">
        <v>39</v>
      </c>
      <c r="Q607" s="9">
        <v>1222302</v>
      </c>
      <c r="R607" s="9">
        <v>3142</v>
      </c>
      <c r="S607" s="9">
        <v>553773</v>
      </c>
      <c r="T607" s="9">
        <v>1120128</v>
      </c>
      <c r="U607" s="9">
        <v>42</v>
      </c>
      <c r="V607" s="11">
        <v>7880.7704059999996</v>
      </c>
      <c r="W607" s="12">
        <f t="shared" si="14"/>
        <v>187.63739061904761</v>
      </c>
      <c r="X607" s="12">
        <f t="shared" si="15"/>
        <v>0.25705594852990504</v>
      </c>
      <c r="Y607" s="12">
        <f t="shared" si="16"/>
        <v>45.305742770608248</v>
      </c>
      <c r="Z607" s="12">
        <f t="shared" si="17"/>
        <v>14.231048472930244</v>
      </c>
      <c r="AA607" s="12">
        <f t="shared" si="18"/>
        <v>6.4474822147063495</v>
      </c>
      <c r="AB607" s="12">
        <f t="shared" si="19"/>
        <v>2.5082019115213239</v>
      </c>
      <c r="AC607" s="12">
        <f t="shared" si="20"/>
        <v>1.336728198599618</v>
      </c>
      <c r="AE607" s="13"/>
      <c r="AF607" s="13"/>
    </row>
    <row r="608" spans="1:32">
      <c r="A608" s="8" t="s">
        <v>2070</v>
      </c>
      <c r="B608" s="9" t="s">
        <v>41</v>
      </c>
      <c r="C608" s="9" t="s">
        <v>120</v>
      </c>
      <c r="D608" s="9" t="s">
        <v>2071</v>
      </c>
      <c r="E608" s="9"/>
      <c r="F608" s="9" t="str">
        <f ca="1">IFERROR(__xludf.DUMMYFUNCTION("IFS(
  REGEXMATCH(LOWER(VLOOKUP(A608, Data1_Raw_Slack!A:B, 2, FALSE)), ""news|weather""), ""News and Weather"", REGEXMATCH(LOWER(VLOOKUP(A608, Data1_Raw_Slack!A:B, 2, FALSE)), ""sports|ufc|nba|nfl|mlb|soccer|sports fans""), ""Sports"",
  REGEXMATCH(LOWER("&amp;"VLOOKUP(A608, Data1_Raw_Slack!A:B, 2, FALSE)), ""fashion|style|clothing|apparel|shoes|accessories|beauty|cosmetics|fashionistas""), ""Fashion and Beauty"",
  REGEXMATCH(LOWER(VLOOKUP(A608, Data1_Raw_Slack!A:B, 2, FALSE)), ""food|cooking|recipe|restaurant|"&amp;"snack|grocery|foodies""), ""Food"",
  REGEXMATCH(LOWER(VLOOKUP(A608, Data1_Raw_Slack!A:B, 2, FALSE)), ""travel|vacation|airline|hotel|trip|flights|travelers""), ""Travel"",
  REGEXMATCH(LOWER(VLOOKUP(A608, Data1_Raw_Slack!A:B, 2, FALSE)), ""fitness|workou"&amp;"t|gym|exercise|yoga|wellness|fitness enthusiasts""), ""Fitness"",
  REGEXMATCH(LOWER(VLOOKUP(A608, Data1_Raw_Slack!A:B, 2, FALSE)), ""health|medical|pharmacy|mental health|doctor|health-conscious""), ""Health"",
  REGEXMATCH(LOWER(VLOOKUP(A608, Data1_Raw_"&amp;"Slack!A:B, 2, FALSE)), ""pets|dogs|cats|animals|pet care|pet lovers""), ""Pets"",
  REGEXMATCH(LOWER(VLOOKUP(A608, Data1_Raw_Slack!A:B, 2, FALSE)), ""games|gaming|game|xbox|playstation|nintendo|gamers""), ""Gaming"",
  REGEXMATCH(LOWER(VLOOKUP(A608, Data1"&amp;"_Raw_Slack!A:B, 2, FALSE)), ""entertainment|movies|tv|netflix|streaming|celebrity|movie lovers|tv fans|hobb|photo|art""), ""Entertainment"",
  REGEXMATCH(LOWER(VLOOKUP(A608, Data1_Raw_Slack!A:B, 2, FALSE)), ""lifestyle|home|interior|decor|living|lifestyle"&amp;" enthusiasts""), ""Lifestyle"",
  REGEXMATCH(LOWER(VLOOKUP(A608, Data1_Raw_Slack!A:B, 2, FALSE)), ""financial|finance|investing|stocks|retirement|banking|credit|debt|loans|savings|personal finance|insurance|econ|ecom|business|retail|occupation|sale|job|ma"&amp;"rketing""), ""Finance"",
  REGEXMATCH(LOWER(VLOOKUP(A608, Data1_Raw_Slack!A:B, 2, FALSE)), ""auto|automotive""), ""Auto"",
  REGEXMATCH(LOWER(VLOOKUP(A608, Data1_Raw_Slack!A:B, 2, FALSE)), ""parenting|moms|dads|kids|toddlers|baby|parent|children""), ""Par"&amp;"enting"",
  REGEXMATCH(LOWER(VLOOKUP(A608, Data1_Raw_Slack!A:B, 2, FALSE)), ""education|students|learning|school|teachers|college|university|academics""), ""Education"",
  REGEXMATCH(LOWER(VLOOKUP(A608, Data1_Raw_Slack!A:B, 2, FALSE)), ""age|gender|dem"&amp;"ographic|family|household""), ""Demographics"",
  REGEXMATCH(LOWER(VLOOKUP(A608, Data1_Raw_Slack!A:B, 2, FALSE)), ""mortgage|real estate""), ""Real Estate"",REGEXMATCH(LOWER(VLOOKUP(A608, Data1_Raw_Slack!A:B, 2, FALSE)), ""technology|tech|gadgets|smartpho"&amp;"ne|electro|apps|devices|computing|ai|robots|software|computer|internet|tele|mobile|tablet""), ""Technology"", REGEXMATCH(LOWER(VLOOKUP(A608, Data1_Raw_Slack!A:B, 2, FALSE)), ""entertainment|purchas|movies|tv|netflix|streaming|celebrity|movie lovers|tv fan"&amp;"s|media|hobb|photo|art|shop""), ""Entertainment"", REGEXMATCH(LOWER(VLOOKUP(A608, Data1_Raw_Slack!A:B, 2, FALSE)), ""law|government|""), ""Law and Government"",
  TRUE, ""Other""
)"),"Auto")</f>
        <v>Auto</v>
      </c>
      <c r="G608" s="9" t="s">
        <v>122</v>
      </c>
      <c r="H608" s="9" t="s">
        <v>32</v>
      </c>
      <c r="I608" s="9" t="s">
        <v>2072</v>
      </c>
      <c r="J608" s="9" t="s">
        <v>34</v>
      </c>
      <c r="K608" s="9" t="s">
        <v>236</v>
      </c>
      <c r="L608" s="9" t="s">
        <v>82</v>
      </c>
      <c r="M608" s="10" t="s">
        <v>434</v>
      </c>
      <c r="N608" s="9" t="str">
        <f ca="1">IFERROR(__xludf.DUMMYFUNCTION("REGEXEXTRACT(LOWER(M608), ""([a-z0-9\-]+)\.(?:co|net|org|io|gg)"")"),"mlb")</f>
        <v>mlb</v>
      </c>
      <c r="O608" s="9" t="s">
        <v>50</v>
      </c>
      <c r="P608" s="9" t="s">
        <v>39</v>
      </c>
      <c r="Q608" s="9">
        <v>38396</v>
      </c>
      <c r="R608" s="9">
        <v>87</v>
      </c>
      <c r="S608" s="9">
        <v>6305</v>
      </c>
      <c r="T608" s="9">
        <v>35118</v>
      </c>
      <c r="U608" s="9">
        <v>9</v>
      </c>
      <c r="V608" s="11">
        <v>5740.164546</v>
      </c>
      <c r="W608" s="12">
        <f t="shared" si="14"/>
        <v>637.79606066666668</v>
      </c>
      <c r="X608" s="12">
        <f t="shared" si="15"/>
        <v>0.22658610271903326</v>
      </c>
      <c r="Y608" s="12">
        <f t="shared" si="16"/>
        <v>16.420981352224189</v>
      </c>
      <c r="Z608" s="12">
        <f t="shared" si="17"/>
        <v>910.41467819191109</v>
      </c>
      <c r="AA608" s="12">
        <f t="shared" si="18"/>
        <v>149.4990245338056</v>
      </c>
      <c r="AB608" s="12">
        <f t="shared" si="19"/>
        <v>65.978902827586211</v>
      </c>
      <c r="AC608" s="12">
        <f t="shared" si="20"/>
        <v>10.344827586206897</v>
      </c>
      <c r="AE608" s="13"/>
      <c r="AF608" s="13"/>
    </row>
    <row r="609" spans="1:32">
      <c r="A609" s="8" t="s">
        <v>2073</v>
      </c>
      <c r="B609" s="9" t="s">
        <v>67</v>
      </c>
      <c r="C609" s="9" t="s">
        <v>151</v>
      </c>
      <c r="D609" s="9"/>
      <c r="E609" s="9"/>
      <c r="F609" s="9" t="str">
        <f ca="1">IFERROR(__xludf.DUMMYFUNCTION("IFS(
  REGEXMATCH(LOWER(VLOOKUP(A609, Data1_Raw_Slack!A:B, 2, FALSE)), ""news|weather""), ""News and Weather"", REGEXMATCH(LOWER(VLOOKUP(A609, Data1_Raw_Slack!A:B, 2, FALSE)), ""sports|ufc|nba|nfl|mlb|soccer|sports fans""), ""Sports"",
  REGEXMATCH(LOWER("&amp;"VLOOKUP(A609, Data1_Raw_Slack!A:B, 2, FALSE)), ""fashion|style|clothing|apparel|shoes|accessories|beauty|cosmetics|fashionistas""), ""Fashion and Beauty"",
  REGEXMATCH(LOWER(VLOOKUP(A609, Data1_Raw_Slack!A:B, 2, FALSE)), ""food|cooking|recipe|restaurant|"&amp;"snack|grocery|foodies""), ""Food"",
  REGEXMATCH(LOWER(VLOOKUP(A609, Data1_Raw_Slack!A:B, 2, FALSE)), ""travel|vacation|airline|hotel|trip|flights|travelers""), ""Travel"",
  REGEXMATCH(LOWER(VLOOKUP(A609, Data1_Raw_Slack!A:B, 2, FALSE)), ""fitness|workou"&amp;"t|gym|exercise|yoga|wellness|fitness enthusiasts""), ""Fitness"",
  REGEXMATCH(LOWER(VLOOKUP(A609, Data1_Raw_Slack!A:B, 2, FALSE)), ""health|medical|pharmacy|mental health|doctor|health-conscious""), ""Health"",
  REGEXMATCH(LOWER(VLOOKUP(A609, Data1_Raw_"&amp;"Slack!A:B, 2, FALSE)), ""pets|dogs|cats|animals|pet care|pet lovers""), ""Pets"",
  REGEXMATCH(LOWER(VLOOKUP(A609, Data1_Raw_Slack!A:B, 2, FALSE)), ""games|gaming|game|xbox|playstation|nintendo|gamers""), ""Gaming"",
  REGEXMATCH(LOWER(VLOOKUP(A609, Data1"&amp;"_Raw_Slack!A:B, 2, FALSE)), ""entertainment|movies|tv|netflix|streaming|celebrity|movie lovers|tv fans|hobb|photo|art""), ""Entertainment"",
  REGEXMATCH(LOWER(VLOOKUP(A609, Data1_Raw_Slack!A:B, 2, FALSE)), ""lifestyle|home|interior|decor|living|lifestyle"&amp;" enthusiasts""), ""Lifestyle"",
  REGEXMATCH(LOWER(VLOOKUP(A609, Data1_Raw_Slack!A:B, 2, FALSE)), ""financial|finance|investing|stocks|retirement|banking|credit|debt|loans|savings|personal finance|insurance|econ|ecom|business|retail|occupation|sale|job|ma"&amp;"rketing""), ""Finance"",
  REGEXMATCH(LOWER(VLOOKUP(A609, Data1_Raw_Slack!A:B, 2, FALSE)), ""auto|automotive""), ""Auto"",
  REGEXMATCH(LOWER(VLOOKUP(A609, Data1_Raw_Slack!A:B, 2, FALSE)), ""parenting|moms|dads|kids|toddlers|baby|parent|children""), ""Par"&amp;"enting"",
  REGEXMATCH(LOWER(VLOOKUP(A609, Data1_Raw_Slack!A:B, 2, FALSE)), ""education|students|learning|school|teachers|college|university|academics""), ""Education"",
  REGEXMATCH(LOWER(VLOOKUP(A609, Data1_Raw_Slack!A:B, 2, FALSE)), ""age|gender|dem"&amp;"ographic|family|household""), ""Demographics"",
  REGEXMATCH(LOWER(VLOOKUP(A609, Data1_Raw_Slack!A:B, 2, FALSE)), ""mortgage|real estate""), ""Real Estate"",REGEXMATCH(LOWER(VLOOKUP(A609, Data1_Raw_Slack!A:B, 2, FALSE)), ""technology|tech|gadgets|smartpho"&amp;"ne|electro|apps|devices|computing|ai|robots|software|computer|internet|tele|mobile|tablet""), ""Technology"", REGEXMATCH(LOWER(VLOOKUP(A609, Data1_Raw_Slack!A:B, 2, FALSE)), ""entertainment|purchas|movies|tv|netflix|streaming|celebrity|movie lovers|tv fan"&amp;"s|media|hobb|photo|art|shop""), ""Entertainment"", REGEXMATCH(LOWER(VLOOKUP(A609, Data1_Raw_Slack!A:B, 2, FALSE)), ""law|government|""), ""Law and Government"",
  TRUE, ""Other""
)"),"Sports")</f>
        <v>Sports</v>
      </c>
      <c r="G609" s="9" t="s">
        <v>154</v>
      </c>
      <c r="H609" s="9" t="s">
        <v>44</v>
      </c>
      <c r="I609" s="9" t="s">
        <v>2074</v>
      </c>
      <c r="J609" s="9" t="s">
        <v>34</v>
      </c>
      <c r="K609" s="9" t="s">
        <v>236</v>
      </c>
      <c r="L609" s="9" t="s">
        <v>82</v>
      </c>
      <c r="M609" s="10" t="s">
        <v>1773</v>
      </c>
      <c r="N609" s="9" t="str">
        <f ca="1">IFERROR(__xludf.DUMMYFUNCTION("REGEXEXTRACT(LOWER(M609), ""([a-z0-9\-]+)\.(?:co|net|org|io|gg)"")"),"cheapoair")</f>
        <v>cheapoair</v>
      </c>
      <c r="O609" s="9" t="s">
        <v>50</v>
      </c>
      <c r="P609" s="9" t="s">
        <v>39</v>
      </c>
      <c r="Q609" s="9">
        <v>14581</v>
      </c>
      <c r="R609" s="9">
        <v>85</v>
      </c>
      <c r="S609" s="9">
        <v>6970</v>
      </c>
      <c r="T609" s="9">
        <v>8882</v>
      </c>
      <c r="U609" s="9">
        <v>4</v>
      </c>
      <c r="V609" s="11">
        <v>2636.2021239999999</v>
      </c>
      <c r="W609" s="12">
        <f t="shared" si="14"/>
        <v>659.05053099999998</v>
      </c>
      <c r="X609" s="12">
        <f t="shared" si="15"/>
        <v>0.58295041492353061</v>
      </c>
      <c r="Y609" s="12">
        <f t="shared" si="16"/>
        <v>47.801934023729508</v>
      </c>
      <c r="Z609" s="12">
        <f t="shared" si="17"/>
        <v>378.22125164992826</v>
      </c>
      <c r="AA609" s="12">
        <f t="shared" si="18"/>
        <v>180.79707317742267</v>
      </c>
      <c r="AB609" s="12">
        <f t="shared" si="19"/>
        <v>31.014142635294117</v>
      </c>
      <c r="AC609" s="12">
        <f t="shared" si="20"/>
        <v>4.7058823529411766</v>
      </c>
      <c r="AE609" s="13"/>
      <c r="AF609" s="13"/>
    </row>
    <row r="610" spans="1:32">
      <c r="A610" s="8" t="s">
        <v>2075</v>
      </c>
      <c r="B610" s="9"/>
      <c r="C610" s="9" t="s">
        <v>2013</v>
      </c>
      <c r="D610" s="9"/>
      <c r="E610" s="9"/>
      <c r="F610" s="9" t="str">
        <f ca="1">IFERROR(__xludf.DUMMYFUNCTION("IFS(
  REGEXMATCH(LOWER(VLOOKUP(A610, Data1_Raw_Slack!A:B, 2, FALSE)), ""news|weather""), ""News and Weather"", REGEXMATCH(LOWER(VLOOKUP(A610, Data1_Raw_Slack!A:B, 2, FALSE)), ""sports|ufc|nba|nfl|mlb|soccer|sports fans""), ""Sports"",
  REGEXMATCH(LOWER("&amp;"VLOOKUP(A610, Data1_Raw_Slack!A:B, 2, FALSE)), ""fashion|style|clothing|apparel|shoes|accessories|beauty|cosmetics|fashionistas""), ""Fashion and Beauty"",
  REGEXMATCH(LOWER(VLOOKUP(A610, Data1_Raw_Slack!A:B, 2, FALSE)), ""food|cooking|recipe|restaurant|"&amp;"snack|grocery|foodies""), ""Food"",
  REGEXMATCH(LOWER(VLOOKUP(A610, Data1_Raw_Slack!A:B, 2, FALSE)), ""travel|vacation|airline|hotel|trip|flights|travelers""), ""Travel"",
  REGEXMATCH(LOWER(VLOOKUP(A610, Data1_Raw_Slack!A:B, 2, FALSE)), ""fitness|workou"&amp;"t|gym|exercise|yoga|wellness|fitness enthusiasts""), ""Fitness"",
  REGEXMATCH(LOWER(VLOOKUP(A610, Data1_Raw_Slack!A:B, 2, FALSE)), ""health|medical|pharmacy|mental health|doctor|health-conscious""), ""Health"",
  REGEXMATCH(LOWER(VLOOKUP(A610, Data1_Raw_"&amp;"Slack!A:B, 2, FALSE)), ""pets|dogs|cats|animals|pet care|pet lovers""), ""Pets"",
  REGEXMATCH(LOWER(VLOOKUP(A610, Data1_Raw_Slack!A:B, 2, FALSE)), ""games|gaming|game|xbox|playstation|nintendo|gamers""), ""Gaming"",
  REGEXMATCH(LOWER(VLOOKUP(A610, Data1"&amp;"_Raw_Slack!A:B, 2, FALSE)), ""entertainment|movies|tv|netflix|streaming|celebrity|movie lovers|tv fans|hobb|photo|art""), ""Entertainment"",
  REGEXMATCH(LOWER(VLOOKUP(A610, Data1_Raw_Slack!A:B, 2, FALSE)), ""lifestyle|home|interior|decor|living|lifestyle"&amp;" enthusiasts""), ""Lifestyle"",
  REGEXMATCH(LOWER(VLOOKUP(A610, Data1_Raw_Slack!A:B, 2, FALSE)), ""financial|finance|investing|stocks|retirement|banking|credit|debt|loans|savings|personal finance|insurance|econ|ecom|business|retail|occupation|sale|job|ma"&amp;"rketing""), ""Finance"",
  REGEXMATCH(LOWER(VLOOKUP(A610, Data1_Raw_Slack!A:B, 2, FALSE)), ""auto|automotive""), ""Auto"",
  REGEXMATCH(LOWER(VLOOKUP(A610, Data1_Raw_Slack!A:B, 2, FALSE)), ""parenting|moms|dads|kids|toddlers|baby|parent|children""), ""Par"&amp;"enting"",
  REGEXMATCH(LOWER(VLOOKUP(A610, Data1_Raw_Slack!A:B, 2, FALSE)), ""education|students|learning|school|teachers|college|university|academics""), ""Education"",
  REGEXMATCH(LOWER(VLOOKUP(A610, Data1_Raw_Slack!A:B, 2, FALSE)), ""age|gender|dem"&amp;"ographic|family|household""), ""Demographics"",
  REGEXMATCH(LOWER(VLOOKUP(A610, Data1_Raw_Slack!A:B, 2, FALSE)), ""mortgage|real estate""), ""Real Estate"",REGEXMATCH(LOWER(VLOOKUP(A610, Data1_Raw_Slack!A:B, 2, FALSE)), ""technology|tech|gadgets|smartpho"&amp;"ne|electro|apps|devices|computing|ai|robots|software|computer|internet|tele|mobile|tablet""), ""Technology"", REGEXMATCH(LOWER(VLOOKUP(A610, Data1_Raw_Slack!A:B, 2, FALSE)), ""entertainment|purchas|movies|tv|netflix|streaming|celebrity|movie lovers|tv fan"&amp;"s|media|hobb|photo|art|shop""), ""Entertainment"", REGEXMATCH(LOWER(VLOOKUP(A610, Data1_Raw_Slack!A:B, 2, FALSE)), ""law|government|""), ""Law and Government"",
  TRUE, ""Other""
)"),"Entertainment")</f>
        <v>Entertainment</v>
      </c>
      <c r="G610" s="9"/>
      <c r="H610" s="9" t="s">
        <v>44</v>
      </c>
      <c r="I610" s="9" t="s">
        <v>2076</v>
      </c>
      <c r="J610" s="9" t="s">
        <v>62</v>
      </c>
      <c r="K610" s="9" t="s">
        <v>236</v>
      </c>
      <c r="L610" s="9" t="s">
        <v>82</v>
      </c>
      <c r="M610" s="10" t="s">
        <v>2077</v>
      </c>
      <c r="N610" s="9" t="str">
        <f ca="1">IFERROR(__xludf.DUMMYFUNCTION("REGEXEXTRACT(LOWER(M610), ""([a-z0-9\-]+)\.(?:co|net|org|io|gg)"")"),"scitechdaily")</f>
        <v>scitechdaily</v>
      </c>
      <c r="O610" s="9" t="s">
        <v>186</v>
      </c>
      <c r="P610" s="9" t="s">
        <v>39</v>
      </c>
      <c r="Q610" s="9">
        <v>11289</v>
      </c>
      <c r="R610" s="9">
        <v>97</v>
      </c>
      <c r="S610" s="9">
        <v>1345</v>
      </c>
      <c r="T610" s="9">
        <v>8187</v>
      </c>
      <c r="U610" s="9">
        <v>3</v>
      </c>
      <c r="V610" s="11">
        <v>1665.160445</v>
      </c>
      <c r="W610" s="12">
        <f t="shared" si="14"/>
        <v>555.0534816666667</v>
      </c>
      <c r="X610" s="12">
        <f t="shared" si="15"/>
        <v>0.859243511382762</v>
      </c>
      <c r="Y610" s="12">
        <f t="shared" si="16"/>
        <v>11.914252812472318</v>
      </c>
      <c r="Z610" s="12">
        <f t="shared" si="17"/>
        <v>1238.0375055762081</v>
      </c>
      <c r="AA610" s="12">
        <f t="shared" si="18"/>
        <v>147.50291832757551</v>
      </c>
      <c r="AB610" s="12">
        <f t="shared" si="19"/>
        <v>17.166602525773197</v>
      </c>
      <c r="AC610" s="12">
        <f t="shared" si="20"/>
        <v>3.0927835051546393</v>
      </c>
      <c r="AE610" s="13"/>
      <c r="AF610" s="13"/>
    </row>
    <row r="611" spans="1:32">
      <c r="A611" s="8" t="s">
        <v>2078</v>
      </c>
      <c r="B611" s="9" t="s">
        <v>41</v>
      </c>
      <c r="C611" s="9" t="s">
        <v>209</v>
      </c>
      <c r="D611" s="9" t="s">
        <v>2079</v>
      </c>
      <c r="E611" s="9"/>
      <c r="F611" s="9" t="str">
        <f ca="1">IFERROR(__xludf.DUMMYFUNCTION("IFS(
  REGEXMATCH(LOWER(VLOOKUP(A611, Data1_Raw_Slack!A:B, 2, FALSE)), ""news|weather""), ""News and Weather"", REGEXMATCH(LOWER(VLOOKUP(A611, Data1_Raw_Slack!A:B, 2, FALSE)), ""sports|ufc|nba|nfl|mlb|soccer|sports fans""), ""Sports"",
  REGEXMATCH(LOWER("&amp;"VLOOKUP(A611, Data1_Raw_Slack!A:B, 2, FALSE)), ""fashion|style|clothing|apparel|shoes|accessories|beauty|cosmetics|fashionistas""), ""Fashion and Beauty"",
  REGEXMATCH(LOWER(VLOOKUP(A611, Data1_Raw_Slack!A:B, 2, FALSE)), ""food|cooking|recipe|restaurant|"&amp;"snack|grocery|foodies""), ""Food"",
  REGEXMATCH(LOWER(VLOOKUP(A611, Data1_Raw_Slack!A:B, 2, FALSE)), ""travel|vacation|airline|hotel|trip|flights|travelers""), ""Travel"",
  REGEXMATCH(LOWER(VLOOKUP(A611, Data1_Raw_Slack!A:B, 2, FALSE)), ""fitness|workou"&amp;"t|gym|exercise|yoga|wellness|fitness enthusiasts""), ""Fitness"",
  REGEXMATCH(LOWER(VLOOKUP(A611, Data1_Raw_Slack!A:B, 2, FALSE)), ""health|medical|pharmacy|mental health|doctor|health-conscious""), ""Health"",
  REGEXMATCH(LOWER(VLOOKUP(A611, Data1_Raw_"&amp;"Slack!A:B, 2, FALSE)), ""pets|dogs|cats|animals|pet care|pet lovers""), ""Pets"",
  REGEXMATCH(LOWER(VLOOKUP(A611, Data1_Raw_Slack!A:B, 2, FALSE)), ""games|gaming|game|xbox|playstation|nintendo|gamers""), ""Gaming"",
  REGEXMATCH(LOWER(VLOOKUP(A611, Data1"&amp;"_Raw_Slack!A:B, 2, FALSE)), ""entertainment|movies|tv|netflix|streaming|celebrity|movie lovers|tv fans|hobb|photo|art""), ""Entertainment"",
  REGEXMATCH(LOWER(VLOOKUP(A611, Data1_Raw_Slack!A:B, 2, FALSE)), ""lifestyle|home|interior|decor|living|lifestyle"&amp;" enthusiasts""), ""Lifestyle"",
  REGEXMATCH(LOWER(VLOOKUP(A611, Data1_Raw_Slack!A:B, 2, FALSE)), ""financial|finance|investing|stocks|retirement|banking|credit|debt|loans|savings|personal finance|insurance|econ|ecom|business|retail|occupation|sale|job|ma"&amp;"rketing""), ""Finance"",
  REGEXMATCH(LOWER(VLOOKUP(A611, Data1_Raw_Slack!A:B, 2, FALSE)), ""auto|automotive""), ""Auto"",
  REGEXMATCH(LOWER(VLOOKUP(A611, Data1_Raw_Slack!A:B, 2, FALSE)), ""parenting|moms|dads|kids|toddlers|baby|parent|children""), ""Par"&amp;"enting"",
  REGEXMATCH(LOWER(VLOOKUP(A611, Data1_Raw_Slack!A:B, 2, FALSE)), ""education|students|learning|school|teachers|college|university|academics""), ""Education"",
  REGEXMATCH(LOWER(VLOOKUP(A611, Data1_Raw_Slack!A:B, 2, FALSE)), ""age|gender|dem"&amp;"ographic|family|household""), ""Demographics"",
  REGEXMATCH(LOWER(VLOOKUP(A611, Data1_Raw_Slack!A:B, 2, FALSE)), ""mortgage|real estate""), ""Real Estate"",REGEXMATCH(LOWER(VLOOKUP(A611, Data1_Raw_Slack!A:B, 2, FALSE)), ""technology|tech|gadgets|smartpho"&amp;"ne|electro|apps|devices|computing|ai|robots|software|computer|internet|tele|mobile|tablet""), ""Technology"", REGEXMATCH(LOWER(VLOOKUP(A611, Data1_Raw_Slack!A:B, 2, FALSE)), ""entertainment|purchas|movies|tv|netflix|streaming|celebrity|movie lovers|tv fan"&amp;"s|media|hobb|photo|art|shop""), ""Entertainment"", REGEXMATCH(LOWER(VLOOKUP(A611, Data1_Raw_Slack!A:B, 2, FALSE)), ""law|government|""), ""Law and Government"",
  TRUE, ""Other""
)"),"Finance")</f>
        <v>Finance</v>
      </c>
      <c r="G611" s="9" t="s">
        <v>209</v>
      </c>
      <c r="H611" s="9" t="s">
        <v>32</v>
      </c>
      <c r="I611" s="9" t="s">
        <v>1899</v>
      </c>
      <c r="J611" s="9" t="s">
        <v>34</v>
      </c>
      <c r="K611" s="9" t="s">
        <v>236</v>
      </c>
      <c r="L611" s="9" t="s">
        <v>82</v>
      </c>
      <c r="M611" s="10" t="s">
        <v>1456</v>
      </c>
      <c r="N611" s="9" t="str">
        <f ca="1">IFERROR(__xludf.DUMMYFUNCTION("REGEXEXTRACT(LOWER(M611), ""([a-z0-9\-]+)\.(?:co|net|org|io|gg)"")"),"espn")</f>
        <v>espn</v>
      </c>
      <c r="O611" s="9" t="s">
        <v>50</v>
      </c>
      <c r="P611" s="9" t="s">
        <v>39</v>
      </c>
      <c r="Q611" s="9">
        <v>95289</v>
      </c>
      <c r="R611" s="9">
        <v>199</v>
      </c>
      <c r="S611" s="9">
        <v>19527</v>
      </c>
      <c r="T611" s="9">
        <v>82800</v>
      </c>
      <c r="U611" s="9">
        <v>5</v>
      </c>
      <c r="V611" s="11">
        <v>3223.5359480000002</v>
      </c>
      <c r="W611" s="12">
        <f t="shared" si="14"/>
        <v>644.70718959999999</v>
      </c>
      <c r="X611" s="12">
        <f t="shared" si="15"/>
        <v>0.20883837588808785</v>
      </c>
      <c r="Y611" s="12">
        <f t="shared" si="16"/>
        <v>20.492396813902968</v>
      </c>
      <c r="Z611" s="12">
        <f t="shared" si="17"/>
        <v>165.08096215496494</v>
      </c>
      <c r="AA611" s="12">
        <f t="shared" si="18"/>
        <v>33.8290458290044</v>
      </c>
      <c r="AB611" s="12">
        <f t="shared" si="19"/>
        <v>16.198673105527639</v>
      </c>
      <c r="AC611" s="12">
        <f t="shared" si="20"/>
        <v>2.512562814070352</v>
      </c>
      <c r="AE611" s="13"/>
      <c r="AF611" s="13"/>
    </row>
    <row r="612" spans="1:32">
      <c r="A612" s="8" t="s">
        <v>2080</v>
      </c>
      <c r="B612" s="9" t="s">
        <v>66</v>
      </c>
      <c r="C612" s="9" t="s">
        <v>1976</v>
      </c>
      <c r="D612" s="9" t="s">
        <v>2081</v>
      </c>
      <c r="E612" s="9"/>
      <c r="F612" s="9" t="str">
        <f ca="1">IFERROR(__xludf.DUMMYFUNCTION("IFS(
  REGEXMATCH(LOWER(VLOOKUP(A612, Data1_Raw_Slack!A:B, 2, FALSE)), ""news|weather""), ""News and Weather"", REGEXMATCH(LOWER(VLOOKUP(A612, Data1_Raw_Slack!A:B, 2, FALSE)), ""sports|ufc|nba|nfl|mlb|soccer|sports fans""), ""Sports"",
  REGEXMATCH(LOWER("&amp;"VLOOKUP(A612, Data1_Raw_Slack!A:B, 2, FALSE)), ""fashion|style|clothing|apparel|shoes|accessories|beauty|cosmetics|fashionistas""), ""Fashion and Beauty"",
  REGEXMATCH(LOWER(VLOOKUP(A612, Data1_Raw_Slack!A:B, 2, FALSE)), ""food|cooking|recipe|restaurant|"&amp;"snack|grocery|foodies""), ""Food"",
  REGEXMATCH(LOWER(VLOOKUP(A612, Data1_Raw_Slack!A:B, 2, FALSE)), ""travel|vacation|airline|hotel|trip|flights|travelers""), ""Travel"",
  REGEXMATCH(LOWER(VLOOKUP(A612, Data1_Raw_Slack!A:B, 2, FALSE)), ""fitness|workou"&amp;"t|gym|exercise|yoga|wellness|fitness enthusiasts""), ""Fitness"",
  REGEXMATCH(LOWER(VLOOKUP(A612, Data1_Raw_Slack!A:B, 2, FALSE)), ""health|medical|pharmacy|mental health|doctor|health-conscious""), ""Health"",
  REGEXMATCH(LOWER(VLOOKUP(A612, Data1_Raw_"&amp;"Slack!A:B, 2, FALSE)), ""pets|dogs|cats|animals|pet care|pet lovers""), ""Pets"",
  REGEXMATCH(LOWER(VLOOKUP(A612, Data1_Raw_Slack!A:B, 2, FALSE)), ""games|gaming|game|xbox|playstation|nintendo|gamers""), ""Gaming"",
  REGEXMATCH(LOWER(VLOOKUP(A612, Data1"&amp;"_Raw_Slack!A:B, 2, FALSE)), ""entertainment|movies|tv|netflix|streaming|celebrity|movie lovers|tv fans|hobb|photo|art""), ""Entertainment"",
  REGEXMATCH(LOWER(VLOOKUP(A612, Data1_Raw_Slack!A:B, 2, FALSE)), ""lifestyle|home|interior|decor|living|lifestyle"&amp;" enthusiasts""), ""Lifestyle"",
  REGEXMATCH(LOWER(VLOOKUP(A612, Data1_Raw_Slack!A:B, 2, FALSE)), ""financial|finance|investing|stocks|retirement|banking|credit|debt|loans|savings|personal finance|insurance|econ|ecom|business|retail|occupation|sale|job|ma"&amp;"rketing""), ""Finance"",
  REGEXMATCH(LOWER(VLOOKUP(A612, Data1_Raw_Slack!A:B, 2, FALSE)), ""auto|automotive""), ""Auto"",
  REGEXMATCH(LOWER(VLOOKUP(A612, Data1_Raw_Slack!A:B, 2, FALSE)), ""parenting|moms|dads|kids|toddlers|baby|parent|children""), ""Par"&amp;"enting"",
  REGEXMATCH(LOWER(VLOOKUP(A612, Data1_Raw_Slack!A:B, 2, FALSE)), ""education|students|learning|school|teachers|college|university|academics""), ""Education"",
  REGEXMATCH(LOWER(VLOOKUP(A612, Data1_Raw_Slack!A:B, 2, FALSE)), ""age|gender|dem"&amp;"ographic|family|household""), ""Demographics"",
  REGEXMATCH(LOWER(VLOOKUP(A612, Data1_Raw_Slack!A:B, 2, FALSE)), ""mortgage|real estate""), ""Real Estate"",REGEXMATCH(LOWER(VLOOKUP(A612, Data1_Raw_Slack!A:B, 2, FALSE)), ""technology|tech|gadgets|smartpho"&amp;"ne|electro|apps|devices|computing|ai|robots|software|computer|internet|tele|mobile|tablet""), ""Technology"", REGEXMATCH(LOWER(VLOOKUP(A612, Data1_Raw_Slack!A:B, 2, FALSE)), ""entertainment|purchas|movies|tv|netflix|streaming|celebrity|movie lovers|tv fan"&amp;"s|media|hobb|photo|art|shop""), ""Entertainment"", REGEXMATCH(LOWER(VLOOKUP(A612, Data1_Raw_Slack!A:B, 2, FALSE)), ""law|government|""), ""Law and Government"",
  TRUE, ""Other""
)"),"Technology")</f>
        <v>Technology</v>
      </c>
      <c r="G612" s="9"/>
      <c r="H612" s="9" t="s">
        <v>44</v>
      </c>
      <c r="I612" s="9" t="s">
        <v>124</v>
      </c>
      <c r="J612" s="9" t="s">
        <v>46</v>
      </c>
      <c r="K612" s="9" t="s">
        <v>148</v>
      </c>
      <c r="L612" s="9" t="s">
        <v>89</v>
      </c>
      <c r="M612" s="10" t="s">
        <v>664</v>
      </c>
      <c r="N612" s="9" t="str">
        <f ca="1">IFERROR(__xludf.DUMMYFUNCTION("REGEXEXTRACT(LOWER(M612), ""([a-z0-9\-]+)\.(?:co|net|org|io|gg)"")"),"ebay")</f>
        <v>ebay</v>
      </c>
      <c r="O612" s="9" t="s">
        <v>118</v>
      </c>
      <c r="P612" s="9" t="s">
        <v>39</v>
      </c>
      <c r="Q612" s="9">
        <v>8437</v>
      </c>
      <c r="R612" s="9">
        <v>63</v>
      </c>
      <c r="S612" s="9">
        <v>5271</v>
      </c>
      <c r="T612" s="9">
        <v>7065</v>
      </c>
      <c r="U612" s="9">
        <v>2</v>
      </c>
      <c r="V612" s="11">
        <v>1880.5331679999999</v>
      </c>
      <c r="W612" s="12">
        <f t="shared" si="14"/>
        <v>940.26658399999997</v>
      </c>
      <c r="X612" s="12">
        <f t="shared" si="15"/>
        <v>0.74671091620244157</v>
      </c>
      <c r="Y612" s="12">
        <f t="shared" si="16"/>
        <v>62.474813322270947</v>
      </c>
      <c r="Z612" s="12">
        <f t="shared" si="17"/>
        <v>356.76971504458356</v>
      </c>
      <c r="AA612" s="12">
        <f t="shared" si="18"/>
        <v>222.89121346450159</v>
      </c>
      <c r="AB612" s="12">
        <f t="shared" si="19"/>
        <v>29.849732825396824</v>
      </c>
      <c r="AC612" s="12">
        <f t="shared" si="20"/>
        <v>3.1746031746031744</v>
      </c>
      <c r="AE612" s="13"/>
      <c r="AF612" s="13"/>
    </row>
    <row r="613" spans="1:32">
      <c r="A613" s="8" t="s">
        <v>2082</v>
      </c>
      <c r="B613" s="9" t="s">
        <v>378</v>
      </c>
      <c r="C613" s="9" t="s">
        <v>379</v>
      </c>
      <c r="D613" s="9" t="s">
        <v>2083</v>
      </c>
      <c r="E613" s="9" t="s">
        <v>2084</v>
      </c>
      <c r="F613" s="9" t="str">
        <f ca="1">IFERROR(__xludf.DUMMYFUNCTION("IFS(
  REGEXMATCH(LOWER(VLOOKUP(A613, Data1_Raw_Slack!A:B, 2, FALSE)), ""news|weather""), ""News and Weather"", REGEXMATCH(LOWER(VLOOKUP(A613, Data1_Raw_Slack!A:B, 2, FALSE)), ""sports|ufc|nba|nfl|mlb|soccer|sports fans""), ""Sports"",
  REGEXMATCH(LOWER("&amp;"VLOOKUP(A613, Data1_Raw_Slack!A:B, 2, FALSE)), ""fashion|style|clothing|apparel|shoes|accessories|beauty|cosmetics|fashionistas""), ""Fashion and Beauty"",
  REGEXMATCH(LOWER(VLOOKUP(A613, Data1_Raw_Slack!A:B, 2, FALSE)), ""food|cooking|recipe|restaurant|"&amp;"snack|grocery|foodies""), ""Food"",
  REGEXMATCH(LOWER(VLOOKUP(A613, Data1_Raw_Slack!A:B, 2, FALSE)), ""travel|vacation|airline|hotel|trip|flights|travelers""), ""Travel"",
  REGEXMATCH(LOWER(VLOOKUP(A613, Data1_Raw_Slack!A:B, 2, FALSE)), ""fitness|workou"&amp;"t|gym|exercise|yoga|wellness|fitness enthusiasts""), ""Fitness"",
  REGEXMATCH(LOWER(VLOOKUP(A613, Data1_Raw_Slack!A:B, 2, FALSE)), ""health|medical|pharmacy|mental health|doctor|health-conscious""), ""Health"",
  REGEXMATCH(LOWER(VLOOKUP(A613, Data1_Raw_"&amp;"Slack!A:B, 2, FALSE)), ""pets|dogs|cats|animals|pet care|pet lovers""), ""Pets"",
  REGEXMATCH(LOWER(VLOOKUP(A613, Data1_Raw_Slack!A:B, 2, FALSE)), ""games|gaming|game|xbox|playstation|nintendo|gamers""), ""Gaming"",
  REGEXMATCH(LOWER(VLOOKUP(A613, Data1"&amp;"_Raw_Slack!A:B, 2, FALSE)), ""entertainment|movies|tv|netflix|streaming|celebrity|movie lovers|tv fans|hobb|photo|art""), ""Entertainment"",
  REGEXMATCH(LOWER(VLOOKUP(A613, Data1_Raw_Slack!A:B, 2, FALSE)), ""lifestyle|home|interior|decor|living|lifestyle"&amp;" enthusiasts""), ""Lifestyle"",
  REGEXMATCH(LOWER(VLOOKUP(A613, Data1_Raw_Slack!A:B, 2, FALSE)), ""financial|finance|investing|stocks|retirement|banking|credit|debt|loans|savings|personal finance|insurance|econ|ecom|business|retail|occupation|sale|job|ma"&amp;"rketing""), ""Finance"",
  REGEXMATCH(LOWER(VLOOKUP(A613, Data1_Raw_Slack!A:B, 2, FALSE)), ""auto|automotive""), ""Auto"",
  REGEXMATCH(LOWER(VLOOKUP(A613, Data1_Raw_Slack!A:B, 2, FALSE)), ""parenting|moms|dads|kids|toddlers|baby|parent|children""), ""Par"&amp;"enting"",
  REGEXMATCH(LOWER(VLOOKUP(A613, Data1_Raw_Slack!A:B, 2, FALSE)), ""education|students|learning|school|teachers|college|university|academics""), ""Education"",
  REGEXMATCH(LOWER(VLOOKUP(A613, Data1_Raw_Slack!A:B, 2, FALSE)), ""age|gender|dem"&amp;"ographic|family|household""), ""Demographics"",
  REGEXMATCH(LOWER(VLOOKUP(A613, Data1_Raw_Slack!A:B, 2, FALSE)), ""mortgage|real estate""), ""Real Estate"",REGEXMATCH(LOWER(VLOOKUP(A613, Data1_Raw_Slack!A:B, 2, FALSE)), ""technology|tech|gadgets|smartpho"&amp;"ne|electro|apps|devices|computing|ai|robots|software|computer|internet|tele|mobile|tablet""), ""Technology"", REGEXMATCH(LOWER(VLOOKUP(A613, Data1_Raw_Slack!A:B, 2, FALSE)), ""entertainment|purchas|movies|tv|netflix|streaming|celebrity|movie lovers|tv fan"&amp;"s|media|hobb|photo|art|shop""), ""Entertainment"", REGEXMATCH(LOWER(VLOOKUP(A613, Data1_Raw_Slack!A:B, 2, FALSE)), ""law|government|""), ""Law and Government"",
  TRUE, ""Other""
)"),"Finance")</f>
        <v>Finance</v>
      </c>
      <c r="G613" s="9"/>
      <c r="H613" s="9" t="s">
        <v>44</v>
      </c>
      <c r="I613" s="9" t="s">
        <v>885</v>
      </c>
      <c r="J613" s="9" t="s">
        <v>62</v>
      </c>
      <c r="K613" s="9" t="s">
        <v>315</v>
      </c>
      <c r="L613" s="9" t="s">
        <v>36</v>
      </c>
      <c r="M613" s="10" t="s">
        <v>668</v>
      </c>
      <c r="N613" s="9" t="str">
        <f ca="1">IFERROR(__xludf.DUMMYFUNCTION("REGEXEXTRACT(LOWER(M613), ""([a-z0-9\-]+)\.(?:co|net|org|io|gg)"")"),"slickdeals")</f>
        <v>slickdeals</v>
      </c>
      <c r="O613" s="9" t="s">
        <v>50</v>
      </c>
      <c r="P613" s="9" t="s">
        <v>39</v>
      </c>
      <c r="Q613" s="9">
        <v>37554</v>
      </c>
      <c r="R613" s="9">
        <v>92</v>
      </c>
      <c r="S613" s="9">
        <v>13128</v>
      </c>
      <c r="T613" s="9">
        <v>27596</v>
      </c>
      <c r="U613" s="9">
        <v>8</v>
      </c>
      <c r="V613" s="11">
        <v>1737.8434850000001</v>
      </c>
      <c r="W613" s="12">
        <f t="shared" si="14"/>
        <v>217.23043562500001</v>
      </c>
      <c r="X613" s="12">
        <f t="shared" si="15"/>
        <v>0.2449805613250253</v>
      </c>
      <c r="Y613" s="12">
        <f t="shared" si="16"/>
        <v>34.957660968205786</v>
      </c>
      <c r="Z613" s="12">
        <f t="shared" si="17"/>
        <v>132.37686509750154</v>
      </c>
      <c r="AA613" s="12">
        <f t="shared" si="18"/>
        <v>46.275855701123717</v>
      </c>
      <c r="AB613" s="12">
        <f t="shared" si="19"/>
        <v>18.88960309782609</v>
      </c>
      <c r="AC613" s="12">
        <f t="shared" si="20"/>
        <v>8.695652173913043</v>
      </c>
      <c r="AE613" s="13"/>
      <c r="AF613" s="13"/>
    </row>
    <row r="614" spans="1:32">
      <c r="A614" s="8" t="s">
        <v>2085</v>
      </c>
      <c r="B614" s="9" t="s">
        <v>2086</v>
      </c>
      <c r="C614" s="9" t="s">
        <v>2087</v>
      </c>
      <c r="D614" s="9"/>
      <c r="E614" s="9"/>
      <c r="F614" s="9" t="str">
        <f ca="1">IFERROR(__xludf.DUMMYFUNCTION("IFS(
  REGEXMATCH(LOWER(VLOOKUP(A614, Data1_Raw_Slack!A:B, 2, FALSE)), ""news|weather""), ""News and Weather"", REGEXMATCH(LOWER(VLOOKUP(A614, Data1_Raw_Slack!A:B, 2, FALSE)), ""sports|ufc|nba|nfl|mlb|soccer|sports fans""), ""Sports"",
  REGEXMATCH(LOWER("&amp;"VLOOKUP(A614, Data1_Raw_Slack!A:B, 2, FALSE)), ""fashion|style|clothing|apparel|shoes|accessories|beauty|cosmetics|fashionistas""), ""Fashion and Beauty"",
  REGEXMATCH(LOWER(VLOOKUP(A614, Data1_Raw_Slack!A:B, 2, FALSE)), ""food|cooking|recipe|restaurant|"&amp;"snack|grocery|foodies""), ""Food"",
  REGEXMATCH(LOWER(VLOOKUP(A614, Data1_Raw_Slack!A:B, 2, FALSE)), ""travel|vacation|airline|hotel|trip|flights|travelers""), ""Travel"",
  REGEXMATCH(LOWER(VLOOKUP(A614, Data1_Raw_Slack!A:B, 2, FALSE)), ""fitness|workou"&amp;"t|gym|exercise|yoga|wellness|fitness enthusiasts""), ""Fitness"",
  REGEXMATCH(LOWER(VLOOKUP(A614, Data1_Raw_Slack!A:B, 2, FALSE)), ""health|medical|pharmacy|mental health|doctor|health-conscious""), ""Health"",
  REGEXMATCH(LOWER(VLOOKUP(A614, Data1_Raw_"&amp;"Slack!A:B, 2, FALSE)), ""pets|dogs|cats|animals|pet care|pet lovers""), ""Pets"",
  REGEXMATCH(LOWER(VLOOKUP(A614, Data1_Raw_Slack!A:B, 2, FALSE)), ""games|gaming|game|xbox|playstation|nintendo|gamers""), ""Gaming"",
  REGEXMATCH(LOWER(VLOOKUP(A614, Data1"&amp;"_Raw_Slack!A:B, 2, FALSE)), ""entertainment|movies|tv|netflix|streaming|celebrity|movie lovers|tv fans|hobb|photo|art""), ""Entertainment"",
  REGEXMATCH(LOWER(VLOOKUP(A614, Data1_Raw_Slack!A:B, 2, FALSE)), ""lifestyle|home|interior|decor|living|lifestyle"&amp;" enthusiasts""), ""Lifestyle"",
  REGEXMATCH(LOWER(VLOOKUP(A614, Data1_Raw_Slack!A:B, 2, FALSE)), ""financial|finance|investing|stocks|retirement|banking|credit|debt|loans|savings|personal finance|insurance|econ|ecom|business|retail|occupation|sale|job|ma"&amp;"rketing""), ""Finance"",
  REGEXMATCH(LOWER(VLOOKUP(A614, Data1_Raw_Slack!A:B, 2, FALSE)), ""auto|automotive""), ""Auto"",
  REGEXMATCH(LOWER(VLOOKUP(A614, Data1_Raw_Slack!A:B, 2, FALSE)), ""parenting|moms|dads|kids|toddlers|baby|parent|children""), ""Par"&amp;"enting"",
  REGEXMATCH(LOWER(VLOOKUP(A614, Data1_Raw_Slack!A:B, 2, FALSE)), ""education|students|learning|school|teachers|college|university|academics""), ""Education"",
  REGEXMATCH(LOWER(VLOOKUP(A614, Data1_Raw_Slack!A:B, 2, FALSE)), ""age|gender|dem"&amp;"ographic|family|household""), ""Demographics"",
  REGEXMATCH(LOWER(VLOOKUP(A614, Data1_Raw_Slack!A:B, 2, FALSE)), ""mortgage|real estate""), ""Real Estate"",REGEXMATCH(LOWER(VLOOKUP(A614, Data1_Raw_Slack!A:B, 2, FALSE)), ""technology|tech|gadgets|smartpho"&amp;"ne|electro|apps|devices|computing|ai|robots|software|computer|internet|tele|mobile|tablet""), ""Technology"", REGEXMATCH(LOWER(VLOOKUP(A614, Data1_Raw_Slack!A:B, 2, FALSE)), ""entertainment|purchas|movies|tv|netflix|streaming|celebrity|movie lovers|tv fan"&amp;"s|media|hobb|photo|art|shop""), ""Entertainment"", REGEXMATCH(LOWER(VLOOKUP(A614, Data1_Raw_Slack!A:B, 2, FALSE)), ""law|government|""), ""Law and Government"",
  TRUE, ""Other""
)"),"Lifestyle")</f>
        <v>Lifestyle</v>
      </c>
      <c r="G614" s="9"/>
      <c r="H614" s="9" t="s">
        <v>32</v>
      </c>
      <c r="I614" s="9" t="s">
        <v>2027</v>
      </c>
      <c r="J614" s="9" t="s">
        <v>80</v>
      </c>
      <c r="K614" s="9" t="s">
        <v>56</v>
      </c>
      <c r="L614" s="9" t="s">
        <v>57</v>
      </c>
      <c r="M614" s="10" t="s">
        <v>207</v>
      </c>
      <c r="N614" s="9" t="str">
        <f ca="1">IFERROR(__xludf.DUMMYFUNCTION("REGEXEXTRACT(LOWER(M614), ""([a-z0-9\-]+)\.(?:co|net|org|io|gg)"")"),"realtor")</f>
        <v>realtor</v>
      </c>
      <c r="O614" s="9" t="s">
        <v>103</v>
      </c>
      <c r="P614" s="9" t="s">
        <v>39</v>
      </c>
      <c r="Q614" s="9">
        <v>15318</v>
      </c>
      <c r="R614" s="9">
        <v>30</v>
      </c>
      <c r="S614" s="9">
        <v>5928</v>
      </c>
      <c r="T614" s="9">
        <v>13298</v>
      </c>
      <c r="U614" s="9">
        <v>19</v>
      </c>
      <c r="V614" s="11">
        <v>1570.29739</v>
      </c>
      <c r="W614" s="12">
        <f t="shared" si="14"/>
        <v>82.647231052631582</v>
      </c>
      <c r="X614" s="12">
        <f t="shared" si="15"/>
        <v>0.19584802193497847</v>
      </c>
      <c r="Y614" s="12">
        <f t="shared" si="16"/>
        <v>38.699569134351741</v>
      </c>
      <c r="Z614" s="12">
        <f t="shared" si="17"/>
        <v>264.89497132253706</v>
      </c>
      <c r="AA614" s="12">
        <f t="shared" si="18"/>
        <v>102.51321256038646</v>
      </c>
      <c r="AB614" s="12">
        <f t="shared" si="19"/>
        <v>52.343246333333333</v>
      </c>
      <c r="AC614" s="12">
        <f t="shared" si="20"/>
        <v>63.333333333333329</v>
      </c>
      <c r="AE614" s="13"/>
      <c r="AF614" s="13"/>
    </row>
    <row r="615" spans="1:32">
      <c r="A615" s="8" t="s">
        <v>2088</v>
      </c>
      <c r="B615" s="9" t="s">
        <v>41</v>
      </c>
      <c r="C615" s="9" t="s">
        <v>542</v>
      </c>
      <c r="D615" s="9" t="s">
        <v>1475</v>
      </c>
      <c r="E615" s="9"/>
      <c r="F615" s="9" t="str">
        <f ca="1">IFERROR(__xludf.DUMMYFUNCTION("IFS(
  REGEXMATCH(LOWER(VLOOKUP(A615, Data1_Raw_Slack!A:B, 2, FALSE)), ""news|weather""), ""News and Weather"", REGEXMATCH(LOWER(VLOOKUP(A615, Data1_Raw_Slack!A:B, 2, FALSE)), ""sports|ufc|nba|nfl|mlb|soccer|sports fans""), ""Sports"",
  REGEXMATCH(LOWER("&amp;"VLOOKUP(A615, Data1_Raw_Slack!A:B, 2, FALSE)), ""fashion|style|clothing|apparel|shoes|accessories|beauty|cosmetics|fashionistas""), ""Fashion and Beauty"",
  REGEXMATCH(LOWER(VLOOKUP(A615, Data1_Raw_Slack!A:B, 2, FALSE)), ""food|cooking|recipe|restaurant|"&amp;"snack|grocery|foodies""), ""Food"",
  REGEXMATCH(LOWER(VLOOKUP(A615, Data1_Raw_Slack!A:B, 2, FALSE)), ""travel|vacation|airline|hotel|trip|flights|travelers""), ""Travel"",
  REGEXMATCH(LOWER(VLOOKUP(A615, Data1_Raw_Slack!A:B, 2, FALSE)), ""fitness|workou"&amp;"t|gym|exercise|yoga|wellness|fitness enthusiasts""), ""Fitness"",
  REGEXMATCH(LOWER(VLOOKUP(A615, Data1_Raw_Slack!A:B, 2, FALSE)), ""health|medical|pharmacy|mental health|doctor|health-conscious""), ""Health"",
  REGEXMATCH(LOWER(VLOOKUP(A615, Data1_Raw_"&amp;"Slack!A:B, 2, FALSE)), ""pets|dogs|cats|animals|pet care|pet lovers""), ""Pets"",
  REGEXMATCH(LOWER(VLOOKUP(A615, Data1_Raw_Slack!A:B, 2, FALSE)), ""games|gaming|game|xbox|playstation|nintendo|gamers""), ""Gaming"",
  REGEXMATCH(LOWER(VLOOKUP(A615, Data1"&amp;"_Raw_Slack!A:B, 2, FALSE)), ""entertainment|movies|tv|netflix|streaming|celebrity|movie lovers|tv fans|hobb|photo|art""), ""Entertainment"",
  REGEXMATCH(LOWER(VLOOKUP(A615, Data1_Raw_Slack!A:B, 2, FALSE)), ""lifestyle|home|interior|decor|living|lifestyle"&amp;" enthusiasts""), ""Lifestyle"",
  REGEXMATCH(LOWER(VLOOKUP(A615, Data1_Raw_Slack!A:B, 2, FALSE)), ""financial|finance|investing|stocks|retirement|banking|credit|debt|loans|savings|personal finance|insurance|econ|ecom|business|retail|occupation|sale|job|ma"&amp;"rketing""), ""Finance"",
  REGEXMATCH(LOWER(VLOOKUP(A615, Data1_Raw_Slack!A:B, 2, FALSE)), ""auto|automotive""), ""Auto"",
  REGEXMATCH(LOWER(VLOOKUP(A615, Data1_Raw_Slack!A:B, 2, FALSE)), ""parenting|moms|dads|kids|toddlers|baby|parent|children""), ""Par"&amp;"enting"",
  REGEXMATCH(LOWER(VLOOKUP(A615, Data1_Raw_Slack!A:B, 2, FALSE)), ""education|students|learning|school|teachers|college|university|academics""), ""Education"",
  REGEXMATCH(LOWER(VLOOKUP(A615, Data1_Raw_Slack!A:B, 2, FALSE)), ""age|gender|dem"&amp;"ographic|family|household""), ""Demographics"",
  REGEXMATCH(LOWER(VLOOKUP(A615, Data1_Raw_Slack!A:B, 2, FALSE)), ""mortgage|real estate""), ""Real Estate"",REGEXMATCH(LOWER(VLOOKUP(A615, Data1_Raw_Slack!A:B, 2, FALSE)), ""technology|tech|gadgets|smartpho"&amp;"ne|electro|apps|devices|computing|ai|robots|software|computer|internet|tele|mobile|tablet""), ""Technology"", REGEXMATCH(LOWER(VLOOKUP(A615, Data1_Raw_Slack!A:B, 2, FALSE)), ""entertainment|purchas|movies|tv|netflix|streaming|celebrity|movie lovers|tv fan"&amp;"s|media|hobb|photo|art|shop""), ""Entertainment"", REGEXMATCH(LOWER(VLOOKUP(A615, Data1_Raw_Slack!A:B, 2, FALSE)), ""law|government|""), ""Law and Government"",
  TRUE, ""Other""
)"),"Entertainment")</f>
        <v>Entertainment</v>
      </c>
      <c r="G615" s="9"/>
      <c r="H615" s="9" t="s">
        <v>32</v>
      </c>
      <c r="I615" s="9" t="s">
        <v>827</v>
      </c>
      <c r="J615" s="9" t="s">
        <v>80</v>
      </c>
      <c r="K615" s="9" t="s">
        <v>56</v>
      </c>
      <c r="L615" s="9" t="s">
        <v>57</v>
      </c>
      <c r="M615" s="10" t="s">
        <v>354</v>
      </c>
      <c r="N615" s="9" t="str">
        <f ca="1">IFERROR(__xludf.DUMMYFUNCTION("REGEXEXTRACT(LOWER(M615), ""([a-z0-9\-]+)\.(?:co|net|org|io|gg)"")"),"yahoo")</f>
        <v>yahoo</v>
      </c>
      <c r="O615" s="9" t="s">
        <v>703</v>
      </c>
      <c r="P615" s="9" t="s">
        <v>39</v>
      </c>
      <c r="Q615" s="9">
        <v>760502</v>
      </c>
      <c r="R615" s="9">
        <v>2140</v>
      </c>
      <c r="S615" s="9">
        <v>326721</v>
      </c>
      <c r="T615" s="9">
        <v>700814</v>
      </c>
      <c r="U615" s="9">
        <v>17</v>
      </c>
      <c r="V615" s="11">
        <v>5179.0415320000002</v>
      </c>
      <c r="W615" s="12">
        <f t="shared" si="14"/>
        <v>304.64950188235298</v>
      </c>
      <c r="X615" s="12">
        <f t="shared" si="15"/>
        <v>0.28139307983410955</v>
      </c>
      <c r="Y615" s="12">
        <f t="shared" si="16"/>
        <v>42.96122824134585</v>
      </c>
      <c r="Z615" s="12">
        <f t="shared" si="17"/>
        <v>15.851572234414073</v>
      </c>
      <c r="AA615" s="12">
        <f t="shared" si="18"/>
        <v>6.8100301274684361</v>
      </c>
      <c r="AB615" s="12">
        <f t="shared" si="19"/>
        <v>2.420112865420561</v>
      </c>
      <c r="AC615" s="12">
        <f t="shared" si="20"/>
        <v>0.79439252336448596</v>
      </c>
      <c r="AE615" s="13"/>
      <c r="AF615" s="13"/>
    </row>
    <row r="616" spans="1:32">
      <c r="A616" s="8" t="s">
        <v>2089</v>
      </c>
      <c r="B616" s="9" t="s">
        <v>41</v>
      </c>
      <c r="C616" s="9" t="s">
        <v>253</v>
      </c>
      <c r="D616" s="9" t="s">
        <v>1189</v>
      </c>
      <c r="E616" s="9" t="s">
        <v>2090</v>
      </c>
      <c r="F616" s="9" t="str">
        <f ca="1">IFERROR(__xludf.DUMMYFUNCTION("IFS(
  REGEXMATCH(LOWER(VLOOKUP(A616, Data1_Raw_Slack!A:B, 2, FALSE)), ""news|weather""), ""News and Weather"", REGEXMATCH(LOWER(VLOOKUP(A616, Data1_Raw_Slack!A:B, 2, FALSE)), ""sports|ufc|nba|nfl|mlb|soccer|sports fans""), ""Sports"",
  REGEXMATCH(LOWER("&amp;"VLOOKUP(A616, Data1_Raw_Slack!A:B, 2, FALSE)), ""fashion|style|clothing|apparel|shoes|accessories|beauty|cosmetics|fashionistas""), ""Fashion and Beauty"",
  REGEXMATCH(LOWER(VLOOKUP(A616, Data1_Raw_Slack!A:B, 2, FALSE)), ""food|cooking|recipe|restaurant|"&amp;"snack|grocery|foodies""), ""Food"",
  REGEXMATCH(LOWER(VLOOKUP(A616, Data1_Raw_Slack!A:B, 2, FALSE)), ""travel|vacation|airline|hotel|trip|flights|travelers""), ""Travel"",
  REGEXMATCH(LOWER(VLOOKUP(A616, Data1_Raw_Slack!A:B, 2, FALSE)), ""fitness|workou"&amp;"t|gym|exercise|yoga|wellness|fitness enthusiasts""), ""Fitness"",
  REGEXMATCH(LOWER(VLOOKUP(A616, Data1_Raw_Slack!A:B, 2, FALSE)), ""health|medical|pharmacy|mental health|doctor|health-conscious""), ""Health"",
  REGEXMATCH(LOWER(VLOOKUP(A616, Data1_Raw_"&amp;"Slack!A:B, 2, FALSE)), ""pets|dogs|cats|animals|pet care|pet lovers""), ""Pets"",
  REGEXMATCH(LOWER(VLOOKUP(A616, Data1_Raw_Slack!A:B, 2, FALSE)), ""games|gaming|game|xbox|playstation|nintendo|gamers""), ""Gaming"",
  REGEXMATCH(LOWER(VLOOKUP(A616, Data1"&amp;"_Raw_Slack!A:B, 2, FALSE)), ""entertainment|movies|tv|netflix|streaming|celebrity|movie lovers|tv fans|hobb|photo|art""), ""Entertainment"",
  REGEXMATCH(LOWER(VLOOKUP(A616, Data1_Raw_Slack!A:B, 2, FALSE)), ""lifestyle|home|interior|decor|living|lifestyle"&amp;" enthusiasts""), ""Lifestyle"",
  REGEXMATCH(LOWER(VLOOKUP(A616, Data1_Raw_Slack!A:B, 2, FALSE)), ""financial|finance|investing|stocks|retirement|banking|credit|debt|loans|savings|personal finance|insurance|econ|ecom|business|retail|occupation|sale|job|ma"&amp;"rketing""), ""Finance"",
  REGEXMATCH(LOWER(VLOOKUP(A616, Data1_Raw_Slack!A:B, 2, FALSE)), ""auto|automotive""), ""Auto"",
  REGEXMATCH(LOWER(VLOOKUP(A616, Data1_Raw_Slack!A:B, 2, FALSE)), ""parenting|moms|dads|kids|toddlers|baby|parent|children""), ""Par"&amp;"enting"",
  REGEXMATCH(LOWER(VLOOKUP(A616, Data1_Raw_Slack!A:B, 2, FALSE)), ""education|students|learning|school|teachers|college|university|academics""), ""Education"",
  REGEXMATCH(LOWER(VLOOKUP(A616, Data1_Raw_Slack!A:B, 2, FALSE)), ""age|gender|dem"&amp;"ographic|family|household""), ""Demographics"",
  REGEXMATCH(LOWER(VLOOKUP(A616, Data1_Raw_Slack!A:B, 2, FALSE)), ""mortgage|real estate""), ""Real Estate"",REGEXMATCH(LOWER(VLOOKUP(A616, Data1_Raw_Slack!A:B, 2, FALSE)), ""technology|tech|gadgets|smartpho"&amp;"ne|electro|apps|devices|computing|ai|robots|software|computer|internet|tele|mobile|tablet""), ""Technology"", REGEXMATCH(LOWER(VLOOKUP(A616, Data1_Raw_Slack!A:B, 2, FALSE)), ""entertainment|purchas|movies|tv|netflix|streaming|celebrity|movie lovers|tv fan"&amp;"s|media|hobb|photo|art|shop""), ""Entertainment"", REGEXMATCH(LOWER(VLOOKUP(A616, Data1_Raw_Slack!A:B, 2, FALSE)), ""law|government|""), ""Law and Government"",
  TRUE, ""Other""
)"),"Entertainment")</f>
        <v>Entertainment</v>
      </c>
      <c r="G616" s="9"/>
      <c r="H616" s="9" t="s">
        <v>123</v>
      </c>
      <c r="I616" s="9" t="s">
        <v>1271</v>
      </c>
      <c r="J616" s="9" t="s">
        <v>80</v>
      </c>
      <c r="K616" s="9" t="s">
        <v>56</v>
      </c>
      <c r="L616" s="9" t="s">
        <v>57</v>
      </c>
      <c r="M616" s="10" t="s">
        <v>222</v>
      </c>
      <c r="N616" s="9" t="str">
        <f ca="1">IFERROR(__xludf.DUMMYFUNCTION("REGEXEXTRACT(LOWER(M616), ""([a-z0-9\-]+)\.(?:co|net|org|io|gg)"")"),"usatoday")</f>
        <v>usatoday</v>
      </c>
      <c r="O616" s="9" t="s">
        <v>50</v>
      </c>
      <c r="P616" s="9" t="s">
        <v>39</v>
      </c>
      <c r="Q616" s="9">
        <v>39373</v>
      </c>
      <c r="R616" s="9">
        <v>99</v>
      </c>
      <c r="S616" s="9">
        <v>23152</v>
      </c>
      <c r="T616" s="9">
        <v>35857</v>
      </c>
      <c r="U616" s="9">
        <v>17</v>
      </c>
      <c r="V616" s="11">
        <v>6342.8857859999998</v>
      </c>
      <c r="W616" s="12">
        <f t="shared" si="14"/>
        <v>373.11092858823531</v>
      </c>
      <c r="X616" s="12">
        <f t="shared" si="15"/>
        <v>0.2514413430523455</v>
      </c>
      <c r="Y616" s="12">
        <f t="shared" si="16"/>
        <v>58.801716912605087</v>
      </c>
      <c r="Z616" s="12">
        <f t="shared" si="17"/>
        <v>273.96707783344846</v>
      </c>
      <c r="AA616" s="12">
        <f t="shared" si="18"/>
        <v>161.09734554136082</v>
      </c>
      <c r="AB616" s="12">
        <f t="shared" si="19"/>
        <v>64.069553393939387</v>
      </c>
      <c r="AC616" s="12">
        <f t="shared" si="20"/>
        <v>17.171717171717169</v>
      </c>
      <c r="AE616" s="13"/>
      <c r="AF616" s="13"/>
    </row>
    <row r="617" spans="1:32">
      <c r="A617" s="8" t="s">
        <v>2091</v>
      </c>
      <c r="B617" s="9" t="s">
        <v>498</v>
      </c>
      <c r="C617" s="9" t="s">
        <v>863</v>
      </c>
      <c r="D617" s="9"/>
      <c r="E617" s="9"/>
      <c r="F617" s="9" t="str">
        <f ca="1">IFERROR(__xludf.DUMMYFUNCTION("IFS(
  REGEXMATCH(LOWER(VLOOKUP(A617, Data1_Raw_Slack!A:B, 2, FALSE)), ""news|weather""), ""News and Weather"", REGEXMATCH(LOWER(VLOOKUP(A617, Data1_Raw_Slack!A:B, 2, FALSE)), ""sports|ufc|nba|nfl|mlb|soccer|sports fans""), ""Sports"",
  REGEXMATCH(LOWER("&amp;"VLOOKUP(A617, Data1_Raw_Slack!A:B, 2, FALSE)), ""fashion|style|clothing|apparel|shoes|accessories|beauty|cosmetics|fashionistas""), ""Fashion and Beauty"",
  REGEXMATCH(LOWER(VLOOKUP(A617, Data1_Raw_Slack!A:B, 2, FALSE)), ""food|cooking|recipe|restaurant|"&amp;"snack|grocery|foodies""), ""Food"",
  REGEXMATCH(LOWER(VLOOKUP(A617, Data1_Raw_Slack!A:B, 2, FALSE)), ""travel|vacation|airline|hotel|trip|flights|travelers""), ""Travel"",
  REGEXMATCH(LOWER(VLOOKUP(A617, Data1_Raw_Slack!A:B, 2, FALSE)), ""fitness|workou"&amp;"t|gym|exercise|yoga|wellness|fitness enthusiasts""), ""Fitness"",
  REGEXMATCH(LOWER(VLOOKUP(A617, Data1_Raw_Slack!A:B, 2, FALSE)), ""health|medical|pharmacy|mental health|doctor|health-conscious""), ""Health"",
  REGEXMATCH(LOWER(VLOOKUP(A617, Data1_Raw_"&amp;"Slack!A:B, 2, FALSE)), ""pets|dogs|cats|animals|pet care|pet lovers""), ""Pets"",
  REGEXMATCH(LOWER(VLOOKUP(A617, Data1_Raw_Slack!A:B, 2, FALSE)), ""games|gaming|game|xbox|playstation|nintendo|gamers""), ""Gaming"",
  REGEXMATCH(LOWER(VLOOKUP(A617, Data1"&amp;"_Raw_Slack!A:B, 2, FALSE)), ""entertainment|movies|tv|netflix|streaming|celebrity|movie lovers|tv fans|hobb|photo|art""), ""Entertainment"",
  REGEXMATCH(LOWER(VLOOKUP(A617, Data1_Raw_Slack!A:B, 2, FALSE)), ""lifestyle|home|interior|decor|living|lifestyle"&amp;" enthusiasts""), ""Lifestyle"",
  REGEXMATCH(LOWER(VLOOKUP(A617, Data1_Raw_Slack!A:B, 2, FALSE)), ""financial|finance|investing|stocks|retirement|banking|credit|debt|loans|savings|personal finance|insurance|econ|ecom|business|retail|occupation|sale|job|ma"&amp;"rketing""), ""Finance"",
  REGEXMATCH(LOWER(VLOOKUP(A617, Data1_Raw_Slack!A:B, 2, FALSE)), ""auto|automotive""), ""Auto"",
  REGEXMATCH(LOWER(VLOOKUP(A617, Data1_Raw_Slack!A:B, 2, FALSE)), ""parenting|moms|dads|kids|toddlers|baby|parent|children""), ""Par"&amp;"enting"",
  REGEXMATCH(LOWER(VLOOKUP(A617, Data1_Raw_Slack!A:B, 2, FALSE)), ""education|students|learning|school|teachers|college|university|academics""), ""Education"",
  REGEXMATCH(LOWER(VLOOKUP(A617, Data1_Raw_Slack!A:B, 2, FALSE)), ""age|gender|dem"&amp;"ographic|family|household""), ""Demographics"",
  REGEXMATCH(LOWER(VLOOKUP(A617, Data1_Raw_Slack!A:B, 2, FALSE)), ""mortgage|real estate""), ""Real Estate"",REGEXMATCH(LOWER(VLOOKUP(A617, Data1_Raw_Slack!A:B, 2, FALSE)), ""technology|tech|gadgets|smartpho"&amp;"ne|electro|apps|devices|computing|ai|robots|software|computer|internet|tele|mobile|tablet""), ""Technology"", REGEXMATCH(LOWER(VLOOKUP(A617, Data1_Raw_Slack!A:B, 2, FALSE)), ""entertainment|purchas|movies|tv|netflix|streaming|celebrity|movie lovers|tv fan"&amp;"s|media|hobb|photo|art|shop""), ""Entertainment"", REGEXMATCH(LOWER(VLOOKUP(A617, Data1_Raw_Slack!A:B, 2, FALSE)), ""law|government|""), ""Law and Government"",
  TRUE, ""Other""
)"),"Fashion and Beauty")</f>
        <v>Fashion and Beauty</v>
      </c>
      <c r="G617" s="9" t="s">
        <v>865</v>
      </c>
      <c r="H617" s="9" t="s">
        <v>32</v>
      </c>
      <c r="I617" s="9" t="s">
        <v>1531</v>
      </c>
      <c r="J617" s="9" t="s">
        <v>80</v>
      </c>
      <c r="K617" s="9" t="s">
        <v>368</v>
      </c>
      <c r="L617" s="9" t="s">
        <v>36</v>
      </c>
      <c r="M617" s="10" t="s">
        <v>2092</v>
      </c>
      <c r="N617" s="9" t="str">
        <f ca="1">IFERROR(__xludf.DUMMYFUNCTION("REGEXEXTRACT(LOWER(M617), ""([a-z0-9\-]+)\.(?:co|net|org|io|gg)"")"),"rvtrader")</f>
        <v>rvtrader</v>
      </c>
      <c r="O617" s="9" t="s">
        <v>50</v>
      </c>
      <c r="P617" s="9" t="s">
        <v>39</v>
      </c>
      <c r="Q617" s="9">
        <v>13168</v>
      </c>
      <c r="R617" s="9">
        <v>84</v>
      </c>
      <c r="S617" s="9">
        <v>8527</v>
      </c>
      <c r="T617" s="9">
        <v>12625</v>
      </c>
      <c r="U617" s="9">
        <v>4</v>
      </c>
      <c r="V617" s="11">
        <v>1639.72335</v>
      </c>
      <c r="W617" s="12">
        <f t="shared" si="14"/>
        <v>409.9308375</v>
      </c>
      <c r="X617" s="12">
        <f t="shared" si="15"/>
        <v>0.63791008505467806</v>
      </c>
      <c r="Y617" s="12">
        <f t="shared" si="16"/>
        <v>64.755467800729036</v>
      </c>
      <c r="Z617" s="12">
        <f t="shared" si="17"/>
        <v>192.29780110238067</v>
      </c>
      <c r="AA617" s="12">
        <f t="shared" si="18"/>
        <v>124.52334067436209</v>
      </c>
      <c r="AB617" s="12">
        <f t="shared" si="19"/>
        <v>19.52051607142857</v>
      </c>
      <c r="AC617" s="12">
        <f t="shared" si="20"/>
        <v>4.7619047619047619</v>
      </c>
      <c r="AE617" s="13"/>
      <c r="AF617" s="13"/>
    </row>
    <row r="618" spans="1:32">
      <c r="A618" s="8" t="s">
        <v>2093</v>
      </c>
      <c r="B618" s="9" t="s">
        <v>2094</v>
      </c>
      <c r="C618" s="9" t="s">
        <v>2095</v>
      </c>
      <c r="D618" s="9"/>
      <c r="E618" s="9"/>
      <c r="F618" s="9" t="str">
        <f ca="1">IFERROR(__xludf.DUMMYFUNCTION("IFS(
  REGEXMATCH(LOWER(VLOOKUP(A618, Data1_Raw_Slack!A:B, 2, FALSE)), ""news|weather""), ""News and Weather"", REGEXMATCH(LOWER(VLOOKUP(A618, Data1_Raw_Slack!A:B, 2, FALSE)), ""sports|ufc|nba|nfl|mlb|soccer|sports fans""), ""Sports"",
  REGEXMATCH(LOWER("&amp;"VLOOKUP(A618, Data1_Raw_Slack!A:B, 2, FALSE)), ""fashion|style|clothing|apparel|shoes|accessories|beauty|cosmetics|fashionistas""), ""Fashion and Beauty"",
  REGEXMATCH(LOWER(VLOOKUP(A618, Data1_Raw_Slack!A:B, 2, FALSE)), ""food|cooking|recipe|restaurant|"&amp;"snack|grocery|foodies""), ""Food"",
  REGEXMATCH(LOWER(VLOOKUP(A618, Data1_Raw_Slack!A:B, 2, FALSE)), ""travel|vacation|airline|hotel|trip|flights|travelers""), ""Travel"",
  REGEXMATCH(LOWER(VLOOKUP(A618, Data1_Raw_Slack!A:B, 2, FALSE)), ""fitness|workou"&amp;"t|gym|exercise|yoga|wellness|fitness enthusiasts""), ""Fitness"",
  REGEXMATCH(LOWER(VLOOKUP(A618, Data1_Raw_Slack!A:B, 2, FALSE)), ""health|medical|pharmacy|mental health|doctor|health-conscious""), ""Health"",
  REGEXMATCH(LOWER(VLOOKUP(A618, Data1_Raw_"&amp;"Slack!A:B, 2, FALSE)), ""pets|dogs|cats|animals|pet care|pet lovers""), ""Pets"",
  REGEXMATCH(LOWER(VLOOKUP(A618, Data1_Raw_Slack!A:B, 2, FALSE)), ""games|gaming|game|xbox|playstation|nintendo|gamers""), ""Gaming"",
  REGEXMATCH(LOWER(VLOOKUP(A618, Data1"&amp;"_Raw_Slack!A:B, 2, FALSE)), ""entertainment|movies|tv|netflix|streaming|celebrity|movie lovers|tv fans|hobb|photo|art""), ""Entertainment"",
  REGEXMATCH(LOWER(VLOOKUP(A618, Data1_Raw_Slack!A:B, 2, FALSE)), ""lifestyle|home|interior|decor|living|lifestyle"&amp;" enthusiasts""), ""Lifestyle"",
  REGEXMATCH(LOWER(VLOOKUP(A618, Data1_Raw_Slack!A:B, 2, FALSE)), ""financial|finance|investing|stocks|retirement|banking|credit|debt|loans|savings|personal finance|insurance|econ|ecom|business|retail|occupation|sale|job|ma"&amp;"rketing""), ""Finance"",
  REGEXMATCH(LOWER(VLOOKUP(A618, Data1_Raw_Slack!A:B, 2, FALSE)), ""auto|automotive""), ""Auto"",
  REGEXMATCH(LOWER(VLOOKUP(A618, Data1_Raw_Slack!A:B, 2, FALSE)), ""parenting|moms|dads|kids|toddlers|baby|parent|children""), ""Par"&amp;"enting"",
  REGEXMATCH(LOWER(VLOOKUP(A618, Data1_Raw_Slack!A:B, 2, FALSE)), ""education|students|learning|school|teachers|college|university|academics""), ""Education"",
  REGEXMATCH(LOWER(VLOOKUP(A618, Data1_Raw_Slack!A:B, 2, FALSE)), ""age|gender|dem"&amp;"ographic|family|household""), ""Demographics"",
  REGEXMATCH(LOWER(VLOOKUP(A618, Data1_Raw_Slack!A:B, 2, FALSE)), ""mortgage|real estate""), ""Real Estate"",REGEXMATCH(LOWER(VLOOKUP(A618, Data1_Raw_Slack!A:B, 2, FALSE)), ""technology|tech|gadgets|smartpho"&amp;"ne|electro|apps|devices|computing|ai|robots|software|computer|internet|tele|mobile|tablet""), ""Technology"", REGEXMATCH(LOWER(VLOOKUP(A618, Data1_Raw_Slack!A:B, 2, FALSE)), ""entertainment|purchas|movies|tv|netflix|streaming|celebrity|movie lovers|tv fan"&amp;"s|media|hobb|photo|art|shop""), ""Entertainment"", REGEXMATCH(LOWER(VLOOKUP(A618, Data1_Raw_Slack!A:B, 2, FALSE)), ""law|government|""), ""Law and Government"",
  TRUE, ""Other""
)"),"Entertainment")</f>
        <v>Entertainment</v>
      </c>
      <c r="G618" s="9"/>
      <c r="H618" s="9" t="s">
        <v>44</v>
      </c>
      <c r="I618" s="9" t="s">
        <v>776</v>
      </c>
      <c r="J618" s="9" t="s">
        <v>80</v>
      </c>
      <c r="K618" s="9" t="s">
        <v>236</v>
      </c>
      <c r="L618" s="9" t="s">
        <v>82</v>
      </c>
      <c r="M618" s="10" t="s">
        <v>295</v>
      </c>
      <c r="N618" s="9" t="str">
        <f ca="1">IFERROR(__xludf.DUMMYFUNCTION("REGEXEXTRACT(LOWER(M618), ""([a-z0-9\-]+)\.(?:co|net|org|io|gg)"")"),"yahoo")</f>
        <v>yahoo</v>
      </c>
      <c r="O618" s="9" t="s">
        <v>74</v>
      </c>
      <c r="P618" s="9" t="s">
        <v>39</v>
      </c>
      <c r="Q618" s="9">
        <v>109567</v>
      </c>
      <c r="R618" s="9">
        <v>345</v>
      </c>
      <c r="S618" s="9">
        <v>57620</v>
      </c>
      <c r="T618" s="9">
        <v>97903</v>
      </c>
      <c r="U618" s="9">
        <v>5</v>
      </c>
      <c r="V618" s="11">
        <v>1616.7147219999999</v>
      </c>
      <c r="W618" s="12">
        <f t="shared" si="14"/>
        <v>323.34294439999996</v>
      </c>
      <c r="X618" s="12">
        <f t="shared" si="15"/>
        <v>0.3148758294011883</v>
      </c>
      <c r="Y618" s="12">
        <f t="shared" si="16"/>
        <v>52.588826927815859</v>
      </c>
      <c r="Z618" s="12">
        <f t="shared" si="17"/>
        <v>28.058221485595276</v>
      </c>
      <c r="AA618" s="12">
        <f t="shared" si="18"/>
        <v>14.755489536082944</v>
      </c>
      <c r="AB618" s="12">
        <f t="shared" si="19"/>
        <v>4.6861296289855074</v>
      </c>
      <c r="AC618" s="12">
        <f t="shared" si="20"/>
        <v>1.4492753623188406</v>
      </c>
      <c r="AE618" s="13"/>
      <c r="AF618" s="13"/>
    </row>
    <row r="619" spans="1:32">
      <c r="A619" s="8" t="s">
        <v>2096</v>
      </c>
      <c r="B619" s="9" t="s">
        <v>52</v>
      </c>
      <c r="C619" s="9" t="s">
        <v>204</v>
      </c>
      <c r="D619" s="9" t="s">
        <v>2097</v>
      </c>
      <c r="E619" s="9"/>
      <c r="F619" s="9" t="str">
        <f ca="1">IFERROR(__xludf.DUMMYFUNCTION("IFS(
  REGEXMATCH(LOWER(VLOOKUP(A619, Data1_Raw_Slack!A:B, 2, FALSE)), ""news|weather""), ""News and Weather"", REGEXMATCH(LOWER(VLOOKUP(A619, Data1_Raw_Slack!A:B, 2, FALSE)), ""sports|ufc|nba|nfl|mlb|soccer|sports fans""), ""Sports"",
  REGEXMATCH(LOWER("&amp;"VLOOKUP(A619, Data1_Raw_Slack!A:B, 2, FALSE)), ""fashion|style|clothing|apparel|shoes|accessories|beauty|cosmetics|fashionistas""), ""Fashion and Beauty"",
  REGEXMATCH(LOWER(VLOOKUP(A619, Data1_Raw_Slack!A:B, 2, FALSE)), ""food|cooking|recipe|restaurant|"&amp;"snack|grocery|foodies""), ""Food"",
  REGEXMATCH(LOWER(VLOOKUP(A619, Data1_Raw_Slack!A:B, 2, FALSE)), ""travel|vacation|airline|hotel|trip|flights|travelers""), ""Travel"",
  REGEXMATCH(LOWER(VLOOKUP(A619, Data1_Raw_Slack!A:B, 2, FALSE)), ""fitness|workou"&amp;"t|gym|exercise|yoga|wellness|fitness enthusiasts""), ""Fitness"",
  REGEXMATCH(LOWER(VLOOKUP(A619, Data1_Raw_Slack!A:B, 2, FALSE)), ""health|medical|pharmacy|mental health|doctor|health-conscious""), ""Health"",
  REGEXMATCH(LOWER(VLOOKUP(A619, Data1_Raw_"&amp;"Slack!A:B, 2, FALSE)), ""pets|dogs|cats|animals|pet care|pet lovers""), ""Pets"",
  REGEXMATCH(LOWER(VLOOKUP(A619, Data1_Raw_Slack!A:B, 2, FALSE)), ""games|gaming|game|xbox|playstation|nintendo|gamers""), ""Gaming"",
  REGEXMATCH(LOWER(VLOOKUP(A619, Data1"&amp;"_Raw_Slack!A:B, 2, FALSE)), ""entertainment|movies|tv|netflix|streaming|celebrity|movie lovers|tv fans|hobb|photo|art""), ""Entertainment"",
  REGEXMATCH(LOWER(VLOOKUP(A619, Data1_Raw_Slack!A:B, 2, FALSE)), ""lifestyle|home|interior|decor|living|lifestyle"&amp;" enthusiasts""), ""Lifestyle"",
  REGEXMATCH(LOWER(VLOOKUP(A619, Data1_Raw_Slack!A:B, 2, FALSE)), ""financial|finance|investing|stocks|retirement|banking|credit|debt|loans|savings|personal finance|insurance|econ|ecom|business|retail|occupation|sale|job|ma"&amp;"rketing""), ""Finance"",
  REGEXMATCH(LOWER(VLOOKUP(A619, Data1_Raw_Slack!A:B, 2, FALSE)), ""auto|automotive""), ""Auto"",
  REGEXMATCH(LOWER(VLOOKUP(A619, Data1_Raw_Slack!A:B, 2, FALSE)), ""parenting|moms|dads|kids|toddlers|baby|parent|children""), ""Par"&amp;"enting"",
  REGEXMATCH(LOWER(VLOOKUP(A619, Data1_Raw_Slack!A:B, 2, FALSE)), ""education|students|learning|school|teachers|college|university|academics""), ""Education"",
  REGEXMATCH(LOWER(VLOOKUP(A619, Data1_Raw_Slack!A:B, 2, FALSE)), ""age|gender|dem"&amp;"ographic|family|household""), ""Demographics"",
  REGEXMATCH(LOWER(VLOOKUP(A619, Data1_Raw_Slack!A:B, 2, FALSE)), ""mortgage|real estate""), ""Real Estate"",REGEXMATCH(LOWER(VLOOKUP(A619, Data1_Raw_Slack!A:B, 2, FALSE)), ""technology|tech|gadgets|smartpho"&amp;"ne|electro|apps|devices|computing|ai|robots|software|computer|internet|tele|mobile|tablet""), ""Technology"", REGEXMATCH(LOWER(VLOOKUP(A619, Data1_Raw_Slack!A:B, 2, FALSE)), ""entertainment|purchas|movies|tv|netflix|streaming|celebrity|movie lovers|tv fan"&amp;"s|media|hobb|photo|art|shop""), ""Entertainment"", REGEXMATCH(LOWER(VLOOKUP(A619, Data1_Raw_Slack!A:B, 2, FALSE)), ""law|government|""), ""Law and Government"",
  TRUE, ""Other""
)"),"Sports")</f>
        <v>Sports</v>
      </c>
      <c r="G619" s="9"/>
      <c r="H619" s="9" t="s">
        <v>44</v>
      </c>
      <c r="I619" s="9" t="s">
        <v>607</v>
      </c>
      <c r="J619" s="9" t="s">
        <v>46</v>
      </c>
      <c r="K619" s="9" t="s">
        <v>148</v>
      </c>
      <c r="L619" s="9" t="s">
        <v>89</v>
      </c>
      <c r="M619" s="10" t="s">
        <v>372</v>
      </c>
      <c r="N619" s="9" t="str">
        <f ca="1">IFERROR(__xludf.DUMMYFUNCTION("REGEXEXTRACT(LOWER(M619), ""([a-z0-9\-]+)\.(?:co|net|org|io|gg)"")"),"accuweather")</f>
        <v>accuweather</v>
      </c>
      <c r="O619" s="9" t="s">
        <v>593</v>
      </c>
      <c r="P619" s="9" t="s">
        <v>39</v>
      </c>
      <c r="Q619" s="9">
        <v>15200</v>
      </c>
      <c r="R619" s="9">
        <v>60</v>
      </c>
      <c r="S619" s="9">
        <v>5375</v>
      </c>
      <c r="T619" s="9">
        <v>12040</v>
      </c>
      <c r="U619" s="9">
        <v>4</v>
      </c>
      <c r="V619" s="11">
        <v>1970.3573449999999</v>
      </c>
      <c r="W619" s="12">
        <f t="shared" si="14"/>
        <v>492.58933624999997</v>
      </c>
      <c r="X619" s="12">
        <f t="shared" si="15"/>
        <v>0.39473684210526316</v>
      </c>
      <c r="Y619" s="12">
        <f t="shared" si="16"/>
        <v>35.361842105263158</v>
      </c>
      <c r="Z619" s="12">
        <f t="shared" si="17"/>
        <v>366.57811069767439</v>
      </c>
      <c r="AA619" s="12">
        <f t="shared" si="18"/>
        <v>129.62877269736842</v>
      </c>
      <c r="AB619" s="12">
        <f t="shared" si="19"/>
        <v>32.839289083333334</v>
      </c>
      <c r="AC619" s="12">
        <f t="shared" si="20"/>
        <v>6.666666666666667</v>
      </c>
      <c r="AE619" s="13"/>
      <c r="AF619" s="13"/>
    </row>
    <row r="620" spans="1:32">
      <c r="A620" s="8" t="s">
        <v>2098</v>
      </c>
      <c r="B620" s="9" t="s">
        <v>41</v>
      </c>
      <c r="C620" s="9" t="s">
        <v>105</v>
      </c>
      <c r="D620" s="9" t="s">
        <v>530</v>
      </c>
      <c r="E620" s="9" t="s">
        <v>2099</v>
      </c>
      <c r="F620" s="9" t="str">
        <f ca="1">IFERROR(__xludf.DUMMYFUNCTION("IFS(
  REGEXMATCH(LOWER(VLOOKUP(A620, Data1_Raw_Slack!A:B, 2, FALSE)), ""news|weather""), ""News and Weather"", REGEXMATCH(LOWER(VLOOKUP(A620, Data1_Raw_Slack!A:B, 2, FALSE)), ""sports|ufc|nba|nfl|mlb|soccer|sports fans""), ""Sports"",
  REGEXMATCH(LOWER("&amp;"VLOOKUP(A620, Data1_Raw_Slack!A:B, 2, FALSE)), ""fashion|style|clothing|apparel|shoes|accessories|beauty|cosmetics|fashionistas""), ""Fashion and Beauty"",
  REGEXMATCH(LOWER(VLOOKUP(A620, Data1_Raw_Slack!A:B, 2, FALSE)), ""food|cooking|recipe|restaurant|"&amp;"snack|grocery|foodies""), ""Food"",
  REGEXMATCH(LOWER(VLOOKUP(A620, Data1_Raw_Slack!A:B, 2, FALSE)), ""travel|vacation|airline|hotel|trip|flights|travelers""), ""Travel"",
  REGEXMATCH(LOWER(VLOOKUP(A620, Data1_Raw_Slack!A:B, 2, FALSE)), ""fitness|workou"&amp;"t|gym|exercise|yoga|wellness|fitness enthusiasts""), ""Fitness"",
  REGEXMATCH(LOWER(VLOOKUP(A620, Data1_Raw_Slack!A:B, 2, FALSE)), ""health|medical|pharmacy|mental health|doctor|health-conscious""), ""Health"",
  REGEXMATCH(LOWER(VLOOKUP(A620, Data1_Raw_"&amp;"Slack!A:B, 2, FALSE)), ""pets|dogs|cats|animals|pet care|pet lovers""), ""Pets"",
  REGEXMATCH(LOWER(VLOOKUP(A620, Data1_Raw_Slack!A:B, 2, FALSE)), ""games|gaming|game|xbox|playstation|nintendo|gamers""), ""Gaming"",
  REGEXMATCH(LOWER(VLOOKUP(A620, Data1"&amp;"_Raw_Slack!A:B, 2, FALSE)), ""entertainment|movies|tv|netflix|streaming|celebrity|movie lovers|tv fans|hobb|photo|art""), ""Entertainment"",
  REGEXMATCH(LOWER(VLOOKUP(A620, Data1_Raw_Slack!A:B, 2, FALSE)), ""lifestyle|home|interior|decor|living|lifestyle"&amp;" enthusiasts""), ""Lifestyle"",
  REGEXMATCH(LOWER(VLOOKUP(A620, Data1_Raw_Slack!A:B, 2, FALSE)), ""financial|finance|investing|stocks|retirement|banking|credit|debt|loans|savings|personal finance|insurance|econ|ecom|business|retail|occupation|sale|job|ma"&amp;"rketing""), ""Finance"",
  REGEXMATCH(LOWER(VLOOKUP(A620, Data1_Raw_Slack!A:B, 2, FALSE)), ""auto|automotive""), ""Auto"",
  REGEXMATCH(LOWER(VLOOKUP(A620, Data1_Raw_Slack!A:B, 2, FALSE)), ""parenting|moms|dads|kids|toddlers|baby|parent|children""), ""Par"&amp;"enting"",
  REGEXMATCH(LOWER(VLOOKUP(A620, Data1_Raw_Slack!A:B, 2, FALSE)), ""education|students|learning|school|teachers|college|university|academics""), ""Education"",
  REGEXMATCH(LOWER(VLOOKUP(A620, Data1_Raw_Slack!A:B, 2, FALSE)), ""age|gender|dem"&amp;"ographic|family|household""), ""Demographics"",
  REGEXMATCH(LOWER(VLOOKUP(A620, Data1_Raw_Slack!A:B, 2, FALSE)), ""mortgage|real estate""), ""Real Estate"",REGEXMATCH(LOWER(VLOOKUP(A620, Data1_Raw_Slack!A:B, 2, FALSE)), ""technology|tech|gadgets|smartpho"&amp;"ne|electro|apps|devices|computing|ai|robots|software|computer|internet|tele|mobile|tablet""), ""Technology"", REGEXMATCH(LOWER(VLOOKUP(A620, Data1_Raw_Slack!A:B, 2, FALSE)), ""entertainment|purchas|movies|tv|netflix|streaming|celebrity|movie lovers|tv fan"&amp;"s|media|hobb|photo|art|shop""), ""Entertainment"", REGEXMATCH(LOWER(VLOOKUP(A620, Data1_Raw_Slack!A:B, 2, FALSE)), ""law|government|""), ""Law and Government"",
  TRUE, ""Other""
)"),"Fashion and Beauty")</f>
        <v>Fashion and Beauty</v>
      </c>
      <c r="G620" s="9" t="s">
        <v>530</v>
      </c>
      <c r="H620" s="9" t="s">
        <v>44</v>
      </c>
      <c r="I620" s="9" t="s">
        <v>263</v>
      </c>
      <c r="J620" s="9" t="s">
        <v>34</v>
      </c>
      <c r="K620" s="9" t="s">
        <v>405</v>
      </c>
      <c r="L620" s="9" t="s">
        <v>72</v>
      </c>
      <c r="M620" s="10" t="s">
        <v>516</v>
      </c>
      <c r="N620" s="9" t="str">
        <f ca="1">IFERROR(__xludf.DUMMYFUNCTION("REGEXEXTRACT(LOWER(M620), ""([a-z0-9\-]+)\.(?:co|net|org|io|gg)"")"),"travelerdreams")</f>
        <v>travelerdreams</v>
      </c>
      <c r="O620" s="9" t="s">
        <v>50</v>
      </c>
      <c r="P620" s="9" t="s">
        <v>75</v>
      </c>
      <c r="Q620" s="9">
        <v>24875</v>
      </c>
      <c r="R620" s="9">
        <v>67</v>
      </c>
      <c r="S620" s="9">
        <v>14213</v>
      </c>
      <c r="T620" s="9">
        <v>23455</v>
      </c>
      <c r="U620" s="9">
        <v>8</v>
      </c>
      <c r="V620" s="11">
        <v>4652.2420510000002</v>
      </c>
      <c r="W620" s="12">
        <f t="shared" si="14"/>
        <v>581.53025637500002</v>
      </c>
      <c r="X620" s="12">
        <f t="shared" si="15"/>
        <v>0.26934673366834172</v>
      </c>
      <c r="Y620" s="12">
        <f t="shared" si="16"/>
        <v>57.137688442211058</v>
      </c>
      <c r="Z620" s="12">
        <f t="shared" si="17"/>
        <v>327.32301773024699</v>
      </c>
      <c r="AA620" s="12">
        <f t="shared" si="18"/>
        <v>187.02480607035176</v>
      </c>
      <c r="AB620" s="12">
        <f t="shared" si="19"/>
        <v>69.436448522388062</v>
      </c>
      <c r="AC620" s="12">
        <f t="shared" si="20"/>
        <v>11.940298507462686</v>
      </c>
      <c r="AE620" s="13"/>
      <c r="AF620" s="13"/>
    </row>
    <row r="621" spans="1:32">
      <c r="A621" s="8" t="s">
        <v>2100</v>
      </c>
      <c r="B621" s="9" t="s">
        <v>41</v>
      </c>
      <c r="C621" s="9" t="s">
        <v>214</v>
      </c>
      <c r="D621" s="9" t="s">
        <v>215</v>
      </c>
      <c r="E621" s="9" t="s">
        <v>2101</v>
      </c>
      <c r="F621" s="9" t="str">
        <f ca="1">IFERROR(__xludf.DUMMYFUNCTION("IFS(
  REGEXMATCH(LOWER(VLOOKUP(A621, Data1_Raw_Slack!A:B, 2, FALSE)), ""news|weather""), ""News and Weather"", REGEXMATCH(LOWER(VLOOKUP(A621, Data1_Raw_Slack!A:B, 2, FALSE)), ""sports|ufc|nba|nfl|mlb|soccer|sports fans""), ""Sports"",
  REGEXMATCH(LOWER("&amp;"VLOOKUP(A621, Data1_Raw_Slack!A:B, 2, FALSE)), ""fashion|style|clothing|apparel|shoes|accessories|beauty|cosmetics|fashionistas""), ""Fashion and Beauty"",
  REGEXMATCH(LOWER(VLOOKUP(A621, Data1_Raw_Slack!A:B, 2, FALSE)), ""food|cooking|recipe|restaurant|"&amp;"snack|grocery|foodies""), ""Food"",
  REGEXMATCH(LOWER(VLOOKUP(A621, Data1_Raw_Slack!A:B, 2, FALSE)), ""travel|vacation|airline|hotel|trip|flights|travelers""), ""Travel"",
  REGEXMATCH(LOWER(VLOOKUP(A621, Data1_Raw_Slack!A:B, 2, FALSE)), ""fitness|workou"&amp;"t|gym|exercise|yoga|wellness|fitness enthusiasts""), ""Fitness"",
  REGEXMATCH(LOWER(VLOOKUP(A621, Data1_Raw_Slack!A:B, 2, FALSE)), ""health|medical|pharmacy|mental health|doctor|health-conscious""), ""Health"",
  REGEXMATCH(LOWER(VLOOKUP(A621, Data1_Raw_"&amp;"Slack!A:B, 2, FALSE)), ""pets|dogs|cats|animals|pet care|pet lovers""), ""Pets"",
  REGEXMATCH(LOWER(VLOOKUP(A621, Data1_Raw_Slack!A:B, 2, FALSE)), ""games|gaming|game|xbox|playstation|nintendo|gamers""), ""Gaming"",
  REGEXMATCH(LOWER(VLOOKUP(A621, Data1"&amp;"_Raw_Slack!A:B, 2, FALSE)), ""entertainment|movies|tv|netflix|streaming|celebrity|movie lovers|tv fans|hobb|photo|art""), ""Entertainment"",
  REGEXMATCH(LOWER(VLOOKUP(A621, Data1_Raw_Slack!A:B, 2, FALSE)), ""lifestyle|home|interior|decor|living|lifestyle"&amp;" enthusiasts""), ""Lifestyle"",
  REGEXMATCH(LOWER(VLOOKUP(A621, Data1_Raw_Slack!A:B, 2, FALSE)), ""financial|finance|investing|stocks|retirement|banking|credit|debt|loans|savings|personal finance|insurance|econ|ecom|business|retail|occupation|sale|job|ma"&amp;"rketing""), ""Finance"",
  REGEXMATCH(LOWER(VLOOKUP(A621, Data1_Raw_Slack!A:B, 2, FALSE)), ""auto|automotive""), ""Auto"",
  REGEXMATCH(LOWER(VLOOKUP(A621, Data1_Raw_Slack!A:B, 2, FALSE)), ""parenting|moms|dads|kids|toddlers|baby|parent|children""), ""Par"&amp;"enting"",
  REGEXMATCH(LOWER(VLOOKUP(A621, Data1_Raw_Slack!A:B, 2, FALSE)), ""education|students|learning|school|teachers|college|university|academics""), ""Education"",
  REGEXMATCH(LOWER(VLOOKUP(A621, Data1_Raw_Slack!A:B, 2, FALSE)), ""age|gender|dem"&amp;"ographic|family|household""), ""Demographics"",
  REGEXMATCH(LOWER(VLOOKUP(A621, Data1_Raw_Slack!A:B, 2, FALSE)), ""mortgage|real estate""), ""Real Estate"",REGEXMATCH(LOWER(VLOOKUP(A621, Data1_Raw_Slack!A:B, 2, FALSE)), ""technology|tech|gadgets|smartpho"&amp;"ne|electro|apps|devices|computing|ai|robots|software|computer|internet|tele|mobile|tablet""), ""Technology"", REGEXMATCH(LOWER(VLOOKUP(A621, Data1_Raw_Slack!A:B, 2, FALSE)), ""entertainment|purchas|movies|tv|netflix|streaming|celebrity|movie lovers|tv fan"&amp;"s|media|hobb|photo|art|shop""), ""Entertainment"", REGEXMATCH(LOWER(VLOOKUP(A621, Data1_Raw_Slack!A:B, 2, FALSE)), ""law|government|""), ""Law and Government"",
  TRUE, ""Other""
)"),"Demographics")</f>
        <v>Demographics</v>
      </c>
      <c r="G621" s="9"/>
      <c r="H621" s="9" t="s">
        <v>32</v>
      </c>
      <c r="I621" s="9" t="s">
        <v>1621</v>
      </c>
      <c r="J621" s="9" t="s">
        <v>34</v>
      </c>
      <c r="K621" s="9" t="s">
        <v>236</v>
      </c>
      <c r="L621" s="9" t="s">
        <v>82</v>
      </c>
      <c r="M621" s="10" t="s">
        <v>1098</v>
      </c>
      <c r="N621" s="9" t="str">
        <f ca="1">IFERROR(__xludf.DUMMYFUNCTION("REGEXEXTRACT(LOWER(M621), ""([a-z0-9\-]+)\.(?:co|net|org|io|gg)"")"),"daily-choices")</f>
        <v>daily-choices</v>
      </c>
      <c r="O621" s="9" t="s">
        <v>74</v>
      </c>
      <c r="P621" s="9" t="s">
        <v>39</v>
      </c>
      <c r="Q621" s="9">
        <v>28553</v>
      </c>
      <c r="R621" s="9">
        <v>90</v>
      </c>
      <c r="S621" s="9">
        <v>11390</v>
      </c>
      <c r="T621" s="9">
        <v>23355</v>
      </c>
      <c r="U621" s="9">
        <v>13</v>
      </c>
      <c r="V621" s="11">
        <v>5573.1123960000004</v>
      </c>
      <c r="W621" s="12">
        <f t="shared" si="14"/>
        <v>428.70095353846159</v>
      </c>
      <c r="X621" s="12">
        <f t="shared" si="15"/>
        <v>0.3152033061324554</v>
      </c>
      <c r="Y621" s="12">
        <f t="shared" si="16"/>
        <v>39.890729520540745</v>
      </c>
      <c r="Z621" s="12">
        <f t="shared" si="17"/>
        <v>489.2987178226515</v>
      </c>
      <c r="AA621" s="12">
        <f t="shared" si="18"/>
        <v>195.1848280741078</v>
      </c>
      <c r="AB621" s="12">
        <f t="shared" si="19"/>
        <v>61.923471066666671</v>
      </c>
      <c r="AC621" s="12">
        <f t="shared" si="20"/>
        <v>14.444444444444443</v>
      </c>
      <c r="AE621" s="13"/>
      <c r="AF621" s="13"/>
    </row>
    <row r="622" spans="1:32">
      <c r="A622" s="8" t="s">
        <v>2102</v>
      </c>
      <c r="B622" s="9" t="s">
        <v>92</v>
      </c>
      <c r="C622" s="9" t="s">
        <v>178</v>
      </c>
      <c r="D622" s="9" t="s">
        <v>602</v>
      </c>
      <c r="E622" s="9" t="s">
        <v>2103</v>
      </c>
      <c r="F622" s="9" t="str">
        <f ca="1">IFERROR(__xludf.DUMMYFUNCTION("IFS(
  REGEXMATCH(LOWER(VLOOKUP(A622, Data1_Raw_Slack!A:B, 2, FALSE)), ""news|weather""), ""News and Weather"", REGEXMATCH(LOWER(VLOOKUP(A622, Data1_Raw_Slack!A:B, 2, FALSE)), ""sports|ufc|nba|nfl|mlb|soccer|sports fans""), ""Sports"",
  REGEXMATCH(LOWER("&amp;"VLOOKUP(A622, Data1_Raw_Slack!A:B, 2, FALSE)), ""fashion|style|clothing|apparel|shoes|accessories|beauty|cosmetics|fashionistas""), ""Fashion and Beauty"",
  REGEXMATCH(LOWER(VLOOKUP(A622, Data1_Raw_Slack!A:B, 2, FALSE)), ""food|cooking|recipe|restaurant|"&amp;"snack|grocery|foodies""), ""Food"",
  REGEXMATCH(LOWER(VLOOKUP(A622, Data1_Raw_Slack!A:B, 2, FALSE)), ""travel|vacation|airline|hotel|trip|flights|travelers""), ""Travel"",
  REGEXMATCH(LOWER(VLOOKUP(A622, Data1_Raw_Slack!A:B, 2, FALSE)), ""fitness|workou"&amp;"t|gym|exercise|yoga|wellness|fitness enthusiasts""), ""Fitness"",
  REGEXMATCH(LOWER(VLOOKUP(A622, Data1_Raw_Slack!A:B, 2, FALSE)), ""health|medical|pharmacy|mental health|doctor|health-conscious""), ""Health"",
  REGEXMATCH(LOWER(VLOOKUP(A622, Data1_Raw_"&amp;"Slack!A:B, 2, FALSE)), ""pets|dogs|cats|animals|pet care|pet lovers""), ""Pets"",
  REGEXMATCH(LOWER(VLOOKUP(A622, Data1_Raw_Slack!A:B, 2, FALSE)), ""games|gaming|game|xbox|playstation|nintendo|gamers""), ""Gaming"",
  REGEXMATCH(LOWER(VLOOKUP(A622, Data1"&amp;"_Raw_Slack!A:B, 2, FALSE)), ""entertainment|movies|tv|netflix|streaming|celebrity|movie lovers|tv fans|hobb|photo|art""), ""Entertainment"",
  REGEXMATCH(LOWER(VLOOKUP(A622, Data1_Raw_Slack!A:B, 2, FALSE)), ""lifestyle|home|interior|decor|living|lifestyle"&amp;" enthusiasts""), ""Lifestyle"",
  REGEXMATCH(LOWER(VLOOKUP(A622, Data1_Raw_Slack!A:B, 2, FALSE)), ""financial|finance|investing|stocks|retirement|banking|credit|debt|loans|savings|personal finance|insurance|econ|ecom|business|retail|occupation|sale|job|ma"&amp;"rketing""), ""Finance"",
  REGEXMATCH(LOWER(VLOOKUP(A622, Data1_Raw_Slack!A:B, 2, FALSE)), ""auto|automotive""), ""Auto"",
  REGEXMATCH(LOWER(VLOOKUP(A622, Data1_Raw_Slack!A:B, 2, FALSE)), ""parenting|moms|dads|kids|toddlers|baby|parent|children""), ""Par"&amp;"enting"",
  REGEXMATCH(LOWER(VLOOKUP(A622, Data1_Raw_Slack!A:B, 2, FALSE)), ""education|students|learning|school|teachers|college|university|academics""), ""Education"",
  REGEXMATCH(LOWER(VLOOKUP(A622, Data1_Raw_Slack!A:B, 2, FALSE)), ""age|gender|dem"&amp;"ographic|family|household""), ""Demographics"",
  REGEXMATCH(LOWER(VLOOKUP(A622, Data1_Raw_Slack!A:B, 2, FALSE)), ""mortgage|real estate""), ""Real Estate"",REGEXMATCH(LOWER(VLOOKUP(A622, Data1_Raw_Slack!A:B, 2, FALSE)), ""technology|tech|gadgets|smartpho"&amp;"ne|electro|apps|devices|computing|ai|robots|software|computer|internet|tele|mobile|tablet""), ""Technology"", REGEXMATCH(LOWER(VLOOKUP(A622, Data1_Raw_Slack!A:B, 2, FALSE)), ""entertainment|purchas|movies|tv|netflix|streaming|celebrity|movie lovers|tv fan"&amp;"s|media|hobb|photo|art|shop""), ""Entertainment"", REGEXMATCH(LOWER(VLOOKUP(A622, Data1_Raw_Slack!A:B, 2, FALSE)), ""law|government|""), ""Law and Government"",
  TRUE, ""Other""
)"),"Food")</f>
        <v>Food</v>
      </c>
      <c r="G622" s="9" t="s">
        <v>602</v>
      </c>
      <c r="H622" s="9" t="s">
        <v>32</v>
      </c>
      <c r="I622" s="9" t="s">
        <v>1197</v>
      </c>
      <c r="J622" s="9" t="s">
        <v>80</v>
      </c>
      <c r="K622" s="9" t="s">
        <v>47</v>
      </c>
      <c r="L622" s="9" t="s">
        <v>48</v>
      </c>
      <c r="M622" s="10" t="s">
        <v>243</v>
      </c>
      <c r="N622" s="9" t="str">
        <f ca="1">IFERROR(__xludf.DUMMYFUNCTION("REGEXEXTRACT(LOWER(M622), ""([a-z0-9\-]+)\.(?:co|net|org|io|gg)"")"),"poshland")</f>
        <v>poshland</v>
      </c>
      <c r="O622" s="9" t="s">
        <v>50</v>
      </c>
      <c r="P622" s="9" t="s">
        <v>39</v>
      </c>
      <c r="Q622" s="9">
        <v>268811</v>
      </c>
      <c r="R622" s="9">
        <v>799</v>
      </c>
      <c r="S622" s="9">
        <v>95989</v>
      </c>
      <c r="T622" s="9">
        <v>173923</v>
      </c>
      <c r="U622" s="9">
        <v>4</v>
      </c>
      <c r="V622" s="11">
        <v>2549.1151580000001</v>
      </c>
      <c r="W622" s="12">
        <f t="shared" si="14"/>
        <v>637.27878950000002</v>
      </c>
      <c r="X622" s="12">
        <f t="shared" si="15"/>
        <v>0.29723486018057294</v>
      </c>
      <c r="Y622" s="12">
        <f t="shared" si="16"/>
        <v>35.708732157538201</v>
      </c>
      <c r="Z622" s="12">
        <f t="shared" si="17"/>
        <v>26.556325808165518</v>
      </c>
      <c r="AA622" s="12">
        <f t="shared" si="18"/>
        <v>9.4829272537210176</v>
      </c>
      <c r="AB622" s="12">
        <f t="shared" si="19"/>
        <v>3.1903819249061329</v>
      </c>
      <c r="AC622" s="12">
        <f t="shared" si="20"/>
        <v>0.50062578222778475</v>
      </c>
      <c r="AE622" s="13"/>
      <c r="AF622" s="13"/>
    </row>
    <row r="623" spans="1:32">
      <c r="A623" s="8" t="s">
        <v>2104</v>
      </c>
      <c r="B623" s="9" t="s">
        <v>92</v>
      </c>
      <c r="C623" s="9" t="s">
        <v>178</v>
      </c>
      <c r="D623" s="9" t="s">
        <v>154</v>
      </c>
      <c r="E623" s="9" t="s">
        <v>1620</v>
      </c>
      <c r="F623" s="9" t="str">
        <f ca="1">IFERROR(__xludf.DUMMYFUNCTION("IFS(
  REGEXMATCH(LOWER(VLOOKUP(A623, Data1_Raw_Slack!A:B, 2, FALSE)), ""news|weather""), ""News and Weather"", REGEXMATCH(LOWER(VLOOKUP(A623, Data1_Raw_Slack!A:B, 2, FALSE)), ""sports|ufc|nba|nfl|mlb|soccer|sports fans""), ""Sports"",
  REGEXMATCH(LOWER("&amp;"VLOOKUP(A623, Data1_Raw_Slack!A:B, 2, FALSE)), ""fashion|style|clothing|apparel|shoes|accessories|beauty|cosmetics|fashionistas""), ""Fashion and Beauty"",
  REGEXMATCH(LOWER(VLOOKUP(A623, Data1_Raw_Slack!A:B, 2, FALSE)), ""food|cooking|recipe|restaurant|"&amp;"snack|grocery|foodies""), ""Food"",
  REGEXMATCH(LOWER(VLOOKUP(A623, Data1_Raw_Slack!A:B, 2, FALSE)), ""travel|vacation|airline|hotel|trip|flights|travelers""), ""Travel"",
  REGEXMATCH(LOWER(VLOOKUP(A623, Data1_Raw_Slack!A:B, 2, FALSE)), ""fitness|workou"&amp;"t|gym|exercise|yoga|wellness|fitness enthusiasts""), ""Fitness"",
  REGEXMATCH(LOWER(VLOOKUP(A623, Data1_Raw_Slack!A:B, 2, FALSE)), ""health|medical|pharmacy|mental health|doctor|health-conscious""), ""Health"",
  REGEXMATCH(LOWER(VLOOKUP(A623, Data1_Raw_"&amp;"Slack!A:B, 2, FALSE)), ""pets|dogs|cats|animals|pet care|pet lovers""), ""Pets"",
  REGEXMATCH(LOWER(VLOOKUP(A623, Data1_Raw_Slack!A:B, 2, FALSE)), ""games|gaming|game|xbox|playstation|nintendo|gamers""), ""Gaming"",
  REGEXMATCH(LOWER(VLOOKUP(A623, Data1"&amp;"_Raw_Slack!A:B, 2, FALSE)), ""entertainment|movies|tv|netflix|streaming|celebrity|movie lovers|tv fans|hobb|photo|art""), ""Entertainment"",
  REGEXMATCH(LOWER(VLOOKUP(A623, Data1_Raw_Slack!A:B, 2, FALSE)), ""lifestyle|home|interior|decor|living|lifestyle"&amp;" enthusiasts""), ""Lifestyle"",
  REGEXMATCH(LOWER(VLOOKUP(A623, Data1_Raw_Slack!A:B, 2, FALSE)), ""financial|finance|investing|stocks|retirement|banking|credit|debt|loans|savings|personal finance|insurance|econ|ecom|business|retail|occupation|sale|job|ma"&amp;"rketing""), ""Finance"",
  REGEXMATCH(LOWER(VLOOKUP(A623, Data1_Raw_Slack!A:B, 2, FALSE)), ""auto|automotive""), ""Auto"",
  REGEXMATCH(LOWER(VLOOKUP(A623, Data1_Raw_Slack!A:B, 2, FALSE)), ""parenting|moms|dads|kids|toddlers|baby|parent|children""), ""Par"&amp;"enting"",
  REGEXMATCH(LOWER(VLOOKUP(A623, Data1_Raw_Slack!A:B, 2, FALSE)), ""education|students|learning|school|teachers|college|university|academics""), ""Education"",
  REGEXMATCH(LOWER(VLOOKUP(A623, Data1_Raw_Slack!A:B, 2, FALSE)), ""age|gender|dem"&amp;"ographic|family|household""), ""Demographics"",
  REGEXMATCH(LOWER(VLOOKUP(A623, Data1_Raw_Slack!A:B, 2, FALSE)), ""mortgage|real estate""), ""Real Estate"",REGEXMATCH(LOWER(VLOOKUP(A623, Data1_Raw_Slack!A:B, 2, FALSE)), ""technology|tech|gadgets|smartpho"&amp;"ne|electro|apps|devices|computing|ai|robots|software|computer|internet|tele|mobile|tablet""), ""Technology"", REGEXMATCH(LOWER(VLOOKUP(A623, Data1_Raw_Slack!A:B, 2, FALSE)), ""entertainment|purchas|movies|tv|netflix|streaming|celebrity|movie lovers|tv fan"&amp;"s|media|hobb|photo|art|shop""), ""Entertainment"", REGEXMATCH(LOWER(VLOOKUP(A623, Data1_Raw_Slack!A:B, 2, FALSE)), ""law|government|""), ""Law and Government"",
  TRUE, ""Other""
)"),"Sports")</f>
        <v>Sports</v>
      </c>
      <c r="G623" s="9" t="s">
        <v>154</v>
      </c>
      <c r="H623" s="9" t="s">
        <v>44</v>
      </c>
      <c r="I623" s="9" t="s">
        <v>245</v>
      </c>
      <c r="J623" s="9" t="s">
        <v>80</v>
      </c>
      <c r="K623" s="9" t="s">
        <v>236</v>
      </c>
      <c r="L623" s="9" t="s">
        <v>82</v>
      </c>
      <c r="M623" s="10" t="s">
        <v>130</v>
      </c>
      <c r="N623" s="9" t="str">
        <f ca="1">IFERROR(__xludf.DUMMYFUNCTION("REGEXEXTRACT(LOWER(M623), ""([a-z0-9\-]+)\.(?:co|net|org|io|gg)"")"),"weather")</f>
        <v>weather</v>
      </c>
      <c r="O623" s="9" t="s">
        <v>131</v>
      </c>
      <c r="P623" s="9" t="s">
        <v>39</v>
      </c>
      <c r="Q623" s="9">
        <v>564387</v>
      </c>
      <c r="R623" s="9">
        <v>1984</v>
      </c>
      <c r="S623" s="9">
        <v>78234</v>
      </c>
      <c r="T623" s="9">
        <v>438695</v>
      </c>
      <c r="U623" s="9">
        <v>6</v>
      </c>
      <c r="V623" s="11">
        <v>2712.3796779999998</v>
      </c>
      <c r="W623" s="12">
        <f t="shared" si="14"/>
        <v>452.06327966666663</v>
      </c>
      <c r="X623" s="12">
        <f t="shared" si="15"/>
        <v>0.35153183896865098</v>
      </c>
      <c r="Y623" s="12">
        <f t="shared" si="16"/>
        <v>13.861765065460402</v>
      </c>
      <c r="Z623" s="12">
        <f t="shared" si="17"/>
        <v>34.670088171383284</v>
      </c>
      <c r="AA623" s="12">
        <f t="shared" si="18"/>
        <v>4.8058861703051274</v>
      </c>
      <c r="AB623" s="12">
        <f t="shared" si="19"/>
        <v>1.3671268538306451</v>
      </c>
      <c r="AC623" s="12">
        <f t="shared" si="20"/>
        <v>0.30241935483870969</v>
      </c>
      <c r="AE623" s="13"/>
      <c r="AF623" s="13"/>
    </row>
    <row r="624" spans="1:32">
      <c r="A624" s="8" t="s">
        <v>2105</v>
      </c>
      <c r="B624" s="9" t="s">
        <v>41</v>
      </c>
      <c r="C624" s="9" t="s">
        <v>209</v>
      </c>
      <c r="D624" s="9" t="s">
        <v>2106</v>
      </c>
      <c r="E624" s="9"/>
      <c r="F624" s="9" t="str">
        <f ca="1">IFERROR(__xludf.DUMMYFUNCTION("IFS(
  REGEXMATCH(LOWER(VLOOKUP(A624, Data1_Raw_Slack!A:B, 2, FALSE)), ""news|weather""), ""News and Weather"", REGEXMATCH(LOWER(VLOOKUP(A624, Data1_Raw_Slack!A:B, 2, FALSE)), ""sports|ufc|nba|nfl|mlb|soccer|sports fans""), ""Sports"",
  REGEXMATCH(LOWER("&amp;"VLOOKUP(A624, Data1_Raw_Slack!A:B, 2, FALSE)), ""fashion|style|clothing|apparel|shoes|accessories|beauty|cosmetics|fashionistas""), ""Fashion and Beauty"",
  REGEXMATCH(LOWER(VLOOKUP(A624, Data1_Raw_Slack!A:B, 2, FALSE)), ""food|cooking|recipe|restaurant|"&amp;"snack|grocery|foodies""), ""Food"",
  REGEXMATCH(LOWER(VLOOKUP(A624, Data1_Raw_Slack!A:B, 2, FALSE)), ""travel|vacation|airline|hotel|trip|flights|travelers""), ""Travel"",
  REGEXMATCH(LOWER(VLOOKUP(A624, Data1_Raw_Slack!A:B, 2, FALSE)), ""fitness|workou"&amp;"t|gym|exercise|yoga|wellness|fitness enthusiasts""), ""Fitness"",
  REGEXMATCH(LOWER(VLOOKUP(A624, Data1_Raw_Slack!A:B, 2, FALSE)), ""health|medical|pharmacy|mental health|doctor|health-conscious""), ""Health"",
  REGEXMATCH(LOWER(VLOOKUP(A624, Data1_Raw_"&amp;"Slack!A:B, 2, FALSE)), ""pets|dogs|cats|animals|pet care|pet lovers""), ""Pets"",
  REGEXMATCH(LOWER(VLOOKUP(A624, Data1_Raw_Slack!A:B, 2, FALSE)), ""games|gaming|game|xbox|playstation|nintendo|gamers""), ""Gaming"",
  REGEXMATCH(LOWER(VLOOKUP(A624, Data1"&amp;"_Raw_Slack!A:B, 2, FALSE)), ""entertainment|movies|tv|netflix|streaming|celebrity|movie lovers|tv fans|hobb|photo|art""), ""Entertainment"",
  REGEXMATCH(LOWER(VLOOKUP(A624, Data1_Raw_Slack!A:B, 2, FALSE)), ""lifestyle|home|interior|decor|living|lifestyle"&amp;" enthusiasts""), ""Lifestyle"",
  REGEXMATCH(LOWER(VLOOKUP(A624, Data1_Raw_Slack!A:B, 2, FALSE)), ""financial|finance|investing|stocks|retirement|banking|credit|debt|loans|savings|personal finance|insurance|econ|ecom|business|retail|occupation|sale|job|ma"&amp;"rketing""), ""Finance"",
  REGEXMATCH(LOWER(VLOOKUP(A624, Data1_Raw_Slack!A:B, 2, FALSE)), ""auto|automotive""), ""Auto"",
  REGEXMATCH(LOWER(VLOOKUP(A624, Data1_Raw_Slack!A:B, 2, FALSE)), ""parenting|moms|dads|kids|toddlers|baby|parent|children""), ""Par"&amp;"enting"",
  REGEXMATCH(LOWER(VLOOKUP(A624, Data1_Raw_Slack!A:B, 2, FALSE)), ""education|students|learning|school|teachers|college|university|academics""), ""Education"",
  REGEXMATCH(LOWER(VLOOKUP(A624, Data1_Raw_Slack!A:B, 2, FALSE)), ""age|gender|dem"&amp;"ographic|family|household""), ""Demographics"",
  REGEXMATCH(LOWER(VLOOKUP(A624, Data1_Raw_Slack!A:B, 2, FALSE)), ""mortgage|real estate""), ""Real Estate"",REGEXMATCH(LOWER(VLOOKUP(A624, Data1_Raw_Slack!A:B, 2, FALSE)), ""technology|tech|gadgets|smartpho"&amp;"ne|electro|apps|devices|computing|ai|robots|software|computer|internet|tele|mobile|tablet""), ""Technology"", REGEXMATCH(LOWER(VLOOKUP(A624, Data1_Raw_Slack!A:B, 2, FALSE)), ""entertainment|purchas|movies|tv|netflix|streaming|celebrity|movie lovers|tv fan"&amp;"s|media|hobb|photo|art|shop""), ""Entertainment"", REGEXMATCH(LOWER(VLOOKUP(A624, Data1_Raw_Slack!A:B, 2, FALSE)), ""law|government|""), ""Law and Government"",
  TRUE, ""Other""
)"),"Finance")</f>
        <v>Finance</v>
      </c>
      <c r="G624" s="9" t="s">
        <v>209</v>
      </c>
      <c r="H624" s="9" t="s">
        <v>44</v>
      </c>
      <c r="I624" s="9" t="s">
        <v>2033</v>
      </c>
      <c r="J624" s="9" t="s">
        <v>80</v>
      </c>
      <c r="K624" s="9" t="s">
        <v>236</v>
      </c>
      <c r="L624" s="9" t="s">
        <v>82</v>
      </c>
      <c r="M624" s="10" t="s">
        <v>1786</v>
      </c>
      <c r="N624" s="9" t="str">
        <f ca="1">IFERROR(__xludf.DUMMYFUNCTION("REGEXEXTRACT(LOWER(M624), ""([a-z0-9\-]+)\.(?:co|net|org|io|gg)"")"),"ajc")</f>
        <v>ajc</v>
      </c>
      <c r="O624" s="9" t="s">
        <v>109</v>
      </c>
      <c r="P624" s="9" t="s">
        <v>75</v>
      </c>
      <c r="Q624" s="9">
        <v>17833</v>
      </c>
      <c r="R624" s="9">
        <v>61</v>
      </c>
      <c r="S624" s="9">
        <v>8670</v>
      </c>
      <c r="T624" s="9">
        <v>16871</v>
      </c>
      <c r="U624" s="9">
        <v>10</v>
      </c>
      <c r="V624" s="11">
        <v>4899.1559550000002</v>
      </c>
      <c r="W624" s="12">
        <f t="shared" si="14"/>
        <v>489.91559549999999</v>
      </c>
      <c r="X624" s="12">
        <f t="shared" si="15"/>
        <v>0.34206246845735433</v>
      </c>
      <c r="Y624" s="12">
        <f t="shared" si="16"/>
        <v>48.617731172545284</v>
      </c>
      <c r="Z624" s="12">
        <f t="shared" si="17"/>
        <v>565.06989100346027</v>
      </c>
      <c r="AA624" s="12">
        <f t="shared" si="18"/>
        <v>274.72416054505692</v>
      </c>
      <c r="AB624" s="12">
        <f t="shared" si="19"/>
        <v>80.314032049180327</v>
      </c>
      <c r="AC624" s="12">
        <f t="shared" si="20"/>
        <v>16.393442622950818</v>
      </c>
      <c r="AE624" s="13"/>
      <c r="AF624" s="13"/>
    </row>
    <row r="625" spans="1:32">
      <c r="A625" s="8" t="s">
        <v>2107</v>
      </c>
      <c r="B625" s="9" t="s">
        <v>144</v>
      </c>
      <c r="C625" s="9" t="s">
        <v>193</v>
      </c>
      <c r="D625" s="9" t="s">
        <v>362</v>
      </c>
      <c r="E625" s="9"/>
      <c r="F625" s="9" t="str">
        <f ca="1">IFERROR(__xludf.DUMMYFUNCTION("IFS(
  REGEXMATCH(LOWER(VLOOKUP(A625, Data1_Raw_Slack!A:B, 2, FALSE)), ""news|weather""), ""News and Weather"", REGEXMATCH(LOWER(VLOOKUP(A625, Data1_Raw_Slack!A:B, 2, FALSE)), ""sports|ufc|nba|nfl|mlb|soccer|sports fans""), ""Sports"",
  REGEXMATCH(LOWER("&amp;"VLOOKUP(A625, Data1_Raw_Slack!A:B, 2, FALSE)), ""fashion|style|clothing|apparel|shoes|accessories|beauty|cosmetics|fashionistas""), ""Fashion and Beauty"",
  REGEXMATCH(LOWER(VLOOKUP(A625, Data1_Raw_Slack!A:B, 2, FALSE)), ""food|cooking|recipe|restaurant|"&amp;"snack|grocery|foodies""), ""Food"",
  REGEXMATCH(LOWER(VLOOKUP(A625, Data1_Raw_Slack!A:B, 2, FALSE)), ""travel|vacation|airline|hotel|trip|flights|travelers""), ""Travel"",
  REGEXMATCH(LOWER(VLOOKUP(A625, Data1_Raw_Slack!A:B, 2, FALSE)), ""fitness|workou"&amp;"t|gym|exercise|yoga|wellness|fitness enthusiasts""), ""Fitness"",
  REGEXMATCH(LOWER(VLOOKUP(A625, Data1_Raw_Slack!A:B, 2, FALSE)), ""health|medical|pharmacy|mental health|doctor|health-conscious""), ""Health"",
  REGEXMATCH(LOWER(VLOOKUP(A625, Data1_Raw_"&amp;"Slack!A:B, 2, FALSE)), ""pets|dogs|cats|animals|pet care|pet lovers""), ""Pets"",
  REGEXMATCH(LOWER(VLOOKUP(A625, Data1_Raw_Slack!A:B, 2, FALSE)), ""games|gaming|game|xbox|playstation|nintendo|gamers""), ""Gaming"",
  REGEXMATCH(LOWER(VLOOKUP(A625, Data1"&amp;"_Raw_Slack!A:B, 2, FALSE)), ""entertainment|movies|tv|netflix|streaming|celebrity|movie lovers|tv fans|hobb|photo|art""), ""Entertainment"",
  REGEXMATCH(LOWER(VLOOKUP(A625, Data1_Raw_Slack!A:B, 2, FALSE)), ""lifestyle|home|interior|decor|living|lifestyle"&amp;" enthusiasts""), ""Lifestyle"",
  REGEXMATCH(LOWER(VLOOKUP(A625, Data1_Raw_Slack!A:B, 2, FALSE)), ""financial|finance|investing|stocks|retirement|banking|credit|debt|loans|savings|personal finance|insurance|econ|ecom|business|retail|occupation|sale|job|ma"&amp;"rketing""), ""Finance"",
  REGEXMATCH(LOWER(VLOOKUP(A625, Data1_Raw_Slack!A:B, 2, FALSE)), ""auto|automotive""), ""Auto"",
  REGEXMATCH(LOWER(VLOOKUP(A625, Data1_Raw_Slack!A:B, 2, FALSE)), ""parenting|moms|dads|kids|toddlers|baby|parent|children""), ""Par"&amp;"enting"",
  REGEXMATCH(LOWER(VLOOKUP(A625, Data1_Raw_Slack!A:B, 2, FALSE)), ""education|students|learning|school|teachers|college|university|academics""), ""Education"",
  REGEXMATCH(LOWER(VLOOKUP(A625, Data1_Raw_Slack!A:B, 2, FALSE)), ""age|gender|dem"&amp;"ographic|family|household""), ""Demographics"",
  REGEXMATCH(LOWER(VLOOKUP(A625, Data1_Raw_Slack!A:B, 2, FALSE)), ""mortgage|real estate""), ""Real Estate"",REGEXMATCH(LOWER(VLOOKUP(A625, Data1_Raw_Slack!A:B, 2, FALSE)), ""technology|tech|gadgets|smartpho"&amp;"ne|electro|apps|devices|computing|ai|robots|software|computer|internet|tele|mobile|tablet""), ""Technology"", REGEXMATCH(LOWER(VLOOKUP(A625, Data1_Raw_Slack!A:B, 2, FALSE)), ""entertainment|purchas|movies|tv|netflix|streaming|celebrity|movie lovers|tv fan"&amp;"s|media|hobb|photo|art|shop""), ""Entertainment"", REGEXMATCH(LOWER(VLOOKUP(A625, Data1_Raw_Slack!A:B, 2, FALSE)), ""law|government|""), ""Law and Government"",
  TRUE, ""Other""
)"),"Entertainment")</f>
        <v>Entertainment</v>
      </c>
      <c r="G625" s="9" t="s">
        <v>69</v>
      </c>
      <c r="H625" s="9" t="s">
        <v>44</v>
      </c>
      <c r="I625" s="9" t="s">
        <v>1383</v>
      </c>
      <c r="J625" s="9" t="s">
        <v>80</v>
      </c>
      <c r="K625" s="9" t="s">
        <v>274</v>
      </c>
      <c r="L625" s="9" t="s">
        <v>48</v>
      </c>
      <c r="M625" s="10" t="s">
        <v>207</v>
      </c>
      <c r="N625" s="9" t="str">
        <f ca="1">IFERROR(__xludf.DUMMYFUNCTION("REGEXEXTRACT(LOWER(M625), ""([a-z0-9\-]+)\.(?:co|net|org|io|gg)"")"),"realtor")</f>
        <v>realtor</v>
      </c>
      <c r="O625" s="9" t="s">
        <v>103</v>
      </c>
      <c r="P625" s="9" t="s">
        <v>39</v>
      </c>
      <c r="Q625" s="9">
        <v>30714</v>
      </c>
      <c r="R625" s="9">
        <v>111</v>
      </c>
      <c r="S625" s="9">
        <v>12531</v>
      </c>
      <c r="T625" s="9">
        <v>28461</v>
      </c>
      <c r="U625" s="9">
        <v>9</v>
      </c>
      <c r="V625" s="11">
        <v>1503.4843109999999</v>
      </c>
      <c r="W625" s="12">
        <f t="shared" si="14"/>
        <v>167.05381233333333</v>
      </c>
      <c r="X625" s="12">
        <f t="shared" si="15"/>
        <v>0.3613987106856808</v>
      </c>
      <c r="Y625" s="12">
        <f t="shared" si="16"/>
        <v>40.798984176596989</v>
      </c>
      <c r="Z625" s="12">
        <f t="shared" si="17"/>
        <v>119.98119152501795</v>
      </c>
      <c r="AA625" s="12">
        <f t="shared" si="18"/>
        <v>48.951107345184603</v>
      </c>
      <c r="AB625" s="12">
        <f t="shared" si="19"/>
        <v>13.544903702702703</v>
      </c>
      <c r="AC625" s="12">
        <f t="shared" si="20"/>
        <v>8.1081081081081088</v>
      </c>
      <c r="AE625" s="13"/>
      <c r="AF625" s="13"/>
    </row>
    <row r="626" spans="1:32">
      <c r="A626" s="8" t="s">
        <v>2108</v>
      </c>
      <c r="B626" s="9" t="s">
        <v>874</v>
      </c>
      <c r="C626" s="9" t="s">
        <v>122</v>
      </c>
      <c r="D626" s="9" t="s">
        <v>1242</v>
      </c>
      <c r="E626" s="9" t="s">
        <v>2109</v>
      </c>
      <c r="F626" s="9" t="str">
        <f ca="1">IFERROR(__xludf.DUMMYFUNCTION("IFS(
  REGEXMATCH(LOWER(VLOOKUP(A626, Data1_Raw_Slack!A:B, 2, FALSE)), ""news|weather""), ""News and Weather"", REGEXMATCH(LOWER(VLOOKUP(A626, Data1_Raw_Slack!A:B, 2, FALSE)), ""sports|ufc|nba|nfl|mlb|soccer|sports fans""), ""Sports"",
  REGEXMATCH(LOWER("&amp;"VLOOKUP(A626, Data1_Raw_Slack!A:B, 2, FALSE)), ""fashion|style|clothing|apparel|shoes|accessories|beauty|cosmetics|fashionistas""), ""Fashion and Beauty"",
  REGEXMATCH(LOWER(VLOOKUP(A626, Data1_Raw_Slack!A:B, 2, FALSE)), ""food|cooking|recipe|restaurant|"&amp;"snack|grocery|foodies""), ""Food"",
  REGEXMATCH(LOWER(VLOOKUP(A626, Data1_Raw_Slack!A:B, 2, FALSE)), ""travel|vacation|airline|hotel|trip|flights|travelers""), ""Travel"",
  REGEXMATCH(LOWER(VLOOKUP(A626, Data1_Raw_Slack!A:B, 2, FALSE)), ""fitness|workou"&amp;"t|gym|exercise|yoga|wellness|fitness enthusiasts""), ""Fitness"",
  REGEXMATCH(LOWER(VLOOKUP(A626, Data1_Raw_Slack!A:B, 2, FALSE)), ""health|medical|pharmacy|mental health|doctor|health-conscious""), ""Health"",
  REGEXMATCH(LOWER(VLOOKUP(A626, Data1_Raw_"&amp;"Slack!A:B, 2, FALSE)), ""pets|dogs|cats|animals|pet care|pet lovers""), ""Pets"",
  REGEXMATCH(LOWER(VLOOKUP(A626, Data1_Raw_Slack!A:B, 2, FALSE)), ""games|gaming|game|xbox|playstation|nintendo|gamers""), ""Gaming"",
  REGEXMATCH(LOWER(VLOOKUP(A626, Data1"&amp;"_Raw_Slack!A:B, 2, FALSE)), ""entertainment|movies|tv|netflix|streaming|celebrity|movie lovers|tv fans|hobb|photo|art""), ""Entertainment"",
  REGEXMATCH(LOWER(VLOOKUP(A626, Data1_Raw_Slack!A:B, 2, FALSE)), ""lifestyle|home|interior|decor|living|lifestyle"&amp;" enthusiasts""), ""Lifestyle"",
  REGEXMATCH(LOWER(VLOOKUP(A626, Data1_Raw_Slack!A:B, 2, FALSE)), ""financial|finance|investing|stocks|retirement|banking|credit|debt|loans|savings|personal finance|insurance|econ|ecom|business|retail|occupation|sale|job|ma"&amp;"rketing""), ""Finance"",
  REGEXMATCH(LOWER(VLOOKUP(A626, Data1_Raw_Slack!A:B, 2, FALSE)), ""auto|automotive""), ""Auto"",
  REGEXMATCH(LOWER(VLOOKUP(A626, Data1_Raw_Slack!A:B, 2, FALSE)), ""parenting|moms|dads|kids|toddlers|baby|parent|children""), ""Par"&amp;"enting"",
  REGEXMATCH(LOWER(VLOOKUP(A626, Data1_Raw_Slack!A:B, 2, FALSE)), ""education|students|learning|school|teachers|college|university|academics""), ""Education"",
  REGEXMATCH(LOWER(VLOOKUP(A626, Data1_Raw_Slack!A:B, 2, FALSE)), ""age|gender|dem"&amp;"ographic|family|household""), ""Demographics"",
  REGEXMATCH(LOWER(VLOOKUP(A626, Data1_Raw_Slack!A:B, 2, FALSE)), ""mortgage|real estate""), ""Real Estate"",REGEXMATCH(LOWER(VLOOKUP(A626, Data1_Raw_Slack!A:B, 2, FALSE)), ""technology|tech|gadgets|smartpho"&amp;"ne|electro|apps|devices|computing|ai|robots|software|computer|internet|tele|mobile|tablet""), ""Technology"", REGEXMATCH(LOWER(VLOOKUP(A626, Data1_Raw_Slack!A:B, 2, FALSE)), ""entertainment|purchas|movies|tv|netflix|streaming|celebrity|movie lovers|tv fan"&amp;"s|media|hobb|photo|art|shop""), ""Entertainment"", REGEXMATCH(LOWER(VLOOKUP(A626, Data1_Raw_Slack!A:B, 2, FALSE)), ""law|government|""), ""Law and Government"",
  TRUE, ""Other""
)"),"Auto")</f>
        <v>Auto</v>
      </c>
      <c r="G626" s="9" t="s">
        <v>122</v>
      </c>
      <c r="H626" s="9" t="s">
        <v>32</v>
      </c>
      <c r="I626" s="9" t="s">
        <v>598</v>
      </c>
      <c r="J626" s="9" t="s">
        <v>62</v>
      </c>
      <c r="K626" s="9" t="s">
        <v>2110</v>
      </c>
      <c r="L626" s="9" t="s">
        <v>228</v>
      </c>
      <c r="M626" s="10" t="s">
        <v>2111</v>
      </c>
      <c r="N626" s="9" t="str">
        <f ca="1">IFERROR(__xludf.DUMMYFUNCTION("REGEXEXTRACT(LOWER(M626), ""([a-z0-9\-]+)\.(?:co|net|org|io|gg)"")"),"onechicagocenter")</f>
        <v>onechicagocenter</v>
      </c>
      <c r="O626" s="9" t="s">
        <v>131</v>
      </c>
      <c r="P626" s="9" t="s">
        <v>39</v>
      </c>
      <c r="Q626" s="9">
        <v>19829</v>
      </c>
      <c r="R626" s="9">
        <v>42</v>
      </c>
      <c r="S626" s="9">
        <v>15071</v>
      </c>
      <c r="T626" s="9">
        <v>19095</v>
      </c>
      <c r="U626" s="9">
        <v>2</v>
      </c>
      <c r="V626" s="11">
        <v>1952.4637729999999</v>
      </c>
      <c r="W626" s="12">
        <f t="shared" si="14"/>
        <v>976.23188649999997</v>
      </c>
      <c r="X626" s="12">
        <f t="shared" si="15"/>
        <v>0.21181098391245146</v>
      </c>
      <c r="Y626" s="12">
        <f t="shared" si="16"/>
        <v>76.004841393917999</v>
      </c>
      <c r="Z626" s="12">
        <f t="shared" si="17"/>
        <v>129.55104326189371</v>
      </c>
      <c r="AA626" s="12">
        <f t="shared" si="18"/>
        <v>98.465064955368405</v>
      </c>
      <c r="AB626" s="12">
        <f t="shared" si="19"/>
        <v>46.487232690476191</v>
      </c>
      <c r="AC626" s="12">
        <f t="shared" si="20"/>
        <v>4.7619047619047619</v>
      </c>
      <c r="AE626" s="13"/>
      <c r="AF626" s="13"/>
    </row>
    <row r="627" spans="1:32">
      <c r="A627" s="8" t="s">
        <v>2112</v>
      </c>
      <c r="B627" s="9" t="s">
        <v>341</v>
      </c>
      <c r="C627" s="9" t="s">
        <v>2113</v>
      </c>
      <c r="D627" s="9"/>
      <c r="E627" s="9"/>
      <c r="F627" s="9" t="str">
        <f ca="1">IFERROR(__xludf.DUMMYFUNCTION("IFS(
  REGEXMATCH(LOWER(VLOOKUP(A627, Data1_Raw_Slack!A:B, 2, FALSE)), ""news|weather""), ""News and Weather"", REGEXMATCH(LOWER(VLOOKUP(A627, Data1_Raw_Slack!A:B, 2, FALSE)), ""sports|ufc|nba|nfl|mlb|soccer|sports fans""), ""Sports"",
  REGEXMATCH(LOWER("&amp;"VLOOKUP(A627, Data1_Raw_Slack!A:B, 2, FALSE)), ""fashion|style|clothing|apparel|shoes|accessories|beauty|cosmetics|fashionistas""), ""Fashion and Beauty"",
  REGEXMATCH(LOWER(VLOOKUP(A627, Data1_Raw_Slack!A:B, 2, FALSE)), ""food|cooking|recipe|restaurant|"&amp;"snack|grocery|foodies""), ""Food"",
  REGEXMATCH(LOWER(VLOOKUP(A627, Data1_Raw_Slack!A:B, 2, FALSE)), ""travel|vacation|airline|hotel|trip|flights|travelers""), ""Travel"",
  REGEXMATCH(LOWER(VLOOKUP(A627, Data1_Raw_Slack!A:B, 2, FALSE)), ""fitness|workou"&amp;"t|gym|exercise|yoga|wellness|fitness enthusiasts""), ""Fitness"",
  REGEXMATCH(LOWER(VLOOKUP(A627, Data1_Raw_Slack!A:B, 2, FALSE)), ""health|medical|pharmacy|mental health|doctor|health-conscious""), ""Health"",
  REGEXMATCH(LOWER(VLOOKUP(A627, Data1_Raw_"&amp;"Slack!A:B, 2, FALSE)), ""pets|dogs|cats|animals|pet care|pet lovers""), ""Pets"",
  REGEXMATCH(LOWER(VLOOKUP(A627, Data1_Raw_Slack!A:B, 2, FALSE)), ""games|gaming|game|xbox|playstation|nintendo|gamers""), ""Gaming"",
  REGEXMATCH(LOWER(VLOOKUP(A627, Data1"&amp;"_Raw_Slack!A:B, 2, FALSE)), ""entertainment|movies|tv|netflix|streaming|celebrity|movie lovers|tv fans|hobb|photo|art""), ""Entertainment"",
  REGEXMATCH(LOWER(VLOOKUP(A627, Data1_Raw_Slack!A:B, 2, FALSE)), ""lifestyle|home|interior|decor|living|lifestyle"&amp;" enthusiasts""), ""Lifestyle"",
  REGEXMATCH(LOWER(VLOOKUP(A627, Data1_Raw_Slack!A:B, 2, FALSE)), ""financial|finance|investing|stocks|retirement|banking|credit|debt|loans|savings|personal finance|insurance|econ|ecom|business|retail|occupation|sale|job|ma"&amp;"rketing""), ""Finance"",
  REGEXMATCH(LOWER(VLOOKUP(A627, Data1_Raw_Slack!A:B, 2, FALSE)), ""auto|automotive""), ""Auto"",
  REGEXMATCH(LOWER(VLOOKUP(A627, Data1_Raw_Slack!A:B, 2, FALSE)), ""parenting|moms|dads|kids|toddlers|baby|parent|children""), ""Par"&amp;"enting"",
  REGEXMATCH(LOWER(VLOOKUP(A627, Data1_Raw_Slack!A:B, 2, FALSE)), ""education|students|learning|school|teachers|college|university|academics""), ""Education"",
  REGEXMATCH(LOWER(VLOOKUP(A627, Data1_Raw_Slack!A:B, 2, FALSE)), ""age|gender|dem"&amp;"ographic|family|household""), ""Demographics"",
  REGEXMATCH(LOWER(VLOOKUP(A627, Data1_Raw_Slack!A:B, 2, FALSE)), ""mortgage|real estate""), ""Real Estate"",REGEXMATCH(LOWER(VLOOKUP(A627, Data1_Raw_Slack!A:B, 2, FALSE)), ""technology|tech|gadgets|smartpho"&amp;"ne|electro|apps|devices|computing|ai|robots|software|computer|internet|tele|mobile|tablet""), ""Technology"", REGEXMATCH(LOWER(VLOOKUP(A627, Data1_Raw_Slack!A:B, 2, FALSE)), ""entertainment|purchas|movies|tv|netflix|streaming|celebrity|movie lovers|tv fan"&amp;"s|media|hobb|photo|art|shop""), ""Entertainment"", REGEXMATCH(LOWER(VLOOKUP(A627, Data1_Raw_Slack!A:B, 2, FALSE)), ""law|government|""), ""Law and Government"",
  TRUE, ""Other""
)"),"Lifestyle")</f>
        <v>Lifestyle</v>
      </c>
      <c r="G627" s="9"/>
      <c r="H627" s="9" t="s">
        <v>32</v>
      </c>
      <c r="I627" s="9" t="s">
        <v>2114</v>
      </c>
      <c r="J627" s="9" t="s">
        <v>80</v>
      </c>
      <c r="K627" s="9" t="s">
        <v>148</v>
      </c>
      <c r="L627" s="9" t="s">
        <v>89</v>
      </c>
      <c r="M627" s="10" t="s">
        <v>49</v>
      </c>
      <c r="N627" s="9" t="str">
        <f ca="1">IFERROR(__xludf.DUMMYFUNCTION("REGEXEXTRACT(LOWER(M627), ""([a-z0-9\-]+)\.(?:co|net|org|io|gg)"")"),"yahoo")</f>
        <v>yahoo</v>
      </c>
      <c r="O627" s="9" t="s">
        <v>74</v>
      </c>
      <c r="P627" s="9" t="s">
        <v>39</v>
      </c>
      <c r="Q627" s="9">
        <v>50838</v>
      </c>
      <c r="R627" s="9">
        <v>130</v>
      </c>
      <c r="S627" s="9">
        <v>23274</v>
      </c>
      <c r="T627" s="9">
        <v>35934</v>
      </c>
      <c r="U627" s="9">
        <v>11</v>
      </c>
      <c r="V627" s="11">
        <v>1521.372273</v>
      </c>
      <c r="W627" s="12">
        <f t="shared" si="14"/>
        <v>138.30657027272727</v>
      </c>
      <c r="X627" s="12">
        <f t="shared" si="15"/>
        <v>0.25571422951335615</v>
      </c>
      <c r="Y627" s="12">
        <f t="shared" si="16"/>
        <v>45.780715213029623</v>
      </c>
      <c r="Z627" s="12">
        <f t="shared" si="17"/>
        <v>65.367890048981693</v>
      </c>
      <c r="AA627" s="12">
        <f t="shared" si="18"/>
        <v>29.925887584090638</v>
      </c>
      <c r="AB627" s="12">
        <f t="shared" si="19"/>
        <v>11.702863638461539</v>
      </c>
      <c r="AC627" s="12">
        <f t="shared" si="20"/>
        <v>8.4615384615384617</v>
      </c>
      <c r="AE627" s="13"/>
      <c r="AF627" s="13"/>
    </row>
    <row r="628" spans="1:32">
      <c r="A628" s="8" t="s">
        <v>2115</v>
      </c>
      <c r="B628" s="9" t="s">
        <v>41</v>
      </c>
      <c r="C628" s="9" t="s">
        <v>127</v>
      </c>
      <c r="D628" s="9" t="s">
        <v>1658</v>
      </c>
      <c r="E628" s="9" t="s">
        <v>2116</v>
      </c>
      <c r="F628" s="9" t="str">
        <f ca="1">IFERROR(__xludf.DUMMYFUNCTION("IFS(
  REGEXMATCH(LOWER(VLOOKUP(A628, Data1_Raw_Slack!A:B, 2, FALSE)), ""news|weather""), ""News and Weather"", REGEXMATCH(LOWER(VLOOKUP(A628, Data1_Raw_Slack!A:B, 2, FALSE)), ""sports|ufc|nba|nfl|mlb|soccer|sports fans""), ""Sports"",
  REGEXMATCH(LOWER("&amp;"VLOOKUP(A628, Data1_Raw_Slack!A:B, 2, FALSE)), ""fashion|style|clothing|apparel|shoes|accessories|beauty|cosmetics|fashionistas""), ""Fashion and Beauty"",
  REGEXMATCH(LOWER(VLOOKUP(A628, Data1_Raw_Slack!A:B, 2, FALSE)), ""food|cooking|recipe|restaurant|"&amp;"snack|grocery|foodies""), ""Food"",
  REGEXMATCH(LOWER(VLOOKUP(A628, Data1_Raw_Slack!A:B, 2, FALSE)), ""travel|vacation|airline|hotel|trip|flights|travelers""), ""Travel"",
  REGEXMATCH(LOWER(VLOOKUP(A628, Data1_Raw_Slack!A:B, 2, FALSE)), ""fitness|workou"&amp;"t|gym|exercise|yoga|wellness|fitness enthusiasts""), ""Fitness"",
  REGEXMATCH(LOWER(VLOOKUP(A628, Data1_Raw_Slack!A:B, 2, FALSE)), ""health|medical|pharmacy|mental health|doctor|health-conscious""), ""Health"",
  REGEXMATCH(LOWER(VLOOKUP(A628, Data1_Raw_"&amp;"Slack!A:B, 2, FALSE)), ""pets|dogs|cats|animals|pet care|pet lovers""), ""Pets"",
  REGEXMATCH(LOWER(VLOOKUP(A628, Data1_Raw_Slack!A:B, 2, FALSE)), ""games|gaming|game|xbox|playstation|nintendo|gamers""), ""Gaming"",
  REGEXMATCH(LOWER(VLOOKUP(A628, Data1"&amp;"_Raw_Slack!A:B, 2, FALSE)), ""entertainment|movies|tv|netflix|streaming|celebrity|movie lovers|tv fans|hobb|photo|art""), ""Entertainment"",
  REGEXMATCH(LOWER(VLOOKUP(A628, Data1_Raw_Slack!A:B, 2, FALSE)), ""lifestyle|home|interior|decor|living|lifestyle"&amp;" enthusiasts""), ""Lifestyle"",
  REGEXMATCH(LOWER(VLOOKUP(A628, Data1_Raw_Slack!A:B, 2, FALSE)), ""financial|finance|investing|stocks|retirement|banking|credit|debt|loans|savings|personal finance|insurance|econ|ecom|business|retail|occupation|sale|job|ma"&amp;"rketing""), ""Finance"",
  REGEXMATCH(LOWER(VLOOKUP(A628, Data1_Raw_Slack!A:B, 2, FALSE)), ""auto|automotive""), ""Auto"",
  REGEXMATCH(LOWER(VLOOKUP(A628, Data1_Raw_Slack!A:B, 2, FALSE)), ""parenting|moms|dads|kids|toddlers|baby|parent|children""), ""Par"&amp;"enting"",
  REGEXMATCH(LOWER(VLOOKUP(A628, Data1_Raw_Slack!A:B, 2, FALSE)), ""education|students|learning|school|teachers|college|university|academics""), ""Education"",
  REGEXMATCH(LOWER(VLOOKUP(A628, Data1_Raw_Slack!A:B, 2, FALSE)), ""age|gender|dem"&amp;"ographic|family|household""), ""Demographics"",
  REGEXMATCH(LOWER(VLOOKUP(A628, Data1_Raw_Slack!A:B, 2, FALSE)), ""mortgage|real estate""), ""Real Estate"",REGEXMATCH(LOWER(VLOOKUP(A628, Data1_Raw_Slack!A:B, 2, FALSE)), ""technology|tech|gadgets|smartpho"&amp;"ne|electro|apps|devices|computing|ai|robots|software|computer|internet|tele|mobile|tablet""), ""Technology"", REGEXMATCH(LOWER(VLOOKUP(A628, Data1_Raw_Slack!A:B, 2, FALSE)), ""entertainment|purchas|movies|tv|netflix|streaming|celebrity|movie lovers|tv fan"&amp;"s|media|hobb|photo|art|shop""), ""Entertainment"", REGEXMATCH(LOWER(VLOOKUP(A628, Data1_Raw_Slack!A:B, 2, FALSE)), ""law|government|""), ""Law and Government"",
  TRUE, ""Other""
)"),"Finance")</f>
        <v>Finance</v>
      </c>
      <c r="G628" s="9" t="s">
        <v>127</v>
      </c>
      <c r="H628" s="9" t="s">
        <v>44</v>
      </c>
      <c r="I628" s="9" t="s">
        <v>311</v>
      </c>
      <c r="J628" s="9" t="s">
        <v>80</v>
      </c>
      <c r="K628" s="9" t="s">
        <v>170</v>
      </c>
      <c r="L628" s="9" t="s">
        <v>72</v>
      </c>
      <c r="M628" s="10" t="s">
        <v>1152</v>
      </c>
      <c r="N628" s="9" t="str">
        <f ca="1">IFERROR(__xludf.DUMMYFUNCTION("REGEXEXTRACT(LOWER(M628), ""([a-z0-9\-]+)\.(?:co|net|org|io|gg)"")"),"signupgenius")</f>
        <v>signupgenius</v>
      </c>
      <c r="O628" s="9" t="s">
        <v>103</v>
      </c>
      <c r="P628" s="9" t="s">
        <v>39</v>
      </c>
      <c r="Q628" s="9">
        <v>14350</v>
      </c>
      <c r="R628" s="9">
        <v>60</v>
      </c>
      <c r="S628" s="9">
        <v>8228</v>
      </c>
      <c r="T628" s="9">
        <v>13396</v>
      </c>
      <c r="U628" s="9">
        <v>6</v>
      </c>
      <c r="V628" s="11">
        <v>6114.034936</v>
      </c>
      <c r="W628" s="12">
        <f t="shared" si="14"/>
        <v>1019.0058226666666</v>
      </c>
      <c r="X628" s="12">
        <f t="shared" si="15"/>
        <v>0.41811846689895471</v>
      </c>
      <c r="Y628" s="12">
        <f t="shared" si="16"/>
        <v>57.337979094076651</v>
      </c>
      <c r="Z628" s="12">
        <f t="shared" si="17"/>
        <v>743.07668157510943</v>
      </c>
      <c r="AA628" s="12">
        <f t="shared" si="18"/>
        <v>426.06515233449477</v>
      </c>
      <c r="AB628" s="12">
        <f t="shared" si="19"/>
        <v>101.90058226666666</v>
      </c>
      <c r="AC628" s="12">
        <f t="shared" si="20"/>
        <v>10</v>
      </c>
      <c r="AE628" s="13"/>
      <c r="AF628" s="13"/>
    </row>
    <row r="629" spans="1:32">
      <c r="A629" s="8" t="s">
        <v>2117</v>
      </c>
      <c r="B629" s="9"/>
      <c r="C629" s="9" t="s">
        <v>325</v>
      </c>
      <c r="D629" s="9" t="s">
        <v>690</v>
      </c>
      <c r="E629" s="9" t="s">
        <v>2118</v>
      </c>
      <c r="F629" s="9" t="str">
        <f ca="1">IFERROR(__xludf.DUMMYFUNCTION("IFS(
  REGEXMATCH(LOWER(VLOOKUP(A629, Data1_Raw_Slack!A:B, 2, FALSE)), ""news|weather""), ""News and Weather"", REGEXMATCH(LOWER(VLOOKUP(A629, Data1_Raw_Slack!A:B, 2, FALSE)), ""sports|ufc|nba|nfl|mlb|soccer|sports fans""), ""Sports"",
  REGEXMATCH(LOWER("&amp;"VLOOKUP(A629, Data1_Raw_Slack!A:B, 2, FALSE)), ""fashion|style|clothing|apparel|shoes|accessories|beauty|cosmetics|fashionistas""), ""Fashion and Beauty"",
  REGEXMATCH(LOWER(VLOOKUP(A629, Data1_Raw_Slack!A:B, 2, FALSE)), ""food|cooking|recipe|restaurant|"&amp;"snack|grocery|foodies""), ""Food"",
  REGEXMATCH(LOWER(VLOOKUP(A629, Data1_Raw_Slack!A:B, 2, FALSE)), ""travel|vacation|airline|hotel|trip|flights|travelers""), ""Travel"",
  REGEXMATCH(LOWER(VLOOKUP(A629, Data1_Raw_Slack!A:B, 2, FALSE)), ""fitness|workou"&amp;"t|gym|exercise|yoga|wellness|fitness enthusiasts""), ""Fitness"",
  REGEXMATCH(LOWER(VLOOKUP(A629, Data1_Raw_Slack!A:B, 2, FALSE)), ""health|medical|pharmacy|mental health|doctor|health-conscious""), ""Health"",
  REGEXMATCH(LOWER(VLOOKUP(A629, Data1_Raw_"&amp;"Slack!A:B, 2, FALSE)), ""pets|dogs|cats|animals|pet care|pet lovers""), ""Pets"",
  REGEXMATCH(LOWER(VLOOKUP(A629, Data1_Raw_Slack!A:B, 2, FALSE)), ""games|gaming|game|xbox|playstation|nintendo|gamers""), ""Gaming"",
  REGEXMATCH(LOWER(VLOOKUP(A629, Data1"&amp;"_Raw_Slack!A:B, 2, FALSE)), ""entertainment|movies|tv|netflix|streaming|celebrity|movie lovers|tv fans|hobb|photo|art""), ""Entertainment"",
  REGEXMATCH(LOWER(VLOOKUP(A629, Data1_Raw_Slack!A:B, 2, FALSE)), ""lifestyle|home|interior|decor|living|lifestyle"&amp;" enthusiasts""), ""Lifestyle"",
  REGEXMATCH(LOWER(VLOOKUP(A629, Data1_Raw_Slack!A:B, 2, FALSE)), ""financial|finance|investing|stocks|retirement|banking|credit|debt|loans|savings|personal finance|insurance|econ|ecom|business|retail|occupation|sale|job|ma"&amp;"rketing""), ""Finance"",
  REGEXMATCH(LOWER(VLOOKUP(A629, Data1_Raw_Slack!A:B, 2, FALSE)), ""auto|automotive""), ""Auto"",
  REGEXMATCH(LOWER(VLOOKUP(A629, Data1_Raw_Slack!A:B, 2, FALSE)), ""parenting|moms|dads|kids|toddlers|baby|parent|children""), ""Par"&amp;"enting"",
  REGEXMATCH(LOWER(VLOOKUP(A629, Data1_Raw_Slack!A:B, 2, FALSE)), ""education|students|learning|school|teachers|college|university|academics""), ""Education"",
  REGEXMATCH(LOWER(VLOOKUP(A629, Data1_Raw_Slack!A:B, 2, FALSE)), ""age|gender|dem"&amp;"ographic|family|household""), ""Demographics"",
  REGEXMATCH(LOWER(VLOOKUP(A629, Data1_Raw_Slack!A:B, 2, FALSE)), ""mortgage|real estate""), ""Real Estate"",REGEXMATCH(LOWER(VLOOKUP(A629, Data1_Raw_Slack!A:B, 2, FALSE)), ""technology|tech|gadgets|smartpho"&amp;"ne|electro|apps|devices|computing|ai|robots|software|computer|internet|tele|mobile|tablet""), ""Technology"", REGEXMATCH(LOWER(VLOOKUP(A629, Data1_Raw_Slack!A:B, 2, FALSE)), ""entertainment|purchas|movies|tv|netflix|streaming|celebrity|movie lovers|tv fan"&amp;"s|media|hobb|photo|art|shop""), ""Entertainment"", REGEXMATCH(LOWER(VLOOKUP(A629, Data1_Raw_Slack!A:B, 2, FALSE)), ""law|government|""), ""Law and Government"",
  TRUE, ""Other""
)"),"Demographics")</f>
        <v>Demographics</v>
      </c>
      <c r="G629" s="9"/>
      <c r="H629" s="9" t="s">
        <v>44</v>
      </c>
      <c r="I629" s="9" t="s">
        <v>2119</v>
      </c>
      <c r="J629" s="9" t="s">
        <v>62</v>
      </c>
      <c r="K629" s="9" t="s">
        <v>181</v>
      </c>
      <c r="L629" s="9" t="s">
        <v>48</v>
      </c>
      <c r="M629" s="10" t="s">
        <v>2054</v>
      </c>
      <c r="N629" s="9" t="str">
        <f ca="1">IFERROR(__xludf.DUMMYFUNCTION("REGEXEXTRACT(LOWER(M629), ""([a-z0-9\-]+)\.(?:co|net|org|io|gg)"")"),"rent")</f>
        <v>rent</v>
      </c>
      <c r="O629" s="9" t="s">
        <v>50</v>
      </c>
      <c r="P629" s="9" t="s">
        <v>75</v>
      </c>
      <c r="Q629" s="9">
        <v>34278</v>
      </c>
      <c r="R629" s="9">
        <v>100</v>
      </c>
      <c r="S629" s="9">
        <v>3704</v>
      </c>
      <c r="T629" s="9">
        <v>30227</v>
      </c>
      <c r="U629" s="9">
        <v>6</v>
      </c>
      <c r="V629" s="11">
        <v>1689.0831860000001</v>
      </c>
      <c r="W629" s="12">
        <f t="shared" si="14"/>
        <v>281.51386433333334</v>
      </c>
      <c r="X629" s="12">
        <f t="shared" si="15"/>
        <v>0.29173230643561465</v>
      </c>
      <c r="Y629" s="12">
        <f t="shared" si="16"/>
        <v>10.805764630375169</v>
      </c>
      <c r="Z629" s="12">
        <f t="shared" si="17"/>
        <v>456.01597894168464</v>
      </c>
      <c r="AA629" s="12">
        <f t="shared" si="18"/>
        <v>49.276013361339636</v>
      </c>
      <c r="AB629" s="12">
        <f t="shared" si="19"/>
        <v>16.890831860000002</v>
      </c>
      <c r="AC629" s="12">
        <f t="shared" si="20"/>
        <v>6</v>
      </c>
      <c r="AE629" s="13"/>
      <c r="AF629" s="13"/>
    </row>
    <row r="630" spans="1:32">
      <c r="A630" s="8" t="s">
        <v>2120</v>
      </c>
      <c r="B630" s="9" t="s">
        <v>41</v>
      </c>
      <c r="C630" s="9" t="s">
        <v>162</v>
      </c>
      <c r="D630" s="9" t="s">
        <v>163</v>
      </c>
      <c r="E630" s="9" t="s">
        <v>2121</v>
      </c>
      <c r="F630" s="9" t="str">
        <f ca="1">IFERROR(__xludf.DUMMYFUNCTION("IFS(
  REGEXMATCH(LOWER(VLOOKUP(A630, Data1_Raw_Slack!A:B, 2, FALSE)), ""news|weather""), ""News and Weather"", REGEXMATCH(LOWER(VLOOKUP(A630, Data1_Raw_Slack!A:B, 2, FALSE)), ""sports|ufc|nba|nfl|mlb|soccer|sports fans""), ""Sports"",
  REGEXMATCH(LOWER("&amp;"VLOOKUP(A630, Data1_Raw_Slack!A:B, 2, FALSE)), ""fashion|style|clothing|apparel|shoes|accessories|beauty|cosmetics|fashionistas""), ""Fashion and Beauty"",
  REGEXMATCH(LOWER(VLOOKUP(A630, Data1_Raw_Slack!A:B, 2, FALSE)), ""food|cooking|recipe|restaurant|"&amp;"snack|grocery|foodies""), ""Food"",
  REGEXMATCH(LOWER(VLOOKUP(A630, Data1_Raw_Slack!A:B, 2, FALSE)), ""travel|vacation|airline|hotel|trip|flights|travelers""), ""Travel"",
  REGEXMATCH(LOWER(VLOOKUP(A630, Data1_Raw_Slack!A:B, 2, FALSE)), ""fitness|workou"&amp;"t|gym|exercise|yoga|wellness|fitness enthusiasts""), ""Fitness"",
  REGEXMATCH(LOWER(VLOOKUP(A630, Data1_Raw_Slack!A:B, 2, FALSE)), ""health|medical|pharmacy|mental health|doctor|health-conscious""), ""Health"",
  REGEXMATCH(LOWER(VLOOKUP(A630, Data1_Raw_"&amp;"Slack!A:B, 2, FALSE)), ""pets|dogs|cats|animals|pet care|pet lovers""), ""Pets"",
  REGEXMATCH(LOWER(VLOOKUP(A630, Data1_Raw_Slack!A:B, 2, FALSE)), ""games|gaming|game|xbox|playstation|nintendo|gamers""), ""Gaming"",
  REGEXMATCH(LOWER(VLOOKUP(A630, Data1"&amp;"_Raw_Slack!A:B, 2, FALSE)), ""entertainment|movies|tv|netflix|streaming|celebrity|movie lovers|tv fans|hobb|photo|art""), ""Entertainment"",
  REGEXMATCH(LOWER(VLOOKUP(A630, Data1_Raw_Slack!A:B, 2, FALSE)), ""lifestyle|home|interior|decor|living|lifestyle"&amp;" enthusiasts""), ""Lifestyle"",
  REGEXMATCH(LOWER(VLOOKUP(A630, Data1_Raw_Slack!A:B, 2, FALSE)), ""financial|finance|investing|stocks|retirement|banking|credit|debt|loans|savings|personal finance|insurance|econ|ecom|business|retail|occupation|sale|job|ma"&amp;"rketing""), ""Finance"",
  REGEXMATCH(LOWER(VLOOKUP(A630, Data1_Raw_Slack!A:B, 2, FALSE)), ""auto|automotive""), ""Auto"",
  REGEXMATCH(LOWER(VLOOKUP(A630, Data1_Raw_Slack!A:B, 2, FALSE)), ""parenting|moms|dads|kids|toddlers|baby|parent|children""), ""Par"&amp;"enting"",
  REGEXMATCH(LOWER(VLOOKUP(A630, Data1_Raw_Slack!A:B, 2, FALSE)), ""education|students|learning|school|teachers|college|university|academics""), ""Education"",
  REGEXMATCH(LOWER(VLOOKUP(A630, Data1_Raw_Slack!A:B, 2, FALSE)), ""age|gender|dem"&amp;"ographic|family|household""), ""Demographics"",
  REGEXMATCH(LOWER(VLOOKUP(A630, Data1_Raw_Slack!A:B, 2, FALSE)), ""mortgage|real estate""), ""Real Estate"",REGEXMATCH(LOWER(VLOOKUP(A630, Data1_Raw_Slack!A:B, 2, FALSE)), ""technology|tech|gadgets|smartpho"&amp;"ne|electro|apps|devices|computing|ai|robots|software|computer|internet|tele|mobile|tablet""), ""Technology"", REGEXMATCH(LOWER(VLOOKUP(A630, Data1_Raw_Slack!A:B, 2, FALSE)), ""entertainment|purchas|movies|tv|netflix|streaming|celebrity|movie lovers|tv fan"&amp;"s|media|hobb|photo|art|shop""), ""Entertainment"", REGEXMATCH(LOWER(VLOOKUP(A630, Data1_Raw_Slack!A:B, 2, FALSE)), ""law|government|""), ""Law and Government"",
  TRUE, ""Other""
)"),"Auto")</f>
        <v>Auto</v>
      </c>
      <c r="G630" s="9" t="s">
        <v>122</v>
      </c>
      <c r="H630" s="9" t="s">
        <v>32</v>
      </c>
      <c r="I630" s="9" t="s">
        <v>2122</v>
      </c>
      <c r="J630" s="9" t="s">
        <v>80</v>
      </c>
      <c r="K630" s="9" t="s">
        <v>181</v>
      </c>
      <c r="L630" s="9" t="s">
        <v>48</v>
      </c>
      <c r="M630" s="10" t="s">
        <v>207</v>
      </c>
      <c r="N630" s="9" t="str">
        <f ca="1">IFERROR(__xludf.DUMMYFUNCTION("REGEXEXTRACT(LOWER(M630), ""([a-z0-9\-]+)\.(?:co|net|org|io|gg)"")"),"realtor")</f>
        <v>realtor</v>
      </c>
      <c r="O630" s="9" t="s">
        <v>186</v>
      </c>
      <c r="P630" s="9" t="s">
        <v>39</v>
      </c>
      <c r="Q630" s="9">
        <v>42459</v>
      </c>
      <c r="R630" s="9">
        <v>121</v>
      </c>
      <c r="S630" s="9">
        <v>15187</v>
      </c>
      <c r="T630" s="9">
        <v>37408</v>
      </c>
      <c r="U630" s="9">
        <v>11</v>
      </c>
      <c r="V630" s="11">
        <v>6321.4916890000004</v>
      </c>
      <c r="W630" s="12">
        <f t="shared" si="14"/>
        <v>574.68106263636366</v>
      </c>
      <c r="X630" s="12">
        <f t="shared" si="15"/>
        <v>0.28498080501189382</v>
      </c>
      <c r="Y630" s="12">
        <f t="shared" si="16"/>
        <v>35.768623848889519</v>
      </c>
      <c r="Z630" s="12">
        <f t="shared" si="17"/>
        <v>416.24360894185821</v>
      </c>
      <c r="AA630" s="12">
        <f t="shared" si="18"/>
        <v>148.88461077745592</v>
      </c>
      <c r="AB630" s="12">
        <f t="shared" si="19"/>
        <v>52.243732966942154</v>
      </c>
      <c r="AC630" s="12">
        <f t="shared" si="20"/>
        <v>9.0909090909090917</v>
      </c>
      <c r="AE630" s="13"/>
      <c r="AF630" s="13"/>
    </row>
    <row r="631" spans="1:32">
      <c r="A631" s="8" t="s">
        <v>2123</v>
      </c>
      <c r="B631" s="9" t="s">
        <v>41</v>
      </c>
      <c r="C631" s="9" t="s">
        <v>114</v>
      </c>
      <c r="D631" s="9" t="s">
        <v>2124</v>
      </c>
      <c r="E631" s="9"/>
      <c r="F631" s="9" t="str">
        <f ca="1">IFERROR(__xludf.DUMMYFUNCTION("IFS(
  REGEXMATCH(LOWER(VLOOKUP(A631, Data1_Raw_Slack!A:B, 2, FALSE)), ""news|weather""), ""News and Weather"", REGEXMATCH(LOWER(VLOOKUP(A631, Data1_Raw_Slack!A:B, 2, FALSE)), ""sports|ufc|nba|nfl|mlb|soccer|sports fans""), ""Sports"",
  REGEXMATCH(LOWER("&amp;"VLOOKUP(A631, Data1_Raw_Slack!A:B, 2, FALSE)), ""fashion|style|clothing|apparel|shoes|accessories|beauty|cosmetics|fashionistas""), ""Fashion and Beauty"",
  REGEXMATCH(LOWER(VLOOKUP(A631, Data1_Raw_Slack!A:B, 2, FALSE)), ""food|cooking|recipe|restaurant|"&amp;"snack|grocery|foodies""), ""Food"",
  REGEXMATCH(LOWER(VLOOKUP(A631, Data1_Raw_Slack!A:B, 2, FALSE)), ""travel|vacation|airline|hotel|trip|flights|travelers""), ""Travel"",
  REGEXMATCH(LOWER(VLOOKUP(A631, Data1_Raw_Slack!A:B, 2, FALSE)), ""fitness|workou"&amp;"t|gym|exercise|yoga|wellness|fitness enthusiasts""), ""Fitness"",
  REGEXMATCH(LOWER(VLOOKUP(A631, Data1_Raw_Slack!A:B, 2, FALSE)), ""health|medical|pharmacy|mental health|doctor|health-conscious""), ""Health"",
  REGEXMATCH(LOWER(VLOOKUP(A631, Data1_Raw_"&amp;"Slack!A:B, 2, FALSE)), ""pets|dogs|cats|animals|pet care|pet lovers""), ""Pets"",
  REGEXMATCH(LOWER(VLOOKUP(A631, Data1_Raw_Slack!A:B, 2, FALSE)), ""games|gaming|game|xbox|playstation|nintendo|gamers""), ""Gaming"",
  REGEXMATCH(LOWER(VLOOKUP(A631, Data1"&amp;"_Raw_Slack!A:B, 2, FALSE)), ""entertainment|movies|tv|netflix|streaming|celebrity|movie lovers|tv fans|hobb|photo|art""), ""Entertainment"",
  REGEXMATCH(LOWER(VLOOKUP(A631, Data1_Raw_Slack!A:B, 2, FALSE)), ""lifestyle|home|interior|decor|living|lifestyle"&amp;" enthusiasts""), ""Lifestyle"",
  REGEXMATCH(LOWER(VLOOKUP(A631, Data1_Raw_Slack!A:B, 2, FALSE)), ""financial|finance|investing|stocks|retirement|banking|credit|debt|loans|savings|personal finance|insurance|econ|ecom|business|retail|occupation|sale|job|ma"&amp;"rketing""), ""Finance"",
  REGEXMATCH(LOWER(VLOOKUP(A631, Data1_Raw_Slack!A:B, 2, FALSE)), ""auto|automotive""), ""Auto"",
  REGEXMATCH(LOWER(VLOOKUP(A631, Data1_Raw_Slack!A:B, 2, FALSE)), ""parenting|moms|dads|kids|toddlers|baby|parent|children""), ""Par"&amp;"enting"",
  REGEXMATCH(LOWER(VLOOKUP(A631, Data1_Raw_Slack!A:B, 2, FALSE)), ""education|students|learning|school|teachers|college|university|academics""), ""Education"",
  REGEXMATCH(LOWER(VLOOKUP(A631, Data1_Raw_Slack!A:B, 2, FALSE)), ""age|gender|dem"&amp;"ographic|family|household""), ""Demographics"",
  REGEXMATCH(LOWER(VLOOKUP(A631, Data1_Raw_Slack!A:B, 2, FALSE)), ""mortgage|real estate""), ""Real Estate"",REGEXMATCH(LOWER(VLOOKUP(A631, Data1_Raw_Slack!A:B, 2, FALSE)), ""technology|tech|gadgets|smartpho"&amp;"ne|electro|apps|devices|computing|ai|robots|software|computer|internet|tele|mobile|tablet""), ""Technology"", REGEXMATCH(LOWER(VLOOKUP(A631, Data1_Raw_Slack!A:B, 2, FALSE)), ""entertainment|purchas|movies|tv|netflix|streaming|celebrity|movie lovers|tv fan"&amp;"s|media|hobb|photo|art|shop""), ""Entertainment"", REGEXMATCH(LOWER(VLOOKUP(A631, Data1_Raw_Slack!A:B, 2, FALSE)), ""law|government|""), ""Law and Government"",
  TRUE, ""Other""
)"),"Education")</f>
        <v>Education</v>
      </c>
      <c r="G631" s="9"/>
      <c r="H631" s="9" t="s">
        <v>32</v>
      </c>
      <c r="I631" s="9" t="s">
        <v>1300</v>
      </c>
      <c r="J631" s="9" t="s">
        <v>62</v>
      </c>
      <c r="K631" s="9" t="s">
        <v>148</v>
      </c>
      <c r="L631" s="9" t="s">
        <v>89</v>
      </c>
      <c r="M631" s="10" t="s">
        <v>229</v>
      </c>
      <c r="N631" s="9" t="str">
        <f ca="1">IFERROR(__xludf.DUMMYFUNCTION("REGEXEXTRACT(LOWER(M631), ""([a-z0-9\-]+)\.(?:co|net|org|io|gg)"")"),"msn")</f>
        <v>msn</v>
      </c>
      <c r="O631" s="9" t="s">
        <v>50</v>
      </c>
      <c r="P631" s="9" t="s">
        <v>39</v>
      </c>
      <c r="Q631" s="9">
        <v>1515751</v>
      </c>
      <c r="R631" s="9">
        <v>3874</v>
      </c>
      <c r="S631" s="9">
        <v>1151776</v>
      </c>
      <c r="T631" s="9">
        <v>1396230</v>
      </c>
      <c r="U631" s="9">
        <v>49</v>
      </c>
      <c r="V631" s="11">
        <v>7850.6442440000001</v>
      </c>
      <c r="W631" s="12">
        <f t="shared" si="14"/>
        <v>160.21722946938775</v>
      </c>
      <c r="X631" s="12">
        <f t="shared" si="15"/>
        <v>0.25558287607925051</v>
      </c>
      <c r="Y631" s="12">
        <f t="shared" si="16"/>
        <v>75.987150923865471</v>
      </c>
      <c r="Z631" s="12">
        <f t="shared" si="17"/>
        <v>6.8161207074986807</v>
      </c>
      <c r="AA631" s="12">
        <f t="shared" si="18"/>
        <v>5.1793759291598684</v>
      </c>
      <c r="AB631" s="12">
        <f t="shared" si="19"/>
        <v>2.0264956747547753</v>
      </c>
      <c r="AC631" s="12">
        <f t="shared" si="20"/>
        <v>1.2648425400103251</v>
      </c>
      <c r="AE631" s="13"/>
      <c r="AF631" s="13"/>
    </row>
    <row r="632" spans="1:32">
      <c r="A632" s="8" t="s">
        <v>2125</v>
      </c>
      <c r="B632" s="9" t="s">
        <v>144</v>
      </c>
      <c r="C632" s="9" t="s">
        <v>1554</v>
      </c>
      <c r="D632" s="9"/>
      <c r="E632" s="9"/>
      <c r="F632" s="9" t="str">
        <f ca="1">IFERROR(__xludf.DUMMYFUNCTION("IFS(
  REGEXMATCH(LOWER(VLOOKUP(A632, Data1_Raw_Slack!A:B, 2, FALSE)), ""news|weather""), ""News and Weather"", REGEXMATCH(LOWER(VLOOKUP(A632, Data1_Raw_Slack!A:B, 2, FALSE)), ""sports|ufc|nba|nfl|mlb|soccer|sports fans""), ""Sports"",
  REGEXMATCH(LOWER("&amp;"VLOOKUP(A632, Data1_Raw_Slack!A:B, 2, FALSE)), ""fashion|style|clothing|apparel|shoes|accessories|beauty|cosmetics|fashionistas""), ""Fashion and Beauty"",
  REGEXMATCH(LOWER(VLOOKUP(A632, Data1_Raw_Slack!A:B, 2, FALSE)), ""food|cooking|recipe|restaurant|"&amp;"snack|grocery|foodies""), ""Food"",
  REGEXMATCH(LOWER(VLOOKUP(A632, Data1_Raw_Slack!A:B, 2, FALSE)), ""travel|vacation|airline|hotel|trip|flights|travelers""), ""Travel"",
  REGEXMATCH(LOWER(VLOOKUP(A632, Data1_Raw_Slack!A:B, 2, FALSE)), ""fitness|workou"&amp;"t|gym|exercise|yoga|wellness|fitness enthusiasts""), ""Fitness"",
  REGEXMATCH(LOWER(VLOOKUP(A632, Data1_Raw_Slack!A:B, 2, FALSE)), ""health|medical|pharmacy|mental health|doctor|health-conscious""), ""Health"",
  REGEXMATCH(LOWER(VLOOKUP(A632, Data1_Raw_"&amp;"Slack!A:B, 2, FALSE)), ""pets|dogs|cats|animals|pet care|pet lovers""), ""Pets"",
  REGEXMATCH(LOWER(VLOOKUP(A632, Data1_Raw_Slack!A:B, 2, FALSE)), ""games|gaming|game|xbox|playstation|nintendo|gamers""), ""Gaming"",
  REGEXMATCH(LOWER(VLOOKUP(A632, Data1"&amp;"_Raw_Slack!A:B, 2, FALSE)), ""entertainment|movies|tv|netflix|streaming|celebrity|movie lovers|tv fans|hobb|photo|art""), ""Entertainment"",
  REGEXMATCH(LOWER(VLOOKUP(A632, Data1_Raw_Slack!A:B, 2, FALSE)), ""lifestyle|home|interior|decor|living|lifestyle"&amp;" enthusiasts""), ""Lifestyle"",
  REGEXMATCH(LOWER(VLOOKUP(A632, Data1_Raw_Slack!A:B, 2, FALSE)), ""financial|finance|investing|stocks|retirement|banking|credit|debt|loans|savings|personal finance|insurance|econ|ecom|business|retail|occupation|sale|job|ma"&amp;"rketing""), ""Finance"",
  REGEXMATCH(LOWER(VLOOKUP(A632, Data1_Raw_Slack!A:B, 2, FALSE)), ""auto|automotive""), ""Auto"",
  REGEXMATCH(LOWER(VLOOKUP(A632, Data1_Raw_Slack!A:B, 2, FALSE)), ""parenting|moms|dads|kids|toddlers|baby|parent|children""), ""Par"&amp;"enting"",
  REGEXMATCH(LOWER(VLOOKUP(A632, Data1_Raw_Slack!A:B, 2, FALSE)), ""education|students|learning|school|teachers|college|university|academics""), ""Education"",
  REGEXMATCH(LOWER(VLOOKUP(A632, Data1_Raw_Slack!A:B, 2, FALSE)), ""age|gender|dem"&amp;"ographic|family|household""), ""Demographics"",
  REGEXMATCH(LOWER(VLOOKUP(A632, Data1_Raw_Slack!A:B, 2, FALSE)), ""mortgage|real estate""), ""Real Estate"",REGEXMATCH(LOWER(VLOOKUP(A632, Data1_Raw_Slack!A:B, 2, FALSE)), ""technology|tech|gadgets|smartpho"&amp;"ne|electro|apps|devices|computing|ai|robots|software|computer|internet|tele|mobile|tablet""), ""Technology"", REGEXMATCH(LOWER(VLOOKUP(A632, Data1_Raw_Slack!A:B, 2, FALSE)), ""entertainment|purchas|movies|tv|netflix|streaming|celebrity|movie lovers|tv fan"&amp;"s|media|hobb|photo|art|shop""), ""Entertainment"", REGEXMATCH(LOWER(VLOOKUP(A632, Data1_Raw_Slack!A:B, 2, FALSE)), ""law|government|""), ""Law and Government"",
  TRUE, ""Other""
)"),"Finance")</f>
        <v>Finance</v>
      </c>
      <c r="G632" s="9"/>
      <c r="H632" s="9" t="s">
        <v>44</v>
      </c>
      <c r="I632" s="9" t="s">
        <v>2076</v>
      </c>
      <c r="J632" s="9" t="s">
        <v>46</v>
      </c>
      <c r="K632" s="9" t="s">
        <v>88</v>
      </c>
      <c r="L632" s="9" t="s">
        <v>89</v>
      </c>
      <c r="M632" s="10" t="s">
        <v>102</v>
      </c>
      <c r="N632" s="9" t="str">
        <f ca="1">IFERROR(__xludf.DUMMYFUNCTION("REGEXEXTRACT(LOWER(M632), ""([a-z0-9\-]+)\.(?:co|net|org|io|gg)"")"),"cbsnews")</f>
        <v>cbsnews</v>
      </c>
      <c r="O632" s="9" t="s">
        <v>74</v>
      </c>
      <c r="P632" s="9" t="s">
        <v>39</v>
      </c>
      <c r="Q632" s="9">
        <v>13700</v>
      </c>
      <c r="R632" s="9">
        <v>63</v>
      </c>
      <c r="S632" s="9">
        <v>3609</v>
      </c>
      <c r="T632" s="9">
        <v>12644</v>
      </c>
      <c r="U632" s="9">
        <v>4</v>
      </c>
      <c r="V632" s="11">
        <v>2032.700147</v>
      </c>
      <c r="W632" s="12">
        <f t="shared" si="14"/>
        <v>508.17503675</v>
      </c>
      <c r="X632" s="12">
        <f t="shared" si="15"/>
        <v>0.45985401459854014</v>
      </c>
      <c r="Y632" s="12">
        <f t="shared" si="16"/>
        <v>26.343065693430656</v>
      </c>
      <c r="Z632" s="12">
        <f t="shared" si="17"/>
        <v>563.23085259074537</v>
      </c>
      <c r="AA632" s="12">
        <f t="shared" si="18"/>
        <v>148.37227350364964</v>
      </c>
      <c r="AB632" s="12">
        <f t="shared" si="19"/>
        <v>32.2650816984127</v>
      </c>
      <c r="AC632" s="12">
        <f t="shared" si="20"/>
        <v>6.3492063492063489</v>
      </c>
      <c r="AE632" s="13"/>
      <c r="AF632" s="13"/>
    </row>
    <row r="633" spans="1:32">
      <c r="A633" s="8" t="s">
        <v>2126</v>
      </c>
      <c r="B633" s="9" t="s">
        <v>378</v>
      </c>
      <c r="C633" s="9" t="s">
        <v>1953</v>
      </c>
      <c r="D633" s="9" t="s">
        <v>2127</v>
      </c>
      <c r="E633" s="9" t="s">
        <v>2128</v>
      </c>
      <c r="F633" s="9" t="str">
        <f ca="1">IFERROR(__xludf.DUMMYFUNCTION("IFS(
  REGEXMATCH(LOWER(VLOOKUP(A633, Data1_Raw_Slack!A:B, 2, FALSE)), ""news|weather""), ""News and Weather"", REGEXMATCH(LOWER(VLOOKUP(A633, Data1_Raw_Slack!A:B, 2, FALSE)), ""sports|ufc|nba|nfl|mlb|soccer|sports fans""), ""Sports"",
  REGEXMATCH(LOWER("&amp;"VLOOKUP(A633, Data1_Raw_Slack!A:B, 2, FALSE)), ""fashion|style|clothing|apparel|shoes|accessories|beauty|cosmetics|fashionistas""), ""Fashion and Beauty"",
  REGEXMATCH(LOWER(VLOOKUP(A633, Data1_Raw_Slack!A:B, 2, FALSE)), ""food|cooking|recipe|restaurant|"&amp;"snack|grocery|foodies""), ""Food"",
  REGEXMATCH(LOWER(VLOOKUP(A633, Data1_Raw_Slack!A:B, 2, FALSE)), ""travel|vacation|airline|hotel|trip|flights|travelers""), ""Travel"",
  REGEXMATCH(LOWER(VLOOKUP(A633, Data1_Raw_Slack!A:B, 2, FALSE)), ""fitness|workou"&amp;"t|gym|exercise|yoga|wellness|fitness enthusiasts""), ""Fitness"",
  REGEXMATCH(LOWER(VLOOKUP(A633, Data1_Raw_Slack!A:B, 2, FALSE)), ""health|medical|pharmacy|mental health|doctor|health-conscious""), ""Health"",
  REGEXMATCH(LOWER(VLOOKUP(A633, Data1_Raw_"&amp;"Slack!A:B, 2, FALSE)), ""pets|dogs|cats|animals|pet care|pet lovers""), ""Pets"",
  REGEXMATCH(LOWER(VLOOKUP(A633, Data1_Raw_Slack!A:B, 2, FALSE)), ""games|gaming|game|xbox|playstation|nintendo|gamers""), ""Gaming"",
  REGEXMATCH(LOWER(VLOOKUP(A633, Data1"&amp;"_Raw_Slack!A:B, 2, FALSE)), ""entertainment|movies|tv|netflix|streaming|celebrity|movie lovers|tv fans|hobb|photo|art""), ""Entertainment"",
  REGEXMATCH(LOWER(VLOOKUP(A633, Data1_Raw_Slack!A:B, 2, FALSE)), ""lifestyle|home|interior|decor|living|lifestyle"&amp;" enthusiasts""), ""Lifestyle"",
  REGEXMATCH(LOWER(VLOOKUP(A633, Data1_Raw_Slack!A:B, 2, FALSE)), ""financial|finance|investing|stocks|retirement|banking|credit|debt|loans|savings|personal finance|insurance|econ|ecom|business|retail|occupation|sale|job|ma"&amp;"rketing""), ""Finance"",
  REGEXMATCH(LOWER(VLOOKUP(A633, Data1_Raw_Slack!A:B, 2, FALSE)), ""auto|automotive""), ""Auto"",
  REGEXMATCH(LOWER(VLOOKUP(A633, Data1_Raw_Slack!A:B, 2, FALSE)), ""parenting|moms|dads|kids|toddlers|baby|parent|children""), ""Par"&amp;"enting"",
  REGEXMATCH(LOWER(VLOOKUP(A633, Data1_Raw_Slack!A:B, 2, FALSE)), ""education|students|learning|school|teachers|college|university|academics""), ""Education"",
  REGEXMATCH(LOWER(VLOOKUP(A633, Data1_Raw_Slack!A:B, 2, FALSE)), ""age|gender|dem"&amp;"ographic|family|household""), ""Demographics"",
  REGEXMATCH(LOWER(VLOOKUP(A633, Data1_Raw_Slack!A:B, 2, FALSE)), ""mortgage|real estate""), ""Real Estate"",REGEXMATCH(LOWER(VLOOKUP(A633, Data1_Raw_Slack!A:B, 2, FALSE)), ""technology|tech|gadgets|smartpho"&amp;"ne|electro|apps|devices|computing|ai|robots|software|computer|internet|tele|mobile|tablet""), ""Technology"", REGEXMATCH(LOWER(VLOOKUP(A633, Data1_Raw_Slack!A:B, 2, FALSE)), ""entertainment|purchas|movies|tv|netflix|streaming|celebrity|movie lovers|tv fan"&amp;"s|media|hobb|photo|art|shop""), ""Entertainment"", REGEXMATCH(LOWER(VLOOKUP(A633, Data1_Raw_Slack!A:B, 2, FALSE)), ""law|government|""), ""Law and Government"",
  TRUE, ""Other""
)"),"Finance")</f>
        <v>Finance</v>
      </c>
      <c r="G633" s="9"/>
      <c r="H633" s="9" t="s">
        <v>123</v>
      </c>
      <c r="I633" s="9" t="s">
        <v>2129</v>
      </c>
      <c r="J633" s="9" t="s">
        <v>46</v>
      </c>
      <c r="K633" s="9" t="s">
        <v>443</v>
      </c>
      <c r="L633" s="9" t="s">
        <v>72</v>
      </c>
      <c r="M633" s="10" t="s">
        <v>2130</v>
      </c>
      <c r="N633" s="9" t="str">
        <f ca="1">IFERROR(__xludf.DUMMYFUNCTION("REGEXEXTRACT(LOWER(M633), ""([a-z0-9\-]+)\.(?:co|net|org|io|gg)"")"),"carscoops")</f>
        <v>carscoops</v>
      </c>
      <c r="O633" s="9" t="s">
        <v>74</v>
      </c>
      <c r="P633" s="9" t="s">
        <v>39</v>
      </c>
      <c r="Q633" s="9">
        <v>8862</v>
      </c>
      <c r="R633" s="9">
        <v>30</v>
      </c>
      <c r="S633" s="9">
        <v>1359</v>
      </c>
      <c r="T633" s="9">
        <v>7114</v>
      </c>
      <c r="U633" s="9">
        <v>1</v>
      </c>
      <c r="V633" s="11">
        <v>1481.9451570000001</v>
      </c>
      <c r="W633" s="12">
        <f t="shared" si="14"/>
        <v>1481.9451570000001</v>
      </c>
      <c r="X633" s="12">
        <f t="shared" si="15"/>
        <v>0.33852403520649971</v>
      </c>
      <c r="Y633" s="12">
        <f t="shared" si="16"/>
        <v>15.335138794854435</v>
      </c>
      <c r="Z633" s="12">
        <f t="shared" si="17"/>
        <v>1090.4673708609271</v>
      </c>
      <c r="AA633" s="12">
        <f t="shared" si="18"/>
        <v>167.22468483412322</v>
      </c>
      <c r="AB633" s="12">
        <f t="shared" si="19"/>
        <v>49.398171900000001</v>
      </c>
      <c r="AC633" s="12">
        <f t="shared" si="20"/>
        <v>3.3333333333333335</v>
      </c>
      <c r="AE633" s="13"/>
      <c r="AF633" s="13"/>
    </row>
    <row r="634" spans="1:32">
      <c r="A634" s="8" t="s">
        <v>2131</v>
      </c>
      <c r="B634" s="9" t="s">
        <v>41</v>
      </c>
      <c r="C634" s="9" t="s">
        <v>127</v>
      </c>
      <c r="D634" s="9" t="s">
        <v>427</v>
      </c>
      <c r="E634" s="9" t="s">
        <v>2132</v>
      </c>
      <c r="F634" s="9" t="str">
        <f ca="1">IFERROR(__xludf.DUMMYFUNCTION("IFS(
  REGEXMATCH(LOWER(VLOOKUP(A634, Data1_Raw_Slack!A:B, 2, FALSE)), ""news|weather""), ""News and Weather"", REGEXMATCH(LOWER(VLOOKUP(A634, Data1_Raw_Slack!A:B, 2, FALSE)), ""sports|ufc|nba|nfl|mlb|soccer|sports fans""), ""Sports"",
  REGEXMATCH(LOWER("&amp;"VLOOKUP(A634, Data1_Raw_Slack!A:B, 2, FALSE)), ""fashion|style|clothing|apparel|shoes|accessories|beauty|cosmetics|fashionistas""), ""Fashion and Beauty"",
  REGEXMATCH(LOWER(VLOOKUP(A634, Data1_Raw_Slack!A:B, 2, FALSE)), ""food|cooking|recipe|restaurant|"&amp;"snack|grocery|foodies""), ""Food"",
  REGEXMATCH(LOWER(VLOOKUP(A634, Data1_Raw_Slack!A:B, 2, FALSE)), ""travel|vacation|airline|hotel|trip|flights|travelers""), ""Travel"",
  REGEXMATCH(LOWER(VLOOKUP(A634, Data1_Raw_Slack!A:B, 2, FALSE)), ""fitness|workou"&amp;"t|gym|exercise|yoga|wellness|fitness enthusiasts""), ""Fitness"",
  REGEXMATCH(LOWER(VLOOKUP(A634, Data1_Raw_Slack!A:B, 2, FALSE)), ""health|medical|pharmacy|mental health|doctor|health-conscious""), ""Health"",
  REGEXMATCH(LOWER(VLOOKUP(A634, Data1_Raw_"&amp;"Slack!A:B, 2, FALSE)), ""pets|dogs|cats|animals|pet care|pet lovers""), ""Pets"",
  REGEXMATCH(LOWER(VLOOKUP(A634, Data1_Raw_Slack!A:B, 2, FALSE)), ""games|gaming|game|xbox|playstation|nintendo|gamers""), ""Gaming"",
  REGEXMATCH(LOWER(VLOOKUP(A634, Data1"&amp;"_Raw_Slack!A:B, 2, FALSE)), ""entertainment|movies|tv|netflix|streaming|celebrity|movie lovers|tv fans|hobb|photo|art""), ""Entertainment"",
  REGEXMATCH(LOWER(VLOOKUP(A634, Data1_Raw_Slack!A:B, 2, FALSE)), ""lifestyle|home|interior|decor|living|lifestyle"&amp;" enthusiasts""), ""Lifestyle"",
  REGEXMATCH(LOWER(VLOOKUP(A634, Data1_Raw_Slack!A:B, 2, FALSE)), ""financial|finance|investing|stocks|retirement|banking|credit|debt|loans|savings|personal finance|insurance|econ|ecom|business|retail|occupation|sale|job|ma"&amp;"rketing""), ""Finance"",
  REGEXMATCH(LOWER(VLOOKUP(A634, Data1_Raw_Slack!A:B, 2, FALSE)), ""auto|automotive""), ""Auto"",
  REGEXMATCH(LOWER(VLOOKUP(A634, Data1_Raw_Slack!A:B, 2, FALSE)), ""parenting|moms|dads|kids|toddlers|baby|parent|children""), ""Par"&amp;"enting"",
  REGEXMATCH(LOWER(VLOOKUP(A634, Data1_Raw_Slack!A:B, 2, FALSE)), ""education|students|learning|school|teachers|college|university|academics""), ""Education"",
  REGEXMATCH(LOWER(VLOOKUP(A634, Data1_Raw_Slack!A:B, 2, FALSE)), ""age|gender|dem"&amp;"ographic|family|household""), ""Demographics"",
  REGEXMATCH(LOWER(VLOOKUP(A634, Data1_Raw_Slack!A:B, 2, FALSE)), ""mortgage|real estate""), ""Real Estate"",REGEXMATCH(LOWER(VLOOKUP(A634, Data1_Raw_Slack!A:B, 2, FALSE)), ""technology|tech|gadgets|smartpho"&amp;"ne|electro|apps|devices|computing|ai|robots|software|computer|internet|tele|mobile|tablet""), ""Technology"", REGEXMATCH(LOWER(VLOOKUP(A634, Data1_Raw_Slack!A:B, 2, FALSE)), ""entertainment|purchas|movies|tv|netflix|streaming|celebrity|movie lovers|tv fan"&amp;"s|media|hobb|photo|art|shop""), ""Entertainment"", REGEXMATCH(LOWER(VLOOKUP(A634, Data1_Raw_Slack!A:B, 2, FALSE)), ""law|government|""), ""Law and Government"",
  TRUE, ""Other""
)"),"Finance")</f>
        <v>Finance</v>
      </c>
      <c r="G634" s="9" t="s">
        <v>127</v>
      </c>
      <c r="H634" s="9" t="s">
        <v>44</v>
      </c>
      <c r="I634" s="9" t="s">
        <v>2133</v>
      </c>
      <c r="J634" s="9" t="s">
        <v>34</v>
      </c>
      <c r="K634" s="9" t="s">
        <v>148</v>
      </c>
      <c r="L634" s="9" t="s">
        <v>89</v>
      </c>
      <c r="M634" s="10" t="s">
        <v>2134</v>
      </c>
      <c r="N634" s="9" t="str">
        <f ca="1">IFERROR(__xludf.DUMMYFUNCTION("REGEXEXTRACT(LOWER(M634), ""([a-z0-9\-]+)\.(?:co|net|org|io|gg)"")"),"nbcmiami")</f>
        <v>nbcmiami</v>
      </c>
      <c r="O634" s="9" t="s">
        <v>50</v>
      </c>
      <c r="P634" s="9" t="s">
        <v>39</v>
      </c>
      <c r="Q634" s="9">
        <v>11476</v>
      </c>
      <c r="R634" s="9">
        <v>45</v>
      </c>
      <c r="S634" s="9">
        <v>4963</v>
      </c>
      <c r="T634" s="9">
        <v>10991</v>
      </c>
      <c r="U634" s="9">
        <v>8</v>
      </c>
      <c r="V634" s="11">
        <v>7227.4173490000003</v>
      </c>
      <c r="W634" s="12">
        <f t="shared" si="14"/>
        <v>903.42716862500004</v>
      </c>
      <c r="X634" s="12">
        <f t="shared" si="15"/>
        <v>0.39212269083304291</v>
      </c>
      <c r="Y634" s="12">
        <f t="shared" si="16"/>
        <v>43.246775880097594</v>
      </c>
      <c r="Z634" s="12">
        <f t="shared" si="17"/>
        <v>1456.2597922627442</v>
      </c>
      <c r="AA634" s="12">
        <f t="shared" si="18"/>
        <v>629.78540859184386</v>
      </c>
      <c r="AB634" s="12">
        <f t="shared" si="19"/>
        <v>160.60927442222223</v>
      </c>
      <c r="AC634" s="12">
        <f t="shared" si="20"/>
        <v>17.777777777777779</v>
      </c>
      <c r="AE634" s="13"/>
      <c r="AF634" s="13"/>
    </row>
    <row r="635" spans="1:32">
      <c r="A635" s="8" t="s">
        <v>2135</v>
      </c>
      <c r="B635" s="9" t="s">
        <v>41</v>
      </c>
      <c r="C635" s="9" t="s">
        <v>1220</v>
      </c>
      <c r="D635" s="9" t="s">
        <v>2136</v>
      </c>
      <c r="E635" s="9"/>
      <c r="F635" s="9" t="str">
        <f ca="1">IFERROR(__xludf.DUMMYFUNCTION("IFS(
  REGEXMATCH(LOWER(VLOOKUP(A635, Data1_Raw_Slack!A:B, 2, FALSE)), ""news|weather""), ""News and Weather"", REGEXMATCH(LOWER(VLOOKUP(A635, Data1_Raw_Slack!A:B, 2, FALSE)), ""sports|ufc|nba|nfl|mlb|soccer|sports fans""), ""Sports"",
  REGEXMATCH(LOWER("&amp;"VLOOKUP(A635, Data1_Raw_Slack!A:B, 2, FALSE)), ""fashion|style|clothing|apparel|shoes|accessories|beauty|cosmetics|fashionistas""), ""Fashion and Beauty"",
  REGEXMATCH(LOWER(VLOOKUP(A635, Data1_Raw_Slack!A:B, 2, FALSE)), ""food|cooking|recipe|restaurant|"&amp;"snack|grocery|foodies""), ""Food"",
  REGEXMATCH(LOWER(VLOOKUP(A635, Data1_Raw_Slack!A:B, 2, FALSE)), ""travel|vacation|airline|hotel|trip|flights|travelers""), ""Travel"",
  REGEXMATCH(LOWER(VLOOKUP(A635, Data1_Raw_Slack!A:B, 2, FALSE)), ""fitness|workou"&amp;"t|gym|exercise|yoga|wellness|fitness enthusiasts""), ""Fitness"",
  REGEXMATCH(LOWER(VLOOKUP(A635, Data1_Raw_Slack!A:B, 2, FALSE)), ""health|medical|pharmacy|mental health|doctor|health-conscious""), ""Health"",
  REGEXMATCH(LOWER(VLOOKUP(A635, Data1_Raw_"&amp;"Slack!A:B, 2, FALSE)), ""pets|dogs|cats|animals|pet care|pet lovers""), ""Pets"",
  REGEXMATCH(LOWER(VLOOKUP(A635, Data1_Raw_Slack!A:B, 2, FALSE)), ""games|gaming|game|xbox|playstation|nintendo|gamers""), ""Gaming"",
  REGEXMATCH(LOWER(VLOOKUP(A635, Data1"&amp;"_Raw_Slack!A:B, 2, FALSE)), ""entertainment|movies|tv|netflix|streaming|celebrity|movie lovers|tv fans|hobb|photo|art""), ""Entertainment"",
  REGEXMATCH(LOWER(VLOOKUP(A635, Data1_Raw_Slack!A:B, 2, FALSE)), ""lifestyle|home|interior|decor|living|lifestyle"&amp;" enthusiasts""), ""Lifestyle"",
  REGEXMATCH(LOWER(VLOOKUP(A635, Data1_Raw_Slack!A:B, 2, FALSE)), ""financial|finance|investing|stocks|retirement|banking|credit|debt|loans|savings|personal finance|insurance|econ|ecom|business|retail|occupation|sale|job|ma"&amp;"rketing""), ""Finance"",
  REGEXMATCH(LOWER(VLOOKUP(A635, Data1_Raw_Slack!A:B, 2, FALSE)), ""auto|automotive""), ""Auto"",
  REGEXMATCH(LOWER(VLOOKUP(A635, Data1_Raw_Slack!A:B, 2, FALSE)), ""parenting|moms|dads|kids|toddlers|baby|parent|children""), ""Par"&amp;"enting"",
  REGEXMATCH(LOWER(VLOOKUP(A635, Data1_Raw_Slack!A:B, 2, FALSE)), ""education|students|learning|school|teachers|college|university|academics""), ""Education"",
  REGEXMATCH(LOWER(VLOOKUP(A635, Data1_Raw_Slack!A:B, 2, FALSE)), ""age|gender|dem"&amp;"ographic|family|household""), ""Demographics"",
  REGEXMATCH(LOWER(VLOOKUP(A635, Data1_Raw_Slack!A:B, 2, FALSE)), ""mortgage|real estate""), ""Real Estate"",REGEXMATCH(LOWER(VLOOKUP(A635, Data1_Raw_Slack!A:B, 2, FALSE)), ""technology|tech|gadgets|smartpho"&amp;"ne|electro|apps|devices|computing|ai|robots|software|computer|internet|tele|mobile|tablet""), ""Technology"", REGEXMATCH(LOWER(VLOOKUP(A635, Data1_Raw_Slack!A:B, 2, FALSE)), ""entertainment|purchas|movies|tv|netflix|streaming|celebrity|movie lovers|tv fan"&amp;"s|media|hobb|photo|art|shop""), ""Entertainment"", REGEXMATCH(LOWER(VLOOKUP(A635, Data1_Raw_Slack!A:B, 2, FALSE)), ""law|government|""), ""Law and Government"",
  TRUE, ""Other""
)"),"Law and Government")</f>
        <v>Law and Government</v>
      </c>
      <c r="G635" s="9" t="s">
        <v>1220</v>
      </c>
      <c r="H635" s="9" t="s">
        <v>32</v>
      </c>
      <c r="I635" s="9" t="s">
        <v>245</v>
      </c>
      <c r="J635" s="9" t="s">
        <v>80</v>
      </c>
      <c r="K635" s="9" t="s">
        <v>241</v>
      </c>
      <c r="L635" s="9" t="s">
        <v>242</v>
      </c>
      <c r="M635" s="10" t="s">
        <v>430</v>
      </c>
      <c r="N635" s="9" t="str">
        <f ca="1">IFERROR(__xludf.DUMMYFUNCTION("REGEXEXTRACT(LOWER(M635), ""([a-z0-9\-]+)\.(?:co|net|org|io|gg)"")"),"biblegateway")</f>
        <v>biblegateway</v>
      </c>
      <c r="O635" s="9" t="s">
        <v>819</v>
      </c>
      <c r="P635" s="9" t="s">
        <v>39</v>
      </c>
      <c r="Q635" s="9">
        <v>43367</v>
      </c>
      <c r="R635" s="9">
        <v>111</v>
      </c>
      <c r="S635" s="9">
        <v>14306</v>
      </c>
      <c r="T635" s="9">
        <v>39750</v>
      </c>
      <c r="U635" s="9">
        <v>12</v>
      </c>
      <c r="V635" s="11">
        <v>5214.2986929999997</v>
      </c>
      <c r="W635" s="12">
        <f t="shared" si="14"/>
        <v>434.52489108333333</v>
      </c>
      <c r="X635" s="12">
        <f t="shared" si="15"/>
        <v>0.25595498881638112</v>
      </c>
      <c r="Y635" s="12">
        <f t="shared" si="16"/>
        <v>32.988216846911243</v>
      </c>
      <c r="Z635" s="12">
        <f t="shared" si="17"/>
        <v>364.4833421641269</v>
      </c>
      <c r="AA635" s="12">
        <f t="shared" si="18"/>
        <v>120.23655528397167</v>
      </c>
      <c r="AB635" s="12">
        <f t="shared" si="19"/>
        <v>46.975663900900898</v>
      </c>
      <c r="AC635" s="12">
        <f t="shared" si="20"/>
        <v>10.810810810810811</v>
      </c>
      <c r="AE635" s="13"/>
      <c r="AF635" s="13"/>
    </row>
    <row r="636" spans="1:32">
      <c r="A636" s="8" t="s">
        <v>2137</v>
      </c>
      <c r="B636" s="9" t="s">
        <v>498</v>
      </c>
      <c r="C636" s="9" t="s">
        <v>85</v>
      </c>
      <c r="D636" s="9" t="s">
        <v>2138</v>
      </c>
      <c r="E636" s="9"/>
      <c r="F636" s="9" t="str">
        <f ca="1">IFERROR(__xludf.DUMMYFUNCTION("IFS(
  REGEXMATCH(LOWER(VLOOKUP(A636, Data1_Raw_Slack!A:B, 2, FALSE)), ""news|weather""), ""News and Weather"", REGEXMATCH(LOWER(VLOOKUP(A636, Data1_Raw_Slack!A:B, 2, FALSE)), ""sports|ufc|nba|nfl|mlb|soccer|sports fans""), ""Sports"",
  REGEXMATCH(LOWER("&amp;"VLOOKUP(A636, Data1_Raw_Slack!A:B, 2, FALSE)), ""fashion|style|clothing|apparel|shoes|accessories|beauty|cosmetics|fashionistas""), ""Fashion and Beauty"",
  REGEXMATCH(LOWER(VLOOKUP(A636, Data1_Raw_Slack!A:B, 2, FALSE)), ""food|cooking|recipe|restaurant|"&amp;"snack|grocery|foodies""), ""Food"",
  REGEXMATCH(LOWER(VLOOKUP(A636, Data1_Raw_Slack!A:B, 2, FALSE)), ""travel|vacation|airline|hotel|trip|flights|travelers""), ""Travel"",
  REGEXMATCH(LOWER(VLOOKUP(A636, Data1_Raw_Slack!A:B, 2, FALSE)), ""fitness|workou"&amp;"t|gym|exercise|yoga|wellness|fitness enthusiasts""), ""Fitness"",
  REGEXMATCH(LOWER(VLOOKUP(A636, Data1_Raw_Slack!A:B, 2, FALSE)), ""health|medical|pharmacy|mental health|doctor|health-conscious""), ""Health"",
  REGEXMATCH(LOWER(VLOOKUP(A636, Data1_Raw_"&amp;"Slack!A:B, 2, FALSE)), ""pets|dogs|cats|animals|pet care|pet lovers""), ""Pets"",
  REGEXMATCH(LOWER(VLOOKUP(A636, Data1_Raw_Slack!A:B, 2, FALSE)), ""games|gaming|game|xbox|playstation|nintendo|gamers""), ""Gaming"",
  REGEXMATCH(LOWER(VLOOKUP(A636, Data1"&amp;"_Raw_Slack!A:B, 2, FALSE)), ""entertainment|movies|tv|netflix|streaming|celebrity|movie lovers|tv fans|hobb|photo|art""), ""Entertainment"",
  REGEXMATCH(LOWER(VLOOKUP(A636, Data1_Raw_Slack!A:B, 2, FALSE)), ""lifestyle|home|interior|decor|living|lifestyle"&amp;" enthusiasts""), ""Lifestyle"",
  REGEXMATCH(LOWER(VLOOKUP(A636, Data1_Raw_Slack!A:B, 2, FALSE)), ""financial|finance|investing|stocks|retirement|banking|credit|debt|loans|savings|personal finance|insurance|econ|ecom|business|retail|occupation|sale|job|ma"&amp;"rketing""), ""Finance"",
  REGEXMATCH(LOWER(VLOOKUP(A636, Data1_Raw_Slack!A:B, 2, FALSE)), ""auto|automotive""), ""Auto"",
  REGEXMATCH(LOWER(VLOOKUP(A636, Data1_Raw_Slack!A:B, 2, FALSE)), ""parenting|moms|dads|kids|toddlers|baby|parent|children""), ""Par"&amp;"enting"",
  REGEXMATCH(LOWER(VLOOKUP(A636, Data1_Raw_Slack!A:B, 2, FALSE)), ""education|students|learning|school|teachers|college|university|academics""), ""Education"",
  REGEXMATCH(LOWER(VLOOKUP(A636, Data1_Raw_Slack!A:B, 2, FALSE)), ""age|gender|dem"&amp;"ographic|family|household""), ""Demographics"",
  REGEXMATCH(LOWER(VLOOKUP(A636, Data1_Raw_Slack!A:B, 2, FALSE)), ""mortgage|real estate""), ""Real Estate"",REGEXMATCH(LOWER(VLOOKUP(A636, Data1_Raw_Slack!A:B, 2, FALSE)), ""technology|tech|gadgets|smartpho"&amp;"ne|electro|apps|devices|computing|ai|robots|software|computer|internet|tele|mobile|tablet""), ""Technology"", REGEXMATCH(LOWER(VLOOKUP(A636, Data1_Raw_Slack!A:B, 2, FALSE)), ""entertainment|purchas|movies|tv|netflix|streaming|celebrity|movie lovers|tv fan"&amp;"s|media|hobb|photo|art|shop""), ""Entertainment"", REGEXMATCH(LOWER(VLOOKUP(A636, Data1_Raw_Slack!A:B, 2, FALSE)), ""law|government|""), ""Law and Government"",
  TRUE, ""Other""
)"),"Travel")</f>
        <v>Travel</v>
      </c>
      <c r="G636" s="9" t="s">
        <v>85</v>
      </c>
      <c r="H636" s="9" t="s">
        <v>44</v>
      </c>
      <c r="I636" s="9" t="s">
        <v>1999</v>
      </c>
      <c r="J636" s="9" t="s">
        <v>34</v>
      </c>
      <c r="K636" s="9" t="s">
        <v>405</v>
      </c>
      <c r="L636" s="9" t="s">
        <v>72</v>
      </c>
      <c r="M636" s="10" t="s">
        <v>1786</v>
      </c>
      <c r="N636" s="9" t="str">
        <f ca="1">IFERROR(__xludf.DUMMYFUNCTION("REGEXEXTRACT(LOWER(M636), ""([a-z0-9\-]+)\.(?:co|net|org|io|gg)"")"),"ajc")</f>
        <v>ajc</v>
      </c>
      <c r="O636" s="9" t="s">
        <v>50</v>
      </c>
      <c r="P636" s="9" t="s">
        <v>64</v>
      </c>
      <c r="Q636" s="9">
        <v>16719</v>
      </c>
      <c r="R636" s="9">
        <v>35</v>
      </c>
      <c r="S636" s="9">
        <v>9944</v>
      </c>
      <c r="T636" s="9">
        <v>15714</v>
      </c>
      <c r="U636" s="9">
        <v>13</v>
      </c>
      <c r="V636" s="11">
        <v>1588.6475</v>
      </c>
      <c r="W636" s="12">
        <f t="shared" si="14"/>
        <v>122.20365384615386</v>
      </c>
      <c r="X636" s="12">
        <f t="shared" si="15"/>
        <v>0.20934266403493032</v>
      </c>
      <c r="Y636" s="12">
        <f t="shared" si="16"/>
        <v>59.477241461809918</v>
      </c>
      <c r="Z636" s="12">
        <f t="shared" si="17"/>
        <v>159.75940265486727</v>
      </c>
      <c r="AA636" s="12">
        <f t="shared" si="18"/>
        <v>95.020485674980563</v>
      </c>
      <c r="AB636" s="12">
        <f t="shared" si="19"/>
        <v>45.38992857142857</v>
      </c>
      <c r="AC636" s="12">
        <f t="shared" si="20"/>
        <v>37.142857142857146</v>
      </c>
      <c r="AE636" s="13"/>
      <c r="AF636" s="13"/>
    </row>
    <row r="637" spans="1:32">
      <c r="A637" s="8" t="s">
        <v>2139</v>
      </c>
      <c r="B637" s="9" t="s">
        <v>41</v>
      </c>
      <c r="C637" s="9" t="s">
        <v>214</v>
      </c>
      <c r="D637" s="9" t="s">
        <v>215</v>
      </c>
      <c r="E637" s="9" t="s">
        <v>2140</v>
      </c>
      <c r="F637" s="9" t="str">
        <f ca="1">IFERROR(__xludf.DUMMYFUNCTION("IFS(
  REGEXMATCH(LOWER(VLOOKUP(A637, Data1_Raw_Slack!A:B, 2, FALSE)), ""news|weather""), ""News and Weather"", REGEXMATCH(LOWER(VLOOKUP(A637, Data1_Raw_Slack!A:B, 2, FALSE)), ""sports|ufc|nba|nfl|mlb|soccer|sports fans""), ""Sports"",
  REGEXMATCH(LOWER("&amp;"VLOOKUP(A637, Data1_Raw_Slack!A:B, 2, FALSE)), ""fashion|style|clothing|apparel|shoes|accessories|beauty|cosmetics|fashionistas""), ""Fashion and Beauty"",
  REGEXMATCH(LOWER(VLOOKUP(A637, Data1_Raw_Slack!A:B, 2, FALSE)), ""food|cooking|recipe|restaurant|"&amp;"snack|grocery|foodies""), ""Food"",
  REGEXMATCH(LOWER(VLOOKUP(A637, Data1_Raw_Slack!A:B, 2, FALSE)), ""travel|vacation|airline|hotel|trip|flights|travelers""), ""Travel"",
  REGEXMATCH(LOWER(VLOOKUP(A637, Data1_Raw_Slack!A:B, 2, FALSE)), ""fitness|workou"&amp;"t|gym|exercise|yoga|wellness|fitness enthusiasts""), ""Fitness"",
  REGEXMATCH(LOWER(VLOOKUP(A637, Data1_Raw_Slack!A:B, 2, FALSE)), ""health|medical|pharmacy|mental health|doctor|health-conscious""), ""Health"",
  REGEXMATCH(LOWER(VLOOKUP(A637, Data1_Raw_"&amp;"Slack!A:B, 2, FALSE)), ""pets|dogs|cats|animals|pet care|pet lovers""), ""Pets"",
  REGEXMATCH(LOWER(VLOOKUP(A637, Data1_Raw_Slack!A:B, 2, FALSE)), ""games|gaming|game|xbox|playstation|nintendo|gamers""), ""Gaming"",
  REGEXMATCH(LOWER(VLOOKUP(A637, Data1"&amp;"_Raw_Slack!A:B, 2, FALSE)), ""entertainment|movies|tv|netflix|streaming|celebrity|movie lovers|tv fans|hobb|photo|art""), ""Entertainment"",
  REGEXMATCH(LOWER(VLOOKUP(A637, Data1_Raw_Slack!A:B, 2, FALSE)), ""lifestyle|home|interior|decor|living|lifestyle"&amp;" enthusiasts""), ""Lifestyle"",
  REGEXMATCH(LOWER(VLOOKUP(A637, Data1_Raw_Slack!A:B, 2, FALSE)), ""financial|finance|investing|stocks|retirement|banking|credit|debt|loans|savings|personal finance|insurance|econ|ecom|business|retail|occupation|sale|job|ma"&amp;"rketing""), ""Finance"",
  REGEXMATCH(LOWER(VLOOKUP(A637, Data1_Raw_Slack!A:B, 2, FALSE)), ""auto|automotive""), ""Auto"",
  REGEXMATCH(LOWER(VLOOKUP(A637, Data1_Raw_Slack!A:B, 2, FALSE)), ""parenting|moms|dads|kids|toddlers|baby|parent|children""), ""Par"&amp;"enting"",
  REGEXMATCH(LOWER(VLOOKUP(A637, Data1_Raw_Slack!A:B, 2, FALSE)), ""education|students|learning|school|teachers|college|university|academics""), ""Education"",
  REGEXMATCH(LOWER(VLOOKUP(A637, Data1_Raw_Slack!A:B, 2, FALSE)), ""age|gender|dem"&amp;"ographic|family|household""), ""Demographics"",
  REGEXMATCH(LOWER(VLOOKUP(A637, Data1_Raw_Slack!A:B, 2, FALSE)), ""mortgage|real estate""), ""Real Estate"",REGEXMATCH(LOWER(VLOOKUP(A637, Data1_Raw_Slack!A:B, 2, FALSE)), ""technology|tech|gadgets|smartpho"&amp;"ne|electro|apps|devices|computing|ai|robots|software|computer|internet|tele|mobile|tablet""), ""Technology"", REGEXMATCH(LOWER(VLOOKUP(A637, Data1_Raw_Slack!A:B, 2, FALSE)), ""entertainment|purchas|movies|tv|netflix|streaming|celebrity|movie lovers|tv fan"&amp;"s|media|hobb|photo|art|shop""), ""Entertainment"", REGEXMATCH(LOWER(VLOOKUP(A637, Data1_Raw_Slack!A:B, 2, FALSE)), ""law|government|""), ""Law and Government"",
  TRUE, ""Other""
)"),"Demographics")</f>
        <v>Demographics</v>
      </c>
      <c r="G637" s="9"/>
      <c r="H637" s="9" t="s">
        <v>32</v>
      </c>
      <c r="I637" s="9" t="s">
        <v>2141</v>
      </c>
      <c r="J637" s="9" t="s">
        <v>62</v>
      </c>
      <c r="K637" s="9" t="s">
        <v>88</v>
      </c>
      <c r="L637" s="9" t="s">
        <v>89</v>
      </c>
      <c r="M637" s="10" t="s">
        <v>2142</v>
      </c>
      <c r="N637" s="9" t="str">
        <f ca="1">IFERROR(__xludf.DUMMYFUNCTION("REGEXEXTRACT(LOWER(M637), ""([a-z0-9\-]+)\.(?:co|net|org|io|gg)"")"),"nbcdfw")</f>
        <v>nbcdfw</v>
      </c>
      <c r="O637" s="9" t="s">
        <v>103</v>
      </c>
      <c r="P637" s="9" t="s">
        <v>39</v>
      </c>
      <c r="Q637" s="9">
        <v>10835</v>
      </c>
      <c r="R637" s="9">
        <v>25</v>
      </c>
      <c r="S637" s="9">
        <v>2888</v>
      </c>
      <c r="T637" s="9">
        <v>10487</v>
      </c>
      <c r="U637" s="9">
        <v>3</v>
      </c>
      <c r="V637" s="11">
        <v>4704.2499559999997</v>
      </c>
      <c r="W637" s="12">
        <f t="shared" si="14"/>
        <v>1568.0833186666666</v>
      </c>
      <c r="X637" s="12">
        <f t="shared" si="15"/>
        <v>0.23073373327180433</v>
      </c>
      <c r="Y637" s="12">
        <f t="shared" si="16"/>
        <v>26.654360867558836</v>
      </c>
      <c r="Z637" s="12">
        <f t="shared" si="17"/>
        <v>1628.8954141274237</v>
      </c>
      <c r="AA637" s="12">
        <f t="shared" si="18"/>
        <v>434.17166183664045</v>
      </c>
      <c r="AB637" s="12">
        <f t="shared" si="19"/>
        <v>188.16999823999998</v>
      </c>
      <c r="AC637" s="12">
        <f t="shared" si="20"/>
        <v>12</v>
      </c>
      <c r="AE637" s="13"/>
      <c r="AF637" s="13"/>
    </row>
    <row r="638" spans="1:32">
      <c r="A638" s="8" t="s">
        <v>2143</v>
      </c>
      <c r="B638" s="9" t="s">
        <v>41</v>
      </c>
      <c r="C638" s="9" t="s">
        <v>154</v>
      </c>
      <c r="D638" s="9" t="s">
        <v>188</v>
      </c>
      <c r="E638" s="9" t="s">
        <v>2144</v>
      </c>
      <c r="F638" s="9" t="str">
        <f ca="1">IFERROR(__xludf.DUMMYFUNCTION("IFS(
  REGEXMATCH(LOWER(VLOOKUP(A638, Data1_Raw_Slack!A:B, 2, FALSE)), ""news|weather""), ""News and Weather"", REGEXMATCH(LOWER(VLOOKUP(A638, Data1_Raw_Slack!A:B, 2, FALSE)), ""sports|ufc|nba|nfl|mlb|soccer|sports fans""), ""Sports"",
  REGEXMATCH(LOWER("&amp;"VLOOKUP(A638, Data1_Raw_Slack!A:B, 2, FALSE)), ""fashion|style|clothing|apparel|shoes|accessories|beauty|cosmetics|fashionistas""), ""Fashion and Beauty"",
  REGEXMATCH(LOWER(VLOOKUP(A638, Data1_Raw_Slack!A:B, 2, FALSE)), ""food|cooking|recipe|restaurant|"&amp;"snack|grocery|foodies""), ""Food"",
  REGEXMATCH(LOWER(VLOOKUP(A638, Data1_Raw_Slack!A:B, 2, FALSE)), ""travel|vacation|airline|hotel|trip|flights|travelers""), ""Travel"",
  REGEXMATCH(LOWER(VLOOKUP(A638, Data1_Raw_Slack!A:B, 2, FALSE)), ""fitness|workou"&amp;"t|gym|exercise|yoga|wellness|fitness enthusiasts""), ""Fitness"",
  REGEXMATCH(LOWER(VLOOKUP(A638, Data1_Raw_Slack!A:B, 2, FALSE)), ""health|medical|pharmacy|mental health|doctor|health-conscious""), ""Health"",
  REGEXMATCH(LOWER(VLOOKUP(A638, Data1_Raw_"&amp;"Slack!A:B, 2, FALSE)), ""pets|dogs|cats|animals|pet care|pet lovers""), ""Pets"",
  REGEXMATCH(LOWER(VLOOKUP(A638, Data1_Raw_Slack!A:B, 2, FALSE)), ""games|gaming|game|xbox|playstation|nintendo|gamers""), ""Gaming"",
  REGEXMATCH(LOWER(VLOOKUP(A638, Data1"&amp;"_Raw_Slack!A:B, 2, FALSE)), ""entertainment|movies|tv|netflix|streaming|celebrity|movie lovers|tv fans|hobb|photo|art""), ""Entertainment"",
  REGEXMATCH(LOWER(VLOOKUP(A638, Data1_Raw_Slack!A:B, 2, FALSE)), ""lifestyle|home|interior|decor|living|lifestyle"&amp;" enthusiasts""), ""Lifestyle"",
  REGEXMATCH(LOWER(VLOOKUP(A638, Data1_Raw_Slack!A:B, 2, FALSE)), ""financial|finance|investing|stocks|retirement|banking|credit|debt|loans|savings|personal finance|insurance|econ|ecom|business|retail|occupation|sale|job|ma"&amp;"rketing""), ""Finance"",
  REGEXMATCH(LOWER(VLOOKUP(A638, Data1_Raw_Slack!A:B, 2, FALSE)), ""auto|automotive""), ""Auto"",
  REGEXMATCH(LOWER(VLOOKUP(A638, Data1_Raw_Slack!A:B, 2, FALSE)), ""parenting|moms|dads|kids|toddlers|baby|parent|children""), ""Par"&amp;"enting"",
  REGEXMATCH(LOWER(VLOOKUP(A638, Data1_Raw_Slack!A:B, 2, FALSE)), ""education|students|learning|school|teachers|college|university|academics""), ""Education"",
  REGEXMATCH(LOWER(VLOOKUP(A638, Data1_Raw_Slack!A:B, 2, FALSE)), ""age|gender|dem"&amp;"ographic|family|household""), ""Demographics"",
  REGEXMATCH(LOWER(VLOOKUP(A638, Data1_Raw_Slack!A:B, 2, FALSE)), ""mortgage|real estate""), ""Real Estate"",REGEXMATCH(LOWER(VLOOKUP(A638, Data1_Raw_Slack!A:B, 2, FALSE)), ""technology|tech|gadgets|smartpho"&amp;"ne|electro|apps|devices|computing|ai|robots|software|computer|internet|tele|mobile|tablet""), ""Technology"", REGEXMATCH(LOWER(VLOOKUP(A638, Data1_Raw_Slack!A:B, 2, FALSE)), ""entertainment|purchas|movies|tv|netflix|streaming|celebrity|movie lovers|tv fan"&amp;"s|media|hobb|photo|art|shop""), ""Entertainment"", REGEXMATCH(LOWER(VLOOKUP(A638, Data1_Raw_Slack!A:B, 2, FALSE)), ""law|government|""), ""Law and Government"",
  TRUE, ""Other""
)"),"Sports")</f>
        <v>Sports</v>
      </c>
      <c r="G638" s="9" t="s">
        <v>154</v>
      </c>
      <c r="H638" s="9" t="s">
        <v>44</v>
      </c>
      <c r="I638" s="9" t="s">
        <v>2145</v>
      </c>
      <c r="J638" s="9" t="s">
        <v>34</v>
      </c>
      <c r="K638" s="9" t="s">
        <v>236</v>
      </c>
      <c r="L638" s="9" t="s">
        <v>82</v>
      </c>
      <c r="M638" s="10" t="s">
        <v>112</v>
      </c>
      <c r="N638" s="9" t="str">
        <f ca="1">IFERROR(__xludf.DUMMYFUNCTION("REGEXEXTRACT(LOWER(M638), ""([a-z0-9\-]+)\.(?:co|net|org|io|gg)"")"),"ebay")</f>
        <v>ebay</v>
      </c>
      <c r="O638" s="9" t="s">
        <v>186</v>
      </c>
      <c r="P638" s="9" t="s">
        <v>39</v>
      </c>
      <c r="Q638" s="9">
        <v>56945</v>
      </c>
      <c r="R638" s="9">
        <v>152</v>
      </c>
      <c r="S638" s="9">
        <v>20750</v>
      </c>
      <c r="T638" s="9">
        <v>50714</v>
      </c>
      <c r="U638" s="9">
        <v>9</v>
      </c>
      <c r="V638" s="11">
        <v>5144.4743710000002</v>
      </c>
      <c r="W638" s="12">
        <f t="shared" si="14"/>
        <v>571.60826344444445</v>
      </c>
      <c r="X638" s="12">
        <f t="shared" si="15"/>
        <v>0.26692422512951092</v>
      </c>
      <c r="Y638" s="12">
        <f t="shared" si="16"/>
        <v>36.438668891035206</v>
      </c>
      <c r="Z638" s="12">
        <f t="shared" si="17"/>
        <v>247.92647571084339</v>
      </c>
      <c r="AA638" s="12">
        <f t="shared" si="18"/>
        <v>90.341107577487051</v>
      </c>
      <c r="AB638" s="12">
        <f t="shared" si="19"/>
        <v>33.845226125000003</v>
      </c>
      <c r="AC638" s="12">
        <f t="shared" si="20"/>
        <v>5.9210526315789469</v>
      </c>
      <c r="AE638" s="13"/>
      <c r="AF638" s="13"/>
    </row>
    <row r="639" spans="1:32">
      <c r="A639" s="8" t="s">
        <v>2146</v>
      </c>
      <c r="B639" s="9" t="s">
        <v>92</v>
      </c>
      <c r="C639" s="9" t="s">
        <v>851</v>
      </c>
      <c r="D639" s="16" t="s">
        <v>2147</v>
      </c>
      <c r="E639" s="9"/>
      <c r="F639" s="9" t="str">
        <f ca="1">IFERROR(__xludf.DUMMYFUNCTION("IFS(
  REGEXMATCH(LOWER(VLOOKUP(A639, Data1_Raw_Slack!A:B, 2, FALSE)), ""news|weather""), ""News and Weather"", REGEXMATCH(LOWER(VLOOKUP(A639, Data1_Raw_Slack!A:B, 2, FALSE)), ""sports|ufc|nba|nfl|mlb|soccer|sports fans""), ""Sports"",
  REGEXMATCH(LOWER("&amp;"VLOOKUP(A639, Data1_Raw_Slack!A:B, 2, FALSE)), ""fashion|style|clothing|apparel|shoes|accessories|beauty|cosmetics|fashionistas""), ""Fashion and Beauty"",
  REGEXMATCH(LOWER(VLOOKUP(A639, Data1_Raw_Slack!A:B, 2, FALSE)), ""food|cooking|recipe|restaurant|"&amp;"snack|grocery|foodies""), ""Food"",
  REGEXMATCH(LOWER(VLOOKUP(A639, Data1_Raw_Slack!A:B, 2, FALSE)), ""travel|vacation|airline|hotel|trip|flights|travelers""), ""Travel"",
  REGEXMATCH(LOWER(VLOOKUP(A639, Data1_Raw_Slack!A:B, 2, FALSE)), ""fitness|workou"&amp;"t|gym|exercise|yoga|wellness|fitness enthusiasts""), ""Fitness"",
  REGEXMATCH(LOWER(VLOOKUP(A639, Data1_Raw_Slack!A:B, 2, FALSE)), ""health|medical|pharmacy|mental health|doctor|health-conscious""), ""Health"",
  REGEXMATCH(LOWER(VLOOKUP(A639, Data1_Raw_"&amp;"Slack!A:B, 2, FALSE)), ""pets|dogs|cats|animals|pet care|pet lovers""), ""Pets"",
  REGEXMATCH(LOWER(VLOOKUP(A639, Data1_Raw_Slack!A:B, 2, FALSE)), ""games|gaming|game|xbox|playstation|nintendo|gamers""), ""Gaming"",
  REGEXMATCH(LOWER(VLOOKUP(A639, Data1"&amp;"_Raw_Slack!A:B, 2, FALSE)), ""entertainment|movies|tv|netflix|streaming|celebrity|movie lovers|tv fans|hobb|photo|art""), ""Entertainment"",
  REGEXMATCH(LOWER(VLOOKUP(A639, Data1_Raw_Slack!A:B, 2, FALSE)), ""lifestyle|home|interior|decor|living|lifestyle"&amp;" enthusiasts""), ""Lifestyle"",
  REGEXMATCH(LOWER(VLOOKUP(A639, Data1_Raw_Slack!A:B, 2, FALSE)), ""financial|finance|investing|stocks|retirement|banking|credit|debt|loans|savings|personal finance|insurance|econ|ecom|business|retail|occupation|sale|job|ma"&amp;"rketing""), ""Finance"",
  REGEXMATCH(LOWER(VLOOKUP(A639, Data1_Raw_Slack!A:B, 2, FALSE)), ""auto|automotive""), ""Auto"",
  REGEXMATCH(LOWER(VLOOKUP(A639, Data1_Raw_Slack!A:B, 2, FALSE)), ""parenting|moms|dads|kids|toddlers|baby|parent|children""), ""Par"&amp;"enting"",
  REGEXMATCH(LOWER(VLOOKUP(A639, Data1_Raw_Slack!A:B, 2, FALSE)), ""education|students|learning|school|teachers|college|university|academics""), ""Education"",
  REGEXMATCH(LOWER(VLOOKUP(A639, Data1_Raw_Slack!A:B, 2, FALSE)), ""age|gender|dem"&amp;"ographic|family|household""), ""Demographics"",
  REGEXMATCH(LOWER(VLOOKUP(A639, Data1_Raw_Slack!A:B, 2, FALSE)), ""mortgage|real estate""), ""Real Estate"",REGEXMATCH(LOWER(VLOOKUP(A639, Data1_Raw_Slack!A:B, 2, FALSE)), ""technology|tech|gadgets|smartpho"&amp;"ne|electro|apps|devices|computing|ai|robots|software|computer|internet|tele|mobile|tablet""), ""Technology"", REGEXMATCH(LOWER(VLOOKUP(A639, Data1_Raw_Slack!A:B, 2, FALSE)), ""entertainment|purchas|movies|tv|netflix|streaming|celebrity|movie lovers|tv fan"&amp;"s|media|hobb|photo|art|shop""), ""Entertainment"", REGEXMATCH(LOWER(VLOOKUP(A639, Data1_Raw_Slack!A:B, 2, FALSE)), ""law|government|""), ""Law and Government"",
  TRUE, ""Other""
)"),"Lifestyle")</f>
        <v>Lifestyle</v>
      </c>
      <c r="G639" s="9"/>
      <c r="H639" s="9" t="s">
        <v>32</v>
      </c>
      <c r="I639" s="9" t="s">
        <v>923</v>
      </c>
      <c r="J639" s="9" t="s">
        <v>80</v>
      </c>
      <c r="K639" s="9" t="s">
        <v>1959</v>
      </c>
      <c r="L639" s="16" t="s">
        <v>72</v>
      </c>
      <c r="M639" s="10" t="s">
        <v>1272</v>
      </c>
      <c r="N639" s="9" t="str">
        <f ca="1">IFERROR(__xludf.DUMMYFUNCTION("REGEXEXTRACT(LOWER(M639), ""([a-z0-9\-]+)\.(?:co|net|org|io|gg)"")"),"calculator")</f>
        <v>calculator</v>
      </c>
      <c r="O639" s="9" t="s">
        <v>186</v>
      </c>
      <c r="P639" s="9" t="s">
        <v>39</v>
      </c>
      <c r="Q639" s="9">
        <v>36431</v>
      </c>
      <c r="R639" s="9">
        <v>108</v>
      </c>
      <c r="S639" s="9">
        <v>31262</v>
      </c>
      <c r="T639" s="9">
        <v>35043</v>
      </c>
      <c r="U639" s="9">
        <v>11</v>
      </c>
      <c r="V639" s="11">
        <v>3285.8345220000001</v>
      </c>
      <c r="W639" s="12">
        <f t="shared" si="14"/>
        <v>298.71222927272726</v>
      </c>
      <c r="X639" s="12">
        <f t="shared" si="15"/>
        <v>0.296450824846971</v>
      </c>
      <c r="Y639" s="12">
        <f t="shared" si="16"/>
        <v>85.811534133018583</v>
      </c>
      <c r="Z639" s="12">
        <f t="shared" si="17"/>
        <v>105.10634386795471</v>
      </c>
      <c r="AA639" s="12">
        <f t="shared" si="18"/>
        <v>90.193366144217848</v>
      </c>
      <c r="AB639" s="12">
        <f t="shared" si="19"/>
        <v>30.424393722222224</v>
      </c>
      <c r="AC639" s="12">
        <f t="shared" si="20"/>
        <v>10.185185185185185</v>
      </c>
      <c r="AE639" s="13"/>
      <c r="AF639" s="13"/>
    </row>
    <row r="640" spans="1:32">
      <c r="A640" s="8" t="s">
        <v>2148</v>
      </c>
      <c r="B640" s="9" t="s">
        <v>41</v>
      </c>
      <c r="C640" s="9" t="s">
        <v>85</v>
      </c>
      <c r="D640" s="9" t="s">
        <v>99</v>
      </c>
      <c r="E640" s="9" t="s">
        <v>2149</v>
      </c>
      <c r="F640" s="9" t="str">
        <f ca="1">IFERROR(__xludf.DUMMYFUNCTION("IFS(
  REGEXMATCH(LOWER(VLOOKUP(A640, Data1_Raw_Slack!A:B, 2, FALSE)), ""news|weather""), ""News and Weather"", REGEXMATCH(LOWER(VLOOKUP(A640, Data1_Raw_Slack!A:B, 2, FALSE)), ""sports|ufc|nba|nfl|mlb|soccer|sports fans""), ""Sports"",
  REGEXMATCH(LOWER("&amp;"VLOOKUP(A640, Data1_Raw_Slack!A:B, 2, FALSE)), ""fashion|style|clothing|apparel|shoes|accessories|beauty|cosmetics|fashionistas""), ""Fashion and Beauty"",
  REGEXMATCH(LOWER(VLOOKUP(A640, Data1_Raw_Slack!A:B, 2, FALSE)), ""food|cooking|recipe|restaurant|"&amp;"snack|grocery|foodies""), ""Food"",
  REGEXMATCH(LOWER(VLOOKUP(A640, Data1_Raw_Slack!A:B, 2, FALSE)), ""travel|vacation|airline|hotel|trip|flights|travelers""), ""Travel"",
  REGEXMATCH(LOWER(VLOOKUP(A640, Data1_Raw_Slack!A:B, 2, FALSE)), ""fitness|workou"&amp;"t|gym|exercise|yoga|wellness|fitness enthusiasts""), ""Fitness"",
  REGEXMATCH(LOWER(VLOOKUP(A640, Data1_Raw_Slack!A:B, 2, FALSE)), ""health|medical|pharmacy|mental health|doctor|health-conscious""), ""Health"",
  REGEXMATCH(LOWER(VLOOKUP(A640, Data1_Raw_"&amp;"Slack!A:B, 2, FALSE)), ""pets|dogs|cats|animals|pet care|pet lovers""), ""Pets"",
  REGEXMATCH(LOWER(VLOOKUP(A640, Data1_Raw_Slack!A:B, 2, FALSE)), ""games|gaming|game|xbox|playstation|nintendo|gamers""), ""Gaming"",
  REGEXMATCH(LOWER(VLOOKUP(A640, Data1"&amp;"_Raw_Slack!A:B, 2, FALSE)), ""entertainment|movies|tv|netflix|streaming|celebrity|movie lovers|tv fans|hobb|photo|art""), ""Entertainment"",
  REGEXMATCH(LOWER(VLOOKUP(A640, Data1_Raw_Slack!A:B, 2, FALSE)), ""lifestyle|home|interior|decor|living|lifestyle"&amp;" enthusiasts""), ""Lifestyle"",
  REGEXMATCH(LOWER(VLOOKUP(A640, Data1_Raw_Slack!A:B, 2, FALSE)), ""financial|finance|investing|stocks|retirement|banking|credit|debt|loans|savings|personal finance|insurance|econ|ecom|business|retail|occupation|sale|job|ma"&amp;"rketing""), ""Finance"",
  REGEXMATCH(LOWER(VLOOKUP(A640, Data1_Raw_Slack!A:B, 2, FALSE)), ""auto|automotive""), ""Auto"",
  REGEXMATCH(LOWER(VLOOKUP(A640, Data1_Raw_Slack!A:B, 2, FALSE)), ""parenting|moms|dads|kids|toddlers|baby|parent|children""), ""Par"&amp;"enting"",
  REGEXMATCH(LOWER(VLOOKUP(A640, Data1_Raw_Slack!A:B, 2, FALSE)), ""education|students|learning|school|teachers|college|university|academics""), ""Education"",
  REGEXMATCH(LOWER(VLOOKUP(A640, Data1_Raw_Slack!A:B, 2, FALSE)), ""age|gender|dem"&amp;"ographic|family|household""), ""Demographics"",
  REGEXMATCH(LOWER(VLOOKUP(A640, Data1_Raw_Slack!A:B, 2, FALSE)), ""mortgage|real estate""), ""Real Estate"",REGEXMATCH(LOWER(VLOOKUP(A640, Data1_Raw_Slack!A:B, 2, FALSE)), ""technology|tech|gadgets|smartpho"&amp;"ne|electro|apps|devices|computing|ai|robots|software|computer|internet|tele|mobile|tablet""), ""Technology"", REGEXMATCH(LOWER(VLOOKUP(A640, Data1_Raw_Slack!A:B, 2, FALSE)), ""entertainment|purchas|movies|tv|netflix|streaming|celebrity|movie lovers|tv fan"&amp;"s|media|hobb|photo|art|shop""), ""Entertainment"", REGEXMATCH(LOWER(VLOOKUP(A640, Data1_Raw_Slack!A:B, 2, FALSE)), ""law|government|""), ""Law and Government"",
  TRUE, ""Other""
)"),"Travel")</f>
        <v>Travel</v>
      </c>
      <c r="G640" s="9" t="s">
        <v>85</v>
      </c>
      <c r="H640" s="9" t="s">
        <v>44</v>
      </c>
      <c r="I640" s="9" t="s">
        <v>367</v>
      </c>
      <c r="J640" s="9" t="s">
        <v>80</v>
      </c>
      <c r="K640" s="9" t="s">
        <v>148</v>
      </c>
      <c r="L640" s="9" t="s">
        <v>89</v>
      </c>
      <c r="M640" s="10" t="s">
        <v>102</v>
      </c>
      <c r="N640" s="9" t="str">
        <f ca="1">IFERROR(__xludf.DUMMYFUNCTION("REGEXEXTRACT(LOWER(M640), ""([a-z0-9\-]+)\.(?:co|net|org|io|gg)"")"),"cbsnews")</f>
        <v>cbsnews</v>
      </c>
      <c r="O640" s="9" t="s">
        <v>50</v>
      </c>
      <c r="P640" s="9" t="s">
        <v>75</v>
      </c>
      <c r="Q640" s="9">
        <v>48211</v>
      </c>
      <c r="R640" s="9">
        <v>160</v>
      </c>
      <c r="S640" s="9">
        <v>30157</v>
      </c>
      <c r="T640" s="9">
        <v>43810</v>
      </c>
      <c r="U640" s="9">
        <v>14</v>
      </c>
      <c r="V640" s="11">
        <v>6708.4633510000003</v>
      </c>
      <c r="W640" s="12">
        <f t="shared" si="14"/>
        <v>479.17595364285717</v>
      </c>
      <c r="X640" s="12">
        <f t="shared" si="15"/>
        <v>0.33187446848229657</v>
      </c>
      <c r="Y640" s="12">
        <f t="shared" si="16"/>
        <v>62.552114662628867</v>
      </c>
      <c r="Z640" s="12">
        <f t="shared" si="17"/>
        <v>222.45128331730609</v>
      </c>
      <c r="AA640" s="12">
        <f t="shared" si="18"/>
        <v>139.1479818091307</v>
      </c>
      <c r="AB640" s="12">
        <f t="shared" si="19"/>
        <v>41.927895943750002</v>
      </c>
      <c r="AC640" s="12">
        <f t="shared" si="20"/>
        <v>8.75</v>
      </c>
      <c r="AE640" s="13"/>
      <c r="AF640" s="13"/>
    </row>
    <row r="641" spans="1:32">
      <c r="A641" s="8" t="s">
        <v>2150</v>
      </c>
      <c r="B641" s="9" t="s">
        <v>41</v>
      </c>
      <c r="C641" s="9" t="s">
        <v>85</v>
      </c>
      <c r="D641" s="9" t="s">
        <v>1897</v>
      </c>
      <c r="E641" s="9"/>
      <c r="F641" s="9" t="str">
        <f ca="1">IFERROR(__xludf.DUMMYFUNCTION("IFS(
  REGEXMATCH(LOWER(VLOOKUP(A641, Data1_Raw_Slack!A:B, 2, FALSE)), ""news|weather""), ""News and Weather"", REGEXMATCH(LOWER(VLOOKUP(A641, Data1_Raw_Slack!A:B, 2, FALSE)), ""sports|ufc|nba|nfl|mlb|soccer|sports fans""), ""Sports"",
  REGEXMATCH(LOWER("&amp;"VLOOKUP(A641, Data1_Raw_Slack!A:B, 2, FALSE)), ""fashion|style|clothing|apparel|shoes|accessories|beauty|cosmetics|fashionistas""), ""Fashion and Beauty"",
  REGEXMATCH(LOWER(VLOOKUP(A641, Data1_Raw_Slack!A:B, 2, FALSE)), ""food|cooking|recipe|restaurant|"&amp;"snack|grocery|foodies""), ""Food"",
  REGEXMATCH(LOWER(VLOOKUP(A641, Data1_Raw_Slack!A:B, 2, FALSE)), ""travel|vacation|airline|hotel|trip|flights|travelers""), ""Travel"",
  REGEXMATCH(LOWER(VLOOKUP(A641, Data1_Raw_Slack!A:B, 2, FALSE)), ""fitness|workou"&amp;"t|gym|exercise|yoga|wellness|fitness enthusiasts""), ""Fitness"",
  REGEXMATCH(LOWER(VLOOKUP(A641, Data1_Raw_Slack!A:B, 2, FALSE)), ""health|medical|pharmacy|mental health|doctor|health-conscious""), ""Health"",
  REGEXMATCH(LOWER(VLOOKUP(A641, Data1_Raw_"&amp;"Slack!A:B, 2, FALSE)), ""pets|dogs|cats|animals|pet care|pet lovers""), ""Pets"",
  REGEXMATCH(LOWER(VLOOKUP(A641, Data1_Raw_Slack!A:B, 2, FALSE)), ""games|gaming|game|xbox|playstation|nintendo|gamers""), ""Gaming"",
  REGEXMATCH(LOWER(VLOOKUP(A641, Data1"&amp;"_Raw_Slack!A:B, 2, FALSE)), ""entertainment|movies|tv|netflix|streaming|celebrity|movie lovers|tv fans|hobb|photo|art""), ""Entertainment"",
  REGEXMATCH(LOWER(VLOOKUP(A641, Data1_Raw_Slack!A:B, 2, FALSE)), ""lifestyle|home|interior|decor|living|lifestyle"&amp;" enthusiasts""), ""Lifestyle"",
  REGEXMATCH(LOWER(VLOOKUP(A641, Data1_Raw_Slack!A:B, 2, FALSE)), ""financial|finance|investing|stocks|retirement|banking|credit|debt|loans|savings|personal finance|insurance|econ|ecom|business|retail|occupation|sale|job|ma"&amp;"rketing""), ""Finance"",
  REGEXMATCH(LOWER(VLOOKUP(A641, Data1_Raw_Slack!A:B, 2, FALSE)), ""auto|automotive""), ""Auto"",
  REGEXMATCH(LOWER(VLOOKUP(A641, Data1_Raw_Slack!A:B, 2, FALSE)), ""parenting|moms|dads|kids|toddlers|baby|parent|children""), ""Par"&amp;"enting"",
  REGEXMATCH(LOWER(VLOOKUP(A641, Data1_Raw_Slack!A:B, 2, FALSE)), ""education|students|learning|school|teachers|college|university|academics""), ""Education"",
  REGEXMATCH(LOWER(VLOOKUP(A641, Data1_Raw_Slack!A:B, 2, FALSE)), ""age|gender|dem"&amp;"ographic|family|household""), ""Demographics"",
  REGEXMATCH(LOWER(VLOOKUP(A641, Data1_Raw_Slack!A:B, 2, FALSE)), ""mortgage|real estate""), ""Real Estate"",REGEXMATCH(LOWER(VLOOKUP(A641, Data1_Raw_Slack!A:B, 2, FALSE)), ""technology|tech|gadgets|smartpho"&amp;"ne|electro|apps|devices|computing|ai|robots|software|computer|internet|tele|mobile|tablet""), ""Technology"", REGEXMATCH(LOWER(VLOOKUP(A641, Data1_Raw_Slack!A:B, 2, FALSE)), ""entertainment|purchas|movies|tv|netflix|streaming|celebrity|movie lovers|tv fan"&amp;"s|media|hobb|photo|art|shop""), ""Entertainment"", REGEXMATCH(LOWER(VLOOKUP(A641, Data1_Raw_Slack!A:B, 2, FALSE)), ""law|government|""), ""Law and Government"",
  TRUE, ""Other""
)"),"Travel")</f>
        <v>Travel</v>
      </c>
      <c r="G641" s="9" t="s">
        <v>85</v>
      </c>
      <c r="H641" s="9" t="s">
        <v>123</v>
      </c>
      <c r="I641" s="9" t="s">
        <v>2151</v>
      </c>
      <c r="J641" s="9" t="s">
        <v>80</v>
      </c>
      <c r="K641" s="9" t="s">
        <v>56</v>
      </c>
      <c r="L641" s="9" t="s">
        <v>57</v>
      </c>
      <c r="M641" s="10" t="s">
        <v>49</v>
      </c>
      <c r="N641" s="9" t="str">
        <f ca="1">IFERROR(__xludf.DUMMYFUNCTION("REGEXEXTRACT(LOWER(M641), ""([a-z0-9\-]+)\.(?:co|net|org|io|gg)"")"),"yahoo")</f>
        <v>yahoo</v>
      </c>
      <c r="O641" s="9" t="s">
        <v>50</v>
      </c>
      <c r="P641" s="9" t="s">
        <v>39</v>
      </c>
      <c r="Q641" s="9">
        <v>184622</v>
      </c>
      <c r="R641" s="9">
        <v>180</v>
      </c>
      <c r="S641" s="9">
        <v>98938</v>
      </c>
      <c r="T641" s="9">
        <v>161848</v>
      </c>
      <c r="U641" s="9">
        <v>13</v>
      </c>
      <c r="V641" s="11">
        <v>7149.8160749999997</v>
      </c>
      <c r="W641" s="12">
        <f t="shared" si="14"/>
        <v>549.98585192307689</v>
      </c>
      <c r="X641" s="12">
        <f t="shared" si="15"/>
        <v>9.7496506375188224E-2</v>
      </c>
      <c r="Y641" s="12">
        <f t="shared" si="16"/>
        <v>53.589496376379842</v>
      </c>
      <c r="Z641" s="12">
        <f t="shared" si="17"/>
        <v>72.265621651943647</v>
      </c>
      <c r="AA641" s="12">
        <f t="shared" si="18"/>
        <v>38.726782696536702</v>
      </c>
      <c r="AB641" s="12">
        <f t="shared" si="19"/>
        <v>39.721200416666662</v>
      </c>
      <c r="AC641" s="12">
        <f t="shared" si="20"/>
        <v>7.2222222222222214</v>
      </c>
      <c r="AE641" s="13"/>
      <c r="AF641" s="13"/>
    </row>
    <row r="642" spans="1:32">
      <c r="A642" s="8" t="s">
        <v>2152</v>
      </c>
      <c r="B642" s="9" t="s">
        <v>144</v>
      </c>
      <c r="C642" s="9" t="s">
        <v>1976</v>
      </c>
      <c r="D642" s="9" t="s">
        <v>2153</v>
      </c>
      <c r="E642" s="9" t="s">
        <v>2154</v>
      </c>
      <c r="F642" s="9" t="str">
        <f ca="1">IFERROR(__xludf.DUMMYFUNCTION("IFS(
  REGEXMATCH(LOWER(VLOOKUP(A642, Data1_Raw_Slack!A:B, 2, FALSE)), ""news|weather""), ""News and Weather"", REGEXMATCH(LOWER(VLOOKUP(A642, Data1_Raw_Slack!A:B, 2, FALSE)), ""sports|ufc|nba|nfl|mlb|soccer|sports fans""), ""Sports"",
  REGEXMATCH(LOWER("&amp;"VLOOKUP(A642, Data1_Raw_Slack!A:B, 2, FALSE)), ""fashion|style|clothing|apparel|shoes|accessories|beauty|cosmetics|fashionistas""), ""Fashion and Beauty"",
  REGEXMATCH(LOWER(VLOOKUP(A642, Data1_Raw_Slack!A:B, 2, FALSE)), ""food|cooking|recipe|restaurant|"&amp;"snack|grocery|foodies""), ""Food"",
  REGEXMATCH(LOWER(VLOOKUP(A642, Data1_Raw_Slack!A:B, 2, FALSE)), ""travel|vacation|airline|hotel|trip|flights|travelers""), ""Travel"",
  REGEXMATCH(LOWER(VLOOKUP(A642, Data1_Raw_Slack!A:B, 2, FALSE)), ""fitness|workou"&amp;"t|gym|exercise|yoga|wellness|fitness enthusiasts""), ""Fitness"",
  REGEXMATCH(LOWER(VLOOKUP(A642, Data1_Raw_Slack!A:B, 2, FALSE)), ""health|medical|pharmacy|mental health|doctor|health-conscious""), ""Health"",
  REGEXMATCH(LOWER(VLOOKUP(A642, Data1_Raw_"&amp;"Slack!A:B, 2, FALSE)), ""pets|dogs|cats|animals|pet care|pet lovers""), ""Pets"",
  REGEXMATCH(LOWER(VLOOKUP(A642, Data1_Raw_Slack!A:B, 2, FALSE)), ""games|gaming|game|xbox|playstation|nintendo|gamers""), ""Gaming"",
  REGEXMATCH(LOWER(VLOOKUP(A642, Data1"&amp;"_Raw_Slack!A:B, 2, FALSE)), ""entertainment|movies|tv|netflix|streaming|celebrity|movie lovers|tv fans|hobb|photo|art""), ""Entertainment"",
  REGEXMATCH(LOWER(VLOOKUP(A642, Data1_Raw_Slack!A:B, 2, FALSE)), ""lifestyle|home|interior|decor|living|lifestyle"&amp;" enthusiasts""), ""Lifestyle"",
  REGEXMATCH(LOWER(VLOOKUP(A642, Data1_Raw_Slack!A:B, 2, FALSE)), ""financial|finance|investing|stocks|retirement|banking|credit|debt|loans|savings|personal finance|insurance|econ|ecom|business|retail|occupation|sale|job|ma"&amp;"rketing""), ""Finance"",
  REGEXMATCH(LOWER(VLOOKUP(A642, Data1_Raw_Slack!A:B, 2, FALSE)), ""auto|automotive""), ""Auto"",
  REGEXMATCH(LOWER(VLOOKUP(A642, Data1_Raw_Slack!A:B, 2, FALSE)), ""parenting|moms|dads|kids|toddlers|baby|parent|children""), ""Par"&amp;"enting"",
  REGEXMATCH(LOWER(VLOOKUP(A642, Data1_Raw_Slack!A:B, 2, FALSE)), ""education|students|learning|school|teachers|college|university|academics""), ""Education"",
  REGEXMATCH(LOWER(VLOOKUP(A642, Data1_Raw_Slack!A:B, 2, FALSE)), ""age|gender|dem"&amp;"ographic|family|household""), ""Demographics"",
  REGEXMATCH(LOWER(VLOOKUP(A642, Data1_Raw_Slack!A:B, 2, FALSE)), ""mortgage|real estate""), ""Real Estate"",REGEXMATCH(LOWER(VLOOKUP(A642, Data1_Raw_Slack!A:B, 2, FALSE)), ""technology|tech|gadgets|smartpho"&amp;"ne|electro|apps|devices|computing|ai|robots|software|computer|internet|tele|mobile|tablet""), ""Technology"", REGEXMATCH(LOWER(VLOOKUP(A642, Data1_Raw_Slack!A:B, 2, FALSE)), ""entertainment|purchas|movies|tv|netflix|streaming|celebrity|movie lovers|tv fan"&amp;"s|media|hobb|photo|art|shop""), ""Entertainment"", REGEXMATCH(LOWER(VLOOKUP(A642, Data1_Raw_Slack!A:B, 2, FALSE)), ""law|government|""), ""Law and Government"",
  TRUE, ""Other""
)"),"Technology")</f>
        <v>Technology</v>
      </c>
      <c r="G642" s="9" t="s">
        <v>69</v>
      </c>
      <c r="H642" s="9" t="s">
        <v>32</v>
      </c>
      <c r="I642" s="9" t="s">
        <v>2155</v>
      </c>
      <c r="J642" s="9" t="s">
        <v>62</v>
      </c>
      <c r="K642" s="9" t="s">
        <v>148</v>
      </c>
      <c r="L642" s="9" t="s">
        <v>89</v>
      </c>
      <c r="M642" s="10" t="s">
        <v>372</v>
      </c>
      <c r="N642" s="9" t="str">
        <f ca="1">IFERROR(__xludf.DUMMYFUNCTION("REGEXEXTRACT(LOWER(M642), ""([a-z0-9\-]+)\.(?:co|net|org|io|gg)"")"),"accuweather")</f>
        <v>accuweather</v>
      </c>
      <c r="O642" s="9" t="s">
        <v>157</v>
      </c>
      <c r="P642" s="9" t="s">
        <v>39</v>
      </c>
      <c r="Q642" s="9">
        <v>19826</v>
      </c>
      <c r="R642" s="9">
        <v>39</v>
      </c>
      <c r="S642" s="9">
        <v>6511</v>
      </c>
      <c r="T642" s="9">
        <v>15752</v>
      </c>
      <c r="U642" s="9">
        <v>10</v>
      </c>
      <c r="V642" s="11">
        <v>1447.873298</v>
      </c>
      <c r="W642" s="12">
        <f t="shared" si="14"/>
        <v>144.78732980000001</v>
      </c>
      <c r="X642" s="12">
        <f t="shared" si="15"/>
        <v>0.19671138908503985</v>
      </c>
      <c r="Y642" s="12">
        <f t="shared" si="16"/>
        <v>32.840714213658835</v>
      </c>
      <c r="Z642" s="12">
        <f t="shared" si="17"/>
        <v>222.37341391491321</v>
      </c>
      <c r="AA642" s="12">
        <f t="shared" si="18"/>
        <v>73.029017350953296</v>
      </c>
      <c r="AB642" s="12">
        <f t="shared" si="19"/>
        <v>37.124956358974359</v>
      </c>
      <c r="AC642" s="12">
        <f t="shared" si="20"/>
        <v>25.641025641025639</v>
      </c>
      <c r="AE642" s="13"/>
      <c r="AF642" s="13"/>
    </row>
    <row r="643" spans="1:32">
      <c r="A643" s="8" t="s">
        <v>2156</v>
      </c>
      <c r="B643" s="9" t="s">
        <v>52</v>
      </c>
      <c r="C643" s="9" t="s">
        <v>224</v>
      </c>
      <c r="D643" s="9" t="s">
        <v>518</v>
      </c>
      <c r="E643" s="9"/>
      <c r="F643" s="9" t="str">
        <f ca="1">IFERROR(__xludf.DUMMYFUNCTION("IFS(
  REGEXMATCH(LOWER(VLOOKUP(A643, Data1_Raw_Slack!A:B, 2, FALSE)), ""news|weather""), ""News and Weather"", REGEXMATCH(LOWER(VLOOKUP(A643, Data1_Raw_Slack!A:B, 2, FALSE)), ""sports|ufc|nba|nfl|mlb|soccer|sports fans""), ""Sports"",
  REGEXMATCH(LOWER("&amp;"VLOOKUP(A643, Data1_Raw_Slack!A:B, 2, FALSE)), ""fashion|style|clothing|apparel|shoes|accessories|beauty|cosmetics|fashionistas""), ""Fashion and Beauty"",
  REGEXMATCH(LOWER(VLOOKUP(A643, Data1_Raw_Slack!A:B, 2, FALSE)), ""food|cooking|recipe|restaurant|"&amp;"snack|grocery|foodies""), ""Food"",
  REGEXMATCH(LOWER(VLOOKUP(A643, Data1_Raw_Slack!A:B, 2, FALSE)), ""travel|vacation|airline|hotel|trip|flights|travelers""), ""Travel"",
  REGEXMATCH(LOWER(VLOOKUP(A643, Data1_Raw_Slack!A:B, 2, FALSE)), ""fitness|workou"&amp;"t|gym|exercise|yoga|wellness|fitness enthusiasts""), ""Fitness"",
  REGEXMATCH(LOWER(VLOOKUP(A643, Data1_Raw_Slack!A:B, 2, FALSE)), ""health|medical|pharmacy|mental health|doctor|health-conscious""), ""Health"",
  REGEXMATCH(LOWER(VLOOKUP(A643, Data1_Raw_"&amp;"Slack!A:B, 2, FALSE)), ""pets|dogs|cats|animals|pet care|pet lovers""), ""Pets"",
  REGEXMATCH(LOWER(VLOOKUP(A643, Data1_Raw_Slack!A:B, 2, FALSE)), ""games|gaming|game|xbox|playstation|nintendo|gamers""), ""Gaming"",
  REGEXMATCH(LOWER(VLOOKUP(A643, Data1"&amp;"_Raw_Slack!A:B, 2, FALSE)), ""entertainment|movies|tv|netflix|streaming|celebrity|movie lovers|tv fans|hobb|photo|art""), ""Entertainment"",
  REGEXMATCH(LOWER(VLOOKUP(A643, Data1_Raw_Slack!A:B, 2, FALSE)), ""lifestyle|home|interior|decor|living|lifestyle"&amp;" enthusiasts""), ""Lifestyle"",
  REGEXMATCH(LOWER(VLOOKUP(A643, Data1_Raw_Slack!A:B, 2, FALSE)), ""financial|finance|investing|stocks|retirement|banking|credit|debt|loans|savings|personal finance|insurance|econ|ecom|business|retail|occupation|sale|job|ma"&amp;"rketing""), ""Finance"",
  REGEXMATCH(LOWER(VLOOKUP(A643, Data1_Raw_Slack!A:B, 2, FALSE)), ""auto|automotive""), ""Auto"",
  REGEXMATCH(LOWER(VLOOKUP(A643, Data1_Raw_Slack!A:B, 2, FALSE)), ""parenting|moms|dads|kids|toddlers|baby|parent|children""), ""Par"&amp;"enting"",
  REGEXMATCH(LOWER(VLOOKUP(A643, Data1_Raw_Slack!A:B, 2, FALSE)), ""education|students|learning|school|teachers|college|university|academics""), ""Education"",
  REGEXMATCH(LOWER(VLOOKUP(A643, Data1_Raw_Slack!A:B, 2, FALSE)), ""age|gender|dem"&amp;"ographic|family|household""), ""Demographics"",
  REGEXMATCH(LOWER(VLOOKUP(A643, Data1_Raw_Slack!A:B, 2, FALSE)), ""mortgage|real estate""), ""Real Estate"",REGEXMATCH(LOWER(VLOOKUP(A643, Data1_Raw_Slack!A:B, 2, FALSE)), ""technology|tech|gadgets|smartpho"&amp;"ne|electro|apps|devices|computing|ai|robots|software|computer|internet|tele|mobile|tablet""), ""Technology"", REGEXMATCH(LOWER(VLOOKUP(A643, Data1_Raw_Slack!A:B, 2, FALSE)), ""entertainment|purchas|movies|tv|netflix|streaming|celebrity|movie lovers|tv fan"&amp;"s|media|hobb|photo|art|shop""), ""Entertainment"", REGEXMATCH(LOWER(VLOOKUP(A643, Data1_Raw_Slack!A:B, 2, FALSE)), ""law|government|""), ""Law and Government"",
  TRUE, ""Other""
)"),"Fashion and Beauty")</f>
        <v>Fashion and Beauty</v>
      </c>
      <c r="G643" s="9" t="s">
        <v>127</v>
      </c>
      <c r="H643" s="9" t="s">
        <v>44</v>
      </c>
      <c r="I643" s="9" t="s">
        <v>2157</v>
      </c>
      <c r="J643" s="9" t="s">
        <v>34</v>
      </c>
      <c r="K643" s="9" t="s">
        <v>71</v>
      </c>
      <c r="L643" s="9" t="s">
        <v>72</v>
      </c>
      <c r="M643" s="10" t="s">
        <v>112</v>
      </c>
      <c r="N643" s="9" t="str">
        <f ca="1">IFERROR(__xludf.DUMMYFUNCTION("REGEXEXTRACT(LOWER(M643), ""([a-z0-9\-]+)\.(?:co|net|org|io|gg)"")"),"ebay")</f>
        <v>ebay</v>
      </c>
      <c r="O643" s="9" t="s">
        <v>74</v>
      </c>
      <c r="P643" s="9" t="s">
        <v>75</v>
      </c>
      <c r="Q643" s="9">
        <v>61442</v>
      </c>
      <c r="R643" s="9">
        <v>190</v>
      </c>
      <c r="S643" s="9">
        <v>17048</v>
      </c>
      <c r="T643" s="9">
        <v>54166</v>
      </c>
      <c r="U643" s="9">
        <v>1</v>
      </c>
      <c r="V643" s="11">
        <v>1609.1499329999999</v>
      </c>
      <c r="W643" s="12">
        <f t="shared" si="14"/>
        <v>1609.1499329999999</v>
      </c>
      <c r="X643" s="12">
        <f t="shared" si="15"/>
        <v>0.30923472543211483</v>
      </c>
      <c r="Y643" s="12">
        <f t="shared" si="16"/>
        <v>27.746492627193124</v>
      </c>
      <c r="Z643" s="12">
        <f t="shared" si="17"/>
        <v>94.389367257156252</v>
      </c>
      <c r="AA643" s="12">
        <f t="shared" si="18"/>
        <v>26.189738826861106</v>
      </c>
      <c r="AB643" s="12">
        <f t="shared" si="19"/>
        <v>8.4692101736842105</v>
      </c>
      <c r="AC643" s="12">
        <f t="shared" si="20"/>
        <v>0.52631578947368418</v>
      </c>
      <c r="AE643" s="13"/>
      <c r="AF643" s="13"/>
    </row>
    <row r="644" spans="1:32">
      <c r="A644" s="8" t="s">
        <v>2158</v>
      </c>
      <c r="B644" s="9" t="s">
        <v>41</v>
      </c>
      <c r="C644" s="9" t="s">
        <v>85</v>
      </c>
      <c r="D644" s="9" t="s">
        <v>99</v>
      </c>
      <c r="E644" s="9" t="s">
        <v>2159</v>
      </c>
      <c r="F644" s="9" t="str">
        <f ca="1">IFERROR(__xludf.DUMMYFUNCTION("IFS(
  REGEXMATCH(LOWER(VLOOKUP(A644, Data1_Raw_Slack!A:B, 2, FALSE)), ""news|weather""), ""News and Weather"", REGEXMATCH(LOWER(VLOOKUP(A644, Data1_Raw_Slack!A:B, 2, FALSE)), ""sports|ufc|nba|nfl|mlb|soccer|sports fans""), ""Sports"",
  REGEXMATCH(LOWER("&amp;"VLOOKUP(A644, Data1_Raw_Slack!A:B, 2, FALSE)), ""fashion|style|clothing|apparel|shoes|accessories|beauty|cosmetics|fashionistas""), ""Fashion and Beauty"",
  REGEXMATCH(LOWER(VLOOKUP(A644, Data1_Raw_Slack!A:B, 2, FALSE)), ""food|cooking|recipe|restaurant|"&amp;"snack|grocery|foodies""), ""Food"",
  REGEXMATCH(LOWER(VLOOKUP(A644, Data1_Raw_Slack!A:B, 2, FALSE)), ""travel|vacation|airline|hotel|trip|flights|travelers""), ""Travel"",
  REGEXMATCH(LOWER(VLOOKUP(A644, Data1_Raw_Slack!A:B, 2, FALSE)), ""fitness|workou"&amp;"t|gym|exercise|yoga|wellness|fitness enthusiasts""), ""Fitness"",
  REGEXMATCH(LOWER(VLOOKUP(A644, Data1_Raw_Slack!A:B, 2, FALSE)), ""health|medical|pharmacy|mental health|doctor|health-conscious""), ""Health"",
  REGEXMATCH(LOWER(VLOOKUP(A644, Data1_Raw_"&amp;"Slack!A:B, 2, FALSE)), ""pets|dogs|cats|animals|pet care|pet lovers""), ""Pets"",
  REGEXMATCH(LOWER(VLOOKUP(A644, Data1_Raw_Slack!A:B, 2, FALSE)), ""games|gaming|game|xbox|playstation|nintendo|gamers""), ""Gaming"",
  REGEXMATCH(LOWER(VLOOKUP(A644, Data1"&amp;"_Raw_Slack!A:B, 2, FALSE)), ""entertainment|movies|tv|netflix|streaming|celebrity|movie lovers|tv fans|hobb|photo|art""), ""Entertainment"",
  REGEXMATCH(LOWER(VLOOKUP(A644, Data1_Raw_Slack!A:B, 2, FALSE)), ""lifestyle|home|interior|decor|living|lifestyle"&amp;" enthusiasts""), ""Lifestyle"",
  REGEXMATCH(LOWER(VLOOKUP(A644, Data1_Raw_Slack!A:B, 2, FALSE)), ""financial|finance|investing|stocks|retirement|banking|credit|debt|loans|savings|personal finance|insurance|econ|ecom|business|retail|occupation|sale|job|ma"&amp;"rketing""), ""Finance"",
  REGEXMATCH(LOWER(VLOOKUP(A644, Data1_Raw_Slack!A:B, 2, FALSE)), ""auto|automotive""), ""Auto"",
  REGEXMATCH(LOWER(VLOOKUP(A644, Data1_Raw_Slack!A:B, 2, FALSE)), ""parenting|moms|dads|kids|toddlers|baby|parent|children""), ""Par"&amp;"enting"",
  REGEXMATCH(LOWER(VLOOKUP(A644, Data1_Raw_Slack!A:B, 2, FALSE)), ""education|students|learning|school|teachers|college|university|academics""), ""Education"",
  REGEXMATCH(LOWER(VLOOKUP(A644, Data1_Raw_Slack!A:B, 2, FALSE)), ""age|gender|dem"&amp;"ographic|family|household""), ""Demographics"",
  REGEXMATCH(LOWER(VLOOKUP(A644, Data1_Raw_Slack!A:B, 2, FALSE)), ""mortgage|real estate""), ""Real Estate"",REGEXMATCH(LOWER(VLOOKUP(A644, Data1_Raw_Slack!A:B, 2, FALSE)), ""technology|tech|gadgets|smartpho"&amp;"ne|electro|apps|devices|computing|ai|robots|software|computer|internet|tele|mobile|tablet""), ""Technology"", REGEXMATCH(LOWER(VLOOKUP(A644, Data1_Raw_Slack!A:B, 2, FALSE)), ""entertainment|purchas|movies|tv|netflix|streaming|celebrity|movie lovers|tv fan"&amp;"s|media|hobb|photo|art|shop""), ""Entertainment"", REGEXMATCH(LOWER(VLOOKUP(A644, Data1_Raw_Slack!A:B, 2, FALSE)), ""law|government|""), ""Law and Government"",
  TRUE, ""Other""
)"),"Travel")</f>
        <v>Travel</v>
      </c>
      <c r="G644" s="9" t="s">
        <v>85</v>
      </c>
      <c r="H644" s="9" t="s">
        <v>44</v>
      </c>
      <c r="I644" s="9" t="s">
        <v>999</v>
      </c>
      <c r="J644" s="9" t="s">
        <v>80</v>
      </c>
      <c r="K644" s="9" t="s">
        <v>236</v>
      </c>
      <c r="L644" s="9" t="s">
        <v>82</v>
      </c>
      <c r="M644" s="10" t="s">
        <v>779</v>
      </c>
      <c r="N644" s="9" t="str">
        <f ca="1">IFERROR(__xludf.DUMMYFUNCTION("REGEXEXTRACT(LOWER(M644), ""([a-z0-9\-]+)\.(?:co|net|org|io|gg)"")"),"flightaware")</f>
        <v>flightaware</v>
      </c>
      <c r="O644" s="9" t="s">
        <v>186</v>
      </c>
      <c r="P644" s="9" t="s">
        <v>39</v>
      </c>
      <c r="Q644" s="9">
        <v>12710</v>
      </c>
      <c r="R644" s="9">
        <v>10</v>
      </c>
      <c r="S644" s="9">
        <v>8159</v>
      </c>
      <c r="T644" s="9">
        <v>11984</v>
      </c>
      <c r="U644" s="9">
        <v>11</v>
      </c>
      <c r="V644" s="11">
        <v>7851.3974779999999</v>
      </c>
      <c r="W644" s="12">
        <f t="shared" si="14"/>
        <v>713.76340709090903</v>
      </c>
      <c r="X644" s="12">
        <f t="shared" si="15"/>
        <v>7.8678206136900075E-2</v>
      </c>
      <c r="Y644" s="12">
        <f t="shared" si="16"/>
        <v>64.193548387096783</v>
      </c>
      <c r="Z644" s="12">
        <f t="shared" si="17"/>
        <v>962.29899227846545</v>
      </c>
      <c r="AA644" s="12">
        <f t="shared" si="18"/>
        <v>617.73386923682142</v>
      </c>
      <c r="AB644" s="12">
        <f t="shared" si="19"/>
        <v>785.13974780000001</v>
      </c>
      <c r="AC644" s="12">
        <f t="shared" si="20"/>
        <v>110.00000000000001</v>
      </c>
      <c r="AE644" s="13"/>
      <c r="AF644" s="13"/>
    </row>
    <row r="645" spans="1:32">
      <c r="A645" s="8" t="s">
        <v>2160</v>
      </c>
      <c r="B645" s="9" t="s">
        <v>92</v>
      </c>
      <c r="C645" s="9" t="s">
        <v>178</v>
      </c>
      <c r="D645" s="9" t="s">
        <v>2161</v>
      </c>
      <c r="E645" s="9" t="s">
        <v>2162</v>
      </c>
      <c r="F645" s="9" t="str">
        <f ca="1">IFERROR(__xludf.DUMMYFUNCTION("IFS(
  REGEXMATCH(LOWER(VLOOKUP(A645, Data1_Raw_Slack!A:B, 2, FALSE)), ""news|weather""), ""News and Weather"", REGEXMATCH(LOWER(VLOOKUP(A645, Data1_Raw_Slack!A:B, 2, FALSE)), ""sports|ufc|nba|nfl|mlb|soccer|sports fans""), ""Sports"",
  REGEXMATCH(LOWER("&amp;"VLOOKUP(A645, Data1_Raw_Slack!A:B, 2, FALSE)), ""fashion|style|clothing|apparel|shoes|accessories|beauty|cosmetics|fashionistas""), ""Fashion and Beauty"",
  REGEXMATCH(LOWER(VLOOKUP(A645, Data1_Raw_Slack!A:B, 2, FALSE)), ""food|cooking|recipe|restaurant|"&amp;"snack|grocery|foodies""), ""Food"",
  REGEXMATCH(LOWER(VLOOKUP(A645, Data1_Raw_Slack!A:B, 2, FALSE)), ""travel|vacation|airline|hotel|trip|flights|travelers""), ""Travel"",
  REGEXMATCH(LOWER(VLOOKUP(A645, Data1_Raw_Slack!A:B, 2, FALSE)), ""fitness|workou"&amp;"t|gym|exercise|yoga|wellness|fitness enthusiasts""), ""Fitness"",
  REGEXMATCH(LOWER(VLOOKUP(A645, Data1_Raw_Slack!A:B, 2, FALSE)), ""health|medical|pharmacy|mental health|doctor|health-conscious""), ""Health"",
  REGEXMATCH(LOWER(VLOOKUP(A645, Data1_Raw_"&amp;"Slack!A:B, 2, FALSE)), ""pets|dogs|cats|animals|pet care|pet lovers""), ""Pets"",
  REGEXMATCH(LOWER(VLOOKUP(A645, Data1_Raw_Slack!A:B, 2, FALSE)), ""games|gaming|game|xbox|playstation|nintendo|gamers""), ""Gaming"",
  REGEXMATCH(LOWER(VLOOKUP(A645, Data1"&amp;"_Raw_Slack!A:B, 2, FALSE)), ""entertainment|movies|tv|netflix|streaming|celebrity|movie lovers|tv fans|hobb|photo|art""), ""Entertainment"",
  REGEXMATCH(LOWER(VLOOKUP(A645, Data1_Raw_Slack!A:B, 2, FALSE)), ""lifestyle|home|interior|decor|living|lifestyle"&amp;" enthusiasts""), ""Lifestyle"",
  REGEXMATCH(LOWER(VLOOKUP(A645, Data1_Raw_Slack!A:B, 2, FALSE)), ""financial|finance|investing|stocks|retirement|banking|credit|debt|loans|savings|personal finance|insurance|econ|ecom|business|retail|occupation|sale|job|ma"&amp;"rketing""), ""Finance"",
  REGEXMATCH(LOWER(VLOOKUP(A645, Data1_Raw_Slack!A:B, 2, FALSE)), ""auto|automotive""), ""Auto"",
  REGEXMATCH(LOWER(VLOOKUP(A645, Data1_Raw_Slack!A:B, 2, FALSE)), ""parenting|moms|dads|kids|toddlers|baby|parent|children""), ""Par"&amp;"enting"",
  REGEXMATCH(LOWER(VLOOKUP(A645, Data1_Raw_Slack!A:B, 2, FALSE)), ""education|students|learning|school|teachers|college|university|academics""), ""Education"",
  REGEXMATCH(LOWER(VLOOKUP(A645, Data1_Raw_Slack!A:B, 2, FALSE)), ""age|gender|dem"&amp;"ographic|family|household""), ""Demographics"",
  REGEXMATCH(LOWER(VLOOKUP(A645, Data1_Raw_Slack!A:B, 2, FALSE)), ""mortgage|real estate""), ""Real Estate"",REGEXMATCH(LOWER(VLOOKUP(A645, Data1_Raw_Slack!A:B, 2, FALSE)), ""technology|tech|gadgets|smartpho"&amp;"ne|electro|apps|devices|computing|ai|robots|software|computer|internet|tele|mobile|tablet""), ""Technology"", REGEXMATCH(LOWER(VLOOKUP(A645, Data1_Raw_Slack!A:B, 2, FALSE)), ""entertainment|purchas|movies|tv|netflix|streaming|celebrity|movie lovers|tv fan"&amp;"s|media|hobb|photo|art|shop""), ""Entertainment"", REGEXMATCH(LOWER(VLOOKUP(A645, Data1_Raw_Slack!A:B, 2, FALSE)), ""law|government|""), ""Law and Government"",
  TRUE, ""Other""
)"),"Entertainment")</f>
        <v>Entertainment</v>
      </c>
      <c r="G645" s="9"/>
      <c r="H645" s="9" t="s">
        <v>44</v>
      </c>
      <c r="I645" s="9" t="s">
        <v>977</v>
      </c>
      <c r="J645" s="9" t="s">
        <v>62</v>
      </c>
      <c r="K645" s="9" t="s">
        <v>416</v>
      </c>
      <c r="L645" s="9" t="s">
        <v>417</v>
      </c>
      <c r="M645" s="10" t="s">
        <v>354</v>
      </c>
      <c r="N645" s="9" t="str">
        <f ca="1">IFERROR(__xludf.DUMMYFUNCTION("REGEXEXTRACT(LOWER(M645), ""([a-z0-9\-]+)\.(?:co|net|org|io|gg)"")"),"yahoo")</f>
        <v>yahoo</v>
      </c>
      <c r="O645" s="9" t="s">
        <v>131</v>
      </c>
      <c r="P645" s="9" t="s">
        <v>39</v>
      </c>
      <c r="Q645" s="9">
        <v>90123</v>
      </c>
      <c r="R645" s="9">
        <v>60</v>
      </c>
      <c r="S645" s="9">
        <v>33421</v>
      </c>
      <c r="T645" s="9">
        <v>66729</v>
      </c>
      <c r="U645" s="9">
        <v>9</v>
      </c>
      <c r="V645" s="11">
        <v>3433.9142870000001</v>
      </c>
      <c r="W645" s="12">
        <f t="shared" si="14"/>
        <v>381.54603188888888</v>
      </c>
      <c r="X645" s="12">
        <f t="shared" si="15"/>
        <v>6.6575679904131019E-2</v>
      </c>
      <c r="Y645" s="12">
        <f t="shared" si="16"/>
        <v>37.083763301266046</v>
      </c>
      <c r="Z645" s="12">
        <f t="shared" si="17"/>
        <v>102.74720346488735</v>
      </c>
      <c r="AA645" s="12">
        <f t="shared" si="18"/>
        <v>38.102529731589051</v>
      </c>
      <c r="AB645" s="12">
        <f t="shared" si="19"/>
        <v>57.231904783333334</v>
      </c>
      <c r="AC645" s="12">
        <f t="shared" si="20"/>
        <v>15</v>
      </c>
      <c r="AE645" s="13"/>
      <c r="AF645" s="13"/>
    </row>
    <row r="646" spans="1:32">
      <c r="A646" s="8" t="s">
        <v>2163</v>
      </c>
      <c r="B646" s="9" t="s">
        <v>41</v>
      </c>
      <c r="C646" s="9" t="s">
        <v>214</v>
      </c>
      <c r="D646" s="9" t="s">
        <v>326</v>
      </c>
      <c r="E646" s="9" t="s">
        <v>2164</v>
      </c>
      <c r="F646" s="9" t="str">
        <f ca="1">IFERROR(__xludf.DUMMYFUNCTION("IFS(
  REGEXMATCH(LOWER(VLOOKUP(A646, Data1_Raw_Slack!A:B, 2, FALSE)), ""news|weather""), ""News and Weather"", REGEXMATCH(LOWER(VLOOKUP(A646, Data1_Raw_Slack!A:B, 2, FALSE)), ""sports|ufc|nba|nfl|mlb|soccer|sports fans""), ""Sports"",
  REGEXMATCH(LOWER("&amp;"VLOOKUP(A646, Data1_Raw_Slack!A:B, 2, FALSE)), ""fashion|style|clothing|apparel|shoes|accessories|beauty|cosmetics|fashionistas""), ""Fashion and Beauty"",
  REGEXMATCH(LOWER(VLOOKUP(A646, Data1_Raw_Slack!A:B, 2, FALSE)), ""food|cooking|recipe|restaurant|"&amp;"snack|grocery|foodies""), ""Food"",
  REGEXMATCH(LOWER(VLOOKUP(A646, Data1_Raw_Slack!A:B, 2, FALSE)), ""travel|vacation|airline|hotel|trip|flights|travelers""), ""Travel"",
  REGEXMATCH(LOWER(VLOOKUP(A646, Data1_Raw_Slack!A:B, 2, FALSE)), ""fitness|workou"&amp;"t|gym|exercise|yoga|wellness|fitness enthusiasts""), ""Fitness"",
  REGEXMATCH(LOWER(VLOOKUP(A646, Data1_Raw_Slack!A:B, 2, FALSE)), ""health|medical|pharmacy|mental health|doctor|health-conscious""), ""Health"",
  REGEXMATCH(LOWER(VLOOKUP(A646, Data1_Raw_"&amp;"Slack!A:B, 2, FALSE)), ""pets|dogs|cats|animals|pet care|pet lovers""), ""Pets"",
  REGEXMATCH(LOWER(VLOOKUP(A646, Data1_Raw_Slack!A:B, 2, FALSE)), ""games|gaming|game|xbox|playstation|nintendo|gamers""), ""Gaming"",
  REGEXMATCH(LOWER(VLOOKUP(A646, Data1"&amp;"_Raw_Slack!A:B, 2, FALSE)), ""entertainment|movies|tv|netflix|streaming|celebrity|movie lovers|tv fans|hobb|photo|art""), ""Entertainment"",
  REGEXMATCH(LOWER(VLOOKUP(A646, Data1_Raw_Slack!A:B, 2, FALSE)), ""lifestyle|home|interior|decor|living|lifestyle"&amp;" enthusiasts""), ""Lifestyle"",
  REGEXMATCH(LOWER(VLOOKUP(A646, Data1_Raw_Slack!A:B, 2, FALSE)), ""financial|finance|investing|stocks|retirement|banking|credit|debt|loans|savings|personal finance|insurance|econ|ecom|business|retail|occupation|sale|job|ma"&amp;"rketing""), ""Finance"",
  REGEXMATCH(LOWER(VLOOKUP(A646, Data1_Raw_Slack!A:B, 2, FALSE)), ""auto|automotive""), ""Auto"",
  REGEXMATCH(LOWER(VLOOKUP(A646, Data1_Raw_Slack!A:B, 2, FALSE)), ""parenting|moms|dads|kids|toddlers|baby|parent|children""), ""Par"&amp;"enting"",
  REGEXMATCH(LOWER(VLOOKUP(A646, Data1_Raw_Slack!A:B, 2, FALSE)), ""education|students|learning|school|teachers|college|university|academics""), ""Education"",
  REGEXMATCH(LOWER(VLOOKUP(A646, Data1_Raw_Slack!A:B, 2, FALSE)), ""age|gender|dem"&amp;"ographic|family|household""), ""Demographics"",
  REGEXMATCH(LOWER(VLOOKUP(A646, Data1_Raw_Slack!A:B, 2, FALSE)), ""mortgage|real estate""), ""Real Estate"",REGEXMATCH(LOWER(VLOOKUP(A646, Data1_Raw_Slack!A:B, 2, FALSE)), ""technology|tech|gadgets|smartpho"&amp;"ne|electro|apps|devices|computing|ai|robots|software|computer|internet|tele|mobile|tablet""), ""Technology"", REGEXMATCH(LOWER(VLOOKUP(A646, Data1_Raw_Slack!A:B, 2, FALSE)), ""entertainment|purchas|movies|tv|netflix|streaming|celebrity|movie lovers|tv fan"&amp;"s|media|hobb|photo|art|shop""), ""Entertainment"", REGEXMATCH(LOWER(VLOOKUP(A646, Data1_Raw_Slack!A:B, 2, FALSE)), ""law|government|""), ""Law and Government"",
  TRUE, ""Other""
)"),"Demographics")</f>
        <v>Demographics</v>
      </c>
      <c r="G646" s="9"/>
      <c r="H646" s="9" t="s">
        <v>44</v>
      </c>
      <c r="I646" s="9" t="s">
        <v>1049</v>
      </c>
      <c r="J646" s="9" t="s">
        <v>80</v>
      </c>
      <c r="K646" s="9" t="s">
        <v>56</v>
      </c>
      <c r="L646" s="9" t="s">
        <v>57</v>
      </c>
      <c r="M646" s="10" t="s">
        <v>130</v>
      </c>
      <c r="N646" s="9" t="str">
        <f ca="1">IFERROR(__xludf.DUMMYFUNCTION("REGEXEXTRACT(LOWER(M646), ""([a-z0-9\-]+)\.(?:co|net|org|io|gg)"")"),"weather")</f>
        <v>weather</v>
      </c>
      <c r="O646" s="9" t="s">
        <v>50</v>
      </c>
      <c r="P646" s="9" t="s">
        <v>39</v>
      </c>
      <c r="Q646" s="9">
        <v>198163</v>
      </c>
      <c r="R646" s="9">
        <v>469</v>
      </c>
      <c r="S646" s="9">
        <v>76695</v>
      </c>
      <c r="T646" s="9">
        <v>183585</v>
      </c>
      <c r="U646" s="9">
        <v>31</v>
      </c>
      <c r="V646" s="11">
        <v>5204.313768</v>
      </c>
      <c r="W646" s="12">
        <f t="shared" si="14"/>
        <v>167.88108929032259</v>
      </c>
      <c r="X646" s="12">
        <f t="shared" si="15"/>
        <v>0.23667384930587446</v>
      </c>
      <c r="Y646" s="12">
        <f t="shared" si="16"/>
        <v>38.702986934997959</v>
      </c>
      <c r="Z646" s="12">
        <f t="shared" si="17"/>
        <v>67.857275806767063</v>
      </c>
      <c r="AA646" s="12">
        <f t="shared" si="18"/>
        <v>26.262792589938584</v>
      </c>
      <c r="AB646" s="12">
        <f t="shared" si="19"/>
        <v>11.096617842217483</v>
      </c>
      <c r="AC646" s="12">
        <f t="shared" si="20"/>
        <v>6.6098081023454158</v>
      </c>
      <c r="AE646" s="13"/>
      <c r="AF646" s="13"/>
    </row>
    <row r="647" spans="1:32">
      <c r="A647" s="8" t="s">
        <v>2165</v>
      </c>
      <c r="B647" s="9" t="s">
        <v>2051</v>
      </c>
      <c r="C647" s="9" t="s">
        <v>2166</v>
      </c>
      <c r="D647" s="9"/>
      <c r="E647" s="9"/>
      <c r="F647" s="9" t="str">
        <f ca="1">IFERROR(__xludf.DUMMYFUNCTION("IFS(
  REGEXMATCH(LOWER(VLOOKUP(A647, Data1_Raw_Slack!A:B, 2, FALSE)), ""news|weather""), ""News and Weather"", REGEXMATCH(LOWER(VLOOKUP(A647, Data1_Raw_Slack!A:B, 2, FALSE)), ""sports|ufc|nba|nfl|mlb|soccer|sports fans""), ""Sports"",
  REGEXMATCH(LOWER("&amp;"VLOOKUP(A647, Data1_Raw_Slack!A:B, 2, FALSE)), ""fashion|style|clothing|apparel|shoes|accessories|beauty|cosmetics|fashionistas""), ""Fashion and Beauty"",
  REGEXMATCH(LOWER(VLOOKUP(A647, Data1_Raw_Slack!A:B, 2, FALSE)), ""food|cooking|recipe|restaurant|"&amp;"snack|grocery|foodies""), ""Food"",
  REGEXMATCH(LOWER(VLOOKUP(A647, Data1_Raw_Slack!A:B, 2, FALSE)), ""travel|vacation|airline|hotel|trip|flights|travelers""), ""Travel"",
  REGEXMATCH(LOWER(VLOOKUP(A647, Data1_Raw_Slack!A:B, 2, FALSE)), ""fitness|workou"&amp;"t|gym|exercise|yoga|wellness|fitness enthusiasts""), ""Fitness"",
  REGEXMATCH(LOWER(VLOOKUP(A647, Data1_Raw_Slack!A:B, 2, FALSE)), ""health|medical|pharmacy|mental health|doctor|health-conscious""), ""Health"",
  REGEXMATCH(LOWER(VLOOKUP(A647, Data1_Raw_"&amp;"Slack!A:B, 2, FALSE)), ""pets|dogs|cats|animals|pet care|pet lovers""), ""Pets"",
  REGEXMATCH(LOWER(VLOOKUP(A647, Data1_Raw_Slack!A:B, 2, FALSE)), ""games|gaming|game|xbox|playstation|nintendo|gamers""), ""Gaming"",
  REGEXMATCH(LOWER(VLOOKUP(A647, Data1"&amp;"_Raw_Slack!A:B, 2, FALSE)), ""entertainment|movies|tv|netflix|streaming|celebrity|movie lovers|tv fans|hobb|photo|art""), ""Entertainment"",
  REGEXMATCH(LOWER(VLOOKUP(A647, Data1_Raw_Slack!A:B, 2, FALSE)), ""lifestyle|home|interior|decor|living|lifestyle"&amp;" enthusiasts""), ""Lifestyle"",
  REGEXMATCH(LOWER(VLOOKUP(A647, Data1_Raw_Slack!A:B, 2, FALSE)), ""financial|finance|investing|stocks|retirement|banking|credit|debt|loans|savings|personal finance|insurance|econ|ecom|business|retail|occupation|sale|job|ma"&amp;"rketing""), ""Finance"",
  REGEXMATCH(LOWER(VLOOKUP(A647, Data1_Raw_Slack!A:B, 2, FALSE)), ""auto|automotive""), ""Auto"",
  REGEXMATCH(LOWER(VLOOKUP(A647, Data1_Raw_Slack!A:B, 2, FALSE)), ""parenting|moms|dads|kids|toddlers|baby|parent|children""), ""Par"&amp;"enting"",
  REGEXMATCH(LOWER(VLOOKUP(A647, Data1_Raw_Slack!A:B, 2, FALSE)), ""education|students|learning|school|teachers|college|university|academics""), ""Education"",
  REGEXMATCH(LOWER(VLOOKUP(A647, Data1_Raw_Slack!A:B, 2, FALSE)), ""age|gender|dem"&amp;"ographic|family|household""), ""Demographics"",
  REGEXMATCH(LOWER(VLOOKUP(A647, Data1_Raw_Slack!A:B, 2, FALSE)), ""mortgage|real estate""), ""Real Estate"",REGEXMATCH(LOWER(VLOOKUP(A647, Data1_Raw_Slack!A:B, 2, FALSE)), ""technology|tech|gadgets|smartpho"&amp;"ne|electro|apps|devices|computing|ai|robots|software|computer|internet|tele|mobile|tablet""), ""Technology"", REGEXMATCH(LOWER(VLOOKUP(A647, Data1_Raw_Slack!A:B, 2, FALSE)), ""entertainment|purchas|movies|tv|netflix|streaming|celebrity|movie lovers|tv fan"&amp;"s|media|hobb|photo|art|shop""), ""Entertainment"", REGEXMATCH(LOWER(VLOOKUP(A647, Data1_Raw_Slack!A:B, 2, FALSE)), ""law|government|""), ""Law and Government"",
  TRUE, ""Other""
)"),"Finance")</f>
        <v>Finance</v>
      </c>
      <c r="G647" s="9"/>
      <c r="H647" s="9" t="s">
        <v>44</v>
      </c>
      <c r="I647" s="9" t="s">
        <v>1904</v>
      </c>
      <c r="J647" s="9" t="s">
        <v>80</v>
      </c>
      <c r="K647" s="9" t="s">
        <v>56</v>
      </c>
      <c r="L647" s="9" t="s">
        <v>57</v>
      </c>
      <c r="M647" s="10" t="s">
        <v>2167</v>
      </c>
      <c r="N647" s="9" t="str">
        <f ca="1">IFERROR(__xludf.DUMMYFUNCTION("REGEXEXTRACT(LOWER(M647), ""([a-z0-9\-]+)\.(?:co|net|org|io|gg)"")"),"yahoo")</f>
        <v>yahoo</v>
      </c>
      <c r="O647" s="9" t="s">
        <v>103</v>
      </c>
      <c r="P647" s="9" t="s">
        <v>64</v>
      </c>
      <c r="Q647" s="9">
        <v>12770</v>
      </c>
      <c r="R647" s="9">
        <v>84</v>
      </c>
      <c r="S647" s="9">
        <v>6224</v>
      </c>
      <c r="T647" s="9">
        <v>11110</v>
      </c>
      <c r="U647" s="9">
        <v>21</v>
      </c>
      <c r="V647" s="11">
        <v>2087.5098269999999</v>
      </c>
      <c r="W647" s="12">
        <f t="shared" si="14"/>
        <v>99.405229857142857</v>
      </c>
      <c r="X647" s="12">
        <f t="shared" si="15"/>
        <v>0.65779169929522319</v>
      </c>
      <c r="Y647" s="12">
        <f t="shared" si="16"/>
        <v>48.739232576350823</v>
      </c>
      <c r="Z647" s="12">
        <f t="shared" si="17"/>
        <v>335.39682310411308</v>
      </c>
      <c r="AA647" s="12">
        <f t="shared" si="18"/>
        <v>163.46983766640562</v>
      </c>
      <c r="AB647" s="12">
        <f t="shared" si="19"/>
        <v>24.851307464285714</v>
      </c>
      <c r="AC647" s="12">
        <f t="shared" si="20"/>
        <v>25</v>
      </c>
      <c r="AE647" s="13"/>
      <c r="AF647" s="13"/>
    </row>
    <row r="648" spans="1:32">
      <c r="A648" s="8" t="s">
        <v>2168</v>
      </c>
      <c r="B648" s="9" t="s">
        <v>67</v>
      </c>
      <c r="C648" s="9" t="s">
        <v>545</v>
      </c>
      <c r="D648" s="9" t="s">
        <v>546</v>
      </c>
      <c r="E648" s="9" t="s">
        <v>168</v>
      </c>
      <c r="F648" s="9" t="str">
        <f ca="1">IFERROR(__xludf.DUMMYFUNCTION("IFS(
  REGEXMATCH(LOWER(VLOOKUP(A648, Data1_Raw_Slack!A:B, 2, FALSE)), ""news|weather""), ""News and Weather"", REGEXMATCH(LOWER(VLOOKUP(A648, Data1_Raw_Slack!A:B, 2, FALSE)), ""sports|ufc|nba|nfl|mlb|soccer|sports fans""), ""Sports"",
  REGEXMATCH(LOWER("&amp;"VLOOKUP(A648, Data1_Raw_Slack!A:B, 2, FALSE)), ""fashion|style|clothing|apparel|shoes|accessories|beauty|cosmetics|fashionistas""), ""Fashion and Beauty"",
  REGEXMATCH(LOWER(VLOOKUP(A648, Data1_Raw_Slack!A:B, 2, FALSE)), ""food|cooking|recipe|restaurant|"&amp;"snack|grocery|foodies""), ""Food"",
  REGEXMATCH(LOWER(VLOOKUP(A648, Data1_Raw_Slack!A:B, 2, FALSE)), ""travel|vacation|airline|hotel|trip|flights|travelers""), ""Travel"",
  REGEXMATCH(LOWER(VLOOKUP(A648, Data1_Raw_Slack!A:B, 2, FALSE)), ""fitness|workou"&amp;"t|gym|exercise|yoga|wellness|fitness enthusiasts""), ""Fitness"",
  REGEXMATCH(LOWER(VLOOKUP(A648, Data1_Raw_Slack!A:B, 2, FALSE)), ""health|medical|pharmacy|mental health|doctor|health-conscious""), ""Health"",
  REGEXMATCH(LOWER(VLOOKUP(A648, Data1_Raw_"&amp;"Slack!A:B, 2, FALSE)), ""pets|dogs|cats|animals|pet care|pet lovers""), ""Pets"",
  REGEXMATCH(LOWER(VLOOKUP(A648, Data1_Raw_Slack!A:B, 2, FALSE)), ""games|gaming|game|xbox|playstation|nintendo|gamers""), ""Gaming"",
  REGEXMATCH(LOWER(VLOOKUP(A648, Data1"&amp;"_Raw_Slack!A:B, 2, FALSE)), ""entertainment|movies|tv|netflix|streaming|celebrity|movie lovers|tv fans|hobb|photo|art""), ""Entertainment"",
  REGEXMATCH(LOWER(VLOOKUP(A648, Data1_Raw_Slack!A:B, 2, FALSE)), ""lifestyle|home|interior|decor|living|lifestyle"&amp;" enthusiasts""), ""Lifestyle"",
  REGEXMATCH(LOWER(VLOOKUP(A648, Data1_Raw_Slack!A:B, 2, FALSE)), ""financial|finance|investing|stocks|retirement|banking|credit|debt|loans|savings|personal finance|insurance|econ|ecom|business|retail|occupation|sale|job|ma"&amp;"rketing""), ""Finance"",
  REGEXMATCH(LOWER(VLOOKUP(A648, Data1_Raw_Slack!A:B, 2, FALSE)), ""auto|automotive""), ""Auto"",
  REGEXMATCH(LOWER(VLOOKUP(A648, Data1_Raw_Slack!A:B, 2, FALSE)), ""parenting|moms|dads|kids|toddlers|baby|parent|children""), ""Par"&amp;"enting"",
  REGEXMATCH(LOWER(VLOOKUP(A648, Data1_Raw_Slack!A:B, 2, FALSE)), ""education|students|learning|school|teachers|college|university|academics""), ""Education"",
  REGEXMATCH(LOWER(VLOOKUP(A648, Data1_Raw_Slack!A:B, 2, FALSE)), ""age|gender|dem"&amp;"ographic|family|household""), ""Demographics"",
  REGEXMATCH(LOWER(VLOOKUP(A648, Data1_Raw_Slack!A:B, 2, FALSE)), ""mortgage|real estate""), ""Real Estate"",REGEXMATCH(LOWER(VLOOKUP(A648, Data1_Raw_Slack!A:B, 2, FALSE)), ""technology|tech|gadgets|smartpho"&amp;"ne|electro|apps|devices|computing|ai|robots|software|computer|internet|tele|mobile|tablet""), ""Technology"", REGEXMATCH(LOWER(VLOOKUP(A648, Data1_Raw_Slack!A:B, 2, FALSE)), ""entertainment|purchas|movies|tv|netflix|streaming|celebrity|movie lovers|tv fan"&amp;"s|media|hobb|photo|art|shop""), ""Entertainment"", REGEXMATCH(LOWER(VLOOKUP(A648, Data1_Raw_Slack!A:B, 2, FALSE)), ""law|government|""), ""Law and Government"",
  TRUE, ""Other""
)"),"Entertainment")</f>
        <v>Entertainment</v>
      </c>
      <c r="G648" s="9" t="s">
        <v>69</v>
      </c>
      <c r="H648" s="9" t="s">
        <v>44</v>
      </c>
      <c r="I648" s="9" t="s">
        <v>1084</v>
      </c>
      <c r="J648" s="9" t="s">
        <v>46</v>
      </c>
      <c r="K648" s="9" t="s">
        <v>443</v>
      </c>
      <c r="L648" s="9" t="s">
        <v>72</v>
      </c>
      <c r="M648" s="10" t="s">
        <v>354</v>
      </c>
      <c r="N648" s="9" t="str">
        <f ca="1">IFERROR(__xludf.DUMMYFUNCTION("REGEXEXTRACT(LOWER(M648), ""([a-z0-9\-]+)\.(?:co|net|org|io|gg)"")"),"yahoo")</f>
        <v>yahoo</v>
      </c>
      <c r="O648" s="9" t="s">
        <v>50</v>
      </c>
      <c r="P648" s="9" t="s">
        <v>64</v>
      </c>
      <c r="Q648" s="9">
        <v>17049</v>
      </c>
      <c r="R648" s="9">
        <v>84</v>
      </c>
      <c r="S648" s="9">
        <v>191</v>
      </c>
      <c r="T648" s="9">
        <v>15564</v>
      </c>
      <c r="U648" s="9">
        <v>15</v>
      </c>
      <c r="V648" s="11">
        <v>2144.489587</v>
      </c>
      <c r="W648" s="12">
        <f t="shared" si="14"/>
        <v>142.96597246666667</v>
      </c>
      <c r="X648" s="12">
        <f t="shared" si="15"/>
        <v>0.49269751891606545</v>
      </c>
      <c r="Y648" s="12">
        <f t="shared" si="16"/>
        <v>1.1203003108686727</v>
      </c>
      <c r="Z648" s="12">
        <f t="shared" si="17"/>
        <v>11227.694172774869</v>
      </c>
      <c r="AA648" s="12">
        <f t="shared" si="18"/>
        <v>125.7838927209807</v>
      </c>
      <c r="AB648" s="12">
        <f t="shared" si="19"/>
        <v>25.529637940476192</v>
      </c>
      <c r="AC648" s="12">
        <f t="shared" si="20"/>
        <v>17.857142857142858</v>
      </c>
      <c r="AE648" s="13"/>
      <c r="AF648" s="13"/>
    </row>
    <row r="649" spans="1:32">
      <c r="A649" s="8" t="s">
        <v>2169</v>
      </c>
      <c r="B649" s="9" t="s">
        <v>41</v>
      </c>
      <c r="C649" s="9" t="s">
        <v>214</v>
      </c>
      <c r="D649" s="9" t="s">
        <v>326</v>
      </c>
      <c r="E649" s="9" t="s">
        <v>2170</v>
      </c>
      <c r="F649" s="9" t="str">
        <f ca="1">IFERROR(__xludf.DUMMYFUNCTION("IFS(
  REGEXMATCH(LOWER(VLOOKUP(A649, Data1_Raw_Slack!A:B, 2, FALSE)), ""news|weather""), ""News and Weather"", REGEXMATCH(LOWER(VLOOKUP(A649, Data1_Raw_Slack!A:B, 2, FALSE)), ""sports|ufc|nba|nfl|mlb|soccer|sports fans""), ""Sports"",
  REGEXMATCH(LOWER("&amp;"VLOOKUP(A649, Data1_Raw_Slack!A:B, 2, FALSE)), ""fashion|style|clothing|apparel|shoes|accessories|beauty|cosmetics|fashionistas""), ""Fashion and Beauty"",
  REGEXMATCH(LOWER(VLOOKUP(A649, Data1_Raw_Slack!A:B, 2, FALSE)), ""food|cooking|recipe|restaurant|"&amp;"snack|grocery|foodies""), ""Food"",
  REGEXMATCH(LOWER(VLOOKUP(A649, Data1_Raw_Slack!A:B, 2, FALSE)), ""travel|vacation|airline|hotel|trip|flights|travelers""), ""Travel"",
  REGEXMATCH(LOWER(VLOOKUP(A649, Data1_Raw_Slack!A:B, 2, FALSE)), ""fitness|workou"&amp;"t|gym|exercise|yoga|wellness|fitness enthusiasts""), ""Fitness"",
  REGEXMATCH(LOWER(VLOOKUP(A649, Data1_Raw_Slack!A:B, 2, FALSE)), ""health|medical|pharmacy|mental health|doctor|health-conscious""), ""Health"",
  REGEXMATCH(LOWER(VLOOKUP(A649, Data1_Raw_"&amp;"Slack!A:B, 2, FALSE)), ""pets|dogs|cats|animals|pet care|pet lovers""), ""Pets"",
  REGEXMATCH(LOWER(VLOOKUP(A649, Data1_Raw_Slack!A:B, 2, FALSE)), ""games|gaming|game|xbox|playstation|nintendo|gamers""), ""Gaming"",
  REGEXMATCH(LOWER(VLOOKUP(A649, Data1"&amp;"_Raw_Slack!A:B, 2, FALSE)), ""entertainment|movies|tv|netflix|streaming|celebrity|movie lovers|tv fans|hobb|photo|art""), ""Entertainment"",
  REGEXMATCH(LOWER(VLOOKUP(A649, Data1_Raw_Slack!A:B, 2, FALSE)), ""lifestyle|home|interior|decor|living|lifestyle"&amp;" enthusiasts""), ""Lifestyle"",
  REGEXMATCH(LOWER(VLOOKUP(A649, Data1_Raw_Slack!A:B, 2, FALSE)), ""financial|finance|investing|stocks|retirement|banking|credit|debt|loans|savings|personal finance|insurance|econ|ecom|business|retail|occupation|sale|job|ma"&amp;"rketing""), ""Finance"",
  REGEXMATCH(LOWER(VLOOKUP(A649, Data1_Raw_Slack!A:B, 2, FALSE)), ""auto|automotive""), ""Auto"",
  REGEXMATCH(LOWER(VLOOKUP(A649, Data1_Raw_Slack!A:B, 2, FALSE)), ""parenting|moms|dads|kids|toddlers|baby|parent|children""), ""Par"&amp;"enting"",
  REGEXMATCH(LOWER(VLOOKUP(A649, Data1_Raw_Slack!A:B, 2, FALSE)), ""education|students|learning|school|teachers|college|university|academics""), ""Education"",
  REGEXMATCH(LOWER(VLOOKUP(A649, Data1_Raw_Slack!A:B, 2, FALSE)), ""age|gender|dem"&amp;"ographic|family|household""), ""Demographics"",
  REGEXMATCH(LOWER(VLOOKUP(A649, Data1_Raw_Slack!A:B, 2, FALSE)), ""mortgage|real estate""), ""Real Estate"",REGEXMATCH(LOWER(VLOOKUP(A649, Data1_Raw_Slack!A:B, 2, FALSE)), ""technology|tech|gadgets|smartpho"&amp;"ne|electro|apps|devices|computing|ai|robots|software|computer|internet|tele|mobile|tablet""), ""Technology"", REGEXMATCH(LOWER(VLOOKUP(A649, Data1_Raw_Slack!A:B, 2, FALSE)), ""entertainment|purchas|movies|tv|netflix|streaming|celebrity|movie lovers|tv fan"&amp;"s|media|hobb|photo|art|shop""), ""Entertainment"", REGEXMATCH(LOWER(VLOOKUP(A649, Data1_Raw_Slack!A:B, 2, FALSE)), ""law|government|""), ""Law and Government"",
  TRUE, ""Other""
)"),"Demographics")</f>
        <v>Demographics</v>
      </c>
      <c r="G649" s="9"/>
      <c r="H649" s="9" t="s">
        <v>32</v>
      </c>
      <c r="I649" s="9" t="s">
        <v>2171</v>
      </c>
      <c r="J649" s="9" t="s">
        <v>62</v>
      </c>
      <c r="K649" s="9" t="s">
        <v>908</v>
      </c>
      <c r="L649" s="9" t="s">
        <v>36</v>
      </c>
      <c r="M649" s="10" t="s">
        <v>2172</v>
      </c>
      <c r="N649" s="9" t="str">
        <f ca="1">IFERROR(__xludf.DUMMYFUNCTION("REGEXEXTRACT(LOWER(M649), ""([a-z0-9\-]+)\.(?:co|net|org|io|gg)"")"),"kiplinger")</f>
        <v>kiplinger</v>
      </c>
      <c r="O649" s="9" t="s">
        <v>157</v>
      </c>
      <c r="P649" s="9" t="s">
        <v>39</v>
      </c>
      <c r="Q649" s="9">
        <v>8233</v>
      </c>
      <c r="R649" s="9">
        <v>65</v>
      </c>
      <c r="S649" s="9">
        <v>5361</v>
      </c>
      <c r="T649" s="9">
        <v>7643</v>
      </c>
      <c r="U649" s="9">
        <v>4</v>
      </c>
      <c r="V649" s="11">
        <v>6381.0065759999998</v>
      </c>
      <c r="W649" s="12">
        <f t="shared" si="14"/>
        <v>1595.2516439999999</v>
      </c>
      <c r="X649" s="12">
        <f t="shared" si="15"/>
        <v>0.78950564800194334</v>
      </c>
      <c r="Y649" s="12">
        <f t="shared" si="16"/>
        <v>65.115996599052593</v>
      </c>
      <c r="Z649" s="12">
        <f t="shared" si="17"/>
        <v>1190.2642372691662</v>
      </c>
      <c r="AA649" s="12">
        <f t="shared" si="18"/>
        <v>775.05242025992948</v>
      </c>
      <c r="AB649" s="12">
        <f t="shared" si="19"/>
        <v>98.169331938461539</v>
      </c>
      <c r="AC649" s="12">
        <f t="shared" si="20"/>
        <v>6.1538461538461542</v>
      </c>
      <c r="AE649" s="13"/>
      <c r="AF649" s="13"/>
    </row>
    <row r="650" spans="1:32">
      <c r="A650" s="8" t="s">
        <v>2173</v>
      </c>
      <c r="B650" s="9" t="s">
        <v>41</v>
      </c>
      <c r="C650" s="9" t="s">
        <v>42</v>
      </c>
      <c r="D650" s="9" t="s">
        <v>2174</v>
      </c>
      <c r="E650" s="9"/>
      <c r="F650" s="9" t="str">
        <f ca="1">IFERROR(__xludf.DUMMYFUNCTION("IFS(
  REGEXMATCH(LOWER(VLOOKUP(A650, Data1_Raw_Slack!A:B, 2, FALSE)), ""news|weather""), ""News and Weather"", REGEXMATCH(LOWER(VLOOKUP(A650, Data1_Raw_Slack!A:B, 2, FALSE)), ""sports|ufc|nba|nfl|mlb|soccer|sports fans""), ""Sports"",
  REGEXMATCH(LOWER("&amp;"VLOOKUP(A650, Data1_Raw_Slack!A:B, 2, FALSE)), ""fashion|style|clothing|apparel|shoes|accessories|beauty|cosmetics|fashionistas""), ""Fashion and Beauty"",
  REGEXMATCH(LOWER(VLOOKUP(A650, Data1_Raw_Slack!A:B, 2, FALSE)), ""food|cooking|recipe|restaurant|"&amp;"snack|grocery|foodies""), ""Food"",
  REGEXMATCH(LOWER(VLOOKUP(A650, Data1_Raw_Slack!A:B, 2, FALSE)), ""travel|vacation|airline|hotel|trip|flights|travelers""), ""Travel"",
  REGEXMATCH(LOWER(VLOOKUP(A650, Data1_Raw_Slack!A:B, 2, FALSE)), ""fitness|workou"&amp;"t|gym|exercise|yoga|wellness|fitness enthusiasts""), ""Fitness"",
  REGEXMATCH(LOWER(VLOOKUP(A650, Data1_Raw_Slack!A:B, 2, FALSE)), ""health|medical|pharmacy|mental health|doctor|health-conscious""), ""Health"",
  REGEXMATCH(LOWER(VLOOKUP(A650, Data1_Raw_"&amp;"Slack!A:B, 2, FALSE)), ""pets|dogs|cats|animals|pet care|pet lovers""), ""Pets"",
  REGEXMATCH(LOWER(VLOOKUP(A650, Data1_Raw_Slack!A:B, 2, FALSE)), ""games|gaming|game|xbox|playstation|nintendo|gamers""), ""Gaming"",
  REGEXMATCH(LOWER(VLOOKUP(A650, Data1"&amp;"_Raw_Slack!A:B, 2, FALSE)), ""entertainment|movies|tv|netflix|streaming|celebrity|movie lovers|tv fans|hobb|photo|art""), ""Entertainment"",
  REGEXMATCH(LOWER(VLOOKUP(A650, Data1_Raw_Slack!A:B, 2, FALSE)), ""lifestyle|home|interior|decor|living|lifestyle"&amp;" enthusiasts""), ""Lifestyle"",
  REGEXMATCH(LOWER(VLOOKUP(A650, Data1_Raw_Slack!A:B, 2, FALSE)), ""financial|finance|investing|stocks|retirement|banking|credit|debt|loans|savings|personal finance|insurance|econ|ecom|business|retail|occupation|sale|job|ma"&amp;"rketing""), ""Finance"",
  REGEXMATCH(LOWER(VLOOKUP(A650, Data1_Raw_Slack!A:B, 2, FALSE)), ""auto|automotive""), ""Auto"",
  REGEXMATCH(LOWER(VLOOKUP(A650, Data1_Raw_Slack!A:B, 2, FALSE)), ""parenting|moms|dads|kids|toddlers|baby|parent|children""), ""Par"&amp;"enting"",
  REGEXMATCH(LOWER(VLOOKUP(A650, Data1_Raw_Slack!A:B, 2, FALSE)), ""education|students|learning|school|teachers|college|university|academics""), ""Education"",
  REGEXMATCH(LOWER(VLOOKUP(A650, Data1_Raw_Slack!A:B, 2, FALSE)), ""age|gender|dem"&amp;"ographic|family|household""), ""Demographics"",
  REGEXMATCH(LOWER(VLOOKUP(A650, Data1_Raw_Slack!A:B, 2, FALSE)), ""mortgage|real estate""), ""Real Estate"",REGEXMATCH(LOWER(VLOOKUP(A650, Data1_Raw_Slack!A:B, 2, FALSE)), ""technology|tech|gadgets|smartpho"&amp;"ne|electro|apps|devices|computing|ai|robots|software|computer|internet|tele|mobile|tablet""), ""Technology"", REGEXMATCH(LOWER(VLOOKUP(A650, Data1_Raw_Slack!A:B, 2, FALSE)), ""entertainment|purchas|movies|tv|netflix|streaming|celebrity|movie lovers|tv fan"&amp;"s|media|hobb|photo|art|shop""), ""Entertainment"", REGEXMATCH(LOWER(VLOOKUP(A650, Data1_Raw_Slack!A:B, 2, FALSE)), ""law|government|""), ""Law and Government"",
  TRUE, ""Other""
)"),"Law and Government")</f>
        <v>Law and Government</v>
      </c>
      <c r="G650" s="9"/>
      <c r="H650" s="9" t="s">
        <v>44</v>
      </c>
      <c r="I650" s="9" t="s">
        <v>1326</v>
      </c>
      <c r="J650" s="9" t="s">
        <v>46</v>
      </c>
      <c r="K650" s="9" t="s">
        <v>88</v>
      </c>
      <c r="L650" s="9" t="s">
        <v>89</v>
      </c>
      <c r="M650" s="10" t="s">
        <v>295</v>
      </c>
      <c r="N650" s="9" t="str">
        <f ca="1">IFERROR(__xludf.DUMMYFUNCTION("REGEXEXTRACT(LOWER(M650), ""([a-z0-9\-]+)\.(?:co|net|org|io|gg)"")"),"yahoo")</f>
        <v>yahoo</v>
      </c>
      <c r="O650" s="9" t="s">
        <v>50</v>
      </c>
      <c r="P650" s="9" t="s">
        <v>75</v>
      </c>
      <c r="Q650" s="9">
        <v>127090</v>
      </c>
      <c r="R650" s="9">
        <v>299</v>
      </c>
      <c r="S650" s="9">
        <v>30178</v>
      </c>
      <c r="T650" s="9">
        <v>113438</v>
      </c>
      <c r="U650" s="9">
        <v>24</v>
      </c>
      <c r="V650" s="11">
        <v>5808.9112539999996</v>
      </c>
      <c r="W650" s="12">
        <f t="shared" si="14"/>
        <v>242.03796891666664</v>
      </c>
      <c r="X650" s="12">
        <f t="shared" si="15"/>
        <v>0.23526634668345267</v>
      </c>
      <c r="Y650" s="12">
        <f t="shared" si="16"/>
        <v>23.745377291683059</v>
      </c>
      <c r="Z650" s="12">
        <f t="shared" si="17"/>
        <v>192.48827801709854</v>
      </c>
      <c r="AA650" s="12">
        <f t="shared" si="18"/>
        <v>45.707067857423873</v>
      </c>
      <c r="AB650" s="12">
        <f t="shared" si="19"/>
        <v>19.4277968361204</v>
      </c>
      <c r="AC650" s="12">
        <f t="shared" si="20"/>
        <v>8.0267558528428093</v>
      </c>
      <c r="AE650" s="13"/>
      <c r="AF650" s="13"/>
    </row>
    <row r="651" spans="1:32">
      <c r="A651" s="8" t="s">
        <v>2175</v>
      </c>
      <c r="B651" s="9" t="s">
        <v>66</v>
      </c>
      <c r="C651" s="9" t="s">
        <v>85</v>
      </c>
      <c r="D651" s="9" t="s">
        <v>2176</v>
      </c>
      <c r="E651" s="9"/>
      <c r="F651" s="9" t="str">
        <f ca="1">IFERROR(__xludf.DUMMYFUNCTION("IFS(
  REGEXMATCH(LOWER(VLOOKUP(A651, Data1_Raw_Slack!A:B, 2, FALSE)), ""news|weather""), ""News and Weather"", REGEXMATCH(LOWER(VLOOKUP(A651, Data1_Raw_Slack!A:B, 2, FALSE)), ""sports|ufc|nba|nfl|mlb|soccer|sports fans""), ""Sports"",
  REGEXMATCH(LOWER("&amp;"VLOOKUP(A651, Data1_Raw_Slack!A:B, 2, FALSE)), ""fashion|style|clothing|apparel|shoes|accessories|beauty|cosmetics|fashionistas""), ""Fashion and Beauty"",
  REGEXMATCH(LOWER(VLOOKUP(A651, Data1_Raw_Slack!A:B, 2, FALSE)), ""food|cooking|recipe|restaurant|"&amp;"snack|grocery|foodies""), ""Food"",
  REGEXMATCH(LOWER(VLOOKUP(A651, Data1_Raw_Slack!A:B, 2, FALSE)), ""travel|vacation|airline|hotel|trip|flights|travelers""), ""Travel"",
  REGEXMATCH(LOWER(VLOOKUP(A651, Data1_Raw_Slack!A:B, 2, FALSE)), ""fitness|workou"&amp;"t|gym|exercise|yoga|wellness|fitness enthusiasts""), ""Fitness"",
  REGEXMATCH(LOWER(VLOOKUP(A651, Data1_Raw_Slack!A:B, 2, FALSE)), ""health|medical|pharmacy|mental health|doctor|health-conscious""), ""Health"",
  REGEXMATCH(LOWER(VLOOKUP(A651, Data1_Raw_"&amp;"Slack!A:B, 2, FALSE)), ""pets|dogs|cats|animals|pet care|pet lovers""), ""Pets"",
  REGEXMATCH(LOWER(VLOOKUP(A651, Data1_Raw_Slack!A:B, 2, FALSE)), ""games|gaming|game|xbox|playstation|nintendo|gamers""), ""Gaming"",
  REGEXMATCH(LOWER(VLOOKUP(A651, Data1"&amp;"_Raw_Slack!A:B, 2, FALSE)), ""entertainment|movies|tv|netflix|streaming|celebrity|movie lovers|tv fans|hobb|photo|art""), ""Entertainment"",
  REGEXMATCH(LOWER(VLOOKUP(A651, Data1_Raw_Slack!A:B, 2, FALSE)), ""lifestyle|home|interior|decor|living|lifestyle"&amp;" enthusiasts""), ""Lifestyle"",
  REGEXMATCH(LOWER(VLOOKUP(A651, Data1_Raw_Slack!A:B, 2, FALSE)), ""financial|finance|investing|stocks|retirement|banking|credit|debt|loans|savings|personal finance|insurance|econ|ecom|business|retail|occupation|sale|job|ma"&amp;"rketing""), ""Finance"",
  REGEXMATCH(LOWER(VLOOKUP(A651, Data1_Raw_Slack!A:B, 2, FALSE)), ""auto|automotive""), ""Auto"",
  REGEXMATCH(LOWER(VLOOKUP(A651, Data1_Raw_Slack!A:B, 2, FALSE)), ""parenting|moms|dads|kids|toddlers|baby|parent|children""), ""Par"&amp;"enting"",
  REGEXMATCH(LOWER(VLOOKUP(A651, Data1_Raw_Slack!A:B, 2, FALSE)), ""education|students|learning|school|teachers|college|university|academics""), ""Education"",
  REGEXMATCH(LOWER(VLOOKUP(A651, Data1_Raw_Slack!A:B, 2, FALSE)), ""age|gender|dem"&amp;"ographic|family|household""), ""Demographics"",
  REGEXMATCH(LOWER(VLOOKUP(A651, Data1_Raw_Slack!A:B, 2, FALSE)), ""mortgage|real estate""), ""Real Estate"",REGEXMATCH(LOWER(VLOOKUP(A651, Data1_Raw_Slack!A:B, 2, FALSE)), ""technology|tech|gadgets|smartpho"&amp;"ne|electro|apps|devices|computing|ai|robots|software|computer|internet|tele|mobile|tablet""), ""Technology"", REGEXMATCH(LOWER(VLOOKUP(A651, Data1_Raw_Slack!A:B, 2, FALSE)), ""entertainment|purchas|movies|tv|netflix|streaming|celebrity|movie lovers|tv fan"&amp;"s|media|hobb|photo|art|shop""), ""Entertainment"", REGEXMATCH(LOWER(VLOOKUP(A651, Data1_Raw_Slack!A:B, 2, FALSE)), ""law|government|""), ""Law and Government"",
  TRUE, ""Other""
)"),"Travel")</f>
        <v>Travel</v>
      </c>
      <c r="G651" s="9" t="s">
        <v>85</v>
      </c>
      <c r="H651" s="9" t="s">
        <v>44</v>
      </c>
      <c r="I651" s="9" t="s">
        <v>1588</v>
      </c>
      <c r="J651" s="9" t="s">
        <v>62</v>
      </c>
      <c r="K651" s="9" t="s">
        <v>170</v>
      </c>
      <c r="L651" s="9" t="s">
        <v>72</v>
      </c>
      <c r="M651" s="10" t="s">
        <v>430</v>
      </c>
      <c r="N651" s="9" t="str">
        <f ca="1">IFERROR(__xludf.DUMMYFUNCTION("REGEXEXTRACT(LOWER(M651), ""([a-z0-9\-]+)\.(?:co|net|org|io|gg)"")"),"biblegateway")</f>
        <v>biblegateway</v>
      </c>
      <c r="O651" s="9" t="s">
        <v>131</v>
      </c>
      <c r="P651" s="9" t="s">
        <v>39</v>
      </c>
      <c r="Q651" s="9">
        <v>188170</v>
      </c>
      <c r="R651" s="9">
        <v>490</v>
      </c>
      <c r="S651" s="9">
        <v>155266</v>
      </c>
      <c r="T651" s="9">
        <v>176562</v>
      </c>
      <c r="U651" s="9">
        <v>6</v>
      </c>
      <c r="V651" s="11">
        <v>1599.7150690000001</v>
      </c>
      <c r="W651" s="12">
        <f t="shared" si="14"/>
        <v>266.6191781666667</v>
      </c>
      <c r="X651" s="12">
        <f t="shared" si="15"/>
        <v>0.26040282723069563</v>
      </c>
      <c r="Y651" s="12">
        <f t="shared" si="16"/>
        <v>82.513684434288152</v>
      </c>
      <c r="Z651" s="12">
        <f t="shared" si="17"/>
        <v>10.303060998544433</v>
      </c>
      <c r="AA651" s="12">
        <f t="shared" si="18"/>
        <v>8.5014352394111707</v>
      </c>
      <c r="AB651" s="12">
        <f t="shared" si="19"/>
        <v>3.2647246306122453</v>
      </c>
      <c r="AC651" s="12">
        <f t="shared" si="20"/>
        <v>1.2244897959183674</v>
      </c>
      <c r="AE651" s="13"/>
      <c r="AF651" s="13"/>
    </row>
    <row r="652" spans="1:32">
      <c r="A652" s="8" t="s">
        <v>2177</v>
      </c>
      <c r="B652" s="9" t="s">
        <v>1920</v>
      </c>
      <c r="C652" s="9" t="s">
        <v>326</v>
      </c>
      <c r="D652" s="9" t="s">
        <v>717</v>
      </c>
      <c r="E652" s="9"/>
      <c r="F652" s="9" t="str">
        <f ca="1">IFERROR(__xludf.DUMMYFUNCTION("IFS(
  REGEXMATCH(LOWER(VLOOKUP(A652, Data1_Raw_Slack!A:B, 2, FALSE)), ""news|weather""), ""News and Weather"", REGEXMATCH(LOWER(VLOOKUP(A652, Data1_Raw_Slack!A:B, 2, FALSE)), ""sports|ufc|nba|nfl|mlb|soccer|sports fans""), ""Sports"",
  REGEXMATCH(LOWER("&amp;"VLOOKUP(A652, Data1_Raw_Slack!A:B, 2, FALSE)), ""fashion|style|clothing|apparel|shoes|accessories|beauty|cosmetics|fashionistas""), ""Fashion and Beauty"",
  REGEXMATCH(LOWER(VLOOKUP(A652, Data1_Raw_Slack!A:B, 2, FALSE)), ""food|cooking|recipe|restaurant|"&amp;"snack|grocery|foodies""), ""Food"",
  REGEXMATCH(LOWER(VLOOKUP(A652, Data1_Raw_Slack!A:B, 2, FALSE)), ""travel|vacation|airline|hotel|trip|flights|travelers""), ""Travel"",
  REGEXMATCH(LOWER(VLOOKUP(A652, Data1_Raw_Slack!A:B, 2, FALSE)), ""fitness|workou"&amp;"t|gym|exercise|yoga|wellness|fitness enthusiasts""), ""Fitness"",
  REGEXMATCH(LOWER(VLOOKUP(A652, Data1_Raw_Slack!A:B, 2, FALSE)), ""health|medical|pharmacy|mental health|doctor|health-conscious""), ""Health"",
  REGEXMATCH(LOWER(VLOOKUP(A652, Data1_Raw_"&amp;"Slack!A:B, 2, FALSE)), ""pets|dogs|cats|animals|pet care|pet lovers""), ""Pets"",
  REGEXMATCH(LOWER(VLOOKUP(A652, Data1_Raw_Slack!A:B, 2, FALSE)), ""games|gaming|game|xbox|playstation|nintendo|gamers""), ""Gaming"",
  REGEXMATCH(LOWER(VLOOKUP(A652, Data1"&amp;"_Raw_Slack!A:B, 2, FALSE)), ""entertainment|movies|tv|netflix|streaming|celebrity|movie lovers|tv fans|hobb|photo|art""), ""Entertainment"",
  REGEXMATCH(LOWER(VLOOKUP(A652, Data1_Raw_Slack!A:B, 2, FALSE)), ""lifestyle|home|interior|decor|living|lifestyle"&amp;" enthusiasts""), ""Lifestyle"",
  REGEXMATCH(LOWER(VLOOKUP(A652, Data1_Raw_Slack!A:B, 2, FALSE)), ""financial|finance|investing|stocks|retirement|banking|credit|debt|loans|savings|personal finance|insurance|econ|ecom|business|retail|occupation|sale|job|ma"&amp;"rketing""), ""Finance"",
  REGEXMATCH(LOWER(VLOOKUP(A652, Data1_Raw_Slack!A:B, 2, FALSE)), ""auto|automotive""), ""Auto"",
  REGEXMATCH(LOWER(VLOOKUP(A652, Data1_Raw_Slack!A:B, 2, FALSE)), ""parenting|moms|dads|kids|toddlers|baby|parent|children""), ""Par"&amp;"enting"",
  REGEXMATCH(LOWER(VLOOKUP(A652, Data1_Raw_Slack!A:B, 2, FALSE)), ""education|students|learning|school|teachers|college|university|academics""), ""Education"",
  REGEXMATCH(LOWER(VLOOKUP(A652, Data1_Raw_Slack!A:B, 2, FALSE)), ""age|gender|dem"&amp;"ographic|family|household""), ""Demographics"",
  REGEXMATCH(LOWER(VLOOKUP(A652, Data1_Raw_Slack!A:B, 2, FALSE)), ""mortgage|real estate""), ""Real Estate"",REGEXMATCH(LOWER(VLOOKUP(A652, Data1_Raw_Slack!A:B, 2, FALSE)), ""technology|tech|gadgets|smartpho"&amp;"ne|electro|apps|devices|computing|ai|robots|software|computer|internet|tele|mobile|tablet""), ""Technology"", REGEXMATCH(LOWER(VLOOKUP(A652, Data1_Raw_Slack!A:B, 2, FALSE)), ""entertainment|purchas|movies|tv|netflix|streaming|celebrity|movie lovers|tv fan"&amp;"s|media|hobb|photo|art|shop""), ""Entertainment"", REGEXMATCH(LOWER(VLOOKUP(A652, Data1_Raw_Slack!A:B, 2, FALSE)), ""law|government|""), ""Law and Government"",
  TRUE, ""Other""
)"),"Demographics")</f>
        <v>Demographics</v>
      </c>
      <c r="G652" s="9"/>
      <c r="H652" s="9" t="s">
        <v>44</v>
      </c>
      <c r="I652" s="9" t="s">
        <v>2178</v>
      </c>
      <c r="J652" s="9" t="s">
        <v>46</v>
      </c>
      <c r="K652" s="9" t="s">
        <v>274</v>
      </c>
      <c r="L652" s="9" t="s">
        <v>48</v>
      </c>
      <c r="M652" s="10" t="s">
        <v>1786</v>
      </c>
      <c r="N652" s="9" t="str">
        <f ca="1">IFERROR(__xludf.DUMMYFUNCTION("REGEXEXTRACT(LOWER(M652), ""([a-z0-9\-]+)\.(?:co|net|org|io|gg)"")"),"ajc")</f>
        <v>ajc</v>
      </c>
      <c r="O652" s="9" t="s">
        <v>131</v>
      </c>
      <c r="P652" s="9" t="s">
        <v>39</v>
      </c>
      <c r="Q652" s="9">
        <v>14136</v>
      </c>
      <c r="R652" s="9">
        <v>88</v>
      </c>
      <c r="S652" s="9">
        <v>4683</v>
      </c>
      <c r="T652" s="9">
        <v>13273</v>
      </c>
      <c r="U652" s="9">
        <v>3</v>
      </c>
      <c r="V652" s="11">
        <v>1476.5368410000001</v>
      </c>
      <c r="W652" s="12">
        <f t="shared" si="14"/>
        <v>492.17894700000005</v>
      </c>
      <c r="X652" s="12">
        <f t="shared" si="15"/>
        <v>0.62252405206564798</v>
      </c>
      <c r="Y652" s="12">
        <f t="shared" si="16"/>
        <v>33.12818336162988</v>
      </c>
      <c r="Z652" s="12">
        <f t="shared" si="17"/>
        <v>315.29721140294686</v>
      </c>
      <c r="AA652" s="12">
        <f t="shared" si="18"/>
        <v>104.45223832767402</v>
      </c>
      <c r="AB652" s="12">
        <f t="shared" si="19"/>
        <v>16.778827738636366</v>
      </c>
      <c r="AC652" s="12">
        <f t="shared" si="20"/>
        <v>3.4090909090909087</v>
      </c>
      <c r="AE652" s="13"/>
      <c r="AF652" s="13"/>
    </row>
    <row r="653" spans="1:32">
      <c r="A653" s="8" t="s">
        <v>2179</v>
      </c>
      <c r="B653" s="9" t="s">
        <v>41</v>
      </c>
      <c r="C653" s="9" t="s">
        <v>162</v>
      </c>
      <c r="D653" s="9" t="s">
        <v>163</v>
      </c>
      <c r="E653" s="9" t="s">
        <v>2180</v>
      </c>
      <c r="F653" s="9" t="str">
        <f ca="1">IFERROR(__xludf.DUMMYFUNCTION("IFS(
  REGEXMATCH(LOWER(VLOOKUP(A653, Data1_Raw_Slack!A:B, 2, FALSE)), ""news|weather""), ""News and Weather"", REGEXMATCH(LOWER(VLOOKUP(A653, Data1_Raw_Slack!A:B, 2, FALSE)), ""sports|ufc|nba|nfl|mlb|soccer|sports fans""), ""Sports"",
  REGEXMATCH(LOWER("&amp;"VLOOKUP(A653, Data1_Raw_Slack!A:B, 2, FALSE)), ""fashion|style|clothing|apparel|shoes|accessories|beauty|cosmetics|fashionistas""), ""Fashion and Beauty"",
  REGEXMATCH(LOWER(VLOOKUP(A653, Data1_Raw_Slack!A:B, 2, FALSE)), ""food|cooking|recipe|restaurant|"&amp;"snack|grocery|foodies""), ""Food"",
  REGEXMATCH(LOWER(VLOOKUP(A653, Data1_Raw_Slack!A:B, 2, FALSE)), ""travel|vacation|airline|hotel|trip|flights|travelers""), ""Travel"",
  REGEXMATCH(LOWER(VLOOKUP(A653, Data1_Raw_Slack!A:B, 2, FALSE)), ""fitness|workou"&amp;"t|gym|exercise|yoga|wellness|fitness enthusiasts""), ""Fitness"",
  REGEXMATCH(LOWER(VLOOKUP(A653, Data1_Raw_Slack!A:B, 2, FALSE)), ""health|medical|pharmacy|mental health|doctor|health-conscious""), ""Health"",
  REGEXMATCH(LOWER(VLOOKUP(A653, Data1_Raw_"&amp;"Slack!A:B, 2, FALSE)), ""pets|dogs|cats|animals|pet care|pet lovers""), ""Pets"",
  REGEXMATCH(LOWER(VLOOKUP(A653, Data1_Raw_Slack!A:B, 2, FALSE)), ""games|gaming|game|xbox|playstation|nintendo|gamers""), ""Gaming"",
  REGEXMATCH(LOWER(VLOOKUP(A653, Data1"&amp;"_Raw_Slack!A:B, 2, FALSE)), ""entertainment|movies|tv|netflix|streaming|celebrity|movie lovers|tv fans|hobb|photo|art""), ""Entertainment"",
  REGEXMATCH(LOWER(VLOOKUP(A653, Data1_Raw_Slack!A:B, 2, FALSE)), ""lifestyle|home|interior|decor|living|lifestyle"&amp;" enthusiasts""), ""Lifestyle"",
  REGEXMATCH(LOWER(VLOOKUP(A653, Data1_Raw_Slack!A:B, 2, FALSE)), ""financial|finance|investing|stocks|retirement|banking|credit|debt|loans|savings|personal finance|insurance|econ|ecom|business|retail|occupation|sale|job|ma"&amp;"rketing""), ""Finance"",
  REGEXMATCH(LOWER(VLOOKUP(A653, Data1_Raw_Slack!A:B, 2, FALSE)), ""auto|automotive""), ""Auto"",
  REGEXMATCH(LOWER(VLOOKUP(A653, Data1_Raw_Slack!A:B, 2, FALSE)), ""parenting|moms|dads|kids|toddlers|baby|parent|children""), ""Par"&amp;"enting"",
  REGEXMATCH(LOWER(VLOOKUP(A653, Data1_Raw_Slack!A:B, 2, FALSE)), ""education|students|learning|school|teachers|college|university|academics""), ""Education"",
  REGEXMATCH(LOWER(VLOOKUP(A653, Data1_Raw_Slack!A:B, 2, FALSE)), ""age|gender|dem"&amp;"ographic|family|household""), ""Demographics"",
  REGEXMATCH(LOWER(VLOOKUP(A653, Data1_Raw_Slack!A:B, 2, FALSE)), ""mortgage|real estate""), ""Real Estate"",REGEXMATCH(LOWER(VLOOKUP(A653, Data1_Raw_Slack!A:B, 2, FALSE)), ""technology|tech|gadgets|smartpho"&amp;"ne|electro|apps|devices|computing|ai|robots|software|computer|internet|tele|mobile|tablet""), ""Technology"", REGEXMATCH(LOWER(VLOOKUP(A653, Data1_Raw_Slack!A:B, 2, FALSE)), ""entertainment|purchas|movies|tv|netflix|streaming|celebrity|movie lovers|tv fan"&amp;"s|media|hobb|photo|art|shop""), ""Entertainment"", REGEXMATCH(LOWER(VLOOKUP(A653, Data1_Raw_Slack!A:B, 2, FALSE)), ""law|government|""), ""Law and Government"",
  TRUE, ""Other""
)"),"Auto")</f>
        <v>Auto</v>
      </c>
      <c r="G653" s="9" t="s">
        <v>122</v>
      </c>
      <c r="H653" s="9" t="s">
        <v>44</v>
      </c>
      <c r="I653" s="9" t="s">
        <v>2181</v>
      </c>
      <c r="J653" s="9" t="s">
        <v>34</v>
      </c>
      <c r="K653" s="9" t="s">
        <v>274</v>
      </c>
      <c r="L653" s="9" t="s">
        <v>48</v>
      </c>
      <c r="M653" s="10" t="s">
        <v>372</v>
      </c>
      <c r="N653" s="9" t="str">
        <f ca="1">IFERROR(__xludf.DUMMYFUNCTION("REGEXEXTRACT(LOWER(M653), ""([a-z0-9\-]+)\.(?:co|net|org|io|gg)"")"),"accuweather")</f>
        <v>accuweather</v>
      </c>
      <c r="O653" s="9" t="s">
        <v>109</v>
      </c>
      <c r="P653" s="9" t="s">
        <v>39</v>
      </c>
      <c r="Q653" s="9">
        <v>10501</v>
      </c>
      <c r="R653" s="9">
        <v>90</v>
      </c>
      <c r="S653" s="9">
        <v>4126</v>
      </c>
      <c r="T653" s="9">
        <v>7654</v>
      </c>
      <c r="U653" s="9">
        <v>8</v>
      </c>
      <c r="V653" s="11">
        <v>6244.5179209999997</v>
      </c>
      <c r="W653" s="12">
        <f t="shared" si="14"/>
        <v>780.56474012499996</v>
      </c>
      <c r="X653" s="12">
        <f t="shared" si="15"/>
        <v>0.85706123226359388</v>
      </c>
      <c r="Y653" s="12">
        <f t="shared" si="16"/>
        <v>39.29149604799543</v>
      </c>
      <c r="Z653" s="12">
        <f t="shared" si="17"/>
        <v>1513.4556279689771</v>
      </c>
      <c r="AA653" s="12">
        <f t="shared" si="18"/>
        <v>594.65935825159511</v>
      </c>
      <c r="AB653" s="12">
        <f t="shared" si="19"/>
        <v>69.383532455555553</v>
      </c>
      <c r="AC653" s="12">
        <f t="shared" si="20"/>
        <v>8.8888888888888893</v>
      </c>
      <c r="AE653" s="13"/>
      <c r="AF653" s="13"/>
    </row>
    <row r="654" spans="1:32">
      <c r="A654" s="8" t="s">
        <v>2182</v>
      </c>
      <c r="B654" s="9" t="s">
        <v>41</v>
      </c>
      <c r="C654" s="9" t="s">
        <v>154</v>
      </c>
      <c r="D654" s="9" t="s">
        <v>469</v>
      </c>
      <c r="E654" s="9" t="s">
        <v>2183</v>
      </c>
      <c r="F654" s="9" t="str">
        <f ca="1">IFERROR(__xludf.DUMMYFUNCTION("IFS(
  REGEXMATCH(LOWER(VLOOKUP(A654, Data1_Raw_Slack!A:B, 2, FALSE)), ""news|weather""), ""News and Weather"", REGEXMATCH(LOWER(VLOOKUP(A654, Data1_Raw_Slack!A:B, 2, FALSE)), ""sports|ufc|nba|nfl|mlb|soccer|sports fans""), ""Sports"",
  REGEXMATCH(LOWER("&amp;"VLOOKUP(A654, Data1_Raw_Slack!A:B, 2, FALSE)), ""fashion|style|clothing|apparel|shoes|accessories|beauty|cosmetics|fashionistas""), ""Fashion and Beauty"",
  REGEXMATCH(LOWER(VLOOKUP(A654, Data1_Raw_Slack!A:B, 2, FALSE)), ""food|cooking|recipe|restaurant|"&amp;"snack|grocery|foodies""), ""Food"",
  REGEXMATCH(LOWER(VLOOKUP(A654, Data1_Raw_Slack!A:B, 2, FALSE)), ""travel|vacation|airline|hotel|trip|flights|travelers""), ""Travel"",
  REGEXMATCH(LOWER(VLOOKUP(A654, Data1_Raw_Slack!A:B, 2, FALSE)), ""fitness|workou"&amp;"t|gym|exercise|yoga|wellness|fitness enthusiasts""), ""Fitness"",
  REGEXMATCH(LOWER(VLOOKUP(A654, Data1_Raw_Slack!A:B, 2, FALSE)), ""health|medical|pharmacy|mental health|doctor|health-conscious""), ""Health"",
  REGEXMATCH(LOWER(VLOOKUP(A654, Data1_Raw_"&amp;"Slack!A:B, 2, FALSE)), ""pets|dogs|cats|animals|pet care|pet lovers""), ""Pets"",
  REGEXMATCH(LOWER(VLOOKUP(A654, Data1_Raw_Slack!A:B, 2, FALSE)), ""games|gaming|game|xbox|playstation|nintendo|gamers""), ""Gaming"",
  REGEXMATCH(LOWER(VLOOKUP(A654, Data1"&amp;"_Raw_Slack!A:B, 2, FALSE)), ""entertainment|movies|tv|netflix|streaming|celebrity|movie lovers|tv fans|hobb|photo|art""), ""Entertainment"",
  REGEXMATCH(LOWER(VLOOKUP(A654, Data1_Raw_Slack!A:B, 2, FALSE)), ""lifestyle|home|interior|decor|living|lifestyle"&amp;" enthusiasts""), ""Lifestyle"",
  REGEXMATCH(LOWER(VLOOKUP(A654, Data1_Raw_Slack!A:B, 2, FALSE)), ""financial|finance|investing|stocks|retirement|banking|credit|debt|loans|savings|personal finance|insurance|econ|ecom|business|retail|occupation|sale|job|ma"&amp;"rketing""), ""Finance"",
  REGEXMATCH(LOWER(VLOOKUP(A654, Data1_Raw_Slack!A:B, 2, FALSE)), ""auto|automotive""), ""Auto"",
  REGEXMATCH(LOWER(VLOOKUP(A654, Data1_Raw_Slack!A:B, 2, FALSE)), ""parenting|moms|dads|kids|toddlers|baby|parent|children""), ""Par"&amp;"enting"",
  REGEXMATCH(LOWER(VLOOKUP(A654, Data1_Raw_Slack!A:B, 2, FALSE)), ""education|students|learning|school|teachers|college|university|academics""), ""Education"",
  REGEXMATCH(LOWER(VLOOKUP(A654, Data1_Raw_Slack!A:B, 2, FALSE)), ""age|gender|dem"&amp;"ographic|family|household""), ""Demographics"",
  REGEXMATCH(LOWER(VLOOKUP(A654, Data1_Raw_Slack!A:B, 2, FALSE)), ""mortgage|real estate""), ""Real Estate"",REGEXMATCH(LOWER(VLOOKUP(A654, Data1_Raw_Slack!A:B, 2, FALSE)), ""technology|tech|gadgets|smartpho"&amp;"ne|electro|apps|devices|computing|ai|robots|software|computer|internet|tele|mobile|tablet""), ""Technology"", REGEXMATCH(LOWER(VLOOKUP(A654, Data1_Raw_Slack!A:B, 2, FALSE)), ""entertainment|purchas|movies|tv|netflix|streaming|celebrity|movie lovers|tv fan"&amp;"s|media|hobb|photo|art|shop""), ""Entertainment"", REGEXMATCH(LOWER(VLOOKUP(A654, Data1_Raw_Slack!A:B, 2, FALSE)), ""law|government|""), ""Law and Government"",
  TRUE, ""Other""
)"),"Sports")</f>
        <v>Sports</v>
      </c>
      <c r="G654" s="9" t="s">
        <v>154</v>
      </c>
      <c r="H654" s="9" t="s">
        <v>44</v>
      </c>
      <c r="I654" s="9" t="s">
        <v>1989</v>
      </c>
      <c r="J654" s="9" t="s">
        <v>46</v>
      </c>
      <c r="K654" s="9" t="s">
        <v>142</v>
      </c>
      <c r="L654" s="9" t="s">
        <v>72</v>
      </c>
      <c r="M654" s="10" t="s">
        <v>207</v>
      </c>
      <c r="N654" s="9" t="str">
        <f ca="1">IFERROR(__xludf.DUMMYFUNCTION("REGEXEXTRACT(LOWER(M654), ""([a-z0-9\-]+)\.(?:co|net|org|io|gg)"")"),"realtor")</f>
        <v>realtor</v>
      </c>
      <c r="O654" s="9" t="s">
        <v>186</v>
      </c>
      <c r="P654" s="9" t="s">
        <v>39</v>
      </c>
      <c r="Q654" s="9">
        <v>69928</v>
      </c>
      <c r="R654" s="9">
        <v>210</v>
      </c>
      <c r="S654" s="9">
        <v>30196</v>
      </c>
      <c r="T654" s="9">
        <v>62327</v>
      </c>
      <c r="U654" s="9">
        <v>9</v>
      </c>
      <c r="V654" s="11">
        <v>6318.4130850000001</v>
      </c>
      <c r="W654" s="12">
        <f t="shared" si="14"/>
        <v>702.0458983333333</v>
      </c>
      <c r="X654" s="12">
        <f t="shared" si="15"/>
        <v>0.30030888914311865</v>
      </c>
      <c r="Y654" s="12">
        <f t="shared" si="16"/>
        <v>43.181558174121953</v>
      </c>
      <c r="Z654" s="12">
        <f t="shared" si="17"/>
        <v>209.24669111802888</v>
      </c>
      <c r="AA654" s="12">
        <f t="shared" si="18"/>
        <v>90.355981652556906</v>
      </c>
      <c r="AB654" s="12">
        <f t="shared" si="19"/>
        <v>30.087681357142859</v>
      </c>
      <c r="AC654" s="12">
        <f t="shared" si="20"/>
        <v>4.2857142857142856</v>
      </c>
      <c r="AE654" s="13"/>
      <c r="AF654" s="13"/>
    </row>
    <row r="655" spans="1:32">
      <c r="A655" s="8" t="s">
        <v>2184</v>
      </c>
      <c r="B655" s="9" t="s">
        <v>41</v>
      </c>
      <c r="C655" s="9" t="s">
        <v>154</v>
      </c>
      <c r="D655" s="9" t="s">
        <v>152</v>
      </c>
      <c r="E655" s="9" t="s">
        <v>2185</v>
      </c>
      <c r="F655" s="9" t="str">
        <f ca="1">IFERROR(__xludf.DUMMYFUNCTION("IFS(
  REGEXMATCH(LOWER(VLOOKUP(A655, Data1_Raw_Slack!A:B, 2, FALSE)), ""news|weather""), ""News and Weather"", REGEXMATCH(LOWER(VLOOKUP(A655, Data1_Raw_Slack!A:B, 2, FALSE)), ""sports|ufc|nba|nfl|mlb|soccer|sports fans""), ""Sports"",
  REGEXMATCH(LOWER("&amp;"VLOOKUP(A655, Data1_Raw_Slack!A:B, 2, FALSE)), ""fashion|style|clothing|apparel|shoes|accessories|beauty|cosmetics|fashionistas""), ""Fashion and Beauty"",
  REGEXMATCH(LOWER(VLOOKUP(A655, Data1_Raw_Slack!A:B, 2, FALSE)), ""food|cooking|recipe|restaurant|"&amp;"snack|grocery|foodies""), ""Food"",
  REGEXMATCH(LOWER(VLOOKUP(A655, Data1_Raw_Slack!A:B, 2, FALSE)), ""travel|vacation|airline|hotel|trip|flights|travelers""), ""Travel"",
  REGEXMATCH(LOWER(VLOOKUP(A655, Data1_Raw_Slack!A:B, 2, FALSE)), ""fitness|workou"&amp;"t|gym|exercise|yoga|wellness|fitness enthusiasts""), ""Fitness"",
  REGEXMATCH(LOWER(VLOOKUP(A655, Data1_Raw_Slack!A:B, 2, FALSE)), ""health|medical|pharmacy|mental health|doctor|health-conscious""), ""Health"",
  REGEXMATCH(LOWER(VLOOKUP(A655, Data1_Raw_"&amp;"Slack!A:B, 2, FALSE)), ""pets|dogs|cats|animals|pet care|pet lovers""), ""Pets"",
  REGEXMATCH(LOWER(VLOOKUP(A655, Data1_Raw_Slack!A:B, 2, FALSE)), ""games|gaming|game|xbox|playstation|nintendo|gamers""), ""Gaming"",
  REGEXMATCH(LOWER(VLOOKUP(A655, Data1"&amp;"_Raw_Slack!A:B, 2, FALSE)), ""entertainment|movies|tv|netflix|streaming|celebrity|movie lovers|tv fans|hobb|photo|art""), ""Entertainment"",
  REGEXMATCH(LOWER(VLOOKUP(A655, Data1_Raw_Slack!A:B, 2, FALSE)), ""lifestyle|home|interior|decor|living|lifestyle"&amp;" enthusiasts""), ""Lifestyle"",
  REGEXMATCH(LOWER(VLOOKUP(A655, Data1_Raw_Slack!A:B, 2, FALSE)), ""financial|finance|investing|stocks|retirement|banking|credit|debt|loans|savings|personal finance|insurance|econ|ecom|business|retail|occupation|sale|job|ma"&amp;"rketing""), ""Finance"",
  REGEXMATCH(LOWER(VLOOKUP(A655, Data1_Raw_Slack!A:B, 2, FALSE)), ""auto|automotive""), ""Auto"",
  REGEXMATCH(LOWER(VLOOKUP(A655, Data1_Raw_Slack!A:B, 2, FALSE)), ""parenting|moms|dads|kids|toddlers|baby|parent|children""), ""Par"&amp;"enting"",
  REGEXMATCH(LOWER(VLOOKUP(A655, Data1_Raw_Slack!A:B, 2, FALSE)), ""education|students|learning|school|teachers|college|university|academics""), ""Education"",
  REGEXMATCH(LOWER(VLOOKUP(A655, Data1_Raw_Slack!A:B, 2, FALSE)), ""age|gender|dem"&amp;"ographic|family|household""), ""Demographics"",
  REGEXMATCH(LOWER(VLOOKUP(A655, Data1_Raw_Slack!A:B, 2, FALSE)), ""mortgage|real estate""), ""Real Estate"",REGEXMATCH(LOWER(VLOOKUP(A655, Data1_Raw_Slack!A:B, 2, FALSE)), ""technology|tech|gadgets|smartpho"&amp;"ne|electro|apps|devices|computing|ai|robots|software|computer|internet|tele|mobile|tablet""), ""Technology"", REGEXMATCH(LOWER(VLOOKUP(A655, Data1_Raw_Slack!A:B, 2, FALSE)), ""entertainment|purchas|movies|tv|netflix|streaming|celebrity|movie lovers|tv fan"&amp;"s|media|hobb|photo|art|shop""), ""Entertainment"", REGEXMATCH(LOWER(VLOOKUP(A655, Data1_Raw_Slack!A:B, 2, FALSE)), ""law|government|""), ""Law and Government"",
  TRUE, ""Other""
)"),"Sports")</f>
        <v>Sports</v>
      </c>
      <c r="G655" s="9" t="s">
        <v>154</v>
      </c>
      <c r="H655" s="9" t="s">
        <v>44</v>
      </c>
      <c r="I655" s="9" t="s">
        <v>2186</v>
      </c>
      <c r="J655" s="9" t="s">
        <v>62</v>
      </c>
      <c r="K655" s="9" t="s">
        <v>56</v>
      </c>
      <c r="L655" s="9" t="s">
        <v>57</v>
      </c>
      <c r="M655" s="10" t="s">
        <v>49</v>
      </c>
      <c r="N655" s="9" t="str">
        <f ca="1">IFERROR(__xludf.DUMMYFUNCTION("REGEXEXTRACT(LOWER(M655), ""([a-z0-9\-]+)\.(?:co|net|org|io|gg)"")"),"yahoo")</f>
        <v>yahoo</v>
      </c>
      <c r="O655" s="9" t="s">
        <v>103</v>
      </c>
      <c r="P655" s="9" t="s">
        <v>39</v>
      </c>
      <c r="Q655" s="9">
        <v>1956642</v>
      </c>
      <c r="R655" s="9">
        <v>4563</v>
      </c>
      <c r="S655" s="9">
        <v>981461</v>
      </c>
      <c r="T655" s="9">
        <v>1731673</v>
      </c>
      <c r="U655" s="9">
        <v>106</v>
      </c>
      <c r="V655" s="11">
        <v>7730.240616</v>
      </c>
      <c r="W655" s="12">
        <f t="shared" si="14"/>
        <v>72.926798264150946</v>
      </c>
      <c r="X655" s="12">
        <f t="shared" si="15"/>
        <v>0.23320566562508627</v>
      </c>
      <c r="Y655" s="12">
        <f t="shared" si="16"/>
        <v>50.160479024778169</v>
      </c>
      <c r="Z655" s="12">
        <f t="shared" si="17"/>
        <v>7.8762585736977826</v>
      </c>
      <c r="AA655" s="12">
        <f t="shared" si="18"/>
        <v>3.9507690297969686</v>
      </c>
      <c r="AB655" s="12">
        <f t="shared" si="19"/>
        <v>1.6941136568047337</v>
      </c>
      <c r="AC655" s="12">
        <f t="shared" si="20"/>
        <v>2.3230330922638616</v>
      </c>
      <c r="AE655" s="13"/>
      <c r="AF655" s="13"/>
    </row>
    <row r="656" spans="1:32">
      <c r="A656" s="8" t="s">
        <v>2187</v>
      </c>
      <c r="B656" s="9" t="s">
        <v>200</v>
      </c>
      <c r="C656" s="9" t="s">
        <v>2086</v>
      </c>
      <c r="D656" s="9" t="s">
        <v>2188</v>
      </c>
      <c r="E656" s="9"/>
      <c r="F656" s="9" t="str">
        <f ca="1">IFERROR(__xludf.DUMMYFUNCTION("IFS(
  REGEXMATCH(LOWER(VLOOKUP(A656, Data1_Raw_Slack!A:B, 2, FALSE)), ""news|weather""), ""News and Weather"", REGEXMATCH(LOWER(VLOOKUP(A656, Data1_Raw_Slack!A:B, 2, FALSE)), ""sports|ufc|nba|nfl|mlb|soccer|sports fans""), ""Sports"",
  REGEXMATCH(LOWER("&amp;"VLOOKUP(A656, Data1_Raw_Slack!A:B, 2, FALSE)), ""fashion|style|clothing|apparel|shoes|accessories|beauty|cosmetics|fashionistas""), ""Fashion and Beauty"",
  REGEXMATCH(LOWER(VLOOKUP(A656, Data1_Raw_Slack!A:B, 2, FALSE)), ""food|cooking|recipe|restaurant|"&amp;"snack|grocery|foodies""), ""Food"",
  REGEXMATCH(LOWER(VLOOKUP(A656, Data1_Raw_Slack!A:B, 2, FALSE)), ""travel|vacation|airline|hotel|trip|flights|travelers""), ""Travel"",
  REGEXMATCH(LOWER(VLOOKUP(A656, Data1_Raw_Slack!A:B, 2, FALSE)), ""fitness|workou"&amp;"t|gym|exercise|yoga|wellness|fitness enthusiasts""), ""Fitness"",
  REGEXMATCH(LOWER(VLOOKUP(A656, Data1_Raw_Slack!A:B, 2, FALSE)), ""health|medical|pharmacy|mental health|doctor|health-conscious""), ""Health"",
  REGEXMATCH(LOWER(VLOOKUP(A656, Data1_Raw_"&amp;"Slack!A:B, 2, FALSE)), ""pets|dogs|cats|animals|pet care|pet lovers""), ""Pets"",
  REGEXMATCH(LOWER(VLOOKUP(A656, Data1_Raw_Slack!A:B, 2, FALSE)), ""games|gaming|game|xbox|playstation|nintendo|gamers""), ""Gaming"",
  REGEXMATCH(LOWER(VLOOKUP(A656, Data1"&amp;"_Raw_Slack!A:B, 2, FALSE)), ""entertainment|movies|tv|netflix|streaming|celebrity|movie lovers|tv fans|hobb|photo|art""), ""Entertainment"",
  REGEXMATCH(LOWER(VLOOKUP(A656, Data1_Raw_Slack!A:B, 2, FALSE)), ""lifestyle|home|interior|decor|living|lifestyle"&amp;" enthusiasts""), ""Lifestyle"",
  REGEXMATCH(LOWER(VLOOKUP(A656, Data1_Raw_Slack!A:B, 2, FALSE)), ""financial|finance|investing|stocks|retirement|banking|credit|debt|loans|savings|personal finance|insurance|econ|ecom|business|retail|occupation|sale|job|ma"&amp;"rketing""), ""Finance"",
  REGEXMATCH(LOWER(VLOOKUP(A656, Data1_Raw_Slack!A:B, 2, FALSE)), ""auto|automotive""), ""Auto"",
  REGEXMATCH(LOWER(VLOOKUP(A656, Data1_Raw_Slack!A:B, 2, FALSE)), ""parenting|moms|dads|kids|toddlers|baby|parent|children""), ""Par"&amp;"enting"",
  REGEXMATCH(LOWER(VLOOKUP(A656, Data1_Raw_Slack!A:B, 2, FALSE)), ""education|students|learning|school|teachers|college|university|academics""), ""Education"",
  REGEXMATCH(LOWER(VLOOKUP(A656, Data1_Raw_Slack!A:B, 2, FALSE)), ""age|gender|dem"&amp;"ographic|family|household""), ""Demographics"",
  REGEXMATCH(LOWER(VLOOKUP(A656, Data1_Raw_Slack!A:B, 2, FALSE)), ""mortgage|real estate""), ""Real Estate"",REGEXMATCH(LOWER(VLOOKUP(A656, Data1_Raw_Slack!A:B, 2, FALSE)), ""technology|tech|gadgets|smartpho"&amp;"ne|electro|apps|devices|computing|ai|robots|software|computer|internet|tele|mobile|tablet""), ""Technology"", REGEXMATCH(LOWER(VLOOKUP(A656, Data1_Raw_Slack!A:B, 2, FALSE)), ""entertainment|purchas|movies|tv|netflix|streaming|celebrity|movie lovers|tv fan"&amp;"s|media|hobb|photo|art|shop""), ""Entertainment"", REGEXMATCH(LOWER(VLOOKUP(A656, Data1_Raw_Slack!A:B, 2, FALSE)), ""law|government|""), ""Law and Government"",
  TRUE, ""Other""
)"),"Real Estate")</f>
        <v>Real Estate</v>
      </c>
      <c r="G656" s="9"/>
      <c r="H656" s="9" t="s">
        <v>44</v>
      </c>
      <c r="I656" s="9" t="s">
        <v>1177</v>
      </c>
      <c r="J656" s="9" t="s">
        <v>62</v>
      </c>
      <c r="K656" s="9" t="s">
        <v>438</v>
      </c>
      <c r="L656" s="9" t="s">
        <v>82</v>
      </c>
      <c r="M656" s="10" t="s">
        <v>160</v>
      </c>
      <c r="N656" s="9" t="str">
        <f ca="1">IFERROR(__xludf.DUMMYFUNCTION("REGEXEXTRACT(LOWER(M656), ""([a-z0-9\-]+)\.(?:co|net|org|io|gg)"")"),"tomsguide")</f>
        <v>tomsguide</v>
      </c>
      <c r="O656" s="9" t="s">
        <v>50</v>
      </c>
      <c r="P656" s="9" t="s">
        <v>64</v>
      </c>
      <c r="Q656" s="9">
        <v>11043</v>
      </c>
      <c r="R656" s="9">
        <v>125</v>
      </c>
      <c r="S656" s="9">
        <v>4547</v>
      </c>
      <c r="T656" s="9">
        <v>9666</v>
      </c>
      <c r="U656" s="9">
        <v>13</v>
      </c>
      <c r="V656" s="11">
        <v>1858.132171</v>
      </c>
      <c r="W656" s="12">
        <f t="shared" si="14"/>
        <v>142.93324392307693</v>
      </c>
      <c r="X656" s="12">
        <f t="shared" si="15"/>
        <v>1.1319387847505207</v>
      </c>
      <c r="Y656" s="12">
        <f t="shared" si="16"/>
        <v>41.175405234084941</v>
      </c>
      <c r="Z656" s="12">
        <f t="shared" si="17"/>
        <v>408.65013657356496</v>
      </c>
      <c r="AA656" s="12">
        <f t="shared" si="18"/>
        <v>168.26334972380693</v>
      </c>
      <c r="AB656" s="12">
        <f t="shared" si="19"/>
        <v>14.865057368</v>
      </c>
      <c r="AC656" s="12">
        <f t="shared" si="20"/>
        <v>10.4</v>
      </c>
      <c r="AE656" s="13"/>
      <c r="AF656" s="13"/>
    </row>
    <row r="657" spans="1:32">
      <c r="A657" s="8" t="s">
        <v>2189</v>
      </c>
      <c r="B657" s="9" t="s">
        <v>2051</v>
      </c>
      <c r="C657" s="9" t="s">
        <v>2190</v>
      </c>
      <c r="D657" s="9" t="s">
        <v>2191</v>
      </c>
      <c r="E657" s="9"/>
      <c r="F657" s="9" t="str">
        <f ca="1">IFERROR(__xludf.DUMMYFUNCTION("IFS(
  REGEXMATCH(LOWER(VLOOKUP(A657, Data1_Raw_Slack!A:B, 2, FALSE)), ""news|weather""), ""News and Weather"", REGEXMATCH(LOWER(VLOOKUP(A657, Data1_Raw_Slack!A:B, 2, FALSE)), ""sports|ufc|nba|nfl|mlb|soccer|sports fans""), ""Sports"",
  REGEXMATCH(LOWER("&amp;"VLOOKUP(A657, Data1_Raw_Slack!A:B, 2, FALSE)), ""fashion|style|clothing|apparel|shoes|accessories|beauty|cosmetics|fashionistas""), ""Fashion and Beauty"",
  REGEXMATCH(LOWER(VLOOKUP(A657, Data1_Raw_Slack!A:B, 2, FALSE)), ""food|cooking|recipe|restaurant|"&amp;"snack|grocery|foodies""), ""Food"",
  REGEXMATCH(LOWER(VLOOKUP(A657, Data1_Raw_Slack!A:B, 2, FALSE)), ""travel|vacation|airline|hotel|trip|flights|travelers""), ""Travel"",
  REGEXMATCH(LOWER(VLOOKUP(A657, Data1_Raw_Slack!A:B, 2, FALSE)), ""fitness|workou"&amp;"t|gym|exercise|yoga|wellness|fitness enthusiasts""), ""Fitness"",
  REGEXMATCH(LOWER(VLOOKUP(A657, Data1_Raw_Slack!A:B, 2, FALSE)), ""health|medical|pharmacy|mental health|doctor|health-conscious""), ""Health"",
  REGEXMATCH(LOWER(VLOOKUP(A657, Data1_Raw_"&amp;"Slack!A:B, 2, FALSE)), ""pets|dogs|cats|animals|pet care|pet lovers""), ""Pets"",
  REGEXMATCH(LOWER(VLOOKUP(A657, Data1_Raw_Slack!A:B, 2, FALSE)), ""games|gaming|game|xbox|playstation|nintendo|gamers""), ""Gaming"",
  REGEXMATCH(LOWER(VLOOKUP(A657, Data1"&amp;"_Raw_Slack!A:B, 2, FALSE)), ""entertainment|movies|tv|netflix|streaming|celebrity|movie lovers|tv fans|hobb|photo|art""), ""Entertainment"",
  REGEXMATCH(LOWER(VLOOKUP(A657, Data1_Raw_Slack!A:B, 2, FALSE)), ""lifestyle|home|interior|decor|living|lifestyle"&amp;" enthusiasts""), ""Lifestyle"",
  REGEXMATCH(LOWER(VLOOKUP(A657, Data1_Raw_Slack!A:B, 2, FALSE)), ""financial|finance|investing|stocks|retirement|banking|credit|debt|loans|savings|personal finance|insurance|econ|ecom|business|retail|occupation|sale|job|ma"&amp;"rketing""), ""Finance"",
  REGEXMATCH(LOWER(VLOOKUP(A657, Data1_Raw_Slack!A:B, 2, FALSE)), ""auto|automotive""), ""Auto"",
  REGEXMATCH(LOWER(VLOOKUP(A657, Data1_Raw_Slack!A:B, 2, FALSE)), ""parenting|moms|dads|kids|toddlers|baby|parent|children""), ""Par"&amp;"enting"",
  REGEXMATCH(LOWER(VLOOKUP(A657, Data1_Raw_Slack!A:B, 2, FALSE)), ""education|students|learning|school|teachers|college|university|academics""), ""Education"",
  REGEXMATCH(LOWER(VLOOKUP(A657, Data1_Raw_Slack!A:B, 2, FALSE)), ""age|gender|dem"&amp;"ographic|family|household""), ""Demographics"",
  REGEXMATCH(LOWER(VLOOKUP(A657, Data1_Raw_Slack!A:B, 2, FALSE)), ""mortgage|real estate""), ""Real Estate"",REGEXMATCH(LOWER(VLOOKUP(A657, Data1_Raw_Slack!A:B, 2, FALSE)), ""technology|tech|gadgets|smartpho"&amp;"ne|electro|apps|devices|computing|ai|robots|software|computer|internet|tele|mobile|tablet""), ""Technology"", REGEXMATCH(LOWER(VLOOKUP(A657, Data1_Raw_Slack!A:B, 2, FALSE)), ""entertainment|purchas|movies|tv|netflix|streaming|celebrity|movie lovers|tv fan"&amp;"s|media|hobb|photo|art|shop""), ""Entertainment"", REGEXMATCH(LOWER(VLOOKUP(A657, Data1_Raw_Slack!A:B, 2, FALSE)), ""law|government|""), ""Law and Government"",
  TRUE, ""Other""
)"),"Law and Government")</f>
        <v>Law and Government</v>
      </c>
      <c r="G657" s="9"/>
      <c r="H657" s="9" t="s">
        <v>32</v>
      </c>
      <c r="I657" s="9" t="s">
        <v>1808</v>
      </c>
      <c r="J657" s="9" t="s">
        <v>80</v>
      </c>
      <c r="K657" s="9" t="s">
        <v>142</v>
      </c>
      <c r="L657" s="9" t="s">
        <v>72</v>
      </c>
      <c r="M657" s="10" t="s">
        <v>1182</v>
      </c>
      <c r="N657" s="9" t="str">
        <f ca="1">IFERROR(__xludf.DUMMYFUNCTION("REGEXEXTRACT(LOWER(M657), ""([a-z0-9\-]+)\.(?:co|net|org|io|gg)"")"),"zdnet")</f>
        <v>zdnet</v>
      </c>
      <c r="O657" s="9" t="s">
        <v>186</v>
      </c>
      <c r="P657" s="9" t="s">
        <v>39</v>
      </c>
      <c r="Q657" s="9">
        <v>12692</v>
      </c>
      <c r="R657" s="9">
        <v>105</v>
      </c>
      <c r="S657" s="9">
        <v>9048</v>
      </c>
      <c r="T657" s="9">
        <v>12326</v>
      </c>
      <c r="U657" s="9">
        <v>14</v>
      </c>
      <c r="V657" s="11">
        <v>1541.7195979999999</v>
      </c>
      <c r="W657" s="12">
        <f t="shared" si="14"/>
        <v>110.12282842857142</v>
      </c>
      <c r="X657" s="12">
        <f t="shared" si="15"/>
        <v>0.82729278285534202</v>
      </c>
      <c r="Y657" s="12">
        <f t="shared" si="16"/>
        <v>71.289000945477468</v>
      </c>
      <c r="Z657" s="12">
        <f t="shared" si="17"/>
        <v>170.39341268788684</v>
      </c>
      <c r="AA657" s="12">
        <f t="shared" si="18"/>
        <v>121.47176158209895</v>
      </c>
      <c r="AB657" s="12">
        <f t="shared" si="19"/>
        <v>14.683043790476189</v>
      </c>
      <c r="AC657" s="12">
        <f t="shared" si="20"/>
        <v>13.333333333333334</v>
      </c>
      <c r="AE657" s="13"/>
      <c r="AF657" s="13"/>
    </row>
    <row r="658" spans="1:32">
      <c r="A658" s="8" t="s">
        <v>2192</v>
      </c>
      <c r="B658" s="9" t="s">
        <v>52</v>
      </c>
      <c r="C658" s="9" t="s">
        <v>224</v>
      </c>
      <c r="D658" s="9" t="s">
        <v>146</v>
      </c>
      <c r="E658" s="9"/>
      <c r="F658" s="9" t="str">
        <f ca="1">IFERROR(__xludf.DUMMYFUNCTION("IFS(
  REGEXMATCH(LOWER(VLOOKUP(A658, Data1_Raw_Slack!A:B, 2, FALSE)), ""news|weather""), ""News and Weather"", REGEXMATCH(LOWER(VLOOKUP(A658, Data1_Raw_Slack!A:B, 2, FALSE)), ""sports|ufc|nba|nfl|mlb|soccer|sports fans""), ""Sports"",
  REGEXMATCH(LOWER("&amp;"VLOOKUP(A658, Data1_Raw_Slack!A:B, 2, FALSE)), ""fashion|style|clothing|apparel|shoes|accessories|beauty|cosmetics|fashionistas""), ""Fashion and Beauty"",
  REGEXMATCH(LOWER(VLOOKUP(A658, Data1_Raw_Slack!A:B, 2, FALSE)), ""food|cooking|recipe|restaurant|"&amp;"snack|grocery|foodies""), ""Food"",
  REGEXMATCH(LOWER(VLOOKUP(A658, Data1_Raw_Slack!A:B, 2, FALSE)), ""travel|vacation|airline|hotel|trip|flights|travelers""), ""Travel"",
  REGEXMATCH(LOWER(VLOOKUP(A658, Data1_Raw_Slack!A:B, 2, FALSE)), ""fitness|workou"&amp;"t|gym|exercise|yoga|wellness|fitness enthusiasts""), ""Fitness"",
  REGEXMATCH(LOWER(VLOOKUP(A658, Data1_Raw_Slack!A:B, 2, FALSE)), ""health|medical|pharmacy|mental health|doctor|health-conscious""), ""Health"",
  REGEXMATCH(LOWER(VLOOKUP(A658, Data1_Raw_"&amp;"Slack!A:B, 2, FALSE)), ""pets|dogs|cats|animals|pet care|pet lovers""), ""Pets"",
  REGEXMATCH(LOWER(VLOOKUP(A658, Data1_Raw_Slack!A:B, 2, FALSE)), ""games|gaming|game|xbox|playstation|nintendo|gamers""), ""Gaming"",
  REGEXMATCH(LOWER(VLOOKUP(A658, Data1"&amp;"_Raw_Slack!A:B, 2, FALSE)), ""entertainment|movies|tv|netflix|streaming|celebrity|movie lovers|tv fans|hobb|photo|art""), ""Entertainment"",
  REGEXMATCH(LOWER(VLOOKUP(A658, Data1_Raw_Slack!A:B, 2, FALSE)), ""lifestyle|home|interior|decor|living|lifestyle"&amp;" enthusiasts""), ""Lifestyle"",
  REGEXMATCH(LOWER(VLOOKUP(A658, Data1_Raw_Slack!A:B, 2, FALSE)), ""financial|finance|investing|stocks|retirement|banking|credit|debt|loans|savings|personal finance|insurance|econ|ecom|business|retail|occupation|sale|job|ma"&amp;"rketing""), ""Finance"",
  REGEXMATCH(LOWER(VLOOKUP(A658, Data1_Raw_Slack!A:B, 2, FALSE)), ""auto|automotive""), ""Auto"",
  REGEXMATCH(LOWER(VLOOKUP(A658, Data1_Raw_Slack!A:B, 2, FALSE)), ""parenting|moms|dads|kids|toddlers|baby|parent|children""), ""Par"&amp;"enting"",
  REGEXMATCH(LOWER(VLOOKUP(A658, Data1_Raw_Slack!A:B, 2, FALSE)), ""education|students|learning|school|teachers|college|university|academics""), ""Education"",
  REGEXMATCH(LOWER(VLOOKUP(A658, Data1_Raw_Slack!A:B, 2, FALSE)), ""age|gender|dem"&amp;"ographic|family|household""), ""Demographics"",
  REGEXMATCH(LOWER(VLOOKUP(A658, Data1_Raw_Slack!A:B, 2, FALSE)), ""mortgage|real estate""), ""Real Estate"",REGEXMATCH(LOWER(VLOOKUP(A658, Data1_Raw_Slack!A:B, 2, FALSE)), ""technology|tech|gadgets|smartpho"&amp;"ne|electro|apps|devices|computing|ai|robots|software|computer|internet|tele|mobile|tablet""), ""Technology"", REGEXMATCH(LOWER(VLOOKUP(A658, Data1_Raw_Slack!A:B, 2, FALSE)), ""entertainment|purchas|movies|tv|netflix|streaming|celebrity|movie lovers|tv fan"&amp;"s|media|hobb|photo|art|shop""), ""Entertainment"", REGEXMATCH(LOWER(VLOOKUP(A658, Data1_Raw_Slack!A:B, 2, FALSE)), ""law|government|""), ""Law and Government"",
  TRUE, ""Other""
)"),"News and Weather")</f>
        <v>News and Weather</v>
      </c>
      <c r="G658" s="9" t="s">
        <v>127</v>
      </c>
      <c r="H658" s="9" t="s">
        <v>32</v>
      </c>
      <c r="I658" s="9" t="s">
        <v>2193</v>
      </c>
      <c r="J658" s="9" t="s">
        <v>62</v>
      </c>
      <c r="K658" s="9" t="s">
        <v>56</v>
      </c>
      <c r="L658" s="9" t="s">
        <v>57</v>
      </c>
      <c r="M658" s="10" t="s">
        <v>1766</v>
      </c>
      <c r="N658" s="9" t="str">
        <f ca="1">IFERROR(__xludf.DUMMYFUNCTION("REGEXEXTRACT(LOWER(M658), ""([a-z0-9\-]+)\.(?:co|net|org|io|gg)"")"),"nbcnews")</f>
        <v>nbcnews</v>
      </c>
      <c r="O658" s="9" t="s">
        <v>103</v>
      </c>
      <c r="P658" s="9" t="s">
        <v>39</v>
      </c>
      <c r="Q658" s="9">
        <v>20486</v>
      </c>
      <c r="R658" s="9">
        <v>42</v>
      </c>
      <c r="S658" s="9">
        <v>14583</v>
      </c>
      <c r="T658" s="9">
        <v>19860</v>
      </c>
      <c r="U658" s="9">
        <v>2</v>
      </c>
      <c r="V658" s="11">
        <v>1718.513762</v>
      </c>
      <c r="W658" s="12">
        <f t="shared" si="14"/>
        <v>859.25688100000002</v>
      </c>
      <c r="X658" s="12">
        <f t="shared" si="15"/>
        <v>0.20501806111490775</v>
      </c>
      <c r="Y658" s="12">
        <f t="shared" si="16"/>
        <v>71.185199648540461</v>
      </c>
      <c r="Z658" s="12">
        <f t="shared" si="17"/>
        <v>117.84363724885139</v>
      </c>
      <c r="AA658" s="12">
        <f t="shared" si="18"/>
        <v>83.887228448696675</v>
      </c>
      <c r="AB658" s="12">
        <f t="shared" si="19"/>
        <v>40.916994333333335</v>
      </c>
      <c r="AC658" s="12">
        <f t="shared" si="20"/>
        <v>4.7619047619047619</v>
      </c>
      <c r="AE658" s="13"/>
      <c r="AF658" s="13"/>
    </row>
    <row r="659" spans="1:32">
      <c r="A659" s="8" t="s">
        <v>2194</v>
      </c>
      <c r="B659" s="9" t="s">
        <v>41</v>
      </c>
      <c r="C659" s="9" t="s">
        <v>105</v>
      </c>
      <c r="D659" s="9" t="s">
        <v>2195</v>
      </c>
      <c r="E659" s="9"/>
      <c r="F659" s="9" t="str">
        <f ca="1">IFERROR(__xludf.DUMMYFUNCTION("IFS(
  REGEXMATCH(LOWER(VLOOKUP(A659, Data1_Raw_Slack!A:B, 2, FALSE)), ""news|weather""), ""News and Weather"", REGEXMATCH(LOWER(VLOOKUP(A659, Data1_Raw_Slack!A:B, 2, FALSE)), ""sports|ufc|nba|nfl|mlb|soccer|sports fans""), ""Sports"",
  REGEXMATCH(LOWER("&amp;"VLOOKUP(A659, Data1_Raw_Slack!A:B, 2, FALSE)), ""fashion|style|clothing|apparel|shoes|accessories|beauty|cosmetics|fashionistas""), ""Fashion and Beauty"",
  REGEXMATCH(LOWER(VLOOKUP(A659, Data1_Raw_Slack!A:B, 2, FALSE)), ""food|cooking|recipe|restaurant|"&amp;"snack|grocery|foodies""), ""Food"",
  REGEXMATCH(LOWER(VLOOKUP(A659, Data1_Raw_Slack!A:B, 2, FALSE)), ""travel|vacation|airline|hotel|trip|flights|travelers""), ""Travel"",
  REGEXMATCH(LOWER(VLOOKUP(A659, Data1_Raw_Slack!A:B, 2, FALSE)), ""fitness|workou"&amp;"t|gym|exercise|yoga|wellness|fitness enthusiasts""), ""Fitness"",
  REGEXMATCH(LOWER(VLOOKUP(A659, Data1_Raw_Slack!A:B, 2, FALSE)), ""health|medical|pharmacy|mental health|doctor|health-conscious""), ""Health"",
  REGEXMATCH(LOWER(VLOOKUP(A659, Data1_Raw_"&amp;"Slack!A:B, 2, FALSE)), ""pets|dogs|cats|animals|pet care|pet lovers""), ""Pets"",
  REGEXMATCH(LOWER(VLOOKUP(A659, Data1_Raw_Slack!A:B, 2, FALSE)), ""games|gaming|game|xbox|playstation|nintendo|gamers""), ""Gaming"",
  REGEXMATCH(LOWER(VLOOKUP(A659, Data1"&amp;"_Raw_Slack!A:B, 2, FALSE)), ""entertainment|movies|tv|netflix|streaming|celebrity|movie lovers|tv fans|hobb|photo|art""), ""Entertainment"",
  REGEXMATCH(LOWER(VLOOKUP(A659, Data1_Raw_Slack!A:B, 2, FALSE)), ""lifestyle|home|interior|decor|living|lifestyle"&amp;" enthusiasts""), ""Lifestyle"",
  REGEXMATCH(LOWER(VLOOKUP(A659, Data1_Raw_Slack!A:B, 2, FALSE)), ""financial|finance|investing|stocks|retirement|banking|credit|debt|loans|savings|personal finance|insurance|econ|ecom|business|retail|occupation|sale|job|ma"&amp;"rketing""), ""Finance"",
  REGEXMATCH(LOWER(VLOOKUP(A659, Data1_Raw_Slack!A:B, 2, FALSE)), ""auto|automotive""), ""Auto"",
  REGEXMATCH(LOWER(VLOOKUP(A659, Data1_Raw_Slack!A:B, 2, FALSE)), ""parenting|moms|dads|kids|toddlers|baby|parent|children""), ""Par"&amp;"enting"",
  REGEXMATCH(LOWER(VLOOKUP(A659, Data1_Raw_Slack!A:B, 2, FALSE)), ""education|students|learning|school|teachers|college|university|academics""), ""Education"",
  REGEXMATCH(LOWER(VLOOKUP(A659, Data1_Raw_Slack!A:B, 2, FALSE)), ""age|gender|dem"&amp;"ographic|family|household""), ""Demographics"",
  REGEXMATCH(LOWER(VLOOKUP(A659, Data1_Raw_Slack!A:B, 2, FALSE)), ""mortgage|real estate""), ""Real Estate"",REGEXMATCH(LOWER(VLOOKUP(A659, Data1_Raw_Slack!A:B, 2, FALSE)), ""technology|tech|gadgets|smartpho"&amp;"ne|electro|apps|devices|computing|ai|robots|software|computer|internet|tele|mobile|tablet""), ""Technology"", REGEXMATCH(LOWER(VLOOKUP(A659, Data1_Raw_Slack!A:B, 2, FALSE)), ""entertainment|purchas|movies|tv|netflix|streaming|celebrity|movie lovers|tv fan"&amp;"s|media|hobb|photo|art|shop""), ""Entertainment"", REGEXMATCH(LOWER(VLOOKUP(A659, Data1_Raw_Slack!A:B, 2, FALSE)), ""law|government|""), ""Law and Government"",
  TRUE, ""Other""
)"),"Fashion and Beauty")</f>
        <v>Fashion and Beauty</v>
      </c>
      <c r="G659" s="9" t="s">
        <v>105</v>
      </c>
      <c r="H659" s="9" t="s">
        <v>32</v>
      </c>
      <c r="I659" s="9" t="s">
        <v>2196</v>
      </c>
      <c r="J659" s="9" t="s">
        <v>62</v>
      </c>
      <c r="K659" s="9" t="s">
        <v>35</v>
      </c>
      <c r="L659" s="9" t="s">
        <v>36</v>
      </c>
      <c r="M659" s="10" t="s">
        <v>295</v>
      </c>
      <c r="N659" s="9" t="str">
        <f ca="1">IFERROR(__xludf.DUMMYFUNCTION("REGEXEXTRACT(LOWER(M659), ""([a-z0-9\-]+)\.(?:co|net|org|io|gg)"")"),"yahoo")</f>
        <v>yahoo</v>
      </c>
      <c r="O659" s="9" t="s">
        <v>50</v>
      </c>
      <c r="P659" s="9" t="s">
        <v>39</v>
      </c>
      <c r="Q659" s="9">
        <v>22690</v>
      </c>
      <c r="R659" s="9">
        <v>68</v>
      </c>
      <c r="S659" s="9">
        <v>10212</v>
      </c>
      <c r="T659" s="9">
        <v>19934</v>
      </c>
      <c r="U659" s="9">
        <v>19</v>
      </c>
      <c r="V659" s="11">
        <v>7210.686506</v>
      </c>
      <c r="W659" s="12">
        <f t="shared" si="14"/>
        <v>379.50981610526316</v>
      </c>
      <c r="X659" s="12">
        <f t="shared" si="15"/>
        <v>0.29969149405024242</v>
      </c>
      <c r="Y659" s="12">
        <f t="shared" si="16"/>
        <v>45.006610841780521</v>
      </c>
      <c r="Z659" s="12">
        <f t="shared" si="17"/>
        <v>706.0993444966706</v>
      </c>
      <c r="AA659" s="12">
        <f t="shared" si="18"/>
        <v>317.7913841339797</v>
      </c>
      <c r="AB659" s="12">
        <f t="shared" si="19"/>
        <v>106.03950744117647</v>
      </c>
      <c r="AC659" s="12">
        <f t="shared" si="20"/>
        <v>27.941176470588236</v>
      </c>
      <c r="AE659" s="13"/>
      <c r="AF659" s="13"/>
    </row>
    <row r="660" spans="1:32">
      <c r="A660" s="8" t="s">
        <v>2197</v>
      </c>
      <c r="B660" s="9" t="s">
        <v>200</v>
      </c>
      <c r="C660" s="9" t="s">
        <v>2198</v>
      </c>
      <c r="D660" s="9" t="s">
        <v>2199</v>
      </c>
      <c r="E660" s="9"/>
      <c r="F660" s="9" t="str">
        <f ca="1">IFERROR(__xludf.DUMMYFUNCTION("IFS(
  REGEXMATCH(LOWER(VLOOKUP(A660, Data1_Raw_Slack!A:B, 2, FALSE)), ""news|weather""), ""News and Weather"", REGEXMATCH(LOWER(VLOOKUP(A660, Data1_Raw_Slack!A:B, 2, FALSE)), ""sports|ufc|nba|nfl|mlb|soccer|sports fans""), ""Sports"",
  REGEXMATCH(LOWER("&amp;"VLOOKUP(A660, Data1_Raw_Slack!A:B, 2, FALSE)), ""fashion|style|clothing|apparel|shoes|accessories|beauty|cosmetics|fashionistas""), ""Fashion and Beauty"",
  REGEXMATCH(LOWER(VLOOKUP(A660, Data1_Raw_Slack!A:B, 2, FALSE)), ""food|cooking|recipe|restaurant|"&amp;"snack|grocery|foodies""), ""Food"",
  REGEXMATCH(LOWER(VLOOKUP(A660, Data1_Raw_Slack!A:B, 2, FALSE)), ""travel|vacation|airline|hotel|trip|flights|travelers""), ""Travel"",
  REGEXMATCH(LOWER(VLOOKUP(A660, Data1_Raw_Slack!A:B, 2, FALSE)), ""fitness|workou"&amp;"t|gym|exercise|yoga|wellness|fitness enthusiasts""), ""Fitness"",
  REGEXMATCH(LOWER(VLOOKUP(A660, Data1_Raw_Slack!A:B, 2, FALSE)), ""health|medical|pharmacy|mental health|doctor|health-conscious""), ""Health"",
  REGEXMATCH(LOWER(VLOOKUP(A660, Data1_Raw_"&amp;"Slack!A:B, 2, FALSE)), ""pets|dogs|cats|animals|pet care|pet lovers""), ""Pets"",
  REGEXMATCH(LOWER(VLOOKUP(A660, Data1_Raw_Slack!A:B, 2, FALSE)), ""games|gaming|game|xbox|playstation|nintendo|gamers""), ""Gaming"",
  REGEXMATCH(LOWER(VLOOKUP(A660, Data1"&amp;"_Raw_Slack!A:B, 2, FALSE)), ""entertainment|movies|tv|netflix|streaming|celebrity|movie lovers|tv fans|hobb|photo|art""), ""Entertainment"",
  REGEXMATCH(LOWER(VLOOKUP(A660, Data1_Raw_Slack!A:B, 2, FALSE)), ""lifestyle|home|interior|decor|living|lifestyle"&amp;" enthusiasts""), ""Lifestyle"",
  REGEXMATCH(LOWER(VLOOKUP(A660, Data1_Raw_Slack!A:B, 2, FALSE)), ""financial|finance|investing|stocks|retirement|banking|credit|debt|loans|savings|personal finance|insurance|econ|ecom|business|retail|occupation|sale|job|ma"&amp;"rketing""), ""Finance"",
  REGEXMATCH(LOWER(VLOOKUP(A660, Data1_Raw_Slack!A:B, 2, FALSE)), ""auto|automotive""), ""Auto"",
  REGEXMATCH(LOWER(VLOOKUP(A660, Data1_Raw_Slack!A:B, 2, FALSE)), ""parenting|moms|dads|kids|toddlers|baby|parent|children""), ""Par"&amp;"enting"",
  REGEXMATCH(LOWER(VLOOKUP(A660, Data1_Raw_Slack!A:B, 2, FALSE)), ""education|students|learning|school|teachers|college|university|academics""), ""Education"",
  REGEXMATCH(LOWER(VLOOKUP(A660, Data1_Raw_Slack!A:B, 2, FALSE)), ""age|gender|dem"&amp;"ographic|family|household""), ""Demographics"",
  REGEXMATCH(LOWER(VLOOKUP(A660, Data1_Raw_Slack!A:B, 2, FALSE)), ""mortgage|real estate""), ""Real Estate"",REGEXMATCH(LOWER(VLOOKUP(A660, Data1_Raw_Slack!A:B, 2, FALSE)), ""technology|tech|gadgets|smartpho"&amp;"ne|electro|apps|devices|computing|ai|robots|software|computer|internet|tele|mobile|tablet""), ""Technology"", REGEXMATCH(LOWER(VLOOKUP(A660, Data1_Raw_Slack!A:B, 2, FALSE)), ""entertainment|purchas|movies|tv|netflix|streaming|celebrity|movie lovers|tv fan"&amp;"s|media|hobb|photo|art|shop""), ""Entertainment"", REGEXMATCH(LOWER(VLOOKUP(A660, Data1_Raw_Slack!A:B, 2, FALSE)), ""law|government|""), ""Law and Government"",
  TRUE, ""Other""
)"),"Lifestyle")</f>
        <v>Lifestyle</v>
      </c>
      <c r="G660" s="9"/>
      <c r="H660" s="9" t="s">
        <v>44</v>
      </c>
      <c r="I660" s="9" t="s">
        <v>793</v>
      </c>
      <c r="J660" s="9" t="s">
        <v>34</v>
      </c>
      <c r="K660" s="9" t="s">
        <v>56</v>
      </c>
      <c r="L660" s="9" t="s">
        <v>57</v>
      </c>
      <c r="M660" s="10" t="s">
        <v>130</v>
      </c>
      <c r="N660" s="9" t="str">
        <f ca="1">IFERROR(__xludf.DUMMYFUNCTION("REGEXEXTRACT(LOWER(M660), ""([a-z0-9\-]+)\.(?:co|net|org|io|gg)"")"),"weather")</f>
        <v>weather</v>
      </c>
      <c r="O660" s="9" t="s">
        <v>131</v>
      </c>
      <c r="P660" s="9" t="s">
        <v>39</v>
      </c>
      <c r="Q660" s="9">
        <v>232635</v>
      </c>
      <c r="R660" s="9">
        <v>666</v>
      </c>
      <c r="S660" s="9">
        <v>34008</v>
      </c>
      <c r="T660" s="9">
        <v>195803</v>
      </c>
      <c r="U660" s="9">
        <v>39</v>
      </c>
      <c r="V660" s="11">
        <v>1773.991882</v>
      </c>
      <c r="W660" s="12">
        <f t="shared" si="14"/>
        <v>45.486971333333337</v>
      </c>
      <c r="X660" s="12">
        <f t="shared" si="15"/>
        <v>0.28628538268102388</v>
      </c>
      <c r="Y660" s="12">
        <f t="shared" si="16"/>
        <v>14.618608549874265</v>
      </c>
      <c r="Z660" s="12">
        <f t="shared" si="17"/>
        <v>52.163957951070337</v>
      </c>
      <c r="AA660" s="12">
        <f t="shared" si="18"/>
        <v>7.625644816987986</v>
      </c>
      <c r="AB660" s="12">
        <f t="shared" si="19"/>
        <v>2.6636514744744746</v>
      </c>
      <c r="AC660" s="12">
        <f t="shared" si="20"/>
        <v>5.8558558558558556</v>
      </c>
      <c r="AE660" s="13"/>
      <c r="AF660" s="13"/>
    </row>
    <row r="661" spans="1:32">
      <c r="A661" s="8" t="s">
        <v>2200</v>
      </c>
      <c r="B661" s="9" t="s">
        <v>41</v>
      </c>
      <c r="C661" s="9" t="s">
        <v>154</v>
      </c>
      <c r="D661" s="9" t="s">
        <v>1973</v>
      </c>
      <c r="E661" s="9"/>
      <c r="F661" s="9" t="str">
        <f ca="1">IFERROR(__xludf.DUMMYFUNCTION("IFS(
  REGEXMATCH(LOWER(VLOOKUP(A661, Data1_Raw_Slack!A:B, 2, FALSE)), ""news|weather""), ""News and Weather"", REGEXMATCH(LOWER(VLOOKUP(A661, Data1_Raw_Slack!A:B, 2, FALSE)), ""sports|ufc|nba|nfl|mlb|soccer|sports fans""), ""Sports"",
  REGEXMATCH(LOWER("&amp;"VLOOKUP(A661, Data1_Raw_Slack!A:B, 2, FALSE)), ""fashion|style|clothing|apparel|shoes|accessories|beauty|cosmetics|fashionistas""), ""Fashion and Beauty"",
  REGEXMATCH(LOWER(VLOOKUP(A661, Data1_Raw_Slack!A:B, 2, FALSE)), ""food|cooking|recipe|restaurant|"&amp;"snack|grocery|foodies""), ""Food"",
  REGEXMATCH(LOWER(VLOOKUP(A661, Data1_Raw_Slack!A:B, 2, FALSE)), ""travel|vacation|airline|hotel|trip|flights|travelers""), ""Travel"",
  REGEXMATCH(LOWER(VLOOKUP(A661, Data1_Raw_Slack!A:B, 2, FALSE)), ""fitness|workou"&amp;"t|gym|exercise|yoga|wellness|fitness enthusiasts""), ""Fitness"",
  REGEXMATCH(LOWER(VLOOKUP(A661, Data1_Raw_Slack!A:B, 2, FALSE)), ""health|medical|pharmacy|mental health|doctor|health-conscious""), ""Health"",
  REGEXMATCH(LOWER(VLOOKUP(A661, Data1_Raw_"&amp;"Slack!A:B, 2, FALSE)), ""pets|dogs|cats|animals|pet care|pet lovers""), ""Pets"",
  REGEXMATCH(LOWER(VLOOKUP(A661, Data1_Raw_Slack!A:B, 2, FALSE)), ""games|gaming|game|xbox|playstation|nintendo|gamers""), ""Gaming"",
  REGEXMATCH(LOWER(VLOOKUP(A661, Data1"&amp;"_Raw_Slack!A:B, 2, FALSE)), ""entertainment|movies|tv|netflix|streaming|celebrity|movie lovers|tv fans|hobb|photo|art""), ""Entertainment"",
  REGEXMATCH(LOWER(VLOOKUP(A661, Data1_Raw_Slack!A:B, 2, FALSE)), ""lifestyle|home|interior|decor|living|lifestyle"&amp;" enthusiasts""), ""Lifestyle"",
  REGEXMATCH(LOWER(VLOOKUP(A661, Data1_Raw_Slack!A:B, 2, FALSE)), ""financial|finance|investing|stocks|retirement|banking|credit|debt|loans|savings|personal finance|insurance|econ|ecom|business|retail|occupation|sale|job|ma"&amp;"rketing""), ""Finance"",
  REGEXMATCH(LOWER(VLOOKUP(A661, Data1_Raw_Slack!A:B, 2, FALSE)), ""auto|automotive""), ""Auto"",
  REGEXMATCH(LOWER(VLOOKUP(A661, Data1_Raw_Slack!A:B, 2, FALSE)), ""parenting|moms|dads|kids|toddlers|baby|parent|children""), ""Par"&amp;"enting"",
  REGEXMATCH(LOWER(VLOOKUP(A661, Data1_Raw_Slack!A:B, 2, FALSE)), ""education|students|learning|school|teachers|college|university|academics""), ""Education"",
  REGEXMATCH(LOWER(VLOOKUP(A661, Data1_Raw_Slack!A:B, 2, FALSE)), ""age|gender|dem"&amp;"ographic|family|household""), ""Demographics"",
  REGEXMATCH(LOWER(VLOOKUP(A661, Data1_Raw_Slack!A:B, 2, FALSE)), ""mortgage|real estate""), ""Real Estate"",REGEXMATCH(LOWER(VLOOKUP(A661, Data1_Raw_Slack!A:B, 2, FALSE)), ""technology|tech|gadgets|smartpho"&amp;"ne|electro|apps|devices|computing|ai|robots|software|computer|internet|tele|mobile|tablet""), ""Technology"", REGEXMATCH(LOWER(VLOOKUP(A661, Data1_Raw_Slack!A:B, 2, FALSE)), ""entertainment|purchas|movies|tv|netflix|streaming|celebrity|movie lovers|tv fan"&amp;"s|media|hobb|photo|art|shop""), ""Entertainment"", REGEXMATCH(LOWER(VLOOKUP(A661, Data1_Raw_Slack!A:B, 2, FALSE)), ""law|government|""), ""Law and Government"",
  TRUE, ""Other""
)"),"Sports")</f>
        <v>Sports</v>
      </c>
      <c r="G661" s="9" t="s">
        <v>154</v>
      </c>
      <c r="H661" s="9" t="s">
        <v>32</v>
      </c>
      <c r="I661" s="9" t="s">
        <v>923</v>
      </c>
      <c r="J661" s="9" t="s">
        <v>34</v>
      </c>
      <c r="K661" s="9" t="s">
        <v>264</v>
      </c>
      <c r="L661" s="9" t="s">
        <v>265</v>
      </c>
      <c r="M661" s="10" t="s">
        <v>58</v>
      </c>
      <c r="N661" s="9" t="str">
        <f ca="1">IFERROR(__xludf.DUMMYFUNCTION("REGEXEXTRACT(LOWER(M661), ""([a-z0-9\-]+)\.(?:co|net|org|io|gg)"")"),"forbes")</f>
        <v>forbes</v>
      </c>
      <c r="O661" s="9" t="s">
        <v>103</v>
      </c>
      <c r="P661" s="9" t="s">
        <v>39</v>
      </c>
      <c r="Q661" s="9">
        <v>8204</v>
      </c>
      <c r="R661" s="9">
        <v>20</v>
      </c>
      <c r="S661" s="9">
        <v>1348</v>
      </c>
      <c r="T661" s="9">
        <v>7832</v>
      </c>
      <c r="U661" s="9">
        <v>1</v>
      </c>
      <c r="V661" s="11">
        <v>5973.3798919999999</v>
      </c>
      <c r="W661" s="12">
        <f t="shared" si="14"/>
        <v>5973.3798919999999</v>
      </c>
      <c r="X661" s="12">
        <f t="shared" si="15"/>
        <v>0.24378352023403219</v>
      </c>
      <c r="Y661" s="12">
        <f t="shared" si="16"/>
        <v>16.43100926377377</v>
      </c>
      <c r="Z661" s="12">
        <f t="shared" si="17"/>
        <v>4431.2907210682497</v>
      </c>
      <c r="AA661" s="12">
        <f t="shared" si="18"/>
        <v>728.1057888834714</v>
      </c>
      <c r="AB661" s="12">
        <f t="shared" si="19"/>
        <v>298.66899460000002</v>
      </c>
      <c r="AC661" s="12">
        <f t="shared" si="20"/>
        <v>5</v>
      </c>
      <c r="AE661" s="13"/>
      <c r="AF661" s="13"/>
    </row>
    <row r="662" spans="1:32">
      <c r="A662" s="8" t="s">
        <v>2201</v>
      </c>
      <c r="B662" s="9"/>
      <c r="C662" s="9" t="s">
        <v>325</v>
      </c>
      <c r="D662" s="9" t="s">
        <v>2202</v>
      </c>
      <c r="E662" s="9" t="s">
        <v>2203</v>
      </c>
      <c r="F662" s="9" t="str">
        <f ca="1">IFERROR(__xludf.DUMMYFUNCTION("IFS(
  REGEXMATCH(LOWER(VLOOKUP(A662, Data1_Raw_Slack!A:B, 2, FALSE)), ""news|weather""), ""News and Weather"", REGEXMATCH(LOWER(VLOOKUP(A662, Data1_Raw_Slack!A:B, 2, FALSE)), ""sports|ufc|nba|nfl|mlb|soccer|sports fans""), ""Sports"",
  REGEXMATCH(LOWER("&amp;"VLOOKUP(A662, Data1_Raw_Slack!A:B, 2, FALSE)), ""fashion|style|clothing|apparel|shoes|accessories|beauty|cosmetics|fashionistas""), ""Fashion and Beauty"",
  REGEXMATCH(LOWER(VLOOKUP(A662, Data1_Raw_Slack!A:B, 2, FALSE)), ""food|cooking|recipe|restaurant|"&amp;"snack|grocery|foodies""), ""Food"",
  REGEXMATCH(LOWER(VLOOKUP(A662, Data1_Raw_Slack!A:B, 2, FALSE)), ""travel|vacation|airline|hotel|trip|flights|travelers""), ""Travel"",
  REGEXMATCH(LOWER(VLOOKUP(A662, Data1_Raw_Slack!A:B, 2, FALSE)), ""fitness|workou"&amp;"t|gym|exercise|yoga|wellness|fitness enthusiasts""), ""Fitness"",
  REGEXMATCH(LOWER(VLOOKUP(A662, Data1_Raw_Slack!A:B, 2, FALSE)), ""health|medical|pharmacy|mental health|doctor|health-conscious""), ""Health"",
  REGEXMATCH(LOWER(VLOOKUP(A662, Data1_Raw_"&amp;"Slack!A:B, 2, FALSE)), ""pets|dogs|cats|animals|pet care|pet lovers""), ""Pets"",
  REGEXMATCH(LOWER(VLOOKUP(A662, Data1_Raw_Slack!A:B, 2, FALSE)), ""games|gaming|game|xbox|playstation|nintendo|gamers""), ""Gaming"",
  REGEXMATCH(LOWER(VLOOKUP(A662, Data1"&amp;"_Raw_Slack!A:B, 2, FALSE)), ""entertainment|movies|tv|netflix|streaming|celebrity|movie lovers|tv fans|hobb|photo|art""), ""Entertainment"",
  REGEXMATCH(LOWER(VLOOKUP(A662, Data1_Raw_Slack!A:B, 2, FALSE)), ""lifestyle|home|interior|decor|living|lifestyle"&amp;" enthusiasts""), ""Lifestyle"",
  REGEXMATCH(LOWER(VLOOKUP(A662, Data1_Raw_Slack!A:B, 2, FALSE)), ""financial|finance|investing|stocks|retirement|banking|credit|debt|loans|savings|personal finance|insurance|econ|ecom|business|retail|occupation|sale|job|ma"&amp;"rketing""), ""Finance"",
  REGEXMATCH(LOWER(VLOOKUP(A662, Data1_Raw_Slack!A:B, 2, FALSE)), ""auto|automotive""), ""Auto"",
  REGEXMATCH(LOWER(VLOOKUP(A662, Data1_Raw_Slack!A:B, 2, FALSE)), ""parenting|moms|dads|kids|toddlers|baby|parent|children""), ""Par"&amp;"enting"",
  REGEXMATCH(LOWER(VLOOKUP(A662, Data1_Raw_Slack!A:B, 2, FALSE)), ""education|students|learning|school|teachers|college|university|academics""), ""Education"",
  REGEXMATCH(LOWER(VLOOKUP(A662, Data1_Raw_Slack!A:B, 2, FALSE)), ""age|gender|dem"&amp;"ographic|family|household""), ""Demographics"",
  REGEXMATCH(LOWER(VLOOKUP(A662, Data1_Raw_Slack!A:B, 2, FALSE)), ""mortgage|real estate""), ""Real Estate"",REGEXMATCH(LOWER(VLOOKUP(A662, Data1_Raw_Slack!A:B, 2, FALSE)), ""technology|tech|gadgets|smartpho"&amp;"ne|electro|apps|devices|computing|ai|robots|software|computer|internet|tele|mobile|tablet""), ""Technology"", REGEXMATCH(LOWER(VLOOKUP(A662, Data1_Raw_Slack!A:B, 2, FALSE)), ""entertainment|purchas|movies|tv|netflix|streaming|celebrity|movie lovers|tv fan"&amp;"s|media|hobb|photo|art|shop""), ""Entertainment"", REGEXMATCH(LOWER(VLOOKUP(A662, Data1_Raw_Slack!A:B, 2, FALSE)), ""law|government|""), ""Law and Government"",
  TRUE, ""Other""
)"),"Demographics")</f>
        <v>Demographics</v>
      </c>
      <c r="G662" s="9"/>
      <c r="H662" s="9" t="s">
        <v>123</v>
      </c>
      <c r="I662" s="9" t="s">
        <v>2204</v>
      </c>
      <c r="J662" s="9" t="s">
        <v>80</v>
      </c>
      <c r="K662" s="9" t="s">
        <v>56</v>
      </c>
      <c r="L662" s="9" t="s">
        <v>57</v>
      </c>
      <c r="M662" s="10" t="s">
        <v>869</v>
      </c>
      <c r="N662" s="9" t="str">
        <f ca="1">IFERROR(__xludf.DUMMYFUNCTION("REGEXEXTRACT(LOWER(M662), ""([a-z0-9\-]+)\.(?:co|net|org|io|gg)"")"),"w3schools")</f>
        <v>w3schools</v>
      </c>
      <c r="O662" s="9" t="s">
        <v>186</v>
      </c>
      <c r="P662" s="9" t="s">
        <v>39</v>
      </c>
      <c r="Q662" s="9">
        <v>72117</v>
      </c>
      <c r="R662" s="9">
        <v>187</v>
      </c>
      <c r="S662" s="9">
        <v>9807</v>
      </c>
      <c r="T662" s="9">
        <v>68568</v>
      </c>
      <c r="U662" s="9">
        <v>16</v>
      </c>
      <c r="V662" s="11">
        <v>1702.3172059999999</v>
      </c>
      <c r="W662" s="12">
        <f t="shared" si="14"/>
        <v>106.394825375</v>
      </c>
      <c r="X662" s="12">
        <f t="shared" si="15"/>
        <v>0.25930085832744015</v>
      </c>
      <c r="Y662" s="12">
        <f t="shared" si="16"/>
        <v>13.598735388327302</v>
      </c>
      <c r="Z662" s="12">
        <f t="shared" si="17"/>
        <v>173.58185031100234</v>
      </c>
      <c r="AA662" s="12">
        <f t="shared" si="18"/>
        <v>23.6049365059556</v>
      </c>
      <c r="AB662" s="12">
        <f t="shared" si="19"/>
        <v>9.1033005668449203</v>
      </c>
      <c r="AC662" s="12">
        <f t="shared" si="20"/>
        <v>8.5561497326203195</v>
      </c>
      <c r="AE662" s="13"/>
      <c r="AF662" s="13"/>
    </row>
    <row r="663" spans="1:32">
      <c r="A663" s="8" t="s">
        <v>2205</v>
      </c>
      <c r="B663" s="9" t="s">
        <v>144</v>
      </c>
      <c r="C663" s="9" t="s">
        <v>238</v>
      </c>
      <c r="D663" s="9"/>
      <c r="E663" s="9"/>
      <c r="F663" s="9" t="str">
        <f ca="1">IFERROR(__xludf.DUMMYFUNCTION("IFS(
  REGEXMATCH(LOWER(VLOOKUP(A663, Data1_Raw_Slack!A:B, 2, FALSE)), ""news|weather""), ""News and Weather"", REGEXMATCH(LOWER(VLOOKUP(A663, Data1_Raw_Slack!A:B, 2, FALSE)), ""sports|ufc|nba|nfl|mlb|soccer|sports fans""), ""Sports"",
  REGEXMATCH(LOWER("&amp;"VLOOKUP(A663, Data1_Raw_Slack!A:B, 2, FALSE)), ""fashion|style|clothing|apparel|shoes|accessories|beauty|cosmetics|fashionistas""), ""Fashion and Beauty"",
  REGEXMATCH(LOWER(VLOOKUP(A663, Data1_Raw_Slack!A:B, 2, FALSE)), ""food|cooking|recipe|restaurant|"&amp;"snack|grocery|foodies""), ""Food"",
  REGEXMATCH(LOWER(VLOOKUP(A663, Data1_Raw_Slack!A:B, 2, FALSE)), ""travel|vacation|airline|hotel|trip|flights|travelers""), ""Travel"",
  REGEXMATCH(LOWER(VLOOKUP(A663, Data1_Raw_Slack!A:B, 2, FALSE)), ""fitness|workou"&amp;"t|gym|exercise|yoga|wellness|fitness enthusiasts""), ""Fitness"",
  REGEXMATCH(LOWER(VLOOKUP(A663, Data1_Raw_Slack!A:B, 2, FALSE)), ""health|medical|pharmacy|mental health|doctor|health-conscious""), ""Health"",
  REGEXMATCH(LOWER(VLOOKUP(A663, Data1_Raw_"&amp;"Slack!A:B, 2, FALSE)), ""pets|dogs|cats|animals|pet care|pet lovers""), ""Pets"",
  REGEXMATCH(LOWER(VLOOKUP(A663, Data1_Raw_Slack!A:B, 2, FALSE)), ""games|gaming|game|xbox|playstation|nintendo|gamers""), ""Gaming"",
  REGEXMATCH(LOWER(VLOOKUP(A663, Data1"&amp;"_Raw_Slack!A:B, 2, FALSE)), ""entertainment|movies|tv|netflix|streaming|celebrity|movie lovers|tv fans|hobb|photo|art""), ""Entertainment"",
  REGEXMATCH(LOWER(VLOOKUP(A663, Data1_Raw_Slack!A:B, 2, FALSE)), ""lifestyle|home|interior|decor|living|lifestyle"&amp;" enthusiasts""), ""Lifestyle"",
  REGEXMATCH(LOWER(VLOOKUP(A663, Data1_Raw_Slack!A:B, 2, FALSE)), ""financial|finance|investing|stocks|retirement|banking|credit|debt|loans|savings|personal finance|insurance|econ|ecom|business|retail|occupation|sale|job|ma"&amp;"rketing""), ""Finance"",
  REGEXMATCH(LOWER(VLOOKUP(A663, Data1_Raw_Slack!A:B, 2, FALSE)), ""auto|automotive""), ""Auto"",
  REGEXMATCH(LOWER(VLOOKUP(A663, Data1_Raw_Slack!A:B, 2, FALSE)), ""parenting|moms|dads|kids|toddlers|baby|parent|children""), ""Par"&amp;"enting"",
  REGEXMATCH(LOWER(VLOOKUP(A663, Data1_Raw_Slack!A:B, 2, FALSE)), ""education|students|learning|school|teachers|college|university|academics""), ""Education"",
  REGEXMATCH(LOWER(VLOOKUP(A663, Data1_Raw_Slack!A:B, 2, FALSE)), ""age|gender|dem"&amp;"ographic|family|household""), ""Demographics"",
  REGEXMATCH(LOWER(VLOOKUP(A663, Data1_Raw_Slack!A:B, 2, FALSE)), ""mortgage|real estate""), ""Real Estate"",REGEXMATCH(LOWER(VLOOKUP(A663, Data1_Raw_Slack!A:B, 2, FALSE)), ""technology|tech|gadgets|smartpho"&amp;"ne|electro|apps|devices|computing|ai|robots|software|computer|internet|tele|mobile|tablet""), ""Technology"", REGEXMATCH(LOWER(VLOOKUP(A663, Data1_Raw_Slack!A:B, 2, FALSE)), ""entertainment|purchas|movies|tv|netflix|streaming|celebrity|movie lovers|tv fan"&amp;"s|media|hobb|photo|art|shop""), ""Entertainment"", REGEXMATCH(LOWER(VLOOKUP(A663, Data1_Raw_Slack!A:B, 2, FALSE)), ""law|government|""), ""Law and Government"",
  TRUE, ""Other""
)"),"Parenting")</f>
        <v>Parenting</v>
      </c>
      <c r="G663" s="9"/>
      <c r="H663" s="9" t="s">
        <v>44</v>
      </c>
      <c r="I663" s="9" t="s">
        <v>2206</v>
      </c>
      <c r="J663" s="9" t="s">
        <v>34</v>
      </c>
      <c r="K663" s="9" t="s">
        <v>315</v>
      </c>
      <c r="L663" s="9" t="s">
        <v>36</v>
      </c>
      <c r="M663" s="10" t="s">
        <v>1438</v>
      </c>
      <c r="N663" s="9" t="str">
        <f ca="1">IFERROR(__xludf.DUMMYFUNCTION("REGEXEXTRACT(LOWER(M663), ""([a-z0-9\-]+)\.(?:co|net|org|io|gg)"")"),"topclassactions")</f>
        <v>topclassactions</v>
      </c>
      <c r="O663" s="9" t="s">
        <v>186</v>
      </c>
      <c r="P663" s="9" t="s">
        <v>75</v>
      </c>
      <c r="Q663" s="9">
        <v>16628</v>
      </c>
      <c r="R663" s="9">
        <v>70</v>
      </c>
      <c r="S663" s="9">
        <v>7974</v>
      </c>
      <c r="T663" s="9">
        <v>15969</v>
      </c>
      <c r="U663" s="9">
        <v>13</v>
      </c>
      <c r="V663" s="11">
        <v>1665.9658509999999</v>
      </c>
      <c r="W663" s="12">
        <f t="shared" si="14"/>
        <v>128.15121930769232</v>
      </c>
      <c r="X663" s="12">
        <f t="shared" si="15"/>
        <v>0.42097666586480631</v>
      </c>
      <c r="Y663" s="12">
        <f t="shared" si="16"/>
        <v>47.955256194370946</v>
      </c>
      <c r="Z663" s="12">
        <f t="shared" si="17"/>
        <v>208.92473676950087</v>
      </c>
      <c r="AA663" s="12">
        <f t="shared" si="18"/>
        <v>100.19039277122926</v>
      </c>
      <c r="AB663" s="12">
        <f t="shared" si="19"/>
        <v>23.799512157142857</v>
      </c>
      <c r="AC663" s="12">
        <f t="shared" si="20"/>
        <v>18.571428571428573</v>
      </c>
      <c r="AE663" s="13"/>
      <c r="AF663" s="13"/>
    </row>
    <row r="664" spans="1:32">
      <c r="A664" s="8" t="s">
        <v>2207</v>
      </c>
      <c r="B664" s="9" t="s">
        <v>41</v>
      </c>
      <c r="C664" s="9" t="s">
        <v>542</v>
      </c>
      <c r="D664" s="9" t="s">
        <v>1778</v>
      </c>
      <c r="E664" s="9"/>
      <c r="F664" s="9" t="str">
        <f ca="1">IFERROR(__xludf.DUMMYFUNCTION("IFS(
  REGEXMATCH(LOWER(VLOOKUP(A664, Data1_Raw_Slack!A:B, 2, FALSE)), ""news|weather""), ""News and Weather"", REGEXMATCH(LOWER(VLOOKUP(A664, Data1_Raw_Slack!A:B, 2, FALSE)), ""sports|ufc|nba|nfl|mlb|soccer|sports fans""), ""Sports"",
  REGEXMATCH(LOWER("&amp;"VLOOKUP(A664, Data1_Raw_Slack!A:B, 2, FALSE)), ""fashion|style|clothing|apparel|shoes|accessories|beauty|cosmetics|fashionistas""), ""Fashion and Beauty"",
  REGEXMATCH(LOWER(VLOOKUP(A664, Data1_Raw_Slack!A:B, 2, FALSE)), ""food|cooking|recipe|restaurant|"&amp;"snack|grocery|foodies""), ""Food"",
  REGEXMATCH(LOWER(VLOOKUP(A664, Data1_Raw_Slack!A:B, 2, FALSE)), ""travel|vacation|airline|hotel|trip|flights|travelers""), ""Travel"",
  REGEXMATCH(LOWER(VLOOKUP(A664, Data1_Raw_Slack!A:B, 2, FALSE)), ""fitness|workou"&amp;"t|gym|exercise|yoga|wellness|fitness enthusiasts""), ""Fitness"",
  REGEXMATCH(LOWER(VLOOKUP(A664, Data1_Raw_Slack!A:B, 2, FALSE)), ""health|medical|pharmacy|mental health|doctor|health-conscious""), ""Health"",
  REGEXMATCH(LOWER(VLOOKUP(A664, Data1_Raw_"&amp;"Slack!A:B, 2, FALSE)), ""pets|dogs|cats|animals|pet care|pet lovers""), ""Pets"",
  REGEXMATCH(LOWER(VLOOKUP(A664, Data1_Raw_Slack!A:B, 2, FALSE)), ""games|gaming|game|xbox|playstation|nintendo|gamers""), ""Gaming"",
  REGEXMATCH(LOWER(VLOOKUP(A664, Data1"&amp;"_Raw_Slack!A:B, 2, FALSE)), ""entertainment|movies|tv|netflix|streaming|celebrity|movie lovers|tv fans|hobb|photo|art""), ""Entertainment"",
  REGEXMATCH(LOWER(VLOOKUP(A664, Data1_Raw_Slack!A:B, 2, FALSE)), ""lifestyle|home|interior|decor|living|lifestyle"&amp;" enthusiasts""), ""Lifestyle"",
  REGEXMATCH(LOWER(VLOOKUP(A664, Data1_Raw_Slack!A:B, 2, FALSE)), ""financial|finance|investing|stocks|retirement|banking|credit|debt|loans|savings|personal finance|insurance|econ|ecom|business|retail|occupation|sale|job|ma"&amp;"rketing""), ""Finance"",
  REGEXMATCH(LOWER(VLOOKUP(A664, Data1_Raw_Slack!A:B, 2, FALSE)), ""auto|automotive""), ""Auto"",
  REGEXMATCH(LOWER(VLOOKUP(A664, Data1_Raw_Slack!A:B, 2, FALSE)), ""parenting|moms|dads|kids|toddlers|baby|parent|children""), ""Par"&amp;"enting"",
  REGEXMATCH(LOWER(VLOOKUP(A664, Data1_Raw_Slack!A:B, 2, FALSE)), ""education|students|learning|school|teachers|college|university|academics""), ""Education"",
  REGEXMATCH(LOWER(VLOOKUP(A664, Data1_Raw_Slack!A:B, 2, FALSE)), ""age|gender|dem"&amp;"ographic|family|household""), ""Demographics"",
  REGEXMATCH(LOWER(VLOOKUP(A664, Data1_Raw_Slack!A:B, 2, FALSE)), ""mortgage|real estate""), ""Real Estate"",REGEXMATCH(LOWER(VLOOKUP(A664, Data1_Raw_Slack!A:B, 2, FALSE)), ""technology|tech|gadgets|smartpho"&amp;"ne|electro|apps|devices|computing|ai|robots|software|computer|internet|tele|mobile|tablet""), ""Technology"", REGEXMATCH(LOWER(VLOOKUP(A664, Data1_Raw_Slack!A:B, 2, FALSE)), ""entertainment|purchas|movies|tv|netflix|streaming|celebrity|movie lovers|tv fan"&amp;"s|media|hobb|photo|art|shop""), ""Entertainment"", REGEXMATCH(LOWER(VLOOKUP(A664, Data1_Raw_Slack!A:B, 2, FALSE)), ""law|government|""), ""Law and Government"",
  TRUE, ""Other""
)"),"Entertainment")</f>
        <v>Entertainment</v>
      </c>
      <c r="G664" s="9"/>
      <c r="H664" s="9" t="s">
        <v>44</v>
      </c>
      <c r="I664" s="9" t="s">
        <v>2208</v>
      </c>
      <c r="J664" s="9" t="s">
        <v>46</v>
      </c>
      <c r="K664" s="9" t="s">
        <v>56</v>
      </c>
      <c r="L664" s="9" t="s">
        <v>57</v>
      </c>
      <c r="M664" s="10" t="s">
        <v>434</v>
      </c>
      <c r="N664" s="9" t="str">
        <f ca="1">IFERROR(__xludf.DUMMYFUNCTION("REGEXEXTRACT(LOWER(M664), ""([a-z0-9\-]+)\.(?:co|net|org|io|gg)"")"),"mlb")</f>
        <v>mlb</v>
      </c>
      <c r="O664" s="9" t="s">
        <v>74</v>
      </c>
      <c r="P664" s="9" t="s">
        <v>75</v>
      </c>
      <c r="Q664" s="9">
        <v>25206</v>
      </c>
      <c r="R664" s="9">
        <v>75</v>
      </c>
      <c r="S664" s="9">
        <v>3588</v>
      </c>
      <c r="T664" s="9">
        <v>23556</v>
      </c>
      <c r="U664" s="9">
        <v>19</v>
      </c>
      <c r="V664" s="11">
        <v>6846.3564340000003</v>
      </c>
      <c r="W664" s="12">
        <f t="shared" si="14"/>
        <v>360.33454915789474</v>
      </c>
      <c r="X664" s="12">
        <f t="shared" si="15"/>
        <v>0.29754820280885502</v>
      </c>
      <c r="Y664" s="12">
        <f t="shared" si="16"/>
        <v>14.234706022375626</v>
      </c>
      <c r="Z664" s="12">
        <f t="shared" si="17"/>
        <v>1908.1260964325531</v>
      </c>
      <c r="AA664" s="12">
        <f t="shared" si="18"/>
        <v>271.61614036340552</v>
      </c>
      <c r="AB664" s="12">
        <f t="shared" si="19"/>
        <v>91.28475245333334</v>
      </c>
      <c r="AC664" s="12">
        <f t="shared" si="20"/>
        <v>25.333333333333336</v>
      </c>
      <c r="AE664" s="13"/>
      <c r="AF664" s="13"/>
    </row>
    <row r="665" spans="1:32">
      <c r="A665" s="8" t="s">
        <v>2209</v>
      </c>
      <c r="B665" s="9" t="s">
        <v>52</v>
      </c>
      <c r="C665" s="9" t="s">
        <v>2210</v>
      </c>
      <c r="D665" s="9" t="s">
        <v>2211</v>
      </c>
      <c r="E665" s="9"/>
      <c r="F665" s="9" t="str">
        <f ca="1">IFERROR(__xludf.DUMMYFUNCTION("IFS(
  REGEXMATCH(LOWER(VLOOKUP(A665, Data1_Raw_Slack!A:B, 2, FALSE)), ""news|weather""), ""News and Weather"", REGEXMATCH(LOWER(VLOOKUP(A665, Data1_Raw_Slack!A:B, 2, FALSE)), ""sports|ufc|nba|nfl|mlb|soccer|sports fans""), ""Sports"",
  REGEXMATCH(LOWER("&amp;"VLOOKUP(A665, Data1_Raw_Slack!A:B, 2, FALSE)), ""fashion|style|clothing|apparel|shoes|accessories|beauty|cosmetics|fashionistas""), ""Fashion and Beauty"",
  REGEXMATCH(LOWER(VLOOKUP(A665, Data1_Raw_Slack!A:B, 2, FALSE)), ""food|cooking|recipe|restaurant|"&amp;"snack|grocery|foodies""), ""Food"",
  REGEXMATCH(LOWER(VLOOKUP(A665, Data1_Raw_Slack!A:B, 2, FALSE)), ""travel|vacation|airline|hotel|trip|flights|travelers""), ""Travel"",
  REGEXMATCH(LOWER(VLOOKUP(A665, Data1_Raw_Slack!A:B, 2, FALSE)), ""fitness|workou"&amp;"t|gym|exercise|yoga|wellness|fitness enthusiasts""), ""Fitness"",
  REGEXMATCH(LOWER(VLOOKUP(A665, Data1_Raw_Slack!A:B, 2, FALSE)), ""health|medical|pharmacy|mental health|doctor|health-conscious""), ""Health"",
  REGEXMATCH(LOWER(VLOOKUP(A665, Data1_Raw_"&amp;"Slack!A:B, 2, FALSE)), ""pets|dogs|cats|animals|pet care|pet lovers""), ""Pets"",
  REGEXMATCH(LOWER(VLOOKUP(A665, Data1_Raw_Slack!A:B, 2, FALSE)), ""games|gaming|game|xbox|playstation|nintendo|gamers""), ""Gaming"",
  REGEXMATCH(LOWER(VLOOKUP(A665, Data1"&amp;"_Raw_Slack!A:B, 2, FALSE)), ""entertainment|movies|tv|netflix|streaming|celebrity|movie lovers|tv fans|hobb|photo|art""), ""Entertainment"",
  REGEXMATCH(LOWER(VLOOKUP(A665, Data1_Raw_Slack!A:B, 2, FALSE)), ""lifestyle|home|interior|decor|living|lifestyle"&amp;" enthusiasts""), ""Lifestyle"",
  REGEXMATCH(LOWER(VLOOKUP(A665, Data1_Raw_Slack!A:B, 2, FALSE)), ""financial|finance|investing|stocks|retirement|banking|credit|debt|loans|savings|personal finance|insurance|econ|ecom|business|retail|occupation|sale|job|ma"&amp;"rketing""), ""Finance"",
  REGEXMATCH(LOWER(VLOOKUP(A665, Data1_Raw_Slack!A:B, 2, FALSE)), ""auto|automotive""), ""Auto"",
  REGEXMATCH(LOWER(VLOOKUP(A665, Data1_Raw_Slack!A:B, 2, FALSE)), ""parenting|moms|dads|kids|toddlers|baby|parent|children""), ""Par"&amp;"enting"",
  REGEXMATCH(LOWER(VLOOKUP(A665, Data1_Raw_Slack!A:B, 2, FALSE)), ""education|students|learning|school|teachers|college|university|academics""), ""Education"",
  REGEXMATCH(LOWER(VLOOKUP(A665, Data1_Raw_Slack!A:B, 2, FALSE)), ""age|gender|dem"&amp;"ographic|family|household""), ""Demographics"",
  REGEXMATCH(LOWER(VLOOKUP(A665, Data1_Raw_Slack!A:B, 2, FALSE)), ""mortgage|real estate""), ""Real Estate"",REGEXMATCH(LOWER(VLOOKUP(A665, Data1_Raw_Slack!A:B, 2, FALSE)), ""technology|tech|gadgets|smartpho"&amp;"ne|electro|apps|devices|computing|ai|robots|software|computer|internet|tele|mobile|tablet""), ""Technology"", REGEXMATCH(LOWER(VLOOKUP(A665, Data1_Raw_Slack!A:B, 2, FALSE)), ""entertainment|purchas|movies|tv|netflix|streaming|celebrity|movie lovers|tv fan"&amp;"s|media|hobb|photo|art|shop""), ""Entertainment"", REGEXMATCH(LOWER(VLOOKUP(A665, Data1_Raw_Slack!A:B, 2, FALSE)), ""law|government|""), ""Law and Government"",
  TRUE, ""Other""
)"),"Entertainment")</f>
        <v>Entertainment</v>
      </c>
      <c r="G665" s="9"/>
      <c r="H665" s="9" t="s">
        <v>32</v>
      </c>
      <c r="I665" s="9" t="s">
        <v>2212</v>
      </c>
      <c r="J665" s="9" t="s">
        <v>80</v>
      </c>
      <c r="K665" s="9" t="s">
        <v>56</v>
      </c>
      <c r="L665" s="9" t="s">
        <v>57</v>
      </c>
      <c r="M665" s="10" t="s">
        <v>434</v>
      </c>
      <c r="N665" s="9" t="str">
        <f ca="1">IFERROR(__xludf.DUMMYFUNCTION("REGEXEXTRACT(LOWER(M665), ""([a-z0-9\-]+)\.(?:co|net|org|io|gg)"")"),"mlb")</f>
        <v>mlb</v>
      </c>
      <c r="O665" s="9" t="s">
        <v>50</v>
      </c>
      <c r="P665" s="9" t="s">
        <v>39</v>
      </c>
      <c r="Q665" s="9">
        <v>10012</v>
      </c>
      <c r="R665" s="9">
        <v>25</v>
      </c>
      <c r="S665" s="9">
        <v>5734</v>
      </c>
      <c r="T665" s="9">
        <v>9413</v>
      </c>
      <c r="U665" s="9">
        <v>4</v>
      </c>
      <c r="V665" s="11">
        <v>1805.9260859999999</v>
      </c>
      <c r="W665" s="12">
        <f t="shared" si="14"/>
        <v>451.48152149999999</v>
      </c>
      <c r="X665" s="12">
        <f t="shared" si="15"/>
        <v>0.24970035956851777</v>
      </c>
      <c r="Y665" s="12">
        <f t="shared" si="16"/>
        <v>57.271274470635234</v>
      </c>
      <c r="Z665" s="12">
        <f t="shared" si="17"/>
        <v>314.9504858737356</v>
      </c>
      <c r="AA665" s="12">
        <f t="shared" si="18"/>
        <v>180.37615721134637</v>
      </c>
      <c r="AB665" s="12">
        <f t="shared" si="19"/>
        <v>72.237043439999994</v>
      </c>
      <c r="AC665" s="12">
        <f t="shared" si="20"/>
        <v>16</v>
      </c>
      <c r="AE665" s="13"/>
      <c r="AF665" s="13"/>
    </row>
    <row r="666" spans="1:32">
      <c r="A666" s="8" t="s">
        <v>2213</v>
      </c>
      <c r="B666" s="9" t="s">
        <v>198</v>
      </c>
      <c r="C666" s="9" t="s">
        <v>2214</v>
      </c>
      <c r="D666" s="9"/>
      <c r="E666" s="9"/>
      <c r="F666" s="9" t="str">
        <f ca="1">IFERROR(__xludf.DUMMYFUNCTION("IFS(
  REGEXMATCH(LOWER(VLOOKUP(A666, Data1_Raw_Slack!A:B, 2, FALSE)), ""news|weather""), ""News and Weather"", REGEXMATCH(LOWER(VLOOKUP(A666, Data1_Raw_Slack!A:B, 2, FALSE)), ""sports|ufc|nba|nfl|mlb|soccer|sports fans""), ""Sports"",
  REGEXMATCH(LOWER("&amp;"VLOOKUP(A666, Data1_Raw_Slack!A:B, 2, FALSE)), ""fashion|style|clothing|apparel|shoes|accessories|beauty|cosmetics|fashionistas""), ""Fashion and Beauty"",
  REGEXMATCH(LOWER(VLOOKUP(A666, Data1_Raw_Slack!A:B, 2, FALSE)), ""food|cooking|recipe|restaurant|"&amp;"snack|grocery|foodies""), ""Food"",
  REGEXMATCH(LOWER(VLOOKUP(A666, Data1_Raw_Slack!A:B, 2, FALSE)), ""travel|vacation|airline|hotel|trip|flights|travelers""), ""Travel"",
  REGEXMATCH(LOWER(VLOOKUP(A666, Data1_Raw_Slack!A:B, 2, FALSE)), ""fitness|workou"&amp;"t|gym|exercise|yoga|wellness|fitness enthusiasts""), ""Fitness"",
  REGEXMATCH(LOWER(VLOOKUP(A666, Data1_Raw_Slack!A:B, 2, FALSE)), ""health|medical|pharmacy|mental health|doctor|health-conscious""), ""Health"",
  REGEXMATCH(LOWER(VLOOKUP(A666, Data1_Raw_"&amp;"Slack!A:B, 2, FALSE)), ""pets|dogs|cats|animals|pet care|pet lovers""), ""Pets"",
  REGEXMATCH(LOWER(VLOOKUP(A666, Data1_Raw_Slack!A:B, 2, FALSE)), ""games|gaming|game|xbox|playstation|nintendo|gamers""), ""Gaming"",
  REGEXMATCH(LOWER(VLOOKUP(A666, Data1"&amp;"_Raw_Slack!A:B, 2, FALSE)), ""entertainment|movies|tv|netflix|streaming|celebrity|movie lovers|tv fans|hobb|photo|art""), ""Entertainment"",
  REGEXMATCH(LOWER(VLOOKUP(A666, Data1_Raw_Slack!A:B, 2, FALSE)), ""lifestyle|home|interior|decor|living|lifestyle"&amp;" enthusiasts""), ""Lifestyle"",
  REGEXMATCH(LOWER(VLOOKUP(A666, Data1_Raw_Slack!A:B, 2, FALSE)), ""financial|finance|investing|stocks|retirement|banking|credit|debt|loans|savings|personal finance|insurance|econ|ecom|business|retail|occupation|sale|job|ma"&amp;"rketing""), ""Finance"",
  REGEXMATCH(LOWER(VLOOKUP(A666, Data1_Raw_Slack!A:B, 2, FALSE)), ""auto|automotive""), ""Auto"",
  REGEXMATCH(LOWER(VLOOKUP(A666, Data1_Raw_Slack!A:B, 2, FALSE)), ""parenting|moms|dads|kids|toddlers|baby|parent|children""), ""Par"&amp;"enting"",
  REGEXMATCH(LOWER(VLOOKUP(A666, Data1_Raw_Slack!A:B, 2, FALSE)), ""education|students|learning|school|teachers|college|university|academics""), ""Education"",
  REGEXMATCH(LOWER(VLOOKUP(A666, Data1_Raw_Slack!A:B, 2, FALSE)), ""age|gender|dem"&amp;"ographic|family|household""), ""Demographics"",
  REGEXMATCH(LOWER(VLOOKUP(A666, Data1_Raw_Slack!A:B, 2, FALSE)), ""mortgage|real estate""), ""Real Estate"",REGEXMATCH(LOWER(VLOOKUP(A666, Data1_Raw_Slack!A:B, 2, FALSE)), ""technology|tech|gadgets|smartpho"&amp;"ne|electro|apps|devices|computing|ai|robots|software|computer|internet|tele|mobile|tablet""), ""Technology"", REGEXMATCH(LOWER(VLOOKUP(A666, Data1_Raw_Slack!A:B, 2, FALSE)), ""entertainment|purchas|movies|tv|netflix|streaming|celebrity|movie lovers|tv fan"&amp;"s|media|hobb|photo|art|shop""), ""Entertainment"", REGEXMATCH(LOWER(VLOOKUP(A666, Data1_Raw_Slack!A:B, 2, FALSE)), ""law|government|""), ""Law and Government"",
  TRUE, ""Other""
)"),"Finance")</f>
        <v>Finance</v>
      </c>
      <c r="G666" s="9"/>
      <c r="H666" s="9" t="s">
        <v>44</v>
      </c>
      <c r="I666" s="9" t="s">
        <v>1086</v>
      </c>
      <c r="J666" s="9" t="s">
        <v>62</v>
      </c>
      <c r="K666" s="9" t="s">
        <v>142</v>
      </c>
      <c r="L666" s="9" t="s">
        <v>72</v>
      </c>
      <c r="M666" s="10" t="s">
        <v>2215</v>
      </c>
      <c r="N666" s="9" t="str">
        <f ca="1">IFERROR(__xludf.DUMMYFUNCTION("REGEXEXTRACT(LOWER(M666), ""([a-z0-9\-]+)\.(?:co|net|org|io|gg)"")"),"citationmachine")</f>
        <v>citationmachine</v>
      </c>
      <c r="O666" s="9" t="s">
        <v>50</v>
      </c>
      <c r="P666" s="9" t="s">
        <v>75</v>
      </c>
      <c r="Q666" s="9">
        <v>31443</v>
      </c>
      <c r="R666" s="9">
        <v>70</v>
      </c>
      <c r="S666" s="9">
        <v>19134</v>
      </c>
      <c r="T666" s="9">
        <v>28059</v>
      </c>
      <c r="U666" s="9">
        <v>9</v>
      </c>
      <c r="V666" s="11">
        <v>2122.7658879999999</v>
      </c>
      <c r="W666" s="12">
        <f t="shared" si="14"/>
        <v>235.86287644444442</v>
      </c>
      <c r="X666" s="12">
        <f t="shared" si="15"/>
        <v>0.2226250675826098</v>
      </c>
      <c r="Y666" s="12">
        <f t="shared" si="16"/>
        <v>60.852972044652233</v>
      </c>
      <c r="Z666" s="12">
        <f t="shared" si="17"/>
        <v>110.94208675655901</v>
      </c>
      <c r="AA666" s="12">
        <f t="shared" si="18"/>
        <v>67.511557039722675</v>
      </c>
      <c r="AB666" s="12">
        <f t="shared" si="19"/>
        <v>30.32522697142857</v>
      </c>
      <c r="AC666" s="12">
        <f t="shared" si="20"/>
        <v>12.857142857142856</v>
      </c>
      <c r="AE666" s="13"/>
      <c r="AF666" s="13"/>
    </row>
    <row r="667" spans="1:32">
      <c r="A667" s="8" t="s">
        <v>2216</v>
      </c>
      <c r="B667" s="9" t="s">
        <v>41</v>
      </c>
      <c r="C667" s="9" t="s">
        <v>214</v>
      </c>
      <c r="D667" s="9" t="s">
        <v>215</v>
      </c>
      <c r="E667" s="9" t="s">
        <v>2217</v>
      </c>
      <c r="F667" s="9" t="str">
        <f ca="1">IFERROR(__xludf.DUMMYFUNCTION("IFS(
  REGEXMATCH(LOWER(VLOOKUP(A667, Data1_Raw_Slack!A:B, 2, FALSE)), ""news|weather""), ""News and Weather"", REGEXMATCH(LOWER(VLOOKUP(A667, Data1_Raw_Slack!A:B, 2, FALSE)), ""sports|ufc|nba|nfl|mlb|soccer|sports fans""), ""Sports"",
  REGEXMATCH(LOWER("&amp;"VLOOKUP(A667, Data1_Raw_Slack!A:B, 2, FALSE)), ""fashion|style|clothing|apparel|shoes|accessories|beauty|cosmetics|fashionistas""), ""Fashion and Beauty"",
  REGEXMATCH(LOWER(VLOOKUP(A667, Data1_Raw_Slack!A:B, 2, FALSE)), ""food|cooking|recipe|restaurant|"&amp;"snack|grocery|foodies""), ""Food"",
  REGEXMATCH(LOWER(VLOOKUP(A667, Data1_Raw_Slack!A:B, 2, FALSE)), ""travel|vacation|airline|hotel|trip|flights|travelers""), ""Travel"",
  REGEXMATCH(LOWER(VLOOKUP(A667, Data1_Raw_Slack!A:B, 2, FALSE)), ""fitness|workou"&amp;"t|gym|exercise|yoga|wellness|fitness enthusiasts""), ""Fitness"",
  REGEXMATCH(LOWER(VLOOKUP(A667, Data1_Raw_Slack!A:B, 2, FALSE)), ""health|medical|pharmacy|mental health|doctor|health-conscious""), ""Health"",
  REGEXMATCH(LOWER(VLOOKUP(A667, Data1_Raw_"&amp;"Slack!A:B, 2, FALSE)), ""pets|dogs|cats|animals|pet care|pet lovers""), ""Pets"",
  REGEXMATCH(LOWER(VLOOKUP(A667, Data1_Raw_Slack!A:B, 2, FALSE)), ""games|gaming|game|xbox|playstation|nintendo|gamers""), ""Gaming"",
  REGEXMATCH(LOWER(VLOOKUP(A667, Data1"&amp;"_Raw_Slack!A:B, 2, FALSE)), ""entertainment|movies|tv|netflix|streaming|celebrity|movie lovers|tv fans|hobb|photo|art""), ""Entertainment"",
  REGEXMATCH(LOWER(VLOOKUP(A667, Data1_Raw_Slack!A:B, 2, FALSE)), ""lifestyle|home|interior|decor|living|lifestyle"&amp;" enthusiasts""), ""Lifestyle"",
  REGEXMATCH(LOWER(VLOOKUP(A667, Data1_Raw_Slack!A:B, 2, FALSE)), ""financial|finance|investing|stocks|retirement|banking|credit|debt|loans|savings|personal finance|insurance|econ|ecom|business|retail|occupation|sale|job|ma"&amp;"rketing""), ""Finance"",
  REGEXMATCH(LOWER(VLOOKUP(A667, Data1_Raw_Slack!A:B, 2, FALSE)), ""auto|automotive""), ""Auto"",
  REGEXMATCH(LOWER(VLOOKUP(A667, Data1_Raw_Slack!A:B, 2, FALSE)), ""parenting|moms|dads|kids|toddlers|baby|parent|children""), ""Par"&amp;"enting"",
  REGEXMATCH(LOWER(VLOOKUP(A667, Data1_Raw_Slack!A:B, 2, FALSE)), ""education|students|learning|school|teachers|college|university|academics""), ""Education"",
  REGEXMATCH(LOWER(VLOOKUP(A667, Data1_Raw_Slack!A:B, 2, FALSE)), ""age|gender|dem"&amp;"ographic|family|household""), ""Demographics"",
  REGEXMATCH(LOWER(VLOOKUP(A667, Data1_Raw_Slack!A:B, 2, FALSE)), ""mortgage|real estate""), ""Real Estate"",REGEXMATCH(LOWER(VLOOKUP(A667, Data1_Raw_Slack!A:B, 2, FALSE)), ""technology|tech|gadgets|smartpho"&amp;"ne|electro|apps|devices|computing|ai|robots|software|computer|internet|tele|mobile|tablet""), ""Technology"", REGEXMATCH(LOWER(VLOOKUP(A667, Data1_Raw_Slack!A:B, 2, FALSE)), ""entertainment|purchas|movies|tv|netflix|streaming|celebrity|movie lovers|tv fan"&amp;"s|media|hobb|photo|art|shop""), ""Entertainment"", REGEXMATCH(LOWER(VLOOKUP(A667, Data1_Raw_Slack!A:B, 2, FALSE)), ""law|government|""), ""Law and Government"",
  TRUE, ""Other""
)"),"Demographics")</f>
        <v>Demographics</v>
      </c>
      <c r="G667" s="9"/>
      <c r="H667" s="9" t="s">
        <v>32</v>
      </c>
      <c r="I667" s="9" t="s">
        <v>1191</v>
      </c>
      <c r="J667" s="9" t="s">
        <v>34</v>
      </c>
      <c r="K667" s="9" t="s">
        <v>142</v>
      </c>
      <c r="L667" s="9" t="s">
        <v>72</v>
      </c>
      <c r="M667" s="10" t="s">
        <v>90</v>
      </c>
      <c r="N667" s="9" t="str">
        <f ca="1">IFERROR(__xludf.DUMMYFUNCTION("REGEXEXTRACT(LOWER(M667), ""([a-z0-9\-]+)\.(?:co|net|org|io|gg)"")"),"live")</f>
        <v>live</v>
      </c>
      <c r="O667" s="9" t="s">
        <v>103</v>
      </c>
      <c r="P667" s="9" t="s">
        <v>39</v>
      </c>
      <c r="Q667" s="9">
        <v>264580</v>
      </c>
      <c r="R667" s="9">
        <v>691</v>
      </c>
      <c r="S667" s="9">
        <v>217526</v>
      </c>
      <c r="T667" s="9">
        <v>240731</v>
      </c>
      <c r="U667" s="9">
        <v>9</v>
      </c>
      <c r="V667" s="11">
        <v>4874.6517219999996</v>
      </c>
      <c r="W667" s="12">
        <f t="shared" si="14"/>
        <v>541.62796911111104</v>
      </c>
      <c r="X667" s="12">
        <f t="shared" si="15"/>
        <v>0.26116864464434197</v>
      </c>
      <c r="Y667" s="12">
        <f t="shared" si="16"/>
        <v>82.215586968024795</v>
      </c>
      <c r="Z667" s="12">
        <f t="shared" si="17"/>
        <v>22.409512986953281</v>
      </c>
      <c r="AA667" s="12">
        <f t="shared" si="18"/>
        <v>18.424112638899388</v>
      </c>
      <c r="AB667" s="12">
        <f t="shared" si="19"/>
        <v>7.0544887438494932</v>
      </c>
      <c r="AC667" s="12">
        <f t="shared" si="20"/>
        <v>1.3024602026049203</v>
      </c>
      <c r="AE667" s="13"/>
      <c r="AF667" s="13"/>
    </row>
    <row r="668" spans="1:32">
      <c r="A668" s="8" t="s">
        <v>2218</v>
      </c>
      <c r="B668" s="9" t="s">
        <v>67</v>
      </c>
      <c r="C668" s="9" t="s">
        <v>151</v>
      </c>
      <c r="D668" s="9" t="s">
        <v>880</v>
      </c>
      <c r="E668" s="9"/>
      <c r="F668" s="9" t="str">
        <f ca="1">IFERROR(__xludf.DUMMYFUNCTION("IFS(
  REGEXMATCH(LOWER(VLOOKUP(A668, Data1_Raw_Slack!A:B, 2, FALSE)), ""news|weather""), ""News and Weather"", REGEXMATCH(LOWER(VLOOKUP(A668, Data1_Raw_Slack!A:B, 2, FALSE)), ""sports|ufc|nba|nfl|mlb|soccer|sports fans""), ""Sports"",
  REGEXMATCH(LOWER("&amp;"VLOOKUP(A668, Data1_Raw_Slack!A:B, 2, FALSE)), ""fashion|style|clothing|apparel|shoes|accessories|beauty|cosmetics|fashionistas""), ""Fashion and Beauty"",
  REGEXMATCH(LOWER(VLOOKUP(A668, Data1_Raw_Slack!A:B, 2, FALSE)), ""food|cooking|recipe|restaurant|"&amp;"snack|grocery|foodies""), ""Food"",
  REGEXMATCH(LOWER(VLOOKUP(A668, Data1_Raw_Slack!A:B, 2, FALSE)), ""travel|vacation|airline|hotel|trip|flights|travelers""), ""Travel"",
  REGEXMATCH(LOWER(VLOOKUP(A668, Data1_Raw_Slack!A:B, 2, FALSE)), ""fitness|workou"&amp;"t|gym|exercise|yoga|wellness|fitness enthusiasts""), ""Fitness"",
  REGEXMATCH(LOWER(VLOOKUP(A668, Data1_Raw_Slack!A:B, 2, FALSE)), ""health|medical|pharmacy|mental health|doctor|health-conscious""), ""Health"",
  REGEXMATCH(LOWER(VLOOKUP(A668, Data1_Raw_"&amp;"Slack!A:B, 2, FALSE)), ""pets|dogs|cats|animals|pet care|pet lovers""), ""Pets"",
  REGEXMATCH(LOWER(VLOOKUP(A668, Data1_Raw_Slack!A:B, 2, FALSE)), ""games|gaming|game|xbox|playstation|nintendo|gamers""), ""Gaming"",
  REGEXMATCH(LOWER(VLOOKUP(A668, Data1"&amp;"_Raw_Slack!A:B, 2, FALSE)), ""entertainment|movies|tv|netflix|streaming|celebrity|movie lovers|tv fans|hobb|photo|art""), ""Entertainment"",
  REGEXMATCH(LOWER(VLOOKUP(A668, Data1_Raw_Slack!A:B, 2, FALSE)), ""lifestyle|home|interior|decor|living|lifestyle"&amp;" enthusiasts""), ""Lifestyle"",
  REGEXMATCH(LOWER(VLOOKUP(A668, Data1_Raw_Slack!A:B, 2, FALSE)), ""financial|finance|investing|stocks|retirement|banking|credit|debt|loans|savings|personal finance|insurance|econ|ecom|business|retail|occupation|sale|job|ma"&amp;"rketing""), ""Finance"",
  REGEXMATCH(LOWER(VLOOKUP(A668, Data1_Raw_Slack!A:B, 2, FALSE)), ""auto|automotive""), ""Auto"",
  REGEXMATCH(LOWER(VLOOKUP(A668, Data1_Raw_Slack!A:B, 2, FALSE)), ""parenting|moms|dads|kids|toddlers|baby|parent|children""), ""Par"&amp;"enting"",
  REGEXMATCH(LOWER(VLOOKUP(A668, Data1_Raw_Slack!A:B, 2, FALSE)), ""education|students|learning|school|teachers|college|university|academics""), ""Education"",
  REGEXMATCH(LOWER(VLOOKUP(A668, Data1_Raw_Slack!A:B, 2, FALSE)), ""age|gender|dem"&amp;"ographic|family|household""), ""Demographics"",
  REGEXMATCH(LOWER(VLOOKUP(A668, Data1_Raw_Slack!A:B, 2, FALSE)), ""mortgage|real estate""), ""Real Estate"",REGEXMATCH(LOWER(VLOOKUP(A668, Data1_Raw_Slack!A:B, 2, FALSE)), ""technology|tech|gadgets|smartpho"&amp;"ne|electro|apps|devices|computing|ai|robots|software|computer|internet|tele|mobile|tablet""), ""Technology"", REGEXMATCH(LOWER(VLOOKUP(A668, Data1_Raw_Slack!A:B, 2, FALSE)), ""entertainment|purchas|movies|tv|netflix|streaming|celebrity|movie lovers|tv fan"&amp;"s|media|hobb|photo|art|shop""), ""Entertainment"", REGEXMATCH(LOWER(VLOOKUP(A668, Data1_Raw_Slack!A:B, 2, FALSE)), ""law|government|""), ""Law and Government"",
  TRUE, ""Other""
)"),"Sports")</f>
        <v>Sports</v>
      </c>
      <c r="G668" s="9" t="s">
        <v>154</v>
      </c>
      <c r="H668" s="9" t="s">
        <v>44</v>
      </c>
      <c r="I668" s="9" t="s">
        <v>836</v>
      </c>
      <c r="J668" s="9" t="s">
        <v>80</v>
      </c>
      <c r="K668" s="9" t="s">
        <v>633</v>
      </c>
      <c r="L668" s="9" t="s">
        <v>72</v>
      </c>
      <c r="M668" s="10" t="s">
        <v>2219</v>
      </c>
      <c r="N668" s="9" t="str">
        <f ca="1">IFERROR(__xludf.DUMMYFUNCTION("REGEXEXTRACT(LOWER(M668), ""([a-z0-9\-]+)\.(?:co|net|org|io|gg)"")"),"nba")</f>
        <v>nba</v>
      </c>
      <c r="O668" s="9" t="s">
        <v>50</v>
      </c>
      <c r="P668" s="9" t="s">
        <v>39</v>
      </c>
      <c r="Q668" s="9">
        <v>10883</v>
      </c>
      <c r="R668" s="9">
        <v>46</v>
      </c>
      <c r="S668" s="9">
        <v>1652</v>
      </c>
      <c r="T668" s="9">
        <v>8869</v>
      </c>
      <c r="U668" s="9">
        <v>16</v>
      </c>
      <c r="V668" s="11">
        <v>1942.482395</v>
      </c>
      <c r="W668" s="12">
        <f t="shared" si="14"/>
        <v>121.4051496875</v>
      </c>
      <c r="X668" s="12">
        <f t="shared" si="15"/>
        <v>0.42267757052283378</v>
      </c>
      <c r="Y668" s="12">
        <f t="shared" si="16"/>
        <v>15.179637967472203</v>
      </c>
      <c r="Z668" s="12">
        <f t="shared" si="17"/>
        <v>1175.8368008474577</v>
      </c>
      <c r="AA668" s="12">
        <f t="shared" si="18"/>
        <v>178.48776945695121</v>
      </c>
      <c r="AB668" s="12">
        <f t="shared" si="19"/>
        <v>42.227878152173915</v>
      </c>
      <c r="AC668" s="12">
        <f t="shared" si="20"/>
        <v>34.782608695652172</v>
      </c>
      <c r="AE668" s="13"/>
      <c r="AF668" s="13"/>
    </row>
    <row r="669" spans="1:32">
      <c r="A669" s="8" t="s">
        <v>2220</v>
      </c>
      <c r="B669" s="9" t="s">
        <v>41</v>
      </c>
      <c r="C669" s="9" t="s">
        <v>85</v>
      </c>
      <c r="D669" s="9" t="s">
        <v>1284</v>
      </c>
      <c r="E669" s="9" t="s">
        <v>2221</v>
      </c>
      <c r="F669" s="9" t="str">
        <f ca="1">IFERROR(__xludf.DUMMYFUNCTION("IFS(
  REGEXMATCH(LOWER(VLOOKUP(A669, Data1_Raw_Slack!A:B, 2, FALSE)), ""news|weather""), ""News and Weather"", REGEXMATCH(LOWER(VLOOKUP(A669, Data1_Raw_Slack!A:B, 2, FALSE)), ""sports|ufc|nba|nfl|mlb|soccer|sports fans""), ""Sports"",
  REGEXMATCH(LOWER("&amp;"VLOOKUP(A669, Data1_Raw_Slack!A:B, 2, FALSE)), ""fashion|style|clothing|apparel|shoes|accessories|beauty|cosmetics|fashionistas""), ""Fashion and Beauty"",
  REGEXMATCH(LOWER(VLOOKUP(A669, Data1_Raw_Slack!A:B, 2, FALSE)), ""food|cooking|recipe|restaurant|"&amp;"snack|grocery|foodies""), ""Food"",
  REGEXMATCH(LOWER(VLOOKUP(A669, Data1_Raw_Slack!A:B, 2, FALSE)), ""travel|vacation|airline|hotel|trip|flights|travelers""), ""Travel"",
  REGEXMATCH(LOWER(VLOOKUP(A669, Data1_Raw_Slack!A:B, 2, FALSE)), ""fitness|workou"&amp;"t|gym|exercise|yoga|wellness|fitness enthusiasts""), ""Fitness"",
  REGEXMATCH(LOWER(VLOOKUP(A669, Data1_Raw_Slack!A:B, 2, FALSE)), ""health|medical|pharmacy|mental health|doctor|health-conscious""), ""Health"",
  REGEXMATCH(LOWER(VLOOKUP(A669, Data1_Raw_"&amp;"Slack!A:B, 2, FALSE)), ""pets|dogs|cats|animals|pet care|pet lovers""), ""Pets"",
  REGEXMATCH(LOWER(VLOOKUP(A669, Data1_Raw_Slack!A:B, 2, FALSE)), ""games|gaming|game|xbox|playstation|nintendo|gamers""), ""Gaming"",
  REGEXMATCH(LOWER(VLOOKUP(A669, Data1"&amp;"_Raw_Slack!A:B, 2, FALSE)), ""entertainment|movies|tv|netflix|streaming|celebrity|movie lovers|tv fans|hobb|photo|art""), ""Entertainment"",
  REGEXMATCH(LOWER(VLOOKUP(A669, Data1_Raw_Slack!A:B, 2, FALSE)), ""lifestyle|home|interior|decor|living|lifestyle"&amp;" enthusiasts""), ""Lifestyle"",
  REGEXMATCH(LOWER(VLOOKUP(A669, Data1_Raw_Slack!A:B, 2, FALSE)), ""financial|finance|investing|stocks|retirement|banking|credit|debt|loans|savings|personal finance|insurance|econ|ecom|business|retail|occupation|sale|job|ma"&amp;"rketing""), ""Finance"",
  REGEXMATCH(LOWER(VLOOKUP(A669, Data1_Raw_Slack!A:B, 2, FALSE)), ""auto|automotive""), ""Auto"",
  REGEXMATCH(LOWER(VLOOKUP(A669, Data1_Raw_Slack!A:B, 2, FALSE)), ""parenting|moms|dads|kids|toddlers|baby|parent|children""), ""Par"&amp;"enting"",
  REGEXMATCH(LOWER(VLOOKUP(A669, Data1_Raw_Slack!A:B, 2, FALSE)), ""education|students|learning|school|teachers|college|university|academics""), ""Education"",
  REGEXMATCH(LOWER(VLOOKUP(A669, Data1_Raw_Slack!A:B, 2, FALSE)), ""age|gender|dem"&amp;"ographic|family|household""), ""Demographics"",
  REGEXMATCH(LOWER(VLOOKUP(A669, Data1_Raw_Slack!A:B, 2, FALSE)), ""mortgage|real estate""), ""Real Estate"",REGEXMATCH(LOWER(VLOOKUP(A669, Data1_Raw_Slack!A:B, 2, FALSE)), ""technology|tech|gadgets|smartpho"&amp;"ne|electro|apps|devices|computing|ai|robots|software|computer|internet|tele|mobile|tablet""), ""Technology"", REGEXMATCH(LOWER(VLOOKUP(A669, Data1_Raw_Slack!A:B, 2, FALSE)), ""entertainment|purchas|movies|tv|netflix|streaming|celebrity|movie lovers|tv fan"&amp;"s|media|hobb|photo|art|shop""), ""Entertainment"", REGEXMATCH(LOWER(VLOOKUP(A669, Data1_Raw_Slack!A:B, 2, FALSE)), ""law|government|""), ""Law and Government"",
  TRUE, ""Other""
)"),"Travel")</f>
        <v>Travel</v>
      </c>
      <c r="G669" s="9" t="s">
        <v>85</v>
      </c>
      <c r="H669" s="9" t="s">
        <v>44</v>
      </c>
      <c r="I669" s="9" t="s">
        <v>232</v>
      </c>
      <c r="J669" s="9" t="s">
        <v>80</v>
      </c>
      <c r="K669" s="9" t="s">
        <v>148</v>
      </c>
      <c r="L669" s="9" t="s">
        <v>89</v>
      </c>
      <c r="M669" s="10" t="s">
        <v>49</v>
      </c>
      <c r="N669" s="9" t="str">
        <f ca="1">IFERROR(__xludf.DUMMYFUNCTION("REGEXEXTRACT(LOWER(M669), ""([a-z0-9\-]+)\.(?:co|net|org|io|gg)"")"),"yahoo")</f>
        <v>yahoo</v>
      </c>
      <c r="O669" s="9" t="s">
        <v>74</v>
      </c>
      <c r="P669" s="9" t="s">
        <v>39</v>
      </c>
      <c r="Q669" s="9">
        <v>1720462</v>
      </c>
      <c r="R669" s="9">
        <v>4865</v>
      </c>
      <c r="S669" s="9">
        <v>940296</v>
      </c>
      <c r="T669" s="9">
        <v>1516537</v>
      </c>
      <c r="U669" s="9">
        <v>20</v>
      </c>
      <c r="V669" s="11">
        <v>5906.4649669999999</v>
      </c>
      <c r="W669" s="12">
        <f t="shared" si="14"/>
        <v>295.32324834999997</v>
      </c>
      <c r="X669" s="12">
        <f t="shared" si="15"/>
        <v>0.28277288309767956</v>
      </c>
      <c r="Y669" s="12">
        <f t="shared" si="16"/>
        <v>54.653691857187191</v>
      </c>
      <c r="Z669" s="12">
        <f t="shared" si="17"/>
        <v>6.2814953663527229</v>
      </c>
      <c r="AA669" s="12">
        <f t="shared" si="18"/>
        <v>3.433069121549909</v>
      </c>
      <c r="AB669" s="12">
        <f t="shared" si="19"/>
        <v>1.2140729634121274</v>
      </c>
      <c r="AC669" s="12">
        <f t="shared" si="20"/>
        <v>0.41109969167523125</v>
      </c>
      <c r="AE669" s="13"/>
      <c r="AF669" s="13"/>
    </row>
    <row r="670" spans="1:32">
      <c r="A670" s="8" t="s">
        <v>2222</v>
      </c>
      <c r="B670" s="9" t="s">
        <v>41</v>
      </c>
      <c r="C670" s="9" t="s">
        <v>105</v>
      </c>
      <c r="D670" s="9" t="s">
        <v>2223</v>
      </c>
      <c r="E670" s="9"/>
      <c r="F670" s="9" t="str">
        <f ca="1">IFERROR(__xludf.DUMMYFUNCTION("IFS(
  REGEXMATCH(LOWER(VLOOKUP(A670, Data1_Raw_Slack!A:B, 2, FALSE)), ""news|weather""), ""News and Weather"", REGEXMATCH(LOWER(VLOOKUP(A670, Data1_Raw_Slack!A:B, 2, FALSE)), ""sports|ufc|nba|nfl|mlb|soccer|sports fans""), ""Sports"",
  REGEXMATCH(LOWER("&amp;"VLOOKUP(A670, Data1_Raw_Slack!A:B, 2, FALSE)), ""fashion|style|clothing|apparel|shoes|accessories|beauty|cosmetics|fashionistas""), ""Fashion and Beauty"",
  REGEXMATCH(LOWER(VLOOKUP(A670, Data1_Raw_Slack!A:B, 2, FALSE)), ""food|cooking|recipe|restaurant|"&amp;"snack|grocery|foodies""), ""Food"",
  REGEXMATCH(LOWER(VLOOKUP(A670, Data1_Raw_Slack!A:B, 2, FALSE)), ""travel|vacation|airline|hotel|trip|flights|travelers""), ""Travel"",
  REGEXMATCH(LOWER(VLOOKUP(A670, Data1_Raw_Slack!A:B, 2, FALSE)), ""fitness|workou"&amp;"t|gym|exercise|yoga|wellness|fitness enthusiasts""), ""Fitness"",
  REGEXMATCH(LOWER(VLOOKUP(A670, Data1_Raw_Slack!A:B, 2, FALSE)), ""health|medical|pharmacy|mental health|doctor|health-conscious""), ""Health"",
  REGEXMATCH(LOWER(VLOOKUP(A670, Data1_Raw_"&amp;"Slack!A:B, 2, FALSE)), ""pets|dogs|cats|animals|pet care|pet lovers""), ""Pets"",
  REGEXMATCH(LOWER(VLOOKUP(A670, Data1_Raw_Slack!A:B, 2, FALSE)), ""games|gaming|game|xbox|playstation|nintendo|gamers""), ""Gaming"",
  REGEXMATCH(LOWER(VLOOKUP(A670, Data1"&amp;"_Raw_Slack!A:B, 2, FALSE)), ""entertainment|movies|tv|netflix|streaming|celebrity|movie lovers|tv fans|hobb|photo|art""), ""Entertainment"",
  REGEXMATCH(LOWER(VLOOKUP(A670, Data1_Raw_Slack!A:B, 2, FALSE)), ""lifestyle|home|interior|decor|living|lifestyle"&amp;" enthusiasts""), ""Lifestyle"",
  REGEXMATCH(LOWER(VLOOKUP(A670, Data1_Raw_Slack!A:B, 2, FALSE)), ""financial|finance|investing|stocks|retirement|banking|credit|debt|loans|savings|personal finance|insurance|econ|ecom|business|retail|occupation|sale|job|ma"&amp;"rketing""), ""Finance"",
  REGEXMATCH(LOWER(VLOOKUP(A670, Data1_Raw_Slack!A:B, 2, FALSE)), ""auto|automotive""), ""Auto"",
  REGEXMATCH(LOWER(VLOOKUP(A670, Data1_Raw_Slack!A:B, 2, FALSE)), ""parenting|moms|dads|kids|toddlers|baby|parent|children""), ""Par"&amp;"enting"",
  REGEXMATCH(LOWER(VLOOKUP(A670, Data1_Raw_Slack!A:B, 2, FALSE)), ""education|students|learning|school|teachers|college|university|academics""), ""Education"",
  REGEXMATCH(LOWER(VLOOKUP(A670, Data1_Raw_Slack!A:B, 2, FALSE)), ""age|gender|dem"&amp;"ographic|family|household""), ""Demographics"",
  REGEXMATCH(LOWER(VLOOKUP(A670, Data1_Raw_Slack!A:B, 2, FALSE)), ""mortgage|real estate""), ""Real Estate"",REGEXMATCH(LOWER(VLOOKUP(A670, Data1_Raw_Slack!A:B, 2, FALSE)), ""technology|tech|gadgets|smartpho"&amp;"ne|electro|apps|devices|computing|ai|robots|software|computer|internet|tele|mobile|tablet""), ""Technology"", REGEXMATCH(LOWER(VLOOKUP(A670, Data1_Raw_Slack!A:B, 2, FALSE)), ""entertainment|purchas|movies|tv|netflix|streaming|celebrity|movie lovers|tv fan"&amp;"s|media|hobb|photo|art|shop""), ""Entertainment"", REGEXMATCH(LOWER(VLOOKUP(A670, Data1_Raw_Slack!A:B, 2, FALSE)), ""law|government|""), ""Law and Government"",
  TRUE, ""Other""
)"),"Fashion and Beauty")</f>
        <v>Fashion and Beauty</v>
      </c>
      <c r="G670" s="9" t="s">
        <v>105</v>
      </c>
      <c r="H670" s="9" t="s">
        <v>32</v>
      </c>
      <c r="I670" s="9" t="s">
        <v>1480</v>
      </c>
      <c r="J670" s="9" t="s">
        <v>46</v>
      </c>
      <c r="K670" s="9" t="s">
        <v>88</v>
      </c>
      <c r="L670" s="9" t="s">
        <v>89</v>
      </c>
      <c r="M670" s="10" t="s">
        <v>229</v>
      </c>
      <c r="N670" s="9" t="str">
        <f ca="1">IFERROR(__xludf.DUMMYFUNCTION("REGEXEXTRACT(LOWER(M670), ""([a-z0-9\-]+)\.(?:co|net|org|io|gg)"")"),"msn")</f>
        <v>msn</v>
      </c>
      <c r="O670" s="9" t="s">
        <v>50</v>
      </c>
      <c r="P670" s="9" t="s">
        <v>39</v>
      </c>
      <c r="Q670" s="9">
        <v>999915</v>
      </c>
      <c r="R670" s="9">
        <v>2748</v>
      </c>
      <c r="S670" s="9">
        <v>618816</v>
      </c>
      <c r="T670" s="9">
        <v>829942</v>
      </c>
      <c r="U670" s="9">
        <v>23</v>
      </c>
      <c r="V670" s="11">
        <v>7879.3167869999997</v>
      </c>
      <c r="W670" s="12">
        <f t="shared" si="14"/>
        <v>342.5789907391304</v>
      </c>
      <c r="X670" s="12">
        <f t="shared" si="15"/>
        <v>0.27482335998559881</v>
      </c>
      <c r="Y670" s="12">
        <f t="shared" si="16"/>
        <v>61.886860383132571</v>
      </c>
      <c r="Z670" s="12">
        <f t="shared" si="17"/>
        <v>12.732891177668321</v>
      </c>
      <c r="AA670" s="12">
        <f t="shared" si="18"/>
        <v>7.8799865858597986</v>
      </c>
      <c r="AB670" s="12">
        <f t="shared" si="19"/>
        <v>2.86729140720524</v>
      </c>
      <c r="AC670" s="12">
        <f t="shared" si="20"/>
        <v>0.83697234352256189</v>
      </c>
      <c r="AE670" s="13"/>
      <c r="AF670" s="13"/>
    </row>
    <row r="671" spans="1:32">
      <c r="A671" s="8" t="s">
        <v>2224</v>
      </c>
      <c r="B671" s="9" t="s">
        <v>498</v>
      </c>
      <c r="C671" s="9" t="s">
        <v>581</v>
      </c>
      <c r="D671" s="9" t="s">
        <v>2225</v>
      </c>
      <c r="E671" s="9"/>
      <c r="F671" s="9" t="str">
        <f ca="1">IFERROR(__xludf.DUMMYFUNCTION("IFS(
  REGEXMATCH(LOWER(VLOOKUP(A671, Data1_Raw_Slack!A:B, 2, FALSE)), ""news|weather""), ""News and Weather"", REGEXMATCH(LOWER(VLOOKUP(A671, Data1_Raw_Slack!A:B, 2, FALSE)), ""sports|ufc|nba|nfl|mlb|soccer|sports fans""), ""Sports"",
  REGEXMATCH(LOWER("&amp;"VLOOKUP(A671, Data1_Raw_Slack!A:B, 2, FALSE)), ""fashion|style|clothing|apparel|shoes|accessories|beauty|cosmetics|fashionistas""), ""Fashion and Beauty"",
  REGEXMATCH(LOWER(VLOOKUP(A671, Data1_Raw_Slack!A:B, 2, FALSE)), ""food|cooking|recipe|restaurant|"&amp;"snack|grocery|foodies""), ""Food"",
  REGEXMATCH(LOWER(VLOOKUP(A671, Data1_Raw_Slack!A:B, 2, FALSE)), ""travel|vacation|airline|hotel|trip|flights|travelers""), ""Travel"",
  REGEXMATCH(LOWER(VLOOKUP(A671, Data1_Raw_Slack!A:B, 2, FALSE)), ""fitness|workou"&amp;"t|gym|exercise|yoga|wellness|fitness enthusiasts""), ""Fitness"",
  REGEXMATCH(LOWER(VLOOKUP(A671, Data1_Raw_Slack!A:B, 2, FALSE)), ""health|medical|pharmacy|mental health|doctor|health-conscious""), ""Health"",
  REGEXMATCH(LOWER(VLOOKUP(A671, Data1_Raw_"&amp;"Slack!A:B, 2, FALSE)), ""pets|dogs|cats|animals|pet care|pet lovers""), ""Pets"",
  REGEXMATCH(LOWER(VLOOKUP(A671, Data1_Raw_Slack!A:B, 2, FALSE)), ""games|gaming|game|xbox|playstation|nintendo|gamers""), ""Gaming"",
  REGEXMATCH(LOWER(VLOOKUP(A671, Data1"&amp;"_Raw_Slack!A:B, 2, FALSE)), ""entertainment|movies|tv|netflix|streaming|celebrity|movie lovers|tv fans|hobb|photo|art""), ""Entertainment"",
  REGEXMATCH(LOWER(VLOOKUP(A671, Data1_Raw_Slack!A:B, 2, FALSE)), ""lifestyle|home|interior|decor|living|lifestyle"&amp;" enthusiasts""), ""Lifestyle"",
  REGEXMATCH(LOWER(VLOOKUP(A671, Data1_Raw_Slack!A:B, 2, FALSE)), ""financial|finance|investing|stocks|retirement|banking|credit|debt|loans|savings|personal finance|insurance|econ|ecom|business|retail|occupation|sale|job|ma"&amp;"rketing""), ""Finance"",
  REGEXMATCH(LOWER(VLOOKUP(A671, Data1_Raw_Slack!A:B, 2, FALSE)), ""auto|automotive""), ""Auto"",
  REGEXMATCH(LOWER(VLOOKUP(A671, Data1_Raw_Slack!A:B, 2, FALSE)), ""parenting|moms|dads|kids|toddlers|baby|parent|children""), ""Par"&amp;"enting"",
  REGEXMATCH(LOWER(VLOOKUP(A671, Data1_Raw_Slack!A:B, 2, FALSE)), ""education|students|learning|school|teachers|college|university|academics""), ""Education"",
  REGEXMATCH(LOWER(VLOOKUP(A671, Data1_Raw_Slack!A:B, 2, FALSE)), ""age|gender|dem"&amp;"ographic|family|household""), ""Demographics"",
  REGEXMATCH(LOWER(VLOOKUP(A671, Data1_Raw_Slack!A:B, 2, FALSE)), ""mortgage|real estate""), ""Real Estate"",REGEXMATCH(LOWER(VLOOKUP(A671, Data1_Raw_Slack!A:B, 2, FALSE)), ""technology|tech|gadgets|smartpho"&amp;"ne|electro|apps|devices|computing|ai|robots|software|computer|internet|tele|mobile|tablet""), ""Technology"", REGEXMATCH(LOWER(VLOOKUP(A671, Data1_Raw_Slack!A:B, 2, FALSE)), ""entertainment|purchas|movies|tv|netflix|streaming|celebrity|movie lovers|tv fan"&amp;"s|media|hobb|photo|art|shop""), ""Entertainment"", REGEXMATCH(LOWER(VLOOKUP(A671, Data1_Raw_Slack!A:B, 2, FALSE)), ""law|government|""), ""Law and Government"",
  TRUE, ""Other""
)"),"Finance")</f>
        <v>Finance</v>
      </c>
      <c r="G671" s="9"/>
      <c r="H671" s="9" t="s">
        <v>44</v>
      </c>
      <c r="I671" s="9" t="s">
        <v>2226</v>
      </c>
      <c r="J671" s="9" t="s">
        <v>34</v>
      </c>
      <c r="K671" s="9" t="s">
        <v>56</v>
      </c>
      <c r="L671" s="9" t="s">
        <v>57</v>
      </c>
      <c r="M671" s="10" t="s">
        <v>2227</v>
      </c>
      <c r="N671" s="9" t="str">
        <f ca="1">IFERROR(__xludf.DUMMYFUNCTION("REGEXEXTRACT(LOWER(M671), ""([a-z0-9\-]+)\.(?:co|net|org|io|gg)"")"),"repairlinkshop")</f>
        <v>repairlinkshop</v>
      </c>
      <c r="O671" s="9" t="s">
        <v>593</v>
      </c>
      <c r="P671" s="9" t="s">
        <v>39</v>
      </c>
      <c r="Q671" s="9">
        <v>13382</v>
      </c>
      <c r="R671" s="9">
        <v>68</v>
      </c>
      <c r="S671" s="9">
        <v>3340</v>
      </c>
      <c r="T671" s="9">
        <v>11662</v>
      </c>
      <c r="U671" s="9">
        <v>1</v>
      </c>
      <c r="V671" s="11">
        <v>1447.927193</v>
      </c>
      <c r="W671" s="12">
        <f t="shared" si="14"/>
        <v>1447.927193</v>
      </c>
      <c r="X671" s="12">
        <f t="shared" si="15"/>
        <v>0.50814526976535646</v>
      </c>
      <c r="Y671" s="12">
        <f t="shared" si="16"/>
        <v>24.958900014945449</v>
      </c>
      <c r="Z671" s="12">
        <f t="shared" si="17"/>
        <v>433.51113562874252</v>
      </c>
      <c r="AA671" s="12">
        <f t="shared" si="18"/>
        <v>108.19961089523241</v>
      </c>
      <c r="AB671" s="12">
        <f t="shared" si="19"/>
        <v>21.293046955882353</v>
      </c>
      <c r="AC671" s="12">
        <f t="shared" si="20"/>
        <v>1.4705882352941175</v>
      </c>
      <c r="AE671" s="13"/>
      <c r="AF671" s="13"/>
    </row>
    <row r="672" spans="1:32">
      <c r="A672" s="8" t="s">
        <v>2228</v>
      </c>
      <c r="B672" s="9" t="s">
        <v>874</v>
      </c>
      <c r="C672" s="9" t="s">
        <v>122</v>
      </c>
      <c r="D672" s="9" t="s">
        <v>1716</v>
      </c>
      <c r="E672" s="9" t="s">
        <v>1106</v>
      </c>
      <c r="F672" s="9" t="str">
        <f ca="1">IFERROR(__xludf.DUMMYFUNCTION("IFS(
  REGEXMATCH(LOWER(VLOOKUP(A672, Data1_Raw_Slack!A:B, 2, FALSE)), ""news|weather""), ""News and Weather"", REGEXMATCH(LOWER(VLOOKUP(A672, Data1_Raw_Slack!A:B, 2, FALSE)), ""sports|ufc|nba|nfl|mlb|soccer|sports fans""), ""Sports"",
  REGEXMATCH(LOWER("&amp;"VLOOKUP(A672, Data1_Raw_Slack!A:B, 2, FALSE)), ""fashion|style|clothing|apparel|shoes|accessories|beauty|cosmetics|fashionistas""), ""Fashion and Beauty"",
  REGEXMATCH(LOWER(VLOOKUP(A672, Data1_Raw_Slack!A:B, 2, FALSE)), ""food|cooking|recipe|restaurant|"&amp;"snack|grocery|foodies""), ""Food"",
  REGEXMATCH(LOWER(VLOOKUP(A672, Data1_Raw_Slack!A:B, 2, FALSE)), ""travel|vacation|airline|hotel|trip|flights|travelers""), ""Travel"",
  REGEXMATCH(LOWER(VLOOKUP(A672, Data1_Raw_Slack!A:B, 2, FALSE)), ""fitness|workou"&amp;"t|gym|exercise|yoga|wellness|fitness enthusiasts""), ""Fitness"",
  REGEXMATCH(LOWER(VLOOKUP(A672, Data1_Raw_Slack!A:B, 2, FALSE)), ""health|medical|pharmacy|mental health|doctor|health-conscious""), ""Health"",
  REGEXMATCH(LOWER(VLOOKUP(A672, Data1_Raw_"&amp;"Slack!A:B, 2, FALSE)), ""pets|dogs|cats|animals|pet care|pet lovers""), ""Pets"",
  REGEXMATCH(LOWER(VLOOKUP(A672, Data1_Raw_Slack!A:B, 2, FALSE)), ""games|gaming|game|xbox|playstation|nintendo|gamers""), ""Gaming"",
  REGEXMATCH(LOWER(VLOOKUP(A672, Data1"&amp;"_Raw_Slack!A:B, 2, FALSE)), ""entertainment|movies|tv|netflix|streaming|celebrity|movie lovers|tv fans|hobb|photo|art""), ""Entertainment"",
  REGEXMATCH(LOWER(VLOOKUP(A672, Data1_Raw_Slack!A:B, 2, FALSE)), ""lifestyle|home|interior|decor|living|lifestyle"&amp;" enthusiasts""), ""Lifestyle"",
  REGEXMATCH(LOWER(VLOOKUP(A672, Data1_Raw_Slack!A:B, 2, FALSE)), ""financial|finance|investing|stocks|retirement|banking|credit|debt|loans|savings|personal finance|insurance|econ|ecom|business|retail|occupation|sale|job|ma"&amp;"rketing""), ""Finance"",
  REGEXMATCH(LOWER(VLOOKUP(A672, Data1_Raw_Slack!A:B, 2, FALSE)), ""auto|automotive""), ""Auto"",
  REGEXMATCH(LOWER(VLOOKUP(A672, Data1_Raw_Slack!A:B, 2, FALSE)), ""parenting|moms|dads|kids|toddlers|baby|parent|children""), ""Par"&amp;"enting"",
  REGEXMATCH(LOWER(VLOOKUP(A672, Data1_Raw_Slack!A:B, 2, FALSE)), ""education|students|learning|school|teachers|college|university|academics""), ""Education"",
  REGEXMATCH(LOWER(VLOOKUP(A672, Data1_Raw_Slack!A:B, 2, FALSE)), ""age|gender|dem"&amp;"ographic|family|household""), ""Demographics"",
  REGEXMATCH(LOWER(VLOOKUP(A672, Data1_Raw_Slack!A:B, 2, FALSE)), ""mortgage|real estate""), ""Real Estate"",REGEXMATCH(LOWER(VLOOKUP(A672, Data1_Raw_Slack!A:B, 2, FALSE)), ""technology|tech|gadgets|smartpho"&amp;"ne|electro|apps|devices|computing|ai|robots|software|computer|internet|tele|mobile|tablet""), ""Technology"", REGEXMATCH(LOWER(VLOOKUP(A672, Data1_Raw_Slack!A:B, 2, FALSE)), ""entertainment|purchas|movies|tv|netflix|streaming|celebrity|movie lovers|tv fan"&amp;"s|media|hobb|photo|art|shop""), ""Entertainment"", REGEXMATCH(LOWER(VLOOKUP(A672, Data1_Raw_Slack!A:B, 2, FALSE)), ""law|government|""), ""Law and Government"",
  TRUE, ""Other""
)"),"Auto")</f>
        <v>Auto</v>
      </c>
      <c r="G672" s="9" t="s">
        <v>122</v>
      </c>
      <c r="H672" s="9" t="s">
        <v>32</v>
      </c>
      <c r="I672" s="9" t="s">
        <v>1480</v>
      </c>
      <c r="J672" s="9" t="s">
        <v>62</v>
      </c>
      <c r="K672" s="9" t="s">
        <v>35</v>
      </c>
      <c r="L672" s="9" t="s">
        <v>36</v>
      </c>
      <c r="M672" s="10" t="s">
        <v>2229</v>
      </c>
      <c r="N672" s="9" t="str">
        <f ca="1">IFERROR(__xludf.DUMMYFUNCTION("REGEXEXTRACT(LOWER(M672), ""([a-z0-9\-]+)\.(?:co|net|org|io|gg)"")"),"uscellular")</f>
        <v>uscellular</v>
      </c>
      <c r="O672" s="9" t="s">
        <v>103</v>
      </c>
      <c r="P672" s="9" t="s">
        <v>39</v>
      </c>
      <c r="Q672" s="9">
        <v>17561</v>
      </c>
      <c r="R672" s="9">
        <v>50</v>
      </c>
      <c r="S672" s="9">
        <v>2960</v>
      </c>
      <c r="T672" s="9">
        <v>9953</v>
      </c>
      <c r="U672" s="9">
        <v>10</v>
      </c>
      <c r="V672" s="11">
        <v>1519.90401</v>
      </c>
      <c r="W672" s="12">
        <f t="shared" si="14"/>
        <v>151.99040099999999</v>
      </c>
      <c r="X672" s="12">
        <f t="shared" si="15"/>
        <v>0.28472182677524061</v>
      </c>
      <c r="Y672" s="12">
        <f t="shared" si="16"/>
        <v>16.855532145094244</v>
      </c>
      <c r="Z672" s="12">
        <f t="shared" si="17"/>
        <v>513.48108445945945</v>
      </c>
      <c r="AA672" s="12">
        <f t="shared" si="18"/>
        <v>86.549969250042707</v>
      </c>
      <c r="AB672" s="12">
        <f t="shared" si="19"/>
        <v>30.398080199999999</v>
      </c>
      <c r="AC672" s="12">
        <f t="shared" si="20"/>
        <v>20</v>
      </c>
      <c r="AE672" s="13"/>
      <c r="AF672" s="13"/>
    </row>
    <row r="673" spans="1:32">
      <c r="A673" s="8" t="s">
        <v>2230</v>
      </c>
      <c r="B673" s="9" t="s">
        <v>840</v>
      </c>
      <c r="C673" s="9" t="s">
        <v>841</v>
      </c>
      <c r="D673" s="9" t="s">
        <v>2231</v>
      </c>
      <c r="E673" s="9"/>
      <c r="F673" s="9" t="str">
        <f ca="1">IFERROR(__xludf.DUMMYFUNCTION("IFS(
  REGEXMATCH(LOWER(VLOOKUP(A673, Data1_Raw_Slack!A:B, 2, FALSE)), ""news|weather""), ""News and Weather"", REGEXMATCH(LOWER(VLOOKUP(A673, Data1_Raw_Slack!A:B, 2, FALSE)), ""sports|ufc|nba|nfl|mlb|soccer|sports fans""), ""Sports"",
  REGEXMATCH(LOWER("&amp;"VLOOKUP(A673, Data1_Raw_Slack!A:B, 2, FALSE)), ""fashion|style|clothing|apparel|shoes|accessories|beauty|cosmetics|fashionistas""), ""Fashion and Beauty"",
  REGEXMATCH(LOWER(VLOOKUP(A673, Data1_Raw_Slack!A:B, 2, FALSE)), ""food|cooking|recipe|restaurant|"&amp;"snack|grocery|foodies""), ""Food"",
  REGEXMATCH(LOWER(VLOOKUP(A673, Data1_Raw_Slack!A:B, 2, FALSE)), ""travel|vacation|airline|hotel|trip|flights|travelers""), ""Travel"",
  REGEXMATCH(LOWER(VLOOKUP(A673, Data1_Raw_Slack!A:B, 2, FALSE)), ""fitness|workou"&amp;"t|gym|exercise|yoga|wellness|fitness enthusiasts""), ""Fitness"",
  REGEXMATCH(LOWER(VLOOKUP(A673, Data1_Raw_Slack!A:B, 2, FALSE)), ""health|medical|pharmacy|mental health|doctor|health-conscious""), ""Health"",
  REGEXMATCH(LOWER(VLOOKUP(A673, Data1_Raw_"&amp;"Slack!A:B, 2, FALSE)), ""pets|dogs|cats|animals|pet care|pet lovers""), ""Pets"",
  REGEXMATCH(LOWER(VLOOKUP(A673, Data1_Raw_Slack!A:B, 2, FALSE)), ""games|gaming|game|xbox|playstation|nintendo|gamers""), ""Gaming"",
  REGEXMATCH(LOWER(VLOOKUP(A673, Data1"&amp;"_Raw_Slack!A:B, 2, FALSE)), ""entertainment|movies|tv|netflix|streaming|celebrity|movie lovers|tv fans|hobb|photo|art""), ""Entertainment"",
  REGEXMATCH(LOWER(VLOOKUP(A673, Data1_Raw_Slack!A:B, 2, FALSE)), ""lifestyle|home|interior|decor|living|lifestyle"&amp;" enthusiasts""), ""Lifestyle"",
  REGEXMATCH(LOWER(VLOOKUP(A673, Data1_Raw_Slack!A:B, 2, FALSE)), ""financial|finance|investing|stocks|retirement|banking|credit|debt|loans|savings|personal finance|insurance|econ|ecom|business|retail|occupation|sale|job|ma"&amp;"rketing""), ""Finance"",
  REGEXMATCH(LOWER(VLOOKUP(A673, Data1_Raw_Slack!A:B, 2, FALSE)), ""auto|automotive""), ""Auto"",
  REGEXMATCH(LOWER(VLOOKUP(A673, Data1_Raw_Slack!A:B, 2, FALSE)), ""parenting|moms|dads|kids|toddlers|baby|parent|children""), ""Par"&amp;"enting"",
  REGEXMATCH(LOWER(VLOOKUP(A673, Data1_Raw_Slack!A:B, 2, FALSE)), ""education|students|learning|school|teachers|college|university|academics""), ""Education"",
  REGEXMATCH(LOWER(VLOOKUP(A673, Data1_Raw_Slack!A:B, 2, FALSE)), ""age|gender|dem"&amp;"ographic|family|household""), ""Demographics"",
  REGEXMATCH(LOWER(VLOOKUP(A673, Data1_Raw_Slack!A:B, 2, FALSE)), ""mortgage|real estate""), ""Real Estate"",REGEXMATCH(LOWER(VLOOKUP(A673, Data1_Raw_Slack!A:B, 2, FALSE)), ""technology|tech|gadgets|smartpho"&amp;"ne|electro|apps|devices|computing|ai|robots|software|computer|internet|tele|mobile|tablet""), ""Technology"", REGEXMATCH(LOWER(VLOOKUP(A673, Data1_Raw_Slack!A:B, 2, FALSE)), ""entertainment|purchas|movies|tv|netflix|streaming|celebrity|movie lovers|tv fan"&amp;"s|media|hobb|photo|art|shop""), ""Entertainment"", REGEXMATCH(LOWER(VLOOKUP(A673, Data1_Raw_Slack!A:B, 2, FALSE)), ""law|government|""), ""Law and Government"",
  TRUE, ""Other""
)"),"Technology")</f>
        <v>Technology</v>
      </c>
      <c r="G673" s="9" t="s">
        <v>135</v>
      </c>
      <c r="H673" s="9" t="s">
        <v>44</v>
      </c>
      <c r="I673" s="9" t="s">
        <v>2232</v>
      </c>
      <c r="J673" s="9" t="s">
        <v>62</v>
      </c>
      <c r="K673" s="9" t="s">
        <v>148</v>
      </c>
      <c r="L673" s="9" t="s">
        <v>89</v>
      </c>
      <c r="M673" s="10" t="s">
        <v>430</v>
      </c>
      <c r="N673" s="9" t="str">
        <f ca="1">IFERROR(__xludf.DUMMYFUNCTION("REGEXEXTRACT(LOWER(M673), ""([a-z0-9\-]+)\.(?:co|net|org|io|gg)"")"),"biblegateway")</f>
        <v>biblegateway</v>
      </c>
      <c r="O673" s="9" t="s">
        <v>50</v>
      </c>
      <c r="P673" s="9" t="s">
        <v>39</v>
      </c>
      <c r="Q673" s="9">
        <v>130796</v>
      </c>
      <c r="R673" s="9">
        <v>300</v>
      </c>
      <c r="S673" s="9">
        <v>109118</v>
      </c>
      <c r="T673" s="9">
        <v>122937</v>
      </c>
      <c r="U673" s="9">
        <v>6</v>
      </c>
      <c r="V673" s="11">
        <v>2196.6612319999999</v>
      </c>
      <c r="W673" s="12">
        <f t="shared" si="14"/>
        <v>366.11020533333334</v>
      </c>
      <c r="X673" s="12">
        <f t="shared" si="15"/>
        <v>0.22936481237958348</v>
      </c>
      <c r="Y673" s="12">
        <f t="shared" si="16"/>
        <v>83.426098657451291</v>
      </c>
      <c r="Z673" s="12">
        <f t="shared" si="17"/>
        <v>20.131062079583572</v>
      </c>
      <c r="AA673" s="12">
        <f t="shared" si="18"/>
        <v>16.794559711306157</v>
      </c>
      <c r="AB673" s="12">
        <f t="shared" si="19"/>
        <v>7.3222041066666668</v>
      </c>
      <c r="AC673" s="12">
        <f t="shared" si="20"/>
        <v>2</v>
      </c>
      <c r="AE673" s="13"/>
      <c r="AF673" s="13"/>
    </row>
    <row r="674" spans="1:32">
      <c r="A674" s="8" t="s">
        <v>2233</v>
      </c>
      <c r="B674" s="9" t="s">
        <v>41</v>
      </c>
      <c r="C674" s="9" t="s">
        <v>42</v>
      </c>
      <c r="D674" s="9" t="s">
        <v>2234</v>
      </c>
      <c r="E674" s="9"/>
      <c r="F674" s="9" t="str">
        <f ca="1">IFERROR(__xludf.DUMMYFUNCTION("IFS(
  REGEXMATCH(LOWER(VLOOKUP(A674, Data1_Raw_Slack!A:B, 2, FALSE)), ""news|weather""), ""News and Weather"", REGEXMATCH(LOWER(VLOOKUP(A674, Data1_Raw_Slack!A:B, 2, FALSE)), ""sports|ufc|nba|nfl|mlb|soccer|sports fans""), ""Sports"",
  REGEXMATCH(LOWER("&amp;"VLOOKUP(A674, Data1_Raw_Slack!A:B, 2, FALSE)), ""fashion|style|clothing|apparel|shoes|accessories|beauty|cosmetics|fashionistas""), ""Fashion and Beauty"",
  REGEXMATCH(LOWER(VLOOKUP(A674, Data1_Raw_Slack!A:B, 2, FALSE)), ""food|cooking|recipe|restaurant|"&amp;"snack|grocery|foodies""), ""Food"",
  REGEXMATCH(LOWER(VLOOKUP(A674, Data1_Raw_Slack!A:B, 2, FALSE)), ""travel|vacation|airline|hotel|trip|flights|travelers""), ""Travel"",
  REGEXMATCH(LOWER(VLOOKUP(A674, Data1_Raw_Slack!A:B, 2, FALSE)), ""fitness|workou"&amp;"t|gym|exercise|yoga|wellness|fitness enthusiasts""), ""Fitness"",
  REGEXMATCH(LOWER(VLOOKUP(A674, Data1_Raw_Slack!A:B, 2, FALSE)), ""health|medical|pharmacy|mental health|doctor|health-conscious""), ""Health"",
  REGEXMATCH(LOWER(VLOOKUP(A674, Data1_Raw_"&amp;"Slack!A:B, 2, FALSE)), ""pets|dogs|cats|animals|pet care|pet lovers""), ""Pets"",
  REGEXMATCH(LOWER(VLOOKUP(A674, Data1_Raw_Slack!A:B, 2, FALSE)), ""games|gaming|game|xbox|playstation|nintendo|gamers""), ""Gaming"",
  REGEXMATCH(LOWER(VLOOKUP(A674, Data1"&amp;"_Raw_Slack!A:B, 2, FALSE)), ""entertainment|movies|tv|netflix|streaming|celebrity|movie lovers|tv fans|hobb|photo|art""), ""Entertainment"",
  REGEXMATCH(LOWER(VLOOKUP(A674, Data1_Raw_Slack!A:B, 2, FALSE)), ""lifestyle|home|interior|decor|living|lifestyle"&amp;" enthusiasts""), ""Lifestyle"",
  REGEXMATCH(LOWER(VLOOKUP(A674, Data1_Raw_Slack!A:B, 2, FALSE)), ""financial|finance|investing|stocks|retirement|banking|credit|debt|loans|savings|personal finance|insurance|econ|ecom|business|retail|occupation|sale|job|ma"&amp;"rketing""), ""Finance"",
  REGEXMATCH(LOWER(VLOOKUP(A674, Data1_Raw_Slack!A:B, 2, FALSE)), ""auto|automotive""), ""Auto"",
  REGEXMATCH(LOWER(VLOOKUP(A674, Data1_Raw_Slack!A:B, 2, FALSE)), ""parenting|moms|dads|kids|toddlers|baby|parent|children""), ""Par"&amp;"enting"",
  REGEXMATCH(LOWER(VLOOKUP(A674, Data1_Raw_Slack!A:B, 2, FALSE)), ""education|students|learning|school|teachers|college|university|academics""), ""Education"",
  REGEXMATCH(LOWER(VLOOKUP(A674, Data1_Raw_Slack!A:B, 2, FALSE)), ""age|gender|dem"&amp;"ographic|family|household""), ""Demographics"",
  REGEXMATCH(LOWER(VLOOKUP(A674, Data1_Raw_Slack!A:B, 2, FALSE)), ""mortgage|real estate""), ""Real Estate"",REGEXMATCH(LOWER(VLOOKUP(A674, Data1_Raw_Slack!A:B, 2, FALSE)), ""technology|tech|gadgets|smartpho"&amp;"ne|electro|apps|devices|computing|ai|robots|software|computer|internet|tele|mobile|tablet""), ""Technology"", REGEXMATCH(LOWER(VLOOKUP(A674, Data1_Raw_Slack!A:B, 2, FALSE)), ""entertainment|purchas|movies|tv|netflix|streaming|celebrity|movie lovers|tv fan"&amp;"s|media|hobb|photo|art|shop""), ""Entertainment"", REGEXMATCH(LOWER(VLOOKUP(A674, Data1_Raw_Slack!A:B, 2, FALSE)), ""law|government|""), ""Law and Government"",
  TRUE, ""Other""
)"),"Law and Government")</f>
        <v>Law and Government</v>
      </c>
      <c r="G674" s="9"/>
      <c r="H674" s="9" t="s">
        <v>32</v>
      </c>
      <c r="I674" s="9" t="s">
        <v>1986</v>
      </c>
      <c r="J674" s="9" t="s">
        <v>46</v>
      </c>
      <c r="K674" s="9" t="s">
        <v>274</v>
      </c>
      <c r="L674" s="9" t="s">
        <v>48</v>
      </c>
      <c r="M674" s="10" t="s">
        <v>2235</v>
      </c>
      <c r="N674" s="9" t="str">
        <f ca="1">IFERROR(__xludf.DUMMYFUNCTION("REGEXEXTRACT(LOWER(M674), ""([a-z0-9\-]+)\.(?:co|net|org|io|gg)"")"),"techradar")</f>
        <v>techradar</v>
      </c>
      <c r="O674" s="9" t="s">
        <v>50</v>
      </c>
      <c r="P674" s="9" t="s">
        <v>39</v>
      </c>
      <c r="Q674" s="9">
        <v>12161</v>
      </c>
      <c r="R674" s="9">
        <v>20</v>
      </c>
      <c r="S674" s="9">
        <v>6284</v>
      </c>
      <c r="T674" s="9">
        <v>10919</v>
      </c>
      <c r="U674" s="9">
        <v>4</v>
      </c>
      <c r="V674" s="11">
        <v>7273.2659880000001</v>
      </c>
      <c r="W674" s="12">
        <f t="shared" si="14"/>
        <v>1818.316497</v>
      </c>
      <c r="X674" s="12">
        <f t="shared" si="15"/>
        <v>0.16446015952635473</v>
      </c>
      <c r="Y674" s="12">
        <f t="shared" si="16"/>
        <v>51.673382123180659</v>
      </c>
      <c r="Z674" s="12">
        <f t="shared" si="17"/>
        <v>1157.4261597708467</v>
      </c>
      <c r="AA674" s="12">
        <f t="shared" si="18"/>
        <v>598.08124233204512</v>
      </c>
      <c r="AB674" s="12">
        <f t="shared" si="19"/>
        <v>363.66329940000003</v>
      </c>
      <c r="AC674" s="12">
        <f t="shared" si="20"/>
        <v>20</v>
      </c>
      <c r="AE674" s="13"/>
      <c r="AF674" s="13"/>
    </row>
    <row r="675" spans="1:32">
      <c r="A675" s="8" t="s">
        <v>2236</v>
      </c>
      <c r="B675" s="9" t="s">
        <v>2237</v>
      </c>
      <c r="C675" s="9" t="s">
        <v>2237</v>
      </c>
      <c r="D675" s="9"/>
      <c r="E675" s="9"/>
      <c r="F675" s="9" t="str">
        <f ca="1">IFERROR(__xludf.DUMMYFUNCTION("IFS(
  REGEXMATCH(LOWER(VLOOKUP(A675, Data1_Raw_Slack!A:B, 2, FALSE)), ""news|weather""), ""News and Weather"", REGEXMATCH(LOWER(VLOOKUP(A675, Data1_Raw_Slack!A:B, 2, FALSE)), ""sports|ufc|nba|nfl|mlb|soccer|sports fans""), ""Sports"",
  REGEXMATCH(LOWER("&amp;"VLOOKUP(A675, Data1_Raw_Slack!A:B, 2, FALSE)), ""fashion|style|clothing|apparel|shoes|accessories|beauty|cosmetics|fashionistas""), ""Fashion and Beauty"",
  REGEXMATCH(LOWER(VLOOKUP(A675, Data1_Raw_Slack!A:B, 2, FALSE)), ""food|cooking|recipe|restaurant|"&amp;"snack|grocery|foodies""), ""Food"",
  REGEXMATCH(LOWER(VLOOKUP(A675, Data1_Raw_Slack!A:B, 2, FALSE)), ""travel|vacation|airline|hotel|trip|flights|travelers""), ""Travel"",
  REGEXMATCH(LOWER(VLOOKUP(A675, Data1_Raw_Slack!A:B, 2, FALSE)), ""fitness|workou"&amp;"t|gym|exercise|yoga|wellness|fitness enthusiasts""), ""Fitness"",
  REGEXMATCH(LOWER(VLOOKUP(A675, Data1_Raw_Slack!A:B, 2, FALSE)), ""health|medical|pharmacy|mental health|doctor|health-conscious""), ""Health"",
  REGEXMATCH(LOWER(VLOOKUP(A675, Data1_Raw_"&amp;"Slack!A:B, 2, FALSE)), ""pets|dogs|cats|animals|pet care|pet lovers""), ""Pets"",
  REGEXMATCH(LOWER(VLOOKUP(A675, Data1_Raw_Slack!A:B, 2, FALSE)), ""games|gaming|game|xbox|playstation|nintendo|gamers""), ""Gaming"",
  REGEXMATCH(LOWER(VLOOKUP(A675, Data1"&amp;"_Raw_Slack!A:B, 2, FALSE)), ""entertainment|movies|tv|netflix|streaming|celebrity|movie lovers|tv fans|hobb|photo|art""), ""Entertainment"",
  REGEXMATCH(LOWER(VLOOKUP(A675, Data1_Raw_Slack!A:B, 2, FALSE)), ""lifestyle|home|interior|decor|living|lifestyle"&amp;" enthusiasts""), ""Lifestyle"",
  REGEXMATCH(LOWER(VLOOKUP(A675, Data1_Raw_Slack!A:B, 2, FALSE)), ""financial|finance|investing|stocks|retirement|banking|credit|debt|loans|savings|personal finance|insurance|econ|ecom|business|retail|occupation|sale|job|ma"&amp;"rketing""), ""Finance"",
  REGEXMATCH(LOWER(VLOOKUP(A675, Data1_Raw_Slack!A:B, 2, FALSE)), ""auto|automotive""), ""Auto"",
  REGEXMATCH(LOWER(VLOOKUP(A675, Data1_Raw_Slack!A:B, 2, FALSE)), ""parenting|moms|dads|kids|toddlers|baby|parent|children""), ""Par"&amp;"enting"",
  REGEXMATCH(LOWER(VLOOKUP(A675, Data1_Raw_Slack!A:B, 2, FALSE)), ""education|students|learning|school|teachers|college|university|academics""), ""Education"",
  REGEXMATCH(LOWER(VLOOKUP(A675, Data1_Raw_Slack!A:B, 2, FALSE)), ""age|gender|dem"&amp;"ographic|family|household""), ""Demographics"",
  REGEXMATCH(LOWER(VLOOKUP(A675, Data1_Raw_Slack!A:B, 2, FALSE)), ""mortgage|real estate""), ""Real Estate"",REGEXMATCH(LOWER(VLOOKUP(A675, Data1_Raw_Slack!A:B, 2, FALSE)), ""technology|tech|gadgets|smartpho"&amp;"ne|electro|apps|devices|computing|ai|robots|software|computer|internet|tele|mobile|tablet""), ""Technology"", REGEXMATCH(LOWER(VLOOKUP(A675, Data1_Raw_Slack!A:B, 2, FALSE)), ""entertainment|purchas|movies|tv|netflix|streaming|celebrity|movie lovers|tv fan"&amp;"s|media|hobb|photo|art|shop""), ""Entertainment"", REGEXMATCH(LOWER(VLOOKUP(A675, Data1_Raw_Slack!A:B, 2, FALSE)), ""law|government|""), ""Law and Government"",
  TRUE, ""Other""
)"),"Entertainment")</f>
        <v>Entertainment</v>
      </c>
      <c r="G675" s="9"/>
      <c r="H675" s="9" t="s">
        <v>44</v>
      </c>
      <c r="I675" s="9" t="s">
        <v>2238</v>
      </c>
      <c r="J675" s="9" t="s">
        <v>62</v>
      </c>
      <c r="K675" s="9" t="s">
        <v>170</v>
      </c>
      <c r="L675" s="9" t="s">
        <v>72</v>
      </c>
      <c r="M675" s="10" t="s">
        <v>484</v>
      </c>
      <c r="N675" s="9" t="str">
        <f ca="1">IFERROR(__xludf.DUMMYFUNCTION("REGEXEXTRACT(LOWER(M675), ""([a-z0-9\-]+)\.(?:co|net|org|io|gg)"")"),"whatismyipaddress")</f>
        <v>whatismyipaddress</v>
      </c>
      <c r="O675" s="9" t="s">
        <v>131</v>
      </c>
      <c r="P675" s="9" t="s">
        <v>39</v>
      </c>
      <c r="Q675" s="9">
        <v>8545</v>
      </c>
      <c r="R675" s="9">
        <v>20</v>
      </c>
      <c r="S675" s="9">
        <v>3454</v>
      </c>
      <c r="T675" s="9">
        <v>5510</v>
      </c>
      <c r="U675" s="9">
        <v>2</v>
      </c>
      <c r="V675" s="11">
        <v>2181.2479490000001</v>
      </c>
      <c r="W675" s="12">
        <f t="shared" si="14"/>
        <v>1090.6239745</v>
      </c>
      <c r="X675" s="12">
        <f t="shared" si="15"/>
        <v>0.23405500292568754</v>
      </c>
      <c r="Y675" s="12">
        <f t="shared" si="16"/>
        <v>40.421299005266235</v>
      </c>
      <c r="Z675" s="12">
        <f t="shared" si="17"/>
        <v>631.51359264620737</v>
      </c>
      <c r="AA675" s="12">
        <f t="shared" si="18"/>
        <v>255.26599754242247</v>
      </c>
      <c r="AB675" s="12">
        <f t="shared" si="19"/>
        <v>109.06239745000001</v>
      </c>
      <c r="AC675" s="12">
        <f t="shared" si="20"/>
        <v>10</v>
      </c>
      <c r="AE675" s="13"/>
      <c r="AF675" s="13"/>
    </row>
    <row r="676" spans="1:32">
      <c r="A676" s="8" t="s">
        <v>2239</v>
      </c>
      <c r="B676" s="9" t="s">
        <v>144</v>
      </c>
      <c r="C676" s="9" t="s">
        <v>631</v>
      </c>
      <c r="D676" s="9"/>
      <c r="E676" s="9"/>
      <c r="F676" s="9" t="str">
        <f ca="1">IFERROR(__xludf.DUMMYFUNCTION("IFS(
  REGEXMATCH(LOWER(VLOOKUP(A676, Data1_Raw_Slack!A:B, 2, FALSE)), ""news|weather""), ""News and Weather"", REGEXMATCH(LOWER(VLOOKUP(A676, Data1_Raw_Slack!A:B, 2, FALSE)), ""sports|ufc|nba|nfl|mlb|soccer|sports fans""), ""Sports"",
  REGEXMATCH(LOWER("&amp;"VLOOKUP(A676, Data1_Raw_Slack!A:B, 2, FALSE)), ""fashion|style|clothing|apparel|shoes|accessories|beauty|cosmetics|fashionistas""), ""Fashion and Beauty"",
  REGEXMATCH(LOWER(VLOOKUP(A676, Data1_Raw_Slack!A:B, 2, FALSE)), ""food|cooking|recipe|restaurant|"&amp;"snack|grocery|foodies""), ""Food"",
  REGEXMATCH(LOWER(VLOOKUP(A676, Data1_Raw_Slack!A:B, 2, FALSE)), ""travel|vacation|airline|hotel|trip|flights|travelers""), ""Travel"",
  REGEXMATCH(LOWER(VLOOKUP(A676, Data1_Raw_Slack!A:B, 2, FALSE)), ""fitness|workou"&amp;"t|gym|exercise|yoga|wellness|fitness enthusiasts""), ""Fitness"",
  REGEXMATCH(LOWER(VLOOKUP(A676, Data1_Raw_Slack!A:B, 2, FALSE)), ""health|medical|pharmacy|mental health|doctor|health-conscious""), ""Health"",
  REGEXMATCH(LOWER(VLOOKUP(A676, Data1_Raw_"&amp;"Slack!A:B, 2, FALSE)), ""pets|dogs|cats|animals|pet care|pet lovers""), ""Pets"",
  REGEXMATCH(LOWER(VLOOKUP(A676, Data1_Raw_Slack!A:B, 2, FALSE)), ""games|gaming|game|xbox|playstation|nintendo|gamers""), ""Gaming"",
  REGEXMATCH(LOWER(VLOOKUP(A676, Data1"&amp;"_Raw_Slack!A:B, 2, FALSE)), ""entertainment|movies|tv|netflix|streaming|celebrity|movie lovers|tv fans|hobb|photo|art""), ""Entertainment"",
  REGEXMATCH(LOWER(VLOOKUP(A676, Data1_Raw_Slack!A:B, 2, FALSE)), ""lifestyle|home|interior|decor|living|lifestyle"&amp;" enthusiasts""), ""Lifestyle"",
  REGEXMATCH(LOWER(VLOOKUP(A676, Data1_Raw_Slack!A:B, 2, FALSE)), ""financial|finance|investing|stocks|retirement|banking|credit|debt|loans|savings|personal finance|insurance|econ|ecom|business|retail|occupation|sale|job|ma"&amp;"rketing""), ""Finance"",
  REGEXMATCH(LOWER(VLOOKUP(A676, Data1_Raw_Slack!A:B, 2, FALSE)), ""auto|automotive""), ""Auto"",
  REGEXMATCH(LOWER(VLOOKUP(A676, Data1_Raw_Slack!A:B, 2, FALSE)), ""parenting|moms|dads|kids|toddlers|baby|parent|children""), ""Par"&amp;"enting"",
  REGEXMATCH(LOWER(VLOOKUP(A676, Data1_Raw_Slack!A:B, 2, FALSE)), ""education|students|learning|school|teachers|college|university|academics""), ""Education"",
  REGEXMATCH(LOWER(VLOOKUP(A676, Data1_Raw_Slack!A:B, 2, FALSE)), ""age|gender|dem"&amp;"ographic|family|household""), ""Demographics"",
  REGEXMATCH(LOWER(VLOOKUP(A676, Data1_Raw_Slack!A:B, 2, FALSE)), ""mortgage|real estate""), ""Real Estate"",REGEXMATCH(LOWER(VLOOKUP(A676, Data1_Raw_Slack!A:B, 2, FALSE)), ""technology|tech|gadgets|smartpho"&amp;"ne|electro|apps|devices|computing|ai|robots|software|computer|internet|tele|mobile|tablet""), ""Technology"", REGEXMATCH(LOWER(VLOOKUP(A676, Data1_Raw_Slack!A:B, 2, FALSE)), ""entertainment|purchas|movies|tv|netflix|streaming|celebrity|movie lovers|tv fan"&amp;"s|media|hobb|photo|art|shop""), ""Entertainment"", REGEXMATCH(LOWER(VLOOKUP(A676, Data1_Raw_Slack!A:B, 2, FALSE)), ""law|government|""), ""Law and Government"",
  TRUE, ""Other""
)"),"Technology")</f>
        <v>Technology</v>
      </c>
      <c r="G676" s="9" t="s">
        <v>135</v>
      </c>
      <c r="H676" s="9" t="s">
        <v>123</v>
      </c>
      <c r="I676" s="9" t="s">
        <v>1444</v>
      </c>
      <c r="J676" s="9" t="s">
        <v>62</v>
      </c>
      <c r="K676" s="9" t="s">
        <v>47</v>
      </c>
      <c r="L676" s="9" t="s">
        <v>48</v>
      </c>
      <c r="M676" s="10" t="s">
        <v>969</v>
      </c>
      <c r="N676" s="9" t="str">
        <f ca="1">IFERROR(__xludf.DUMMYFUNCTION("REGEXEXTRACT(LOWER(M676), ""([a-z0-9\-]+)\.(?:co|net|org|io|gg)"")"),"wunderground")</f>
        <v>wunderground</v>
      </c>
      <c r="O676" s="9" t="s">
        <v>74</v>
      </c>
      <c r="P676" s="9" t="s">
        <v>39</v>
      </c>
      <c r="Q676" s="9">
        <v>23410</v>
      </c>
      <c r="R676" s="9">
        <v>66</v>
      </c>
      <c r="S676" s="9">
        <v>13626</v>
      </c>
      <c r="T676" s="9">
        <v>22109</v>
      </c>
      <c r="U676" s="9">
        <v>6</v>
      </c>
      <c r="V676" s="11">
        <v>1930.180523</v>
      </c>
      <c r="W676" s="12">
        <f t="shared" si="14"/>
        <v>321.69675383333333</v>
      </c>
      <c r="X676" s="12">
        <f t="shared" si="15"/>
        <v>0.28193079880392991</v>
      </c>
      <c r="Y676" s="12">
        <f t="shared" si="16"/>
        <v>58.205894916702263</v>
      </c>
      <c r="Z676" s="12">
        <f t="shared" si="17"/>
        <v>141.65422890063115</v>
      </c>
      <c r="AA676" s="12">
        <f t="shared" si="18"/>
        <v>82.451111618966252</v>
      </c>
      <c r="AB676" s="12">
        <f t="shared" si="19"/>
        <v>29.245159439393941</v>
      </c>
      <c r="AC676" s="12">
        <f t="shared" si="20"/>
        <v>9.0909090909090917</v>
      </c>
      <c r="AE676" s="13"/>
      <c r="AF676" s="13"/>
    </row>
    <row r="677" spans="1:32">
      <c r="A677" s="8" t="s">
        <v>2240</v>
      </c>
      <c r="B677" s="9" t="s">
        <v>254</v>
      </c>
      <c r="C677" s="9"/>
      <c r="D677" s="9"/>
      <c r="E677" s="9"/>
      <c r="F677" s="9" t="str">
        <f ca="1">IFERROR(__xludf.DUMMYFUNCTION("IFS(
  REGEXMATCH(LOWER(VLOOKUP(A677, Data1_Raw_Slack!A:B, 2, FALSE)), ""news|weather""), ""News and Weather"", REGEXMATCH(LOWER(VLOOKUP(A677, Data1_Raw_Slack!A:B, 2, FALSE)), ""sports|ufc|nba|nfl|mlb|soccer|sports fans""), ""Sports"",
  REGEXMATCH(LOWER("&amp;"VLOOKUP(A677, Data1_Raw_Slack!A:B, 2, FALSE)), ""fashion|style|clothing|apparel|shoes|accessories|beauty|cosmetics|fashionistas""), ""Fashion and Beauty"",
  REGEXMATCH(LOWER(VLOOKUP(A677, Data1_Raw_Slack!A:B, 2, FALSE)), ""food|cooking|recipe|restaurant|"&amp;"snack|grocery|foodies""), ""Food"",
  REGEXMATCH(LOWER(VLOOKUP(A677, Data1_Raw_Slack!A:B, 2, FALSE)), ""travel|vacation|airline|hotel|trip|flights|travelers""), ""Travel"",
  REGEXMATCH(LOWER(VLOOKUP(A677, Data1_Raw_Slack!A:B, 2, FALSE)), ""fitness|workou"&amp;"t|gym|exercise|yoga|wellness|fitness enthusiasts""), ""Fitness"",
  REGEXMATCH(LOWER(VLOOKUP(A677, Data1_Raw_Slack!A:B, 2, FALSE)), ""health|medical|pharmacy|mental health|doctor|health-conscious""), ""Health"",
  REGEXMATCH(LOWER(VLOOKUP(A677, Data1_Raw_"&amp;"Slack!A:B, 2, FALSE)), ""pets|dogs|cats|animals|pet care|pet lovers""), ""Pets"",
  REGEXMATCH(LOWER(VLOOKUP(A677, Data1_Raw_Slack!A:B, 2, FALSE)), ""games|gaming|game|xbox|playstation|nintendo|gamers""), ""Gaming"",
  REGEXMATCH(LOWER(VLOOKUP(A677, Data1"&amp;"_Raw_Slack!A:B, 2, FALSE)), ""entertainment|movies|tv|netflix|streaming|celebrity|movie lovers|tv fans|hobb|photo|art""), ""Entertainment"",
  REGEXMATCH(LOWER(VLOOKUP(A677, Data1_Raw_Slack!A:B, 2, FALSE)), ""lifestyle|home|interior|decor|living|lifestyle"&amp;" enthusiasts""), ""Lifestyle"",
  REGEXMATCH(LOWER(VLOOKUP(A677, Data1_Raw_Slack!A:B, 2, FALSE)), ""financial|finance|investing|stocks|retirement|banking|credit|debt|loans|savings|personal finance|insurance|econ|ecom|business|retail|occupation|sale|job|ma"&amp;"rketing""), ""Finance"",
  REGEXMATCH(LOWER(VLOOKUP(A677, Data1_Raw_Slack!A:B, 2, FALSE)), ""auto|automotive""), ""Auto"",
  REGEXMATCH(LOWER(VLOOKUP(A677, Data1_Raw_Slack!A:B, 2, FALSE)), ""parenting|moms|dads|kids|toddlers|baby|parent|children""), ""Par"&amp;"enting"",
  REGEXMATCH(LOWER(VLOOKUP(A677, Data1_Raw_Slack!A:B, 2, FALSE)), ""education|students|learning|school|teachers|college|university|academics""), ""Education"",
  REGEXMATCH(LOWER(VLOOKUP(A677, Data1_Raw_Slack!A:B, 2, FALSE)), ""age|gender|dem"&amp;"ographic|family|household""), ""Demographics"",
  REGEXMATCH(LOWER(VLOOKUP(A677, Data1_Raw_Slack!A:B, 2, FALSE)), ""mortgage|real estate""), ""Real Estate"",REGEXMATCH(LOWER(VLOOKUP(A677, Data1_Raw_Slack!A:B, 2, FALSE)), ""technology|tech|gadgets|smartpho"&amp;"ne|electro|apps|devices|computing|ai|robots|software|computer|internet|tele|mobile|tablet""), ""Technology"", REGEXMATCH(LOWER(VLOOKUP(A677, Data1_Raw_Slack!A:B, 2, FALSE)), ""entertainment|purchas|movies|tv|netflix|streaming|celebrity|movie lovers|tv fan"&amp;"s|media|hobb|photo|art|shop""), ""Entertainment"", REGEXMATCH(LOWER(VLOOKUP(A677, Data1_Raw_Slack!A:B, 2, FALSE)), ""law|government|""), ""Law and Government"",
  TRUE, ""Other""
)"),"Technology")</f>
        <v>Technology</v>
      </c>
      <c r="G677" s="9"/>
      <c r="H677" s="9" t="s">
        <v>32</v>
      </c>
      <c r="I677" s="9" t="s">
        <v>2241</v>
      </c>
      <c r="J677" s="9" t="s">
        <v>34</v>
      </c>
      <c r="K677" s="9" t="s">
        <v>56</v>
      </c>
      <c r="L677" s="9" t="s">
        <v>57</v>
      </c>
      <c r="M677" s="10" t="s">
        <v>58</v>
      </c>
      <c r="N677" s="9" t="str">
        <f ca="1">IFERROR(__xludf.DUMMYFUNCTION("REGEXEXTRACT(LOWER(M677), ""([a-z0-9\-]+)\.(?:co|net|org|io|gg)"")"),"forbes")</f>
        <v>forbes</v>
      </c>
      <c r="O677" s="9" t="s">
        <v>50</v>
      </c>
      <c r="P677" s="9" t="s">
        <v>39</v>
      </c>
      <c r="Q677" s="9">
        <v>15441</v>
      </c>
      <c r="R677" s="9">
        <v>48</v>
      </c>
      <c r="S677" s="9">
        <v>7626</v>
      </c>
      <c r="T677" s="9">
        <v>14456</v>
      </c>
      <c r="U677" s="9">
        <v>19</v>
      </c>
      <c r="V677" s="11">
        <v>1614.309013</v>
      </c>
      <c r="W677" s="12">
        <f t="shared" si="14"/>
        <v>84.963632263157891</v>
      </c>
      <c r="X677" s="12">
        <f t="shared" si="15"/>
        <v>0.31086069555080631</v>
      </c>
      <c r="Y677" s="12">
        <f t="shared" si="16"/>
        <v>49.38799300563435</v>
      </c>
      <c r="Z677" s="12">
        <f t="shared" si="17"/>
        <v>211.68489548911617</v>
      </c>
      <c r="AA677" s="12">
        <f t="shared" si="18"/>
        <v>104.54692137814908</v>
      </c>
      <c r="AB677" s="12">
        <f t="shared" si="19"/>
        <v>33.631437770833337</v>
      </c>
      <c r="AC677" s="12">
        <f t="shared" si="20"/>
        <v>39.583333333333329</v>
      </c>
      <c r="AE677" s="13"/>
      <c r="AF677" s="13"/>
    </row>
    <row r="678" spans="1:32">
      <c r="A678" s="8" t="s">
        <v>2242</v>
      </c>
      <c r="B678" s="9" t="s">
        <v>41</v>
      </c>
      <c r="C678" s="9" t="s">
        <v>120</v>
      </c>
      <c r="D678" s="9" t="s">
        <v>2243</v>
      </c>
      <c r="E678" s="9"/>
      <c r="F678" s="9" t="str">
        <f ca="1">IFERROR(__xludf.DUMMYFUNCTION("IFS(
  REGEXMATCH(LOWER(VLOOKUP(A678, Data1_Raw_Slack!A:B, 2, FALSE)), ""news|weather""), ""News and Weather"", REGEXMATCH(LOWER(VLOOKUP(A678, Data1_Raw_Slack!A:B, 2, FALSE)), ""sports|ufc|nba|nfl|mlb|soccer|sports fans""), ""Sports"",
  REGEXMATCH(LOWER("&amp;"VLOOKUP(A678, Data1_Raw_Slack!A:B, 2, FALSE)), ""fashion|style|clothing|apparel|shoes|accessories|beauty|cosmetics|fashionistas""), ""Fashion and Beauty"",
  REGEXMATCH(LOWER(VLOOKUP(A678, Data1_Raw_Slack!A:B, 2, FALSE)), ""food|cooking|recipe|restaurant|"&amp;"snack|grocery|foodies""), ""Food"",
  REGEXMATCH(LOWER(VLOOKUP(A678, Data1_Raw_Slack!A:B, 2, FALSE)), ""travel|vacation|airline|hotel|trip|flights|travelers""), ""Travel"",
  REGEXMATCH(LOWER(VLOOKUP(A678, Data1_Raw_Slack!A:B, 2, FALSE)), ""fitness|workou"&amp;"t|gym|exercise|yoga|wellness|fitness enthusiasts""), ""Fitness"",
  REGEXMATCH(LOWER(VLOOKUP(A678, Data1_Raw_Slack!A:B, 2, FALSE)), ""health|medical|pharmacy|mental health|doctor|health-conscious""), ""Health"",
  REGEXMATCH(LOWER(VLOOKUP(A678, Data1_Raw_"&amp;"Slack!A:B, 2, FALSE)), ""pets|dogs|cats|animals|pet care|pet lovers""), ""Pets"",
  REGEXMATCH(LOWER(VLOOKUP(A678, Data1_Raw_Slack!A:B, 2, FALSE)), ""games|gaming|game|xbox|playstation|nintendo|gamers""), ""Gaming"",
  REGEXMATCH(LOWER(VLOOKUP(A678, Data1"&amp;"_Raw_Slack!A:B, 2, FALSE)), ""entertainment|movies|tv|netflix|streaming|celebrity|movie lovers|tv fans|hobb|photo|art""), ""Entertainment"",
  REGEXMATCH(LOWER(VLOOKUP(A678, Data1_Raw_Slack!A:B, 2, FALSE)), ""lifestyle|home|interior|decor|living|lifestyle"&amp;" enthusiasts""), ""Lifestyle"",
  REGEXMATCH(LOWER(VLOOKUP(A678, Data1_Raw_Slack!A:B, 2, FALSE)), ""financial|finance|investing|stocks|retirement|banking|credit|debt|loans|savings|personal finance|insurance|econ|ecom|business|retail|occupation|sale|job|ma"&amp;"rketing""), ""Finance"",
  REGEXMATCH(LOWER(VLOOKUP(A678, Data1_Raw_Slack!A:B, 2, FALSE)), ""auto|automotive""), ""Auto"",
  REGEXMATCH(LOWER(VLOOKUP(A678, Data1_Raw_Slack!A:B, 2, FALSE)), ""parenting|moms|dads|kids|toddlers|baby|parent|children""), ""Par"&amp;"enting"",
  REGEXMATCH(LOWER(VLOOKUP(A678, Data1_Raw_Slack!A:B, 2, FALSE)), ""education|students|learning|school|teachers|college|university|academics""), ""Education"",
  REGEXMATCH(LOWER(VLOOKUP(A678, Data1_Raw_Slack!A:B, 2, FALSE)), ""age|gender|dem"&amp;"ographic|family|household""), ""Demographics"",
  REGEXMATCH(LOWER(VLOOKUP(A678, Data1_Raw_Slack!A:B, 2, FALSE)), ""mortgage|real estate""), ""Real Estate"",REGEXMATCH(LOWER(VLOOKUP(A678, Data1_Raw_Slack!A:B, 2, FALSE)), ""technology|tech|gadgets|smartpho"&amp;"ne|electro|apps|devices|computing|ai|robots|software|computer|internet|tele|mobile|tablet""), ""Technology"", REGEXMATCH(LOWER(VLOOKUP(A678, Data1_Raw_Slack!A:B, 2, FALSE)), ""entertainment|purchas|movies|tv|netflix|streaming|celebrity|movie lovers|tv fan"&amp;"s|media|hobb|photo|art|shop""), ""Entertainment"", REGEXMATCH(LOWER(VLOOKUP(A678, Data1_Raw_Slack!A:B, 2, FALSE)), ""law|government|""), ""Law and Government"",
  TRUE, ""Other""
)"),"Auto")</f>
        <v>Auto</v>
      </c>
      <c r="G678" s="9" t="s">
        <v>122</v>
      </c>
      <c r="H678" s="9" t="s">
        <v>32</v>
      </c>
      <c r="I678" s="9" t="s">
        <v>273</v>
      </c>
      <c r="J678" s="9" t="s">
        <v>80</v>
      </c>
      <c r="K678" s="9" t="s">
        <v>88</v>
      </c>
      <c r="L678" s="9" t="s">
        <v>89</v>
      </c>
      <c r="M678" s="10" t="s">
        <v>171</v>
      </c>
      <c r="N678" s="9" t="str">
        <f ca="1">IFERROR(__xludf.DUMMYFUNCTION("REGEXEXTRACT(LOWER(M678), ""([a-z0-9\-]+)\.(?:co|net|org|io|gg)"")"),"yahoo")</f>
        <v>yahoo</v>
      </c>
      <c r="O678" s="9" t="s">
        <v>103</v>
      </c>
      <c r="P678" s="9" t="s">
        <v>39</v>
      </c>
      <c r="Q678" s="9">
        <v>7769</v>
      </c>
      <c r="R678" s="9">
        <v>10</v>
      </c>
      <c r="S678" s="9">
        <v>3152</v>
      </c>
      <c r="T678" s="9">
        <v>6464</v>
      </c>
      <c r="U678" s="9">
        <v>1</v>
      </c>
      <c r="V678" s="11">
        <v>5603.0481319999999</v>
      </c>
      <c r="W678" s="12">
        <f t="shared" si="14"/>
        <v>5603.0481319999999</v>
      </c>
      <c r="X678" s="12">
        <f t="shared" si="15"/>
        <v>0.12871669455528381</v>
      </c>
      <c r="Y678" s="12">
        <f t="shared" si="16"/>
        <v>40.571502123825461</v>
      </c>
      <c r="Z678" s="12">
        <f t="shared" si="17"/>
        <v>1777.616793147208</v>
      </c>
      <c r="AA678" s="12">
        <f t="shared" si="18"/>
        <v>721.2058349851975</v>
      </c>
      <c r="AB678" s="12">
        <f t="shared" si="19"/>
        <v>560.30481320000001</v>
      </c>
      <c r="AC678" s="12">
        <f t="shared" si="20"/>
        <v>10</v>
      </c>
      <c r="AE678" s="13"/>
      <c r="AF678" s="13"/>
    </row>
    <row r="679" spans="1:32">
      <c r="A679" s="8" t="s">
        <v>2244</v>
      </c>
      <c r="B679" s="9" t="s">
        <v>198</v>
      </c>
      <c r="C679" s="9" t="s">
        <v>2245</v>
      </c>
      <c r="D679" s="9"/>
      <c r="E679" s="9"/>
      <c r="F679" s="9" t="str">
        <f ca="1">IFERROR(__xludf.DUMMYFUNCTION("IFS(
  REGEXMATCH(LOWER(VLOOKUP(A679, Data1_Raw_Slack!A:B, 2, FALSE)), ""news|weather""), ""News and Weather"", REGEXMATCH(LOWER(VLOOKUP(A679, Data1_Raw_Slack!A:B, 2, FALSE)), ""sports|ufc|nba|nfl|mlb|soccer|sports fans""), ""Sports"",
  REGEXMATCH(LOWER("&amp;"VLOOKUP(A679, Data1_Raw_Slack!A:B, 2, FALSE)), ""fashion|style|clothing|apparel|shoes|accessories|beauty|cosmetics|fashionistas""), ""Fashion and Beauty"",
  REGEXMATCH(LOWER(VLOOKUP(A679, Data1_Raw_Slack!A:B, 2, FALSE)), ""food|cooking|recipe|restaurant|"&amp;"snack|grocery|foodies""), ""Food"",
  REGEXMATCH(LOWER(VLOOKUP(A679, Data1_Raw_Slack!A:B, 2, FALSE)), ""travel|vacation|airline|hotel|trip|flights|travelers""), ""Travel"",
  REGEXMATCH(LOWER(VLOOKUP(A679, Data1_Raw_Slack!A:B, 2, FALSE)), ""fitness|workou"&amp;"t|gym|exercise|yoga|wellness|fitness enthusiasts""), ""Fitness"",
  REGEXMATCH(LOWER(VLOOKUP(A679, Data1_Raw_Slack!A:B, 2, FALSE)), ""health|medical|pharmacy|mental health|doctor|health-conscious""), ""Health"",
  REGEXMATCH(LOWER(VLOOKUP(A679, Data1_Raw_"&amp;"Slack!A:B, 2, FALSE)), ""pets|dogs|cats|animals|pet care|pet lovers""), ""Pets"",
  REGEXMATCH(LOWER(VLOOKUP(A679, Data1_Raw_Slack!A:B, 2, FALSE)), ""games|gaming|game|xbox|playstation|nintendo|gamers""), ""Gaming"",
  REGEXMATCH(LOWER(VLOOKUP(A679, Data1"&amp;"_Raw_Slack!A:B, 2, FALSE)), ""entertainment|movies|tv|netflix|streaming|celebrity|movie lovers|tv fans|hobb|photo|art""), ""Entertainment"",
  REGEXMATCH(LOWER(VLOOKUP(A679, Data1_Raw_Slack!A:B, 2, FALSE)), ""lifestyle|home|interior|decor|living|lifestyle"&amp;" enthusiasts""), ""Lifestyle"",
  REGEXMATCH(LOWER(VLOOKUP(A679, Data1_Raw_Slack!A:B, 2, FALSE)), ""financial|finance|investing|stocks|retirement|banking|credit|debt|loans|savings|personal finance|insurance|econ|ecom|business|retail|occupation|sale|job|ma"&amp;"rketing""), ""Finance"",
  REGEXMATCH(LOWER(VLOOKUP(A679, Data1_Raw_Slack!A:B, 2, FALSE)), ""auto|automotive""), ""Auto"",
  REGEXMATCH(LOWER(VLOOKUP(A679, Data1_Raw_Slack!A:B, 2, FALSE)), ""parenting|moms|dads|kids|toddlers|baby|parent|children""), ""Par"&amp;"enting"",
  REGEXMATCH(LOWER(VLOOKUP(A679, Data1_Raw_Slack!A:B, 2, FALSE)), ""education|students|learning|school|teachers|college|university|academics""), ""Education"",
  REGEXMATCH(LOWER(VLOOKUP(A679, Data1_Raw_Slack!A:B, 2, FALSE)), ""age|gender|dem"&amp;"ographic|family|household""), ""Demographics"",
  REGEXMATCH(LOWER(VLOOKUP(A679, Data1_Raw_Slack!A:B, 2, FALSE)), ""mortgage|real estate""), ""Real Estate"",REGEXMATCH(LOWER(VLOOKUP(A679, Data1_Raw_Slack!A:B, 2, FALSE)), ""technology|tech|gadgets|smartpho"&amp;"ne|electro|apps|devices|computing|ai|robots|software|computer|internet|tele|mobile|tablet""), ""Technology"", REGEXMATCH(LOWER(VLOOKUP(A679, Data1_Raw_Slack!A:B, 2, FALSE)), ""entertainment|purchas|movies|tv|netflix|streaming|celebrity|movie lovers|tv fan"&amp;"s|media|hobb|photo|art|shop""), ""Entertainment"", REGEXMATCH(LOWER(VLOOKUP(A679, Data1_Raw_Slack!A:B, 2, FALSE)), ""law|government|""), ""Law and Government"",
  TRUE, ""Other""
)"),"Technology")</f>
        <v>Technology</v>
      </c>
      <c r="G679" s="9"/>
      <c r="H679" s="9" t="s">
        <v>44</v>
      </c>
      <c r="I679" s="9" t="s">
        <v>1762</v>
      </c>
      <c r="J679" s="9" t="s">
        <v>80</v>
      </c>
      <c r="K679" s="9" t="s">
        <v>148</v>
      </c>
      <c r="L679" s="9" t="s">
        <v>89</v>
      </c>
      <c r="M679" s="10" t="s">
        <v>73</v>
      </c>
      <c r="N679" s="9" t="str">
        <f ca="1">IFERROR(__xludf.DUMMYFUNCTION("REGEXEXTRACT(LOWER(M679), ""([a-z0-9\-]+)\.(?:co|net|org|io|gg)"")"),"aol")</f>
        <v>aol</v>
      </c>
      <c r="O679" s="9" t="s">
        <v>103</v>
      </c>
      <c r="P679" s="9" t="s">
        <v>39</v>
      </c>
      <c r="Q679" s="9">
        <v>136733</v>
      </c>
      <c r="R679" s="9">
        <v>110</v>
      </c>
      <c r="S679" s="9">
        <v>102728</v>
      </c>
      <c r="T679" s="9">
        <v>127130</v>
      </c>
      <c r="U679" s="9">
        <v>4</v>
      </c>
      <c r="V679" s="11">
        <v>1946.0504470000001</v>
      </c>
      <c r="W679" s="12">
        <f t="shared" si="14"/>
        <v>486.51261175000002</v>
      </c>
      <c r="X679" s="12">
        <f t="shared" si="15"/>
        <v>8.0448757798044362E-2</v>
      </c>
      <c r="Y679" s="12">
        <f t="shared" si="16"/>
        <v>75.130363555250014</v>
      </c>
      <c r="Z679" s="12">
        <f t="shared" si="17"/>
        <v>18.943719794019156</v>
      </c>
      <c r="AA679" s="12">
        <f t="shared" si="18"/>
        <v>14.232485552134452</v>
      </c>
      <c r="AB679" s="12">
        <f t="shared" si="19"/>
        <v>17.691367700000001</v>
      </c>
      <c r="AC679" s="12">
        <f t="shared" si="20"/>
        <v>3.6363636363636362</v>
      </c>
      <c r="AE679" s="13"/>
      <c r="AF679" s="13"/>
    </row>
    <row r="680" spans="1:32">
      <c r="A680" s="8" t="s">
        <v>2246</v>
      </c>
      <c r="B680" s="9" t="s">
        <v>92</v>
      </c>
      <c r="C680" s="9" t="s">
        <v>178</v>
      </c>
      <c r="D680" s="9" t="s">
        <v>602</v>
      </c>
      <c r="E680" s="9" t="s">
        <v>2247</v>
      </c>
      <c r="F680" s="9" t="str">
        <f ca="1">IFERROR(__xludf.DUMMYFUNCTION("IFS(
  REGEXMATCH(LOWER(VLOOKUP(A680, Data1_Raw_Slack!A:B, 2, FALSE)), ""news|weather""), ""News and Weather"", REGEXMATCH(LOWER(VLOOKUP(A680, Data1_Raw_Slack!A:B, 2, FALSE)), ""sports|ufc|nba|nfl|mlb|soccer|sports fans""), ""Sports"",
  REGEXMATCH(LOWER("&amp;"VLOOKUP(A680, Data1_Raw_Slack!A:B, 2, FALSE)), ""fashion|style|clothing|apparel|shoes|accessories|beauty|cosmetics|fashionistas""), ""Fashion and Beauty"",
  REGEXMATCH(LOWER(VLOOKUP(A680, Data1_Raw_Slack!A:B, 2, FALSE)), ""food|cooking|recipe|restaurant|"&amp;"snack|grocery|foodies""), ""Food"",
  REGEXMATCH(LOWER(VLOOKUP(A680, Data1_Raw_Slack!A:B, 2, FALSE)), ""travel|vacation|airline|hotel|trip|flights|travelers""), ""Travel"",
  REGEXMATCH(LOWER(VLOOKUP(A680, Data1_Raw_Slack!A:B, 2, FALSE)), ""fitness|workou"&amp;"t|gym|exercise|yoga|wellness|fitness enthusiasts""), ""Fitness"",
  REGEXMATCH(LOWER(VLOOKUP(A680, Data1_Raw_Slack!A:B, 2, FALSE)), ""health|medical|pharmacy|mental health|doctor|health-conscious""), ""Health"",
  REGEXMATCH(LOWER(VLOOKUP(A680, Data1_Raw_"&amp;"Slack!A:B, 2, FALSE)), ""pets|dogs|cats|animals|pet care|pet lovers""), ""Pets"",
  REGEXMATCH(LOWER(VLOOKUP(A680, Data1_Raw_Slack!A:B, 2, FALSE)), ""games|gaming|game|xbox|playstation|nintendo|gamers""), ""Gaming"",
  REGEXMATCH(LOWER(VLOOKUP(A680, Data1"&amp;"_Raw_Slack!A:B, 2, FALSE)), ""entertainment|movies|tv|netflix|streaming|celebrity|movie lovers|tv fans|hobb|photo|art""), ""Entertainment"",
  REGEXMATCH(LOWER(VLOOKUP(A680, Data1_Raw_Slack!A:B, 2, FALSE)), ""lifestyle|home|interior|decor|living|lifestyle"&amp;" enthusiasts""), ""Lifestyle"",
  REGEXMATCH(LOWER(VLOOKUP(A680, Data1_Raw_Slack!A:B, 2, FALSE)), ""financial|finance|investing|stocks|retirement|banking|credit|debt|loans|savings|personal finance|insurance|econ|ecom|business|retail|occupation|sale|job|ma"&amp;"rketing""), ""Finance"",
  REGEXMATCH(LOWER(VLOOKUP(A680, Data1_Raw_Slack!A:B, 2, FALSE)), ""auto|automotive""), ""Auto"",
  REGEXMATCH(LOWER(VLOOKUP(A680, Data1_Raw_Slack!A:B, 2, FALSE)), ""parenting|moms|dads|kids|toddlers|baby|parent|children""), ""Par"&amp;"enting"",
  REGEXMATCH(LOWER(VLOOKUP(A680, Data1_Raw_Slack!A:B, 2, FALSE)), ""education|students|learning|school|teachers|college|university|academics""), ""Education"",
  REGEXMATCH(LOWER(VLOOKUP(A680, Data1_Raw_Slack!A:B, 2, FALSE)), ""age|gender|dem"&amp;"ographic|family|household""), ""Demographics"",
  REGEXMATCH(LOWER(VLOOKUP(A680, Data1_Raw_Slack!A:B, 2, FALSE)), ""mortgage|real estate""), ""Real Estate"",REGEXMATCH(LOWER(VLOOKUP(A680, Data1_Raw_Slack!A:B, 2, FALSE)), ""technology|tech|gadgets|smartpho"&amp;"ne|electro|apps|devices|computing|ai|robots|software|computer|internet|tele|mobile|tablet""), ""Technology"", REGEXMATCH(LOWER(VLOOKUP(A680, Data1_Raw_Slack!A:B, 2, FALSE)), ""entertainment|purchas|movies|tv|netflix|streaming|celebrity|movie lovers|tv fan"&amp;"s|media|hobb|photo|art|shop""), ""Entertainment"", REGEXMATCH(LOWER(VLOOKUP(A680, Data1_Raw_Slack!A:B, 2, FALSE)), ""law|government|""), ""Law and Government"",
  TRUE, ""Other""
)"),"Food")</f>
        <v>Food</v>
      </c>
      <c r="G680" s="9"/>
      <c r="H680" s="9" t="s">
        <v>32</v>
      </c>
      <c r="I680" s="9" t="s">
        <v>2248</v>
      </c>
      <c r="J680" s="9" t="s">
        <v>46</v>
      </c>
      <c r="K680" s="9" t="s">
        <v>236</v>
      </c>
      <c r="L680" s="9" t="s">
        <v>82</v>
      </c>
      <c r="M680" s="10" t="s">
        <v>418</v>
      </c>
      <c r="N680" s="9" t="str">
        <f ca="1">IFERROR(__xludf.DUMMYFUNCTION("REGEXEXTRACT(LOWER(M680), ""([a-z0-9\-]+)\.(?:co|net|org|io|gg)"")"),"cbssports")</f>
        <v>cbssports</v>
      </c>
      <c r="O680" s="9" t="s">
        <v>157</v>
      </c>
      <c r="P680" s="9" t="s">
        <v>39</v>
      </c>
      <c r="Q680" s="9">
        <v>20548</v>
      </c>
      <c r="R680" s="9">
        <v>40</v>
      </c>
      <c r="S680" s="9">
        <v>14259</v>
      </c>
      <c r="T680" s="9">
        <v>19654</v>
      </c>
      <c r="U680" s="9">
        <v>13</v>
      </c>
      <c r="V680" s="11">
        <v>3060.4247690000002</v>
      </c>
      <c r="W680" s="12">
        <f t="shared" si="14"/>
        <v>235.41728992307694</v>
      </c>
      <c r="X680" s="12">
        <f t="shared" si="15"/>
        <v>0.19466614755693984</v>
      </c>
      <c r="Y680" s="12">
        <f t="shared" si="16"/>
        <v>69.393614950360131</v>
      </c>
      <c r="Z680" s="12">
        <f t="shared" si="17"/>
        <v>214.63109397573461</v>
      </c>
      <c r="AA680" s="12">
        <f t="shared" si="18"/>
        <v>148.94027491726689</v>
      </c>
      <c r="AB680" s="12">
        <f t="shared" si="19"/>
        <v>76.510619224999999</v>
      </c>
      <c r="AC680" s="12">
        <f t="shared" si="20"/>
        <v>32.5</v>
      </c>
      <c r="AE680" s="13"/>
      <c r="AF680" s="13"/>
    </row>
    <row r="681" spans="1:32">
      <c r="A681" s="8" t="s">
        <v>2249</v>
      </c>
      <c r="B681" s="9" t="s">
        <v>41</v>
      </c>
      <c r="C681" s="9" t="s">
        <v>524</v>
      </c>
      <c r="D681" s="9" t="s">
        <v>42</v>
      </c>
      <c r="E681" s="9" t="s">
        <v>2250</v>
      </c>
      <c r="F681" s="9" t="str">
        <f ca="1">IFERROR(__xludf.DUMMYFUNCTION("IFS(
  REGEXMATCH(LOWER(VLOOKUP(A681, Data1_Raw_Slack!A:B, 2, FALSE)), ""news|weather""), ""News and Weather"", REGEXMATCH(LOWER(VLOOKUP(A681, Data1_Raw_Slack!A:B, 2, FALSE)), ""sports|ufc|nba|nfl|mlb|soccer|sports fans""), ""Sports"",
  REGEXMATCH(LOWER("&amp;"VLOOKUP(A681, Data1_Raw_Slack!A:B, 2, FALSE)), ""fashion|style|clothing|apparel|shoes|accessories|beauty|cosmetics|fashionistas""), ""Fashion and Beauty"",
  REGEXMATCH(LOWER(VLOOKUP(A681, Data1_Raw_Slack!A:B, 2, FALSE)), ""food|cooking|recipe|restaurant|"&amp;"snack|grocery|foodies""), ""Food"",
  REGEXMATCH(LOWER(VLOOKUP(A681, Data1_Raw_Slack!A:B, 2, FALSE)), ""travel|vacation|airline|hotel|trip|flights|travelers""), ""Travel"",
  REGEXMATCH(LOWER(VLOOKUP(A681, Data1_Raw_Slack!A:B, 2, FALSE)), ""fitness|workou"&amp;"t|gym|exercise|yoga|wellness|fitness enthusiasts""), ""Fitness"",
  REGEXMATCH(LOWER(VLOOKUP(A681, Data1_Raw_Slack!A:B, 2, FALSE)), ""health|medical|pharmacy|mental health|doctor|health-conscious""), ""Health"",
  REGEXMATCH(LOWER(VLOOKUP(A681, Data1_Raw_"&amp;"Slack!A:B, 2, FALSE)), ""pets|dogs|cats|animals|pet care|pet lovers""), ""Pets"",
  REGEXMATCH(LOWER(VLOOKUP(A681, Data1_Raw_Slack!A:B, 2, FALSE)), ""games|gaming|game|xbox|playstation|nintendo|gamers""), ""Gaming"",
  REGEXMATCH(LOWER(VLOOKUP(A681, Data1"&amp;"_Raw_Slack!A:B, 2, FALSE)), ""entertainment|movies|tv|netflix|streaming|celebrity|movie lovers|tv fans|hobb|photo|art""), ""Entertainment"",
  REGEXMATCH(LOWER(VLOOKUP(A681, Data1_Raw_Slack!A:B, 2, FALSE)), ""lifestyle|home|interior|decor|living|lifestyle"&amp;" enthusiasts""), ""Lifestyle"",
  REGEXMATCH(LOWER(VLOOKUP(A681, Data1_Raw_Slack!A:B, 2, FALSE)), ""financial|finance|investing|stocks|retirement|banking|credit|debt|loans|savings|personal finance|insurance|econ|ecom|business|retail|occupation|sale|job|ma"&amp;"rketing""), ""Finance"",
  REGEXMATCH(LOWER(VLOOKUP(A681, Data1_Raw_Slack!A:B, 2, FALSE)), ""auto|automotive""), ""Auto"",
  REGEXMATCH(LOWER(VLOOKUP(A681, Data1_Raw_Slack!A:B, 2, FALSE)), ""parenting|moms|dads|kids|toddlers|baby|parent|children""), ""Par"&amp;"enting"",
  REGEXMATCH(LOWER(VLOOKUP(A681, Data1_Raw_Slack!A:B, 2, FALSE)), ""education|students|learning|school|teachers|college|university|academics""), ""Education"",
  REGEXMATCH(LOWER(VLOOKUP(A681, Data1_Raw_Slack!A:B, 2, FALSE)), ""age|gender|dem"&amp;"ographic|family|household""), ""Demographics"",
  REGEXMATCH(LOWER(VLOOKUP(A681, Data1_Raw_Slack!A:B, 2, FALSE)), ""mortgage|real estate""), ""Real Estate"",REGEXMATCH(LOWER(VLOOKUP(A681, Data1_Raw_Slack!A:B, 2, FALSE)), ""technology|tech|gadgets|smartpho"&amp;"ne|electro|apps|devices|computing|ai|robots|software|computer|internet|tele|mobile|tablet""), ""Technology"", REGEXMATCH(LOWER(VLOOKUP(A681, Data1_Raw_Slack!A:B, 2, FALSE)), ""entertainment|purchas|movies|tv|netflix|streaming|celebrity|movie lovers|tv fan"&amp;"s|media|hobb|photo|art|shop""), ""Entertainment"", REGEXMATCH(LOWER(VLOOKUP(A681, Data1_Raw_Slack!A:B, 2, FALSE)), ""law|government|""), ""Law and Government"",
  TRUE, ""Other""
)"),"Law and Government")</f>
        <v>Law and Government</v>
      </c>
      <c r="G681" s="9"/>
      <c r="H681" s="9" t="s">
        <v>32</v>
      </c>
      <c r="I681" s="9" t="s">
        <v>2251</v>
      </c>
      <c r="J681" s="9" t="s">
        <v>46</v>
      </c>
      <c r="K681" s="9" t="s">
        <v>368</v>
      </c>
      <c r="L681" s="9" t="s">
        <v>36</v>
      </c>
      <c r="M681" s="10" t="s">
        <v>1042</v>
      </c>
      <c r="N681" s="9" t="str">
        <f ca="1">IFERROR(__xludf.DUMMYFUNCTION("REGEXEXTRACT(LOWER(M681), ""([a-z0-9\-]+)\.(?:co|net|org|io|gg)"")"),"mapquest")</f>
        <v>mapquest</v>
      </c>
      <c r="O681" s="9" t="s">
        <v>131</v>
      </c>
      <c r="P681" s="9" t="s">
        <v>39</v>
      </c>
      <c r="Q681" s="9">
        <v>27371</v>
      </c>
      <c r="R681" s="9">
        <v>60</v>
      </c>
      <c r="S681" s="9">
        <v>22256</v>
      </c>
      <c r="T681" s="9">
        <v>25986</v>
      </c>
      <c r="U681" s="9">
        <v>5</v>
      </c>
      <c r="V681" s="14">
        <v>4984.4855829999997</v>
      </c>
      <c r="W681" s="12">
        <f t="shared" si="14"/>
        <v>996.89711659999989</v>
      </c>
      <c r="X681" s="12">
        <f t="shared" si="15"/>
        <v>0.21921011289320813</v>
      </c>
      <c r="Y681" s="12">
        <f t="shared" si="16"/>
        <v>81.312337875853999</v>
      </c>
      <c r="Z681" s="12">
        <f t="shared" si="17"/>
        <v>223.96142986161033</v>
      </c>
      <c r="AA681" s="12">
        <f t="shared" si="18"/>
        <v>182.10827456066639</v>
      </c>
      <c r="AB681" s="12">
        <f t="shared" si="19"/>
        <v>83.074759716666662</v>
      </c>
      <c r="AC681" s="12">
        <f t="shared" si="20"/>
        <v>8.3333333333333321</v>
      </c>
      <c r="AE681" s="13"/>
      <c r="AF681" s="13"/>
    </row>
    <row r="682" spans="1:32">
      <c r="A682" s="8" t="s">
        <v>2252</v>
      </c>
      <c r="B682" s="9" t="s">
        <v>92</v>
      </c>
      <c r="C682" s="9" t="s">
        <v>178</v>
      </c>
      <c r="D682" s="9" t="s">
        <v>602</v>
      </c>
      <c r="E682" s="9" t="s">
        <v>2253</v>
      </c>
      <c r="F682" s="9" t="str">
        <f ca="1">IFERROR(__xludf.DUMMYFUNCTION("IFS(
  REGEXMATCH(LOWER(VLOOKUP(A682, Data1_Raw_Slack!A:B, 2, FALSE)), ""news|weather""), ""News and Weather"", REGEXMATCH(LOWER(VLOOKUP(A682, Data1_Raw_Slack!A:B, 2, FALSE)), ""sports|ufc|nba|nfl|mlb|soccer|sports fans""), ""Sports"",
  REGEXMATCH(LOWER("&amp;"VLOOKUP(A682, Data1_Raw_Slack!A:B, 2, FALSE)), ""fashion|style|clothing|apparel|shoes|accessories|beauty|cosmetics|fashionistas""), ""Fashion and Beauty"",
  REGEXMATCH(LOWER(VLOOKUP(A682, Data1_Raw_Slack!A:B, 2, FALSE)), ""food|cooking|recipe|restaurant|"&amp;"snack|grocery|foodies""), ""Food"",
  REGEXMATCH(LOWER(VLOOKUP(A682, Data1_Raw_Slack!A:B, 2, FALSE)), ""travel|vacation|airline|hotel|trip|flights|travelers""), ""Travel"",
  REGEXMATCH(LOWER(VLOOKUP(A682, Data1_Raw_Slack!A:B, 2, FALSE)), ""fitness|workou"&amp;"t|gym|exercise|yoga|wellness|fitness enthusiasts""), ""Fitness"",
  REGEXMATCH(LOWER(VLOOKUP(A682, Data1_Raw_Slack!A:B, 2, FALSE)), ""health|medical|pharmacy|mental health|doctor|health-conscious""), ""Health"",
  REGEXMATCH(LOWER(VLOOKUP(A682, Data1_Raw_"&amp;"Slack!A:B, 2, FALSE)), ""pets|dogs|cats|animals|pet care|pet lovers""), ""Pets"",
  REGEXMATCH(LOWER(VLOOKUP(A682, Data1_Raw_Slack!A:B, 2, FALSE)), ""games|gaming|game|xbox|playstation|nintendo|gamers""), ""Gaming"",
  REGEXMATCH(LOWER(VLOOKUP(A682, Data1"&amp;"_Raw_Slack!A:B, 2, FALSE)), ""entertainment|movies|tv|netflix|streaming|celebrity|movie lovers|tv fans|hobb|photo|art""), ""Entertainment"",
  REGEXMATCH(LOWER(VLOOKUP(A682, Data1_Raw_Slack!A:B, 2, FALSE)), ""lifestyle|home|interior|decor|living|lifestyle"&amp;" enthusiasts""), ""Lifestyle"",
  REGEXMATCH(LOWER(VLOOKUP(A682, Data1_Raw_Slack!A:B, 2, FALSE)), ""financial|finance|investing|stocks|retirement|banking|credit|debt|loans|savings|personal finance|insurance|econ|ecom|business|retail|occupation|sale|job|ma"&amp;"rketing""), ""Finance"",
  REGEXMATCH(LOWER(VLOOKUP(A682, Data1_Raw_Slack!A:B, 2, FALSE)), ""auto|automotive""), ""Auto"",
  REGEXMATCH(LOWER(VLOOKUP(A682, Data1_Raw_Slack!A:B, 2, FALSE)), ""parenting|moms|dads|kids|toddlers|baby|parent|children""), ""Par"&amp;"enting"",
  REGEXMATCH(LOWER(VLOOKUP(A682, Data1_Raw_Slack!A:B, 2, FALSE)), ""education|students|learning|school|teachers|college|university|academics""), ""Education"",
  REGEXMATCH(LOWER(VLOOKUP(A682, Data1_Raw_Slack!A:B, 2, FALSE)), ""age|gender|dem"&amp;"ographic|family|household""), ""Demographics"",
  REGEXMATCH(LOWER(VLOOKUP(A682, Data1_Raw_Slack!A:B, 2, FALSE)), ""mortgage|real estate""), ""Real Estate"",REGEXMATCH(LOWER(VLOOKUP(A682, Data1_Raw_Slack!A:B, 2, FALSE)), ""technology|tech|gadgets|smartpho"&amp;"ne|electro|apps|devices|computing|ai|robots|software|computer|internet|tele|mobile|tablet""), ""Technology"", REGEXMATCH(LOWER(VLOOKUP(A682, Data1_Raw_Slack!A:B, 2, FALSE)), ""entertainment|purchas|movies|tv|netflix|streaming|celebrity|movie lovers|tv fan"&amp;"s|media|hobb|photo|art|shop""), ""Entertainment"", REGEXMATCH(LOWER(VLOOKUP(A682, Data1_Raw_Slack!A:B, 2, FALSE)), ""law|government|""), ""Law and Government"",
  TRUE, ""Other""
)"),"Food")</f>
        <v>Food</v>
      </c>
      <c r="G682" s="9"/>
      <c r="H682" s="9" t="s">
        <v>44</v>
      </c>
      <c r="I682" s="9" t="s">
        <v>442</v>
      </c>
      <c r="J682" s="9" t="s">
        <v>80</v>
      </c>
      <c r="K682" s="9" t="s">
        <v>35</v>
      </c>
      <c r="L682" s="9" t="s">
        <v>36</v>
      </c>
      <c r="M682" s="10" t="s">
        <v>430</v>
      </c>
      <c r="N682" s="9" t="str">
        <f ca="1">IFERROR(__xludf.DUMMYFUNCTION("REGEXEXTRACT(LOWER(M682), ""([a-z0-9\-]+)\.(?:co|net|org|io|gg)"")"),"biblegateway")</f>
        <v>biblegateway</v>
      </c>
      <c r="O682" s="9" t="s">
        <v>50</v>
      </c>
      <c r="P682" s="9" t="s">
        <v>75</v>
      </c>
      <c r="Q682" s="9">
        <v>64892</v>
      </c>
      <c r="R682" s="9">
        <v>214</v>
      </c>
      <c r="S682" s="9">
        <v>34731</v>
      </c>
      <c r="T682" s="9">
        <v>59369</v>
      </c>
      <c r="U682" s="9">
        <v>24</v>
      </c>
      <c r="V682" s="11">
        <v>2096.2855490000002</v>
      </c>
      <c r="W682" s="12">
        <f t="shared" si="14"/>
        <v>87.345231208333345</v>
      </c>
      <c r="X682" s="12">
        <f t="shared" si="15"/>
        <v>0.32977870923996794</v>
      </c>
      <c r="Y682" s="12">
        <f t="shared" si="16"/>
        <v>53.521235283239847</v>
      </c>
      <c r="Z682" s="12">
        <f t="shared" si="17"/>
        <v>60.357765368114947</v>
      </c>
      <c r="AA682" s="12">
        <f t="shared" si="18"/>
        <v>32.304221614374654</v>
      </c>
      <c r="AB682" s="12">
        <f t="shared" si="19"/>
        <v>9.7957268644859816</v>
      </c>
      <c r="AC682" s="12">
        <f t="shared" si="20"/>
        <v>11.214953271028037</v>
      </c>
      <c r="AE682" s="13"/>
      <c r="AF682" s="13"/>
    </row>
    <row r="683" spans="1:32">
      <c r="A683" s="8" t="s">
        <v>2254</v>
      </c>
      <c r="B683" s="9" t="s">
        <v>41</v>
      </c>
      <c r="C683" s="9" t="s">
        <v>120</v>
      </c>
      <c r="D683" s="9" t="s">
        <v>2255</v>
      </c>
      <c r="E683" s="9"/>
      <c r="F683" s="9" t="str">
        <f ca="1">IFERROR(__xludf.DUMMYFUNCTION("IFS(
  REGEXMATCH(LOWER(VLOOKUP(A683, Data1_Raw_Slack!A:B, 2, FALSE)), ""news|weather""), ""News and Weather"", REGEXMATCH(LOWER(VLOOKUP(A683, Data1_Raw_Slack!A:B, 2, FALSE)), ""sports|ufc|nba|nfl|mlb|soccer|sports fans""), ""Sports"",
  REGEXMATCH(LOWER("&amp;"VLOOKUP(A683, Data1_Raw_Slack!A:B, 2, FALSE)), ""fashion|style|clothing|apparel|shoes|accessories|beauty|cosmetics|fashionistas""), ""Fashion and Beauty"",
  REGEXMATCH(LOWER(VLOOKUP(A683, Data1_Raw_Slack!A:B, 2, FALSE)), ""food|cooking|recipe|restaurant|"&amp;"snack|grocery|foodies""), ""Food"",
  REGEXMATCH(LOWER(VLOOKUP(A683, Data1_Raw_Slack!A:B, 2, FALSE)), ""travel|vacation|airline|hotel|trip|flights|travelers""), ""Travel"",
  REGEXMATCH(LOWER(VLOOKUP(A683, Data1_Raw_Slack!A:B, 2, FALSE)), ""fitness|workou"&amp;"t|gym|exercise|yoga|wellness|fitness enthusiasts""), ""Fitness"",
  REGEXMATCH(LOWER(VLOOKUP(A683, Data1_Raw_Slack!A:B, 2, FALSE)), ""health|medical|pharmacy|mental health|doctor|health-conscious""), ""Health"",
  REGEXMATCH(LOWER(VLOOKUP(A683, Data1_Raw_"&amp;"Slack!A:B, 2, FALSE)), ""pets|dogs|cats|animals|pet care|pet lovers""), ""Pets"",
  REGEXMATCH(LOWER(VLOOKUP(A683, Data1_Raw_Slack!A:B, 2, FALSE)), ""games|gaming|game|xbox|playstation|nintendo|gamers""), ""Gaming"",
  REGEXMATCH(LOWER(VLOOKUP(A683, Data1"&amp;"_Raw_Slack!A:B, 2, FALSE)), ""entertainment|movies|tv|netflix|streaming|celebrity|movie lovers|tv fans|hobb|photo|art""), ""Entertainment"",
  REGEXMATCH(LOWER(VLOOKUP(A683, Data1_Raw_Slack!A:B, 2, FALSE)), ""lifestyle|home|interior|decor|living|lifestyle"&amp;" enthusiasts""), ""Lifestyle"",
  REGEXMATCH(LOWER(VLOOKUP(A683, Data1_Raw_Slack!A:B, 2, FALSE)), ""financial|finance|investing|stocks|retirement|banking|credit|debt|loans|savings|personal finance|insurance|econ|ecom|business|retail|occupation|sale|job|ma"&amp;"rketing""), ""Finance"",
  REGEXMATCH(LOWER(VLOOKUP(A683, Data1_Raw_Slack!A:B, 2, FALSE)), ""auto|automotive""), ""Auto"",
  REGEXMATCH(LOWER(VLOOKUP(A683, Data1_Raw_Slack!A:B, 2, FALSE)), ""parenting|moms|dads|kids|toddlers|baby|parent|children""), ""Par"&amp;"enting"",
  REGEXMATCH(LOWER(VLOOKUP(A683, Data1_Raw_Slack!A:B, 2, FALSE)), ""education|students|learning|school|teachers|college|university|academics""), ""Education"",
  REGEXMATCH(LOWER(VLOOKUP(A683, Data1_Raw_Slack!A:B, 2, FALSE)), ""age|gender|dem"&amp;"ographic|family|household""), ""Demographics"",
  REGEXMATCH(LOWER(VLOOKUP(A683, Data1_Raw_Slack!A:B, 2, FALSE)), ""mortgage|real estate""), ""Real Estate"",REGEXMATCH(LOWER(VLOOKUP(A683, Data1_Raw_Slack!A:B, 2, FALSE)), ""technology|tech|gadgets|smartpho"&amp;"ne|electro|apps|devices|computing|ai|robots|software|computer|internet|tele|mobile|tablet""), ""Technology"", REGEXMATCH(LOWER(VLOOKUP(A683, Data1_Raw_Slack!A:B, 2, FALSE)), ""entertainment|purchas|movies|tv|netflix|streaming|celebrity|movie lovers|tv fan"&amp;"s|media|hobb|photo|art|shop""), ""Entertainment"", REGEXMATCH(LOWER(VLOOKUP(A683, Data1_Raw_Slack!A:B, 2, FALSE)), ""law|government|""), ""Law and Government"",
  TRUE, ""Other""
)"),"Auto")</f>
        <v>Auto</v>
      </c>
      <c r="G683" s="9" t="s">
        <v>122</v>
      </c>
      <c r="H683" s="9" t="s">
        <v>44</v>
      </c>
      <c r="I683" s="9" t="s">
        <v>626</v>
      </c>
      <c r="J683" s="9" t="s">
        <v>46</v>
      </c>
      <c r="K683" s="9" t="s">
        <v>142</v>
      </c>
      <c r="L683" s="9" t="s">
        <v>72</v>
      </c>
      <c r="M683" s="10" t="s">
        <v>430</v>
      </c>
      <c r="N683" s="9" t="str">
        <f ca="1">IFERROR(__xludf.DUMMYFUNCTION("REGEXEXTRACT(LOWER(M683), ""([a-z0-9\-]+)\.(?:co|net|org|io|gg)"")"),"biblegateway")</f>
        <v>biblegateway</v>
      </c>
      <c r="O683" s="9" t="s">
        <v>50</v>
      </c>
      <c r="P683" s="9" t="s">
        <v>75</v>
      </c>
      <c r="Q683" s="9">
        <v>88293</v>
      </c>
      <c r="R683" s="9">
        <v>255</v>
      </c>
      <c r="S683" s="9">
        <v>24101</v>
      </c>
      <c r="T683" s="9">
        <v>75557</v>
      </c>
      <c r="U683" s="9">
        <v>19</v>
      </c>
      <c r="V683" s="11">
        <v>5054.481581</v>
      </c>
      <c r="W683" s="12">
        <f t="shared" si="14"/>
        <v>266.02534636842103</v>
      </c>
      <c r="X683" s="12">
        <f t="shared" si="15"/>
        <v>0.28881111752913596</v>
      </c>
      <c r="Y683" s="12">
        <f t="shared" si="16"/>
        <v>27.29661468066551</v>
      </c>
      <c r="Z683" s="12">
        <f t="shared" si="17"/>
        <v>209.7208240736899</v>
      </c>
      <c r="AA683" s="12">
        <f t="shared" si="18"/>
        <v>57.246685252511526</v>
      </c>
      <c r="AB683" s="12">
        <f t="shared" si="19"/>
        <v>19.82149639607843</v>
      </c>
      <c r="AC683" s="12">
        <f t="shared" si="20"/>
        <v>7.4509803921568629</v>
      </c>
      <c r="AE683" s="13"/>
      <c r="AF683" s="13"/>
    </row>
    <row r="684" spans="1:32">
      <c r="A684" s="8" t="s">
        <v>2256</v>
      </c>
      <c r="B684" s="9" t="s">
        <v>92</v>
      </c>
      <c r="C684" s="9" t="s">
        <v>178</v>
      </c>
      <c r="D684" s="9" t="s">
        <v>154</v>
      </c>
      <c r="E684" s="9" t="s">
        <v>2257</v>
      </c>
      <c r="F684" s="9" t="str">
        <f ca="1">IFERROR(__xludf.DUMMYFUNCTION("IFS(
  REGEXMATCH(LOWER(VLOOKUP(A684, Data1_Raw_Slack!A:B, 2, FALSE)), ""news|weather""), ""News and Weather"", REGEXMATCH(LOWER(VLOOKUP(A684, Data1_Raw_Slack!A:B, 2, FALSE)), ""sports|ufc|nba|nfl|mlb|soccer|sports fans""), ""Sports"",
  REGEXMATCH(LOWER("&amp;"VLOOKUP(A684, Data1_Raw_Slack!A:B, 2, FALSE)), ""fashion|style|clothing|apparel|shoes|accessories|beauty|cosmetics|fashionistas""), ""Fashion and Beauty"",
  REGEXMATCH(LOWER(VLOOKUP(A684, Data1_Raw_Slack!A:B, 2, FALSE)), ""food|cooking|recipe|restaurant|"&amp;"snack|grocery|foodies""), ""Food"",
  REGEXMATCH(LOWER(VLOOKUP(A684, Data1_Raw_Slack!A:B, 2, FALSE)), ""travel|vacation|airline|hotel|trip|flights|travelers""), ""Travel"",
  REGEXMATCH(LOWER(VLOOKUP(A684, Data1_Raw_Slack!A:B, 2, FALSE)), ""fitness|workou"&amp;"t|gym|exercise|yoga|wellness|fitness enthusiasts""), ""Fitness"",
  REGEXMATCH(LOWER(VLOOKUP(A684, Data1_Raw_Slack!A:B, 2, FALSE)), ""health|medical|pharmacy|mental health|doctor|health-conscious""), ""Health"",
  REGEXMATCH(LOWER(VLOOKUP(A684, Data1_Raw_"&amp;"Slack!A:B, 2, FALSE)), ""pets|dogs|cats|animals|pet care|pet lovers""), ""Pets"",
  REGEXMATCH(LOWER(VLOOKUP(A684, Data1_Raw_Slack!A:B, 2, FALSE)), ""games|gaming|game|xbox|playstation|nintendo|gamers""), ""Gaming"",
  REGEXMATCH(LOWER(VLOOKUP(A684, Data1"&amp;"_Raw_Slack!A:B, 2, FALSE)), ""entertainment|movies|tv|netflix|streaming|celebrity|movie lovers|tv fans|hobb|photo|art""), ""Entertainment"",
  REGEXMATCH(LOWER(VLOOKUP(A684, Data1_Raw_Slack!A:B, 2, FALSE)), ""lifestyle|home|interior|decor|living|lifestyle"&amp;" enthusiasts""), ""Lifestyle"",
  REGEXMATCH(LOWER(VLOOKUP(A684, Data1_Raw_Slack!A:B, 2, FALSE)), ""financial|finance|investing|stocks|retirement|banking|credit|debt|loans|savings|personal finance|insurance|econ|ecom|business|retail|occupation|sale|job|ma"&amp;"rketing""), ""Finance"",
  REGEXMATCH(LOWER(VLOOKUP(A684, Data1_Raw_Slack!A:B, 2, FALSE)), ""auto|automotive""), ""Auto"",
  REGEXMATCH(LOWER(VLOOKUP(A684, Data1_Raw_Slack!A:B, 2, FALSE)), ""parenting|moms|dads|kids|toddlers|baby|parent|children""), ""Par"&amp;"enting"",
  REGEXMATCH(LOWER(VLOOKUP(A684, Data1_Raw_Slack!A:B, 2, FALSE)), ""education|students|learning|school|teachers|college|university|academics""), ""Education"",
  REGEXMATCH(LOWER(VLOOKUP(A684, Data1_Raw_Slack!A:B, 2, FALSE)), ""age|gender|dem"&amp;"ographic|family|household""), ""Demographics"",
  REGEXMATCH(LOWER(VLOOKUP(A684, Data1_Raw_Slack!A:B, 2, FALSE)), ""mortgage|real estate""), ""Real Estate"",REGEXMATCH(LOWER(VLOOKUP(A684, Data1_Raw_Slack!A:B, 2, FALSE)), ""technology|tech|gadgets|smartpho"&amp;"ne|electro|apps|devices|computing|ai|robots|software|computer|internet|tele|mobile|tablet""), ""Technology"", REGEXMATCH(LOWER(VLOOKUP(A684, Data1_Raw_Slack!A:B, 2, FALSE)), ""entertainment|purchas|movies|tv|netflix|streaming|celebrity|movie lovers|tv fan"&amp;"s|media|hobb|photo|art|shop""), ""Entertainment"", REGEXMATCH(LOWER(VLOOKUP(A684, Data1_Raw_Slack!A:B, 2, FALSE)), ""law|government|""), ""Law and Government"",
  TRUE, ""Other""
)"),"Sports")</f>
        <v>Sports</v>
      </c>
      <c r="G684" s="9" t="s">
        <v>154</v>
      </c>
      <c r="H684" s="9" t="s">
        <v>44</v>
      </c>
      <c r="I684" s="9" t="s">
        <v>260</v>
      </c>
      <c r="J684" s="9" t="s">
        <v>34</v>
      </c>
      <c r="K684" s="9" t="s">
        <v>1072</v>
      </c>
      <c r="L684" s="9" t="s">
        <v>242</v>
      </c>
      <c r="M684" s="10" t="s">
        <v>2258</v>
      </c>
      <c r="N684" s="9" t="str">
        <f ca="1">IFERROR(__xludf.DUMMYFUNCTION("REGEXEXTRACT(LOWER(M684), ""([a-z0-9\-]+)\.(?:co|net|org|io|gg)"")"),"usnews")</f>
        <v>usnews</v>
      </c>
      <c r="O684" s="9" t="s">
        <v>50</v>
      </c>
      <c r="P684" s="9" t="s">
        <v>39</v>
      </c>
      <c r="Q684" s="9">
        <v>8730</v>
      </c>
      <c r="R684" s="9">
        <v>22</v>
      </c>
      <c r="S684" s="9">
        <v>3725</v>
      </c>
      <c r="T684" s="9">
        <v>7413</v>
      </c>
      <c r="U684" s="9">
        <v>3</v>
      </c>
      <c r="V684" s="11">
        <v>3268.007134</v>
      </c>
      <c r="W684" s="12">
        <f t="shared" si="14"/>
        <v>1089.3357113333334</v>
      </c>
      <c r="X684" s="12">
        <f t="shared" si="15"/>
        <v>0.25200458190148911</v>
      </c>
      <c r="Y684" s="12">
        <f t="shared" si="16"/>
        <v>42.668957617411223</v>
      </c>
      <c r="Z684" s="12">
        <f t="shared" si="17"/>
        <v>877.31735140939588</v>
      </c>
      <c r="AA684" s="12">
        <f t="shared" si="18"/>
        <v>374.34216884306989</v>
      </c>
      <c r="AB684" s="12">
        <f t="shared" si="19"/>
        <v>148.54577881818182</v>
      </c>
      <c r="AC684" s="12">
        <f t="shared" si="20"/>
        <v>13.636363636363635</v>
      </c>
      <c r="AE684" s="13"/>
      <c r="AF684" s="13"/>
    </row>
    <row r="685" spans="1:32">
      <c r="A685" s="8" t="s">
        <v>2259</v>
      </c>
      <c r="B685" s="9" t="s">
        <v>41</v>
      </c>
      <c r="C685" s="9" t="s">
        <v>154</v>
      </c>
      <c r="D685" s="9" t="s">
        <v>469</v>
      </c>
      <c r="E685" s="9" t="s">
        <v>2260</v>
      </c>
      <c r="F685" s="9" t="str">
        <f ca="1">IFERROR(__xludf.DUMMYFUNCTION("IFS(
  REGEXMATCH(LOWER(VLOOKUP(A685, Data1_Raw_Slack!A:B, 2, FALSE)), ""news|weather""), ""News and Weather"", REGEXMATCH(LOWER(VLOOKUP(A685, Data1_Raw_Slack!A:B, 2, FALSE)), ""sports|ufc|nba|nfl|mlb|soccer|sports fans""), ""Sports"",
  REGEXMATCH(LOWER("&amp;"VLOOKUP(A685, Data1_Raw_Slack!A:B, 2, FALSE)), ""fashion|style|clothing|apparel|shoes|accessories|beauty|cosmetics|fashionistas""), ""Fashion and Beauty"",
  REGEXMATCH(LOWER(VLOOKUP(A685, Data1_Raw_Slack!A:B, 2, FALSE)), ""food|cooking|recipe|restaurant|"&amp;"snack|grocery|foodies""), ""Food"",
  REGEXMATCH(LOWER(VLOOKUP(A685, Data1_Raw_Slack!A:B, 2, FALSE)), ""travel|vacation|airline|hotel|trip|flights|travelers""), ""Travel"",
  REGEXMATCH(LOWER(VLOOKUP(A685, Data1_Raw_Slack!A:B, 2, FALSE)), ""fitness|workou"&amp;"t|gym|exercise|yoga|wellness|fitness enthusiasts""), ""Fitness"",
  REGEXMATCH(LOWER(VLOOKUP(A685, Data1_Raw_Slack!A:B, 2, FALSE)), ""health|medical|pharmacy|mental health|doctor|health-conscious""), ""Health"",
  REGEXMATCH(LOWER(VLOOKUP(A685, Data1_Raw_"&amp;"Slack!A:B, 2, FALSE)), ""pets|dogs|cats|animals|pet care|pet lovers""), ""Pets"",
  REGEXMATCH(LOWER(VLOOKUP(A685, Data1_Raw_Slack!A:B, 2, FALSE)), ""games|gaming|game|xbox|playstation|nintendo|gamers""), ""Gaming"",
  REGEXMATCH(LOWER(VLOOKUP(A685, Data1"&amp;"_Raw_Slack!A:B, 2, FALSE)), ""entertainment|movies|tv|netflix|streaming|celebrity|movie lovers|tv fans|hobb|photo|art""), ""Entertainment"",
  REGEXMATCH(LOWER(VLOOKUP(A685, Data1_Raw_Slack!A:B, 2, FALSE)), ""lifestyle|home|interior|decor|living|lifestyle"&amp;" enthusiasts""), ""Lifestyle"",
  REGEXMATCH(LOWER(VLOOKUP(A685, Data1_Raw_Slack!A:B, 2, FALSE)), ""financial|finance|investing|stocks|retirement|banking|credit|debt|loans|savings|personal finance|insurance|econ|ecom|business|retail|occupation|sale|job|ma"&amp;"rketing""), ""Finance"",
  REGEXMATCH(LOWER(VLOOKUP(A685, Data1_Raw_Slack!A:B, 2, FALSE)), ""auto|automotive""), ""Auto"",
  REGEXMATCH(LOWER(VLOOKUP(A685, Data1_Raw_Slack!A:B, 2, FALSE)), ""parenting|moms|dads|kids|toddlers|baby|parent|children""), ""Par"&amp;"enting"",
  REGEXMATCH(LOWER(VLOOKUP(A685, Data1_Raw_Slack!A:B, 2, FALSE)), ""education|students|learning|school|teachers|college|university|academics""), ""Education"",
  REGEXMATCH(LOWER(VLOOKUP(A685, Data1_Raw_Slack!A:B, 2, FALSE)), ""age|gender|dem"&amp;"ographic|family|household""), ""Demographics"",
  REGEXMATCH(LOWER(VLOOKUP(A685, Data1_Raw_Slack!A:B, 2, FALSE)), ""mortgage|real estate""), ""Real Estate"",REGEXMATCH(LOWER(VLOOKUP(A685, Data1_Raw_Slack!A:B, 2, FALSE)), ""technology|tech|gadgets|smartpho"&amp;"ne|electro|apps|devices|computing|ai|robots|software|computer|internet|tele|mobile|tablet""), ""Technology"", REGEXMATCH(LOWER(VLOOKUP(A685, Data1_Raw_Slack!A:B, 2, FALSE)), ""entertainment|purchas|movies|tv|netflix|streaming|celebrity|movie lovers|tv fan"&amp;"s|media|hobb|photo|art|shop""), ""Entertainment"", REGEXMATCH(LOWER(VLOOKUP(A685, Data1_Raw_Slack!A:B, 2, FALSE)), ""law|government|""), ""Law and Government"",
  TRUE, ""Other""
)"),"Sports")</f>
        <v>Sports</v>
      </c>
      <c r="G685" s="9" t="s">
        <v>154</v>
      </c>
      <c r="H685" s="9" t="s">
        <v>44</v>
      </c>
      <c r="I685" s="9" t="s">
        <v>2261</v>
      </c>
      <c r="J685" s="9" t="s">
        <v>62</v>
      </c>
      <c r="K685" s="9" t="s">
        <v>35</v>
      </c>
      <c r="L685" s="9" t="s">
        <v>36</v>
      </c>
      <c r="M685" s="10" t="s">
        <v>102</v>
      </c>
      <c r="N685" s="9" t="str">
        <f ca="1">IFERROR(__xludf.DUMMYFUNCTION("REGEXEXTRACT(LOWER(M685), ""([a-z0-9\-]+)\.(?:co|net|org|io|gg)"")"),"cbsnews")</f>
        <v>cbsnews</v>
      </c>
      <c r="O685" s="9" t="s">
        <v>103</v>
      </c>
      <c r="P685" s="9" t="s">
        <v>39</v>
      </c>
      <c r="Q685" s="9">
        <v>7229</v>
      </c>
      <c r="R685" s="9">
        <v>20</v>
      </c>
      <c r="S685" s="9">
        <v>5668</v>
      </c>
      <c r="T685" s="9">
        <v>6760</v>
      </c>
      <c r="U685" s="9">
        <v>3</v>
      </c>
      <c r="V685" s="11">
        <v>6812.588702</v>
      </c>
      <c r="W685" s="12">
        <f t="shared" si="14"/>
        <v>2270.8629006666665</v>
      </c>
      <c r="X685" s="12">
        <f t="shared" si="15"/>
        <v>0.27666343892654582</v>
      </c>
      <c r="Y685" s="12">
        <f t="shared" si="16"/>
        <v>78.406418591783094</v>
      </c>
      <c r="Z685" s="12">
        <f t="shared" si="17"/>
        <v>1201.938726534933</v>
      </c>
      <c r="AA685" s="12">
        <f t="shared" si="18"/>
        <v>942.39710914372665</v>
      </c>
      <c r="AB685" s="12">
        <f t="shared" si="19"/>
        <v>340.62943510000002</v>
      </c>
      <c r="AC685" s="12">
        <f t="shared" si="20"/>
        <v>15</v>
      </c>
      <c r="AE685" s="13"/>
      <c r="AF685" s="13"/>
    </row>
    <row r="686" spans="1:32">
      <c r="A686" s="8" t="s">
        <v>2262</v>
      </c>
      <c r="B686" s="9" t="s">
        <v>325</v>
      </c>
      <c r="C686" s="9" t="s">
        <v>2263</v>
      </c>
      <c r="D686" s="9" t="s">
        <v>2264</v>
      </c>
      <c r="E686" s="9"/>
      <c r="F686" s="9" t="str">
        <f ca="1">IFERROR(__xludf.DUMMYFUNCTION("IFS(
  REGEXMATCH(LOWER(VLOOKUP(A686, Data1_Raw_Slack!A:B, 2, FALSE)), ""news|weather""), ""News and Weather"", REGEXMATCH(LOWER(VLOOKUP(A686, Data1_Raw_Slack!A:B, 2, FALSE)), ""sports|ufc|nba|nfl|mlb|soccer|sports fans""), ""Sports"",
  REGEXMATCH(LOWER("&amp;"VLOOKUP(A686, Data1_Raw_Slack!A:B, 2, FALSE)), ""fashion|style|clothing|apparel|shoes|accessories|beauty|cosmetics|fashionistas""), ""Fashion and Beauty"",
  REGEXMATCH(LOWER(VLOOKUP(A686, Data1_Raw_Slack!A:B, 2, FALSE)), ""food|cooking|recipe|restaurant|"&amp;"snack|grocery|foodies""), ""Food"",
  REGEXMATCH(LOWER(VLOOKUP(A686, Data1_Raw_Slack!A:B, 2, FALSE)), ""travel|vacation|airline|hotel|trip|flights|travelers""), ""Travel"",
  REGEXMATCH(LOWER(VLOOKUP(A686, Data1_Raw_Slack!A:B, 2, FALSE)), ""fitness|workou"&amp;"t|gym|exercise|yoga|wellness|fitness enthusiasts""), ""Fitness"",
  REGEXMATCH(LOWER(VLOOKUP(A686, Data1_Raw_Slack!A:B, 2, FALSE)), ""health|medical|pharmacy|mental health|doctor|health-conscious""), ""Health"",
  REGEXMATCH(LOWER(VLOOKUP(A686, Data1_Raw_"&amp;"Slack!A:B, 2, FALSE)), ""pets|dogs|cats|animals|pet care|pet lovers""), ""Pets"",
  REGEXMATCH(LOWER(VLOOKUP(A686, Data1_Raw_Slack!A:B, 2, FALSE)), ""games|gaming|game|xbox|playstation|nintendo|gamers""), ""Gaming"",
  REGEXMATCH(LOWER(VLOOKUP(A686, Data1"&amp;"_Raw_Slack!A:B, 2, FALSE)), ""entertainment|movies|tv|netflix|streaming|celebrity|movie lovers|tv fans|hobb|photo|art""), ""Entertainment"",
  REGEXMATCH(LOWER(VLOOKUP(A686, Data1_Raw_Slack!A:B, 2, FALSE)), ""lifestyle|home|interior|decor|living|lifestyle"&amp;" enthusiasts""), ""Lifestyle"",
  REGEXMATCH(LOWER(VLOOKUP(A686, Data1_Raw_Slack!A:B, 2, FALSE)), ""financial|finance|investing|stocks|retirement|banking|credit|debt|loans|savings|personal finance|insurance|econ|ecom|business|retail|occupation|sale|job|ma"&amp;"rketing""), ""Finance"",
  REGEXMATCH(LOWER(VLOOKUP(A686, Data1_Raw_Slack!A:B, 2, FALSE)), ""auto|automotive""), ""Auto"",
  REGEXMATCH(LOWER(VLOOKUP(A686, Data1_Raw_Slack!A:B, 2, FALSE)), ""parenting|moms|dads|kids|toddlers|baby|parent|children""), ""Par"&amp;"enting"",
  REGEXMATCH(LOWER(VLOOKUP(A686, Data1_Raw_Slack!A:B, 2, FALSE)), ""education|students|learning|school|teachers|college|university|academics""), ""Education"",
  REGEXMATCH(LOWER(VLOOKUP(A686, Data1_Raw_Slack!A:B, 2, FALSE)), ""age|gender|dem"&amp;"ographic|family|household""), ""Demographics"",
  REGEXMATCH(LOWER(VLOOKUP(A686, Data1_Raw_Slack!A:B, 2, FALSE)), ""mortgage|real estate""), ""Real Estate"",REGEXMATCH(LOWER(VLOOKUP(A686, Data1_Raw_Slack!A:B, 2, FALSE)), ""technology|tech|gadgets|smartpho"&amp;"ne|electro|apps|devices|computing|ai|robots|software|computer|internet|tele|mobile|tablet""), ""Technology"", REGEXMATCH(LOWER(VLOOKUP(A686, Data1_Raw_Slack!A:B, 2, FALSE)), ""entertainment|purchas|movies|tv|netflix|streaming|celebrity|movie lovers|tv fan"&amp;"s|media|hobb|photo|art|shop""), ""Entertainment"", REGEXMATCH(LOWER(VLOOKUP(A686, Data1_Raw_Slack!A:B, 2, FALSE)), ""law|government|""), ""Law and Government"",
  TRUE, ""Other""
)"),"Demographics")</f>
        <v>Demographics</v>
      </c>
      <c r="G686" s="9"/>
      <c r="H686" s="9" t="s">
        <v>123</v>
      </c>
      <c r="I686" s="9" t="s">
        <v>2265</v>
      </c>
      <c r="J686" s="9" t="s">
        <v>34</v>
      </c>
      <c r="K686" s="9" t="s">
        <v>88</v>
      </c>
      <c r="L686" s="9" t="s">
        <v>89</v>
      </c>
      <c r="M686" s="10" t="s">
        <v>1031</v>
      </c>
      <c r="N686" s="9" t="str">
        <f ca="1">IFERROR(__xludf.DUMMYFUNCTION("REGEXEXTRACT(LOWER(M686), ""([a-z0-9\-]+)\.(?:co|net|org|io|gg)"")"),"activebeat")</f>
        <v>activebeat</v>
      </c>
      <c r="O686" s="9" t="s">
        <v>103</v>
      </c>
      <c r="P686" s="9" t="s">
        <v>39</v>
      </c>
      <c r="Q686" s="9">
        <v>68704</v>
      </c>
      <c r="R686" s="9">
        <v>185</v>
      </c>
      <c r="S686" s="9">
        <v>31283</v>
      </c>
      <c r="T686" s="9">
        <v>59462</v>
      </c>
      <c r="U686" s="9">
        <v>16</v>
      </c>
      <c r="V686" s="11">
        <v>1605.5660310000001</v>
      </c>
      <c r="W686" s="12">
        <f t="shared" si="14"/>
        <v>100.3478769375</v>
      </c>
      <c r="X686" s="12">
        <f t="shared" si="15"/>
        <v>0.26927107591988825</v>
      </c>
      <c r="Y686" s="12">
        <f t="shared" si="16"/>
        <v>45.533011178388449</v>
      </c>
      <c r="Z686" s="12">
        <f t="shared" si="17"/>
        <v>51.323914937825656</v>
      </c>
      <c r="AA686" s="12">
        <f t="shared" si="18"/>
        <v>23.369323925826734</v>
      </c>
      <c r="AB686" s="12">
        <f t="shared" si="19"/>
        <v>8.6787353027027034</v>
      </c>
      <c r="AC686" s="12">
        <f t="shared" si="20"/>
        <v>8.6486486486486491</v>
      </c>
      <c r="AE686" s="13"/>
      <c r="AF686" s="13"/>
    </row>
    <row r="687" spans="1:32">
      <c r="A687" s="8" t="s">
        <v>2266</v>
      </c>
      <c r="B687" s="9" t="s">
        <v>41</v>
      </c>
      <c r="C687" s="9" t="s">
        <v>407</v>
      </c>
      <c r="D687" s="9" t="s">
        <v>1331</v>
      </c>
      <c r="E687" s="9" t="s">
        <v>2267</v>
      </c>
      <c r="F687" s="9" t="str">
        <f ca="1">IFERROR(__xludf.DUMMYFUNCTION("IFS(
  REGEXMATCH(LOWER(VLOOKUP(A687, Data1_Raw_Slack!A:B, 2, FALSE)), ""news|weather""), ""News and Weather"", REGEXMATCH(LOWER(VLOOKUP(A687, Data1_Raw_Slack!A:B, 2, FALSE)), ""sports|ufc|nba|nfl|mlb|soccer|sports fans""), ""Sports"",
  REGEXMATCH(LOWER("&amp;"VLOOKUP(A687, Data1_Raw_Slack!A:B, 2, FALSE)), ""fashion|style|clothing|apparel|shoes|accessories|beauty|cosmetics|fashionistas""), ""Fashion and Beauty"",
  REGEXMATCH(LOWER(VLOOKUP(A687, Data1_Raw_Slack!A:B, 2, FALSE)), ""food|cooking|recipe|restaurant|"&amp;"snack|grocery|foodies""), ""Food"",
  REGEXMATCH(LOWER(VLOOKUP(A687, Data1_Raw_Slack!A:B, 2, FALSE)), ""travel|vacation|airline|hotel|trip|flights|travelers""), ""Travel"",
  REGEXMATCH(LOWER(VLOOKUP(A687, Data1_Raw_Slack!A:B, 2, FALSE)), ""fitness|workou"&amp;"t|gym|exercise|yoga|wellness|fitness enthusiasts""), ""Fitness"",
  REGEXMATCH(LOWER(VLOOKUP(A687, Data1_Raw_Slack!A:B, 2, FALSE)), ""health|medical|pharmacy|mental health|doctor|health-conscious""), ""Health"",
  REGEXMATCH(LOWER(VLOOKUP(A687, Data1_Raw_"&amp;"Slack!A:B, 2, FALSE)), ""pets|dogs|cats|animals|pet care|pet lovers""), ""Pets"",
  REGEXMATCH(LOWER(VLOOKUP(A687, Data1_Raw_Slack!A:B, 2, FALSE)), ""games|gaming|game|xbox|playstation|nintendo|gamers""), ""Gaming"",
  REGEXMATCH(LOWER(VLOOKUP(A687, Data1"&amp;"_Raw_Slack!A:B, 2, FALSE)), ""entertainment|movies|tv|netflix|streaming|celebrity|movie lovers|tv fans|hobb|photo|art""), ""Entertainment"",
  REGEXMATCH(LOWER(VLOOKUP(A687, Data1_Raw_Slack!A:B, 2, FALSE)), ""lifestyle|home|interior|decor|living|lifestyle"&amp;" enthusiasts""), ""Lifestyle"",
  REGEXMATCH(LOWER(VLOOKUP(A687, Data1_Raw_Slack!A:B, 2, FALSE)), ""financial|finance|investing|stocks|retirement|banking|credit|debt|loans|savings|personal finance|insurance|econ|ecom|business|retail|occupation|sale|job|ma"&amp;"rketing""), ""Finance"",
  REGEXMATCH(LOWER(VLOOKUP(A687, Data1_Raw_Slack!A:B, 2, FALSE)), ""auto|automotive""), ""Auto"",
  REGEXMATCH(LOWER(VLOOKUP(A687, Data1_Raw_Slack!A:B, 2, FALSE)), ""parenting|moms|dads|kids|toddlers|baby|parent|children""), ""Par"&amp;"enting"",
  REGEXMATCH(LOWER(VLOOKUP(A687, Data1_Raw_Slack!A:B, 2, FALSE)), ""education|students|learning|school|teachers|college|university|academics""), ""Education"",
  REGEXMATCH(LOWER(VLOOKUP(A687, Data1_Raw_Slack!A:B, 2, FALSE)), ""age|gender|dem"&amp;"ographic|family|household""), ""Demographics"",
  REGEXMATCH(LOWER(VLOOKUP(A687, Data1_Raw_Slack!A:B, 2, FALSE)), ""mortgage|real estate""), ""Real Estate"",REGEXMATCH(LOWER(VLOOKUP(A687, Data1_Raw_Slack!A:B, 2, FALSE)), ""technology|tech|gadgets|smartpho"&amp;"ne|electro|apps|devices|computing|ai|robots|software|computer|internet|tele|mobile|tablet""), ""Technology"", REGEXMATCH(LOWER(VLOOKUP(A687, Data1_Raw_Slack!A:B, 2, FALSE)), ""entertainment|purchas|movies|tv|netflix|streaming|celebrity|movie lovers|tv fan"&amp;"s|media|hobb|photo|art|shop""), ""Entertainment"", REGEXMATCH(LOWER(VLOOKUP(A687, Data1_Raw_Slack!A:B, 2, FALSE)), ""law|government|""), ""Law and Government"",
  TRUE, ""Other""
)"),"Parenting")</f>
        <v>Parenting</v>
      </c>
      <c r="G687" s="9"/>
      <c r="H687" s="9" t="s">
        <v>32</v>
      </c>
      <c r="I687" s="9" t="s">
        <v>645</v>
      </c>
      <c r="J687" s="9" t="s">
        <v>80</v>
      </c>
      <c r="K687" s="9" t="s">
        <v>71</v>
      </c>
      <c r="L687" s="9" t="s">
        <v>72</v>
      </c>
      <c r="M687" s="10" t="s">
        <v>102</v>
      </c>
      <c r="N687" s="9" t="str">
        <f ca="1">IFERROR(__xludf.DUMMYFUNCTION("REGEXEXTRACT(LOWER(M687), ""([a-z0-9\-]+)\.(?:co|net|org|io|gg)"")"),"cbsnews")</f>
        <v>cbsnews</v>
      </c>
      <c r="O687" s="9" t="s">
        <v>103</v>
      </c>
      <c r="P687" s="9" t="s">
        <v>39</v>
      </c>
      <c r="Q687" s="9">
        <v>115544</v>
      </c>
      <c r="R687" s="9">
        <v>412</v>
      </c>
      <c r="S687" s="9">
        <v>79182</v>
      </c>
      <c r="T687" s="9">
        <v>109463</v>
      </c>
      <c r="U687" s="9">
        <v>56</v>
      </c>
      <c r="V687" s="11">
        <v>6721.0944529999997</v>
      </c>
      <c r="W687" s="12">
        <f t="shared" si="14"/>
        <v>120.01954380357142</v>
      </c>
      <c r="X687" s="12">
        <f t="shared" si="15"/>
        <v>0.35657411895035657</v>
      </c>
      <c r="Y687" s="12">
        <f t="shared" si="16"/>
        <v>68.529737589143522</v>
      </c>
      <c r="Z687" s="12">
        <f t="shared" si="17"/>
        <v>84.881594971079281</v>
      </c>
      <c r="AA687" s="12">
        <f t="shared" si="18"/>
        <v>58.169134295160283</v>
      </c>
      <c r="AB687" s="12">
        <f t="shared" si="19"/>
        <v>16.313336050970872</v>
      </c>
      <c r="AC687" s="12">
        <f t="shared" si="20"/>
        <v>13.592233009708737</v>
      </c>
      <c r="AE687" s="13"/>
      <c r="AF687" s="13"/>
    </row>
    <row r="688" spans="1:32">
      <c r="A688" s="8" t="s">
        <v>2268</v>
      </c>
      <c r="B688" s="9" t="s">
        <v>41</v>
      </c>
      <c r="C688" s="9" t="s">
        <v>1069</v>
      </c>
      <c r="D688" s="9" t="s">
        <v>746</v>
      </c>
      <c r="E688" s="9"/>
      <c r="F688" s="9" t="str">
        <f ca="1">IFERROR(__xludf.DUMMYFUNCTION("IFS(
  REGEXMATCH(LOWER(VLOOKUP(A688, Data1_Raw_Slack!A:B, 2, FALSE)), ""news|weather""), ""News and Weather"", REGEXMATCH(LOWER(VLOOKUP(A688, Data1_Raw_Slack!A:B, 2, FALSE)), ""sports|ufc|nba|nfl|mlb|soccer|sports fans""), ""Sports"",
  REGEXMATCH(LOWER("&amp;"VLOOKUP(A688, Data1_Raw_Slack!A:B, 2, FALSE)), ""fashion|style|clothing|apparel|shoes|accessories|beauty|cosmetics|fashionistas""), ""Fashion and Beauty"",
  REGEXMATCH(LOWER(VLOOKUP(A688, Data1_Raw_Slack!A:B, 2, FALSE)), ""food|cooking|recipe|restaurant|"&amp;"snack|grocery|foodies""), ""Food"",
  REGEXMATCH(LOWER(VLOOKUP(A688, Data1_Raw_Slack!A:B, 2, FALSE)), ""travel|vacation|airline|hotel|trip|flights|travelers""), ""Travel"",
  REGEXMATCH(LOWER(VLOOKUP(A688, Data1_Raw_Slack!A:B, 2, FALSE)), ""fitness|workou"&amp;"t|gym|exercise|yoga|wellness|fitness enthusiasts""), ""Fitness"",
  REGEXMATCH(LOWER(VLOOKUP(A688, Data1_Raw_Slack!A:B, 2, FALSE)), ""health|medical|pharmacy|mental health|doctor|health-conscious""), ""Health"",
  REGEXMATCH(LOWER(VLOOKUP(A688, Data1_Raw_"&amp;"Slack!A:B, 2, FALSE)), ""pets|dogs|cats|animals|pet care|pet lovers""), ""Pets"",
  REGEXMATCH(LOWER(VLOOKUP(A688, Data1_Raw_Slack!A:B, 2, FALSE)), ""games|gaming|game|xbox|playstation|nintendo|gamers""), ""Gaming"",
  REGEXMATCH(LOWER(VLOOKUP(A688, Data1"&amp;"_Raw_Slack!A:B, 2, FALSE)), ""entertainment|movies|tv|netflix|streaming|celebrity|movie lovers|tv fans|hobb|photo|art""), ""Entertainment"",
  REGEXMATCH(LOWER(VLOOKUP(A688, Data1_Raw_Slack!A:B, 2, FALSE)), ""lifestyle|home|interior|decor|living|lifestyle"&amp;" enthusiasts""), ""Lifestyle"",
  REGEXMATCH(LOWER(VLOOKUP(A688, Data1_Raw_Slack!A:B, 2, FALSE)), ""financial|finance|investing|stocks|retirement|banking|credit|debt|loans|savings|personal finance|insurance|econ|ecom|business|retail|occupation|sale|job|ma"&amp;"rketing""), ""Finance"",
  REGEXMATCH(LOWER(VLOOKUP(A688, Data1_Raw_Slack!A:B, 2, FALSE)), ""auto|automotive""), ""Auto"",
  REGEXMATCH(LOWER(VLOOKUP(A688, Data1_Raw_Slack!A:B, 2, FALSE)), ""parenting|moms|dads|kids|toddlers|baby|parent|children""), ""Par"&amp;"enting"",
  REGEXMATCH(LOWER(VLOOKUP(A688, Data1_Raw_Slack!A:B, 2, FALSE)), ""education|students|learning|school|teachers|college|university|academics""), ""Education"",
  REGEXMATCH(LOWER(VLOOKUP(A688, Data1_Raw_Slack!A:B, 2, FALSE)), ""age|gender|dem"&amp;"ographic|family|household""), ""Demographics"",
  REGEXMATCH(LOWER(VLOOKUP(A688, Data1_Raw_Slack!A:B, 2, FALSE)), ""mortgage|real estate""), ""Real Estate"",REGEXMATCH(LOWER(VLOOKUP(A688, Data1_Raw_Slack!A:B, 2, FALSE)), ""technology|tech|gadgets|smartpho"&amp;"ne|electro|apps|devices|computing|ai|robots|software|computer|internet|tele|mobile|tablet""), ""Technology"", REGEXMATCH(LOWER(VLOOKUP(A688, Data1_Raw_Slack!A:B, 2, FALSE)), ""entertainment|purchas|movies|tv|netflix|streaming|celebrity|movie lovers|tv fan"&amp;"s|media|hobb|photo|art|shop""), ""Entertainment"", REGEXMATCH(LOWER(VLOOKUP(A688, Data1_Raw_Slack!A:B, 2, FALSE)), ""law|government|""), ""Law and Government"",
  TRUE, ""Other""
)"),"Finance")</f>
        <v>Finance</v>
      </c>
      <c r="G688" s="9" t="s">
        <v>127</v>
      </c>
      <c r="H688" s="9" t="s">
        <v>123</v>
      </c>
      <c r="I688" s="9" t="s">
        <v>331</v>
      </c>
      <c r="J688" s="9" t="s">
        <v>80</v>
      </c>
      <c r="K688" s="9" t="s">
        <v>88</v>
      </c>
      <c r="L688" s="9" t="s">
        <v>89</v>
      </c>
      <c r="M688" s="10" t="s">
        <v>2269</v>
      </c>
      <c r="N688" s="9" t="str">
        <f ca="1">IFERROR(__xludf.DUMMYFUNCTION("REGEXEXTRACT(LOWER(M688), ""([a-z0-9\-]+)\.(?:co|net|org|io|gg)"")"),"mydailymagazine")</f>
        <v>mydailymagazine</v>
      </c>
      <c r="O688" s="9" t="s">
        <v>50</v>
      </c>
      <c r="P688" s="9" t="s">
        <v>39</v>
      </c>
      <c r="Q688" s="9">
        <v>9238</v>
      </c>
      <c r="R688" s="9">
        <v>84</v>
      </c>
      <c r="S688" s="9">
        <v>4626</v>
      </c>
      <c r="T688" s="9">
        <v>8264</v>
      </c>
      <c r="U688" s="9">
        <v>15</v>
      </c>
      <c r="V688" s="11">
        <v>6683.2254869999997</v>
      </c>
      <c r="W688" s="12">
        <f t="shared" si="14"/>
        <v>445.5483658</v>
      </c>
      <c r="X688" s="12">
        <f t="shared" si="15"/>
        <v>0.90928772461571772</v>
      </c>
      <c r="Y688" s="12">
        <f t="shared" si="16"/>
        <v>50.075773977051306</v>
      </c>
      <c r="Z688" s="12">
        <f t="shared" si="17"/>
        <v>1444.7093573281452</v>
      </c>
      <c r="AA688" s="12">
        <f t="shared" si="18"/>
        <v>723.44939240095255</v>
      </c>
      <c r="AB688" s="12">
        <f t="shared" si="19"/>
        <v>79.562208178571424</v>
      </c>
      <c r="AC688" s="12">
        <f t="shared" si="20"/>
        <v>17.857142857142858</v>
      </c>
      <c r="AE688" s="13"/>
      <c r="AF688" s="13"/>
    </row>
    <row r="689" spans="1:32">
      <c r="A689" s="8" t="s">
        <v>2270</v>
      </c>
      <c r="B689" s="9" t="s">
        <v>41</v>
      </c>
      <c r="C689" s="9" t="s">
        <v>154</v>
      </c>
      <c r="D689" s="9" t="s">
        <v>469</v>
      </c>
      <c r="E689" s="9" t="s">
        <v>2271</v>
      </c>
      <c r="F689" s="9" t="str">
        <f ca="1">IFERROR(__xludf.DUMMYFUNCTION("IFS(
  REGEXMATCH(LOWER(VLOOKUP(A689, Data1_Raw_Slack!A:B, 2, FALSE)), ""news|weather""), ""News and Weather"", REGEXMATCH(LOWER(VLOOKUP(A689, Data1_Raw_Slack!A:B, 2, FALSE)), ""sports|ufc|nba|nfl|mlb|soccer|sports fans""), ""Sports"",
  REGEXMATCH(LOWER("&amp;"VLOOKUP(A689, Data1_Raw_Slack!A:B, 2, FALSE)), ""fashion|style|clothing|apparel|shoes|accessories|beauty|cosmetics|fashionistas""), ""Fashion and Beauty"",
  REGEXMATCH(LOWER(VLOOKUP(A689, Data1_Raw_Slack!A:B, 2, FALSE)), ""food|cooking|recipe|restaurant|"&amp;"snack|grocery|foodies""), ""Food"",
  REGEXMATCH(LOWER(VLOOKUP(A689, Data1_Raw_Slack!A:B, 2, FALSE)), ""travel|vacation|airline|hotel|trip|flights|travelers""), ""Travel"",
  REGEXMATCH(LOWER(VLOOKUP(A689, Data1_Raw_Slack!A:B, 2, FALSE)), ""fitness|workou"&amp;"t|gym|exercise|yoga|wellness|fitness enthusiasts""), ""Fitness"",
  REGEXMATCH(LOWER(VLOOKUP(A689, Data1_Raw_Slack!A:B, 2, FALSE)), ""health|medical|pharmacy|mental health|doctor|health-conscious""), ""Health"",
  REGEXMATCH(LOWER(VLOOKUP(A689, Data1_Raw_"&amp;"Slack!A:B, 2, FALSE)), ""pets|dogs|cats|animals|pet care|pet lovers""), ""Pets"",
  REGEXMATCH(LOWER(VLOOKUP(A689, Data1_Raw_Slack!A:B, 2, FALSE)), ""games|gaming|game|xbox|playstation|nintendo|gamers""), ""Gaming"",
  REGEXMATCH(LOWER(VLOOKUP(A689, Data1"&amp;"_Raw_Slack!A:B, 2, FALSE)), ""entertainment|movies|tv|netflix|streaming|celebrity|movie lovers|tv fans|hobb|photo|art""), ""Entertainment"",
  REGEXMATCH(LOWER(VLOOKUP(A689, Data1_Raw_Slack!A:B, 2, FALSE)), ""lifestyle|home|interior|decor|living|lifestyle"&amp;" enthusiasts""), ""Lifestyle"",
  REGEXMATCH(LOWER(VLOOKUP(A689, Data1_Raw_Slack!A:B, 2, FALSE)), ""financial|finance|investing|stocks|retirement|banking|credit|debt|loans|savings|personal finance|insurance|econ|ecom|business|retail|occupation|sale|job|ma"&amp;"rketing""), ""Finance"",
  REGEXMATCH(LOWER(VLOOKUP(A689, Data1_Raw_Slack!A:B, 2, FALSE)), ""auto|automotive""), ""Auto"",
  REGEXMATCH(LOWER(VLOOKUP(A689, Data1_Raw_Slack!A:B, 2, FALSE)), ""parenting|moms|dads|kids|toddlers|baby|parent|children""), ""Par"&amp;"enting"",
  REGEXMATCH(LOWER(VLOOKUP(A689, Data1_Raw_Slack!A:B, 2, FALSE)), ""education|students|learning|school|teachers|college|university|academics""), ""Education"",
  REGEXMATCH(LOWER(VLOOKUP(A689, Data1_Raw_Slack!A:B, 2, FALSE)), ""age|gender|dem"&amp;"ographic|family|household""), ""Demographics"",
  REGEXMATCH(LOWER(VLOOKUP(A689, Data1_Raw_Slack!A:B, 2, FALSE)), ""mortgage|real estate""), ""Real Estate"",REGEXMATCH(LOWER(VLOOKUP(A689, Data1_Raw_Slack!A:B, 2, FALSE)), ""technology|tech|gadgets|smartpho"&amp;"ne|electro|apps|devices|computing|ai|robots|software|computer|internet|tele|mobile|tablet""), ""Technology"", REGEXMATCH(LOWER(VLOOKUP(A689, Data1_Raw_Slack!A:B, 2, FALSE)), ""entertainment|purchas|movies|tv|netflix|streaming|celebrity|movie lovers|tv fan"&amp;"s|media|hobb|photo|art|shop""), ""Entertainment"", REGEXMATCH(LOWER(VLOOKUP(A689, Data1_Raw_Slack!A:B, 2, FALSE)), ""law|government|""), ""Law and Government"",
  TRUE, ""Other""
)"),"Sports")</f>
        <v>Sports</v>
      </c>
      <c r="G689" s="9" t="s">
        <v>154</v>
      </c>
      <c r="H689" s="9" t="s">
        <v>32</v>
      </c>
      <c r="I689" s="9" t="s">
        <v>1531</v>
      </c>
      <c r="J689" s="9" t="s">
        <v>46</v>
      </c>
      <c r="K689" s="9" t="s">
        <v>416</v>
      </c>
      <c r="L689" s="9" t="s">
        <v>417</v>
      </c>
      <c r="M689" s="10" t="s">
        <v>2272</v>
      </c>
      <c r="N689" s="9" t="str">
        <f ca="1">IFERROR(__xludf.DUMMYFUNCTION("REGEXEXTRACT(LOWER(M689), ""([a-z0-9\-]+)\.(?:co|net|org|io|gg)"")"),"medical-news")</f>
        <v>medical-news</v>
      </c>
      <c r="O689" s="9" t="s">
        <v>593</v>
      </c>
      <c r="P689" s="9" t="s">
        <v>39</v>
      </c>
      <c r="Q689" s="9">
        <v>117879</v>
      </c>
      <c r="R689" s="9">
        <v>390</v>
      </c>
      <c r="S689" s="9">
        <v>52098</v>
      </c>
      <c r="T689" s="9">
        <v>86127</v>
      </c>
      <c r="U689" s="9">
        <v>1</v>
      </c>
      <c r="V689" s="11">
        <v>5102.7067290000005</v>
      </c>
      <c r="W689" s="12">
        <f t="shared" si="14"/>
        <v>5102.7067290000005</v>
      </c>
      <c r="X689" s="12">
        <f t="shared" si="15"/>
        <v>0.33084773369302423</v>
      </c>
      <c r="Y689" s="12">
        <f t="shared" si="16"/>
        <v>44.196167256254292</v>
      </c>
      <c r="Z689" s="12">
        <f t="shared" si="17"/>
        <v>97.94438805712312</v>
      </c>
      <c r="AA689" s="12">
        <f t="shared" si="18"/>
        <v>43.287665563840896</v>
      </c>
      <c r="AB689" s="12">
        <f t="shared" si="19"/>
        <v>13.083863407692309</v>
      </c>
      <c r="AC689" s="12">
        <f t="shared" si="20"/>
        <v>0.25641025641025639</v>
      </c>
      <c r="AE689" s="13"/>
      <c r="AF689" s="13"/>
    </row>
    <row r="690" spans="1:32">
      <c r="A690" s="8" t="s">
        <v>2273</v>
      </c>
      <c r="B690" s="9" t="s">
        <v>41</v>
      </c>
      <c r="C690" s="9" t="s">
        <v>105</v>
      </c>
      <c r="D690" s="9" t="s">
        <v>1122</v>
      </c>
      <c r="E690" s="9" t="s">
        <v>2274</v>
      </c>
      <c r="F690" s="9" t="str">
        <f ca="1">IFERROR(__xludf.DUMMYFUNCTION("IFS(
  REGEXMATCH(LOWER(VLOOKUP(A690, Data1_Raw_Slack!A:B, 2, FALSE)), ""news|weather""), ""News and Weather"", REGEXMATCH(LOWER(VLOOKUP(A690, Data1_Raw_Slack!A:B, 2, FALSE)), ""sports|ufc|nba|nfl|mlb|soccer|sports fans""), ""Sports"",
  REGEXMATCH(LOWER("&amp;"VLOOKUP(A690, Data1_Raw_Slack!A:B, 2, FALSE)), ""fashion|style|clothing|apparel|shoes|accessories|beauty|cosmetics|fashionistas""), ""Fashion and Beauty"",
  REGEXMATCH(LOWER(VLOOKUP(A690, Data1_Raw_Slack!A:B, 2, FALSE)), ""food|cooking|recipe|restaurant|"&amp;"snack|grocery|foodies""), ""Food"",
  REGEXMATCH(LOWER(VLOOKUP(A690, Data1_Raw_Slack!A:B, 2, FALSE)), ""travel|vacation|airline|hotel|trip|flights|travelers""), ""Travel"",
  REGEXMATCH(LOWER(VLOOKUP(A690, Data1_Raw_Slack!A:B, 2, FALSE)), ""fitness|workou"&amp;"t|gym|exercise|yoga|wellness|fitness enthusiasts""), ""Fitness"",
  REGEXMATCH(LOWER(VLOOKUP(A690, Data1_Raw_Slack!A:B, 2, FALSE)), ""health|medical|pharmacy|mental health|doctor|health-conscious""), ""Health"",
  REGEXMATCH(LOWER(VLOOKUP(A690, Data1_Raw_"&amp;"Slack!A:B, 2, FALSE)), ""pets|dogs|cats|animals|pet care|pet lovers""), ""Pets"",
  REGEXMATCH(LOWER(VLOOKUP(A690, Data1_Raw_Slack!A:B, 2, FALSE)), ""games|gaming|game|xbox|playstation|nintendo|gamers""), ""Gaming"",
  REGEXMATCH(LOWER(VLOOKUP(A690, Data1"&amp;"_Raw_Slack!A:B, 2, FALSE)), ""entertainment|movies|tv|netflix|streaming|celebrity|movie lovers|tv fans|hobb|photo|art""), ""Entertainment"",
  REGEXMATCH(LOWER(VLOOKUP(A690, Data1_Raw_Slack!A:B, 2, FALSE)), ""lifestyle|home|interior|decor|living|lifestyle"&amp;" enthusiasts""), ""Lifestyle"",
  REGEXMATCH(LOWER(VLOOKUP(A690, Data1_Raw_Slack!A:B, 2, FALSE)), ""financial|finance|investing|stocks|retirement|banking|credit|debt|loans|savings|personal finance|insurance|econ|ecom|business|retail|occupation|sale|job|ma"&amp;"rketing""), ""Finance"",
  REGEXMATCH(LOWER(VLOOKUP(A690, Data1_Raw_Slack!A:B, 2, FALSE)), ""auto|automotive""), ""Auto"",
  REGEXMATCH(LOWER(VLOOKUP(A690, Data1_Raw_Slack!A:B, 2, FALSE)), ""parenting|moms|dads|kids|toddlers|baby|parent|children""), ""Par"&amp;"enting"",
  REGEXMATCH(LOWER(VLOOKUP(A690, Data1_Raw_Slack!A:B, 2, FALSE)), ""education|students|learning|school|teachers|college|university|academics""), ""Education"",
  REGEXMATCH(LOWER(VLOOKUP(A690, Data1_Raw_Slack!A:B, 2, FALSE)), ""age|gender|dem"&amp;"ographic|family|household""), ""Demographics"",
  REGEXMATCH(LOWER(VLOOKUP(A690, Data1_Raw_Slack!A:B, 2, FALSE)), ""mortgage|real estate""), ""Real Estate"",REGEXMATCH(LOWER(VLOOKUP(A690, Data1_Raw_Slack!A:B, 2, FALSE)), ""technology|tech|gadgets|smartpho"&amp;"ne|electro|apps|devices|computing|ai|robots|software|computer|internet|tele|mobile|tablet""), ""Technology"", REGEXMATCH(LOWER(VLOOKUP(A690, Data1_Raw_Slack!A:B, 2, FALSE)), ""entertainment|purchas|movies|tv|netflix|streaming|celebrity|movie lovers|tv fan"&amp;"s|media|hobb|photo|art|shop""), ""Entertainment"", REGEXMATCH(LOWER(VLOOKUP(A690, Data1_Raw_Slack!A:B, 2, FALSE)), ""law|government|""), ""Law and Government"",
  TRUE, ""Other""
)"),"Fashion and Beauty")</f>
        <v>Fashion and Beauty</v>
      </c>
      <c r="G690" s="9" t="s">
        <v>105</v>
      </c>
      <c r="H690" s="9" t="s">
        <v>44</v>
      </c>
      <c r="I690" s="9" t="s">
        <v>1728</v>
      </c>
      <c r="J690" s="9" t="s">
        <v>80</v>
      </c>
      <c r="K690" s="9" t="s">
        <v>56</v>
      </c>
      <c r="L690" s="9" t="s">
        <v>57</v>
      </c>
      <c r="M690" s="10" t="s">
        <v>1087</v>
      </c>
      <c r="N690" s="9" t="str">
        <f ca="1">IFERROR(__xludf.DUMMYFUNCTION("REGEXEXTRACT(LOWER(M690), ""([a-z0-9\-]+)\.(?:co|net|org|io|gg)"")"),"cnn")</f>
        <v>cnn</v>
      </c>
      <c r="O690" s="9" t="s">
        <v>50</v>
      </c>
      <c r="P690" s="9" t="s">
        <v>39</v>
      </c>
      <c r="Q690" s="9">
        <v>106392</v>
      </c>
      <c r="R690" s="9">
        <v>299</v>
      </c>
      <c r="S690" s="9">
        <v>39599</v>
      </c>
      <c r="T690" s="9">
        <v>94941</v>
      </c>
      <c r="U690" s="9">
        <v>3</v>
      </c>
      <c r="V690" s="11">
        <v>6542.6124280000004</v>
      </c>
      <c r="W690" s="12">
        <f t="shared" si="14"/>
        <v>2180.8708093333335</v>
      </c>
      <c r="X690" s="12">
        <f t="shared" si="15"/>
        <v>0.28103616813294235</v>
      </c>
      <c r="Y690" s="12">
        <f t="shared" si="16"/>
        <v>37.219903752161812</v>
      </c>
      <c r="Z690" s="12">
        <f t="shared" si="17"/>
        <v>165.22165781964193</v>
      </c>
      <c r="AA690" s="12">
        <f t="shared" si="18"/>
        <v>61.495342018196865</v>
      </c>
      <c r="AB690" s="12">
        <f t="shared" si="19"/>
        <v>21.881646916387961</v>
      </c>
      <c r="AC690" s="12">
        <f t="shared" si="20"/>
        <v>1.0033444816053512</v>
      </c>
      <c r="AE690" s="13"/>
      <c r="AF690" s="13"/>
    </row>
    <row r="691" spans="1:32">
      <c r="A691" s="8" t="s">
        <v>2275</v>
      </c>
      <c r="B691" s="9" t="s">
        <v>41</v>
      </c>
      <c r="C691" s="9" t="s">
        <v>162</v>
      </c>
      <c r="D691" s="9" t="s">
        <v>163</v>
      </c>
      <c r="E691" s="9" t="s">
        <v>2276</v>
      </c>
      <c r="F691" s="9" t="str">
        <f ca="1">IFERROR(__xludf.DUMMYFUNCTION("IFS(
  REGEXMATCH(LOWER(VLOOKUP(A691, Data1_Raw_Slack!A:B, 2, FALSE)), ""news|weather""), ""News and Weather"", REGEXMATCH(LOWER(VLOOKUP(A691, Data1_Raw_Slack!A:B, 2, FALSE)), ""sports|ufc|nba|nfl|mlb|soccer|sports fans""), ""Sports"",
  REGEXMATCH(LOWER("&amp;"VLOOKUP(A691, Data1_Raw_Slack!A:B, 2, FALSE)), ""fashion|style|clothing|apparel|shoes|accessories|beauty|cosmetics|fashionistas""), ""Fashion and Beauty"",
  REGEXMATCH(LOWER(VLOOKUP(A691, Data1_Raw_Slack!A:B, 2, FALSE)), ""food|cooking|recipe|restaurant|"&amp;"snack|grocery|foodies""), ""Food"",
  REGEXMATCH(LOWER(VLOOKUP(A691, Data1_Raw_Slack!A:B, 2, FALSE)), ""travel|vacation|airline|hotel|trip|flights|travelers""), ""Travel"",
  REGEXMATCH(LOWER(VLOOKUP(A691, Data1_Raw_Slack!A:B, 2, FALSE)), ""fitness|workou"&amp;"t|gym|exercise|yoga|wellness|fitness enthusiasts""), ""Fitness"",
  REGEXMATCH(LOWER(VLOOKUP(A691, Data1_Raw_Slack!A:B, 2, FALSE)), ""health|medical|pharmacy|mental health|doctor|health-conscious""), ""Health"",
  REGEXMATCH(LOWER(VLOOKUP(A691, Data1_Raw_"&amp;"Slack!A:B, 2, FALSE)), ""pets|dogs|cats|animals|pet care|pet lovers""), ""Pets"",
  REGEXMATCH(LOWER(VLOOKUP(A691, Data1_Raw_Slack!A:B, 2, FALSE)), ""games|gaming|game|xbox|playstation|nintendo|gamers""), ""Gaming"",
  REGEXMATCH(LOWER(VLOOKUP(A691, Data1"&amp;"_Raw_Slack!A:B, 2, FALSE)), ""entertainment|movies|tv|netflix|streaming|celebrity|movie lovers|tv fans|hobb|photo|art""), ""Entertainment"",
  REGEXMATCH(LOWER(VLOOKUP(A691, Data1_Raw_Slack!A:B, 2, FALSE)), ""lifestyle|home|interior|decor|living|lifestyle"&amp;" enthusiasts""), ""Lifestyle"",
  REGEXMATCH(LOWER(VLOOKUP(A691, Data1_Raw_Slack!A:B, 2, FALSE)), ""financial|finance|investing|stocks|retirement|banking|credit|debt|loans|savings|personal finance|insurance|econ|ecom|business|retail|occupation|sale|job|ma"&amp;"rketing""), ""Finance"",
  REGEXMATCH(LOWER(VLOOKUP(A691, Data1_Raw_Slack!A:B, 2, FALSE)), ""auto|automotive""), ""Auto"",
  REGEXMATCH(LOWER(VLOOKUP(A691, Data1_Raw_Slack!A:B, 2, FALSE)), ""parenting|moms|dads|kids|toddlers|baby|parent|children""), ""Par"&amp;"enting"",
  REGEXMATCH(LOWER(VLOOKUP(A691, Data1_Raw_Slack!A:B, 2, FALSE)), ""education|students|learning|school|teachers|college|university|academics""), ""Education"",
  REGEXMATCH(LOWER(VLOOKUP(A691, Data1_Raw_Slack!A:B, 2, FALSE)), ""age|gender|dem"&amp;"ographic|family|household""), ""Demographics"",
  REGEXMATCH(LOWER(VLOOKUP(A691, Data1_Raw_Slack!A:B, 2, FALSE)), ""mortgage|real estate""), ""Real Estate"",REGEXMATCH(LOWER(VLOOKUP(A691, Data1_Raw_Slack!A:B, 2, FALSE)), ""technology|tech|gadgets|smartpho"&amp;"ne|electro|apps|devices|computing|ai|robots|software|computer|internet|tele|mobile|tablet""), ""Technology"", REGEXMATCH(LOWER(VLOOKUP(A691, Data1_Raw_Slack!A:B, 2, FALSE)), ""entertainment|purchas|movies|tv|netflix|streaming|celebrity|movie lovers|tv fan"&amp;"s|media|hobb|photo|art|shop""), ""Entertainment"", REGEXMATCH(LOWER(VLOOKUP(A691, Data1_Raw_Slack!A:B, 2, FALSE)), ""law|government|""), ""Law and Government"",
  TRUE, ""Other""
)"),"Auto")</f>
        <v>Auto</v>
      </c>
      <c r="G691" s="9" t="s">
        <v>122</v>
      </c>
      <c r="H691" s="9" t="s">
        <v>44</v>
      </c>
      <c r="I691" s="9" t="s">
        <v>1699</v>
      </c>
      <c r="J691" s="9" t="s">
        <v>46</v>
      </c>
      <c r="K691" s="9" t="s">
        <v>148</v>
      </c>
      <c r="L691" s="9" t="s">
        <v>89</v>
      </c>
      <c r="M691" s="10" t="s">
        <v>1152</v>
      </c>
      <c r="N691" s="9" t="str">
        <f ca="1">IFERROR(__xludf.DUMMYFUNCTION("REGEXEXTRACT(LOWER(M691), ""([a-z0-9\-]+)\.(?:co|net|org|io|gg)"")"),"signupgenius")</f>
        <v>signupgenius</v>
      </c>
      <c r="O691" s="9" t="s">
        <v>131</v>
      </c>
      <c r="P691" s="9" t="s">
        <v>64</v>
      </c>
      <c r="Q691" s="9">
        <v>7965</v>
      </c>
      <c r="R691" s="9">
        <v>50</v>
      </c>
      <c r="S691" s="9">
        <v>5230</v>
      </c>
      <c r="T691" s="9">
        <v>6923</v>
      </c>
      <c r="U691" s="9">
        <v>10</v>
      </c>
      <c r="V691" s="11">
        <v>6298.5139289999997</v>
      </c>
      <c r="W691" s="12">
        <f t="shared" si="14"/>
        <v>629.85139289999995</v>
      </c>
      <c r="X691" s="12">
        <f t="shared" si="15"/>
        <v>0.62774639045825487</v>
      </c>
      <c r="Y691" s="12">
        <f t="shared" si="16"/>
        <v>65.662272441933453</v>
      </c>
      <c r="Z691" s="12">
        <f t="shared" si="17"/>
        <v>1204.3047665391969</v>
      </c>
      <c r="AA691" s="12">
        <f t="shared" si="18"/>
        <v>790.77387683615814</v>
      </c>
      <c r="AB691" s="12">
        <f t="shared" si="19"/>
        <v>125.97027858</v>
      </c>
      <c r="AC691" s="12">
        <f t="shared" si="20"/>
        <v>20</v>
      </c>
      <c r="AE691" s="13"/>
      <c r="AF691" s="13"/>
    </row>
    <row r="692" spans="1:32">
      <c r="A692" s="8" t="s">
        <v>2277</v>
      </c>
      <c r="B692" s="9" t="s">
        <v>41</v>
      </c>
      <c r="C692" s="9" t="s">
        <v>996</v>
      </c>
      <c r="D692" s="9" t="s">
        <v>2278</v>
      </c>
      <c r="E692" s="9"/>
      <c r="F692" s="9" t="str">
        <f ca="1">IFERROR(__xludf.DUMMYFUNCTION("IFS(
  REGEXMATCH(LOWER(VLOOKUP(A692, Data1_Raw_Slack!A:B, 2, FALSE)), ""news|weather""), ""News and Weather"", REGEXMATCH(LOWER(VLOOKUP(A692, Data1_Raw_Slack!A:B, 2, FALSE)), ""sports|ufc|nba|nfl|mlb|soccer|sports fans""), ""Sports"",
  REGEXMATCH(LOWER("&amp;"VLOOKUP(A692, Data1_Raw_Slack!A:B, 2, FALSE)), ""fashion|style|clothing|apparel|shoes|accessories|beauty|cosmetics|fashionistas""), ""Fashion and Beauty"",
  REGEXMATCH(LOWER(VLOOKUP(A692, Data1_Raw_Slack!A:B, 2, FALSE)), ""food|cooking|recipe|restaurant|"&amp;"snack|grocery|foodies""), ""Food"",
  REGEXMATCH(LOWER(VLOOKUP(A692, Data1_Raw_Slack!A:B, 2, FALSE)), ""travel|vacation|airline|hotel|trip|flights|travelers""), ""Travel"",
  REGEXMATCH(LOWER(VLOOKUP(A692, Data1_Raw_Slack!A:B, 2, FALSE)), ""fitness|workou"&amp;"t|gym|exercise|yoga|wellness|fitness enthusiasts""), ""Fitness"",
  REGEXMATCH(LOWER(VLOOKUP(A692, Data1_Raw_Slack!A:B, 2, FALSE)), ""health|medical|pharmacy|mental health|doctor|health-conscious""), ""Health"",
  REGEXMATCH(LOWER(VLOOKUP(A692, Data1_Raw_"&amp;"Slack!A:B, 2, FALSE)), ""pets|dogs|cats|animals|pet care|pet lovers""), ""Pets"",
  REGEXMATCH(LOWER(VLOOKUP(A692, Data1_Raw_Slack!A:B, 2, FALSE)), ""games|gaming|game|xbox|playstation|nintendo|gamers""), ""Gaming"",
  REGEXMATCH(LOWER(VLOOKUP(A692, Data1"&amp;"_Raw_Slack!A:B, 2, FALSE)), ""entertainment|movies|tv|netflix|streaming|celebrity|movie lovers|tv fans|hobb|photo|art""), ""Entertainment"",
  REGEXMATCH(LOWER(VLOOKUP(A692, Data1_Raw_Slack!A:B, 2, FALSE)), ""lifestyle|home|interior|decor|living|lifestyle"&amp;" enthusiasts""), ""Lifestyle"",
  REGEXMATCH(LOWER(VLOOKUP(A692, Data1_Raw_Slack!A:B, 2, FALSE)), ""financial|finance|investing|stocks|retirement|banking|credit|debt|loans|savings|personal finance|insurance|econ|ecom|business|retail|occupation|sale|job|ma"&amp;"rketing""), ""Finance"",
  REGEXMATCH(LOWER(VLOOKUP(A692, Data1_Raw_Slack!A:B, 2, FALSE)), ""auto|automotive""), ""Auto"",
  REGEXMATCH(LOWER(VLOOKUP(A692, Data1_Raw_Slack!A:B, 2, FALSE)), ""parenting|moms|dads|kids|toddlers|baby|parent|children""), ""Par"&amp;"enting"",
  REGEXMATCH(LOWER(VLOOKUP(A692, Data1_Raw_Slack!A:B, 2, FALSE)), ""education|students|learning|school|teachers|college|university|academics""), ""Education"",
  REGEXMATCH(LOWER(VLOOKUP(A692, Data1_Raw_Slack!A:B, 2, FALSE)), ""age|gender|dem"&amp;"ographic|family|household""), ""Demographics"",
  REGEXMATCH(LOWER(VLOOKUP(A692, Data1_Raw_Slack!A:B, 2, FALSE)), ""mortgage|real estate""), ""Real Estate"",REGEXMATCH(LOWER(VLOOKUP(A692, Data1_Raw_Slack!A:B, 2, FALSE)), ""technology|tech|gadgets|smartpho"&amp;"ne|electro|apps|devices|computing|ai|robots|software|computer|internet|tele|mobile|tablet""), ""Technology"", REGEXMATCH(LOWER(VLOOKUP(A692, Data1_Raw_Slack!A:B, 2, FALSE)), ""entertainment|purchas|movies|tv|netflix|streaming|celebrity|movie lovers|tv fan"&amp;"s|media|hobb|photo|art|shop""), ""Entertainment"", REGEXMATCH(LOWER(VLOOKUP(A692, Data1_Raw_Slack!A:B, 2, FALSE)), ""law|government|""), ""Law and Government"",
  TRUE, ""Other""
)"),"Lifestyle")</f>
        <v>Lifestyle</v>
      </c>
      <c r="G692" s="9"/>
      <c r="H692" s="9" t="s">
        <v>44</v>
      </c>
      <c r="I692" s="9" t="s">
        <v>2157</v>
      </c>
      <c r="J692" s="9" t="s">
        <v>80</v>
      </c>
      <c r="K692" s="9" t="s">
        <v>274</v>
      </c>
      <c r="L692" s="9" t="s">
        <v>48</v>
      </c>
      <c r="M692" s="10" t="s">
        <v>243</v>
      </c>
      <c r="N692" s="9" t="str">
        <f ca="1">IFERROR(__xludf.DUMMYFUNCTION("REGEXEXTRACT(LOWER(M692), ""([a-z0-9\-]+)\.(?:co|net|org|io|gg)"")"),"poshland")</f>
        <v>poshland</v>
      </c>
      <c r="O692" s="9" t="s">
        <v>186</v>
      </c>
      <c r="P692" s="9" t="s">
        <v>64</v>
      </c>
      <c r="Q692" s="9">
        <v>123430</v>
      </c>
      <c r="R692" s="9">
        <v>360</v>
      </c>
      <c r="S692" s="9">
        <v>45294</v>
      </c>
      <c r="T692" s="9">
        <v>77646</v>
      </c>
      <c r="U692" s="9">
        <v>15</v>
      </c>
      <c r="V692" s="11">
        <v>6808.5625840000002</v>
      </c>
      <c r="W692" s="12">
        <f t="shared" si="14"/>
        <v>453.90417226666671</v>
      </c>
      <c r="X692" s="12">
        <f t="shared" si="15"/>
        <v>0.29166329093413274</v>
      </c>
      <c r="Y692" s="12">
        <f t="shared" si="16"/>
        <v>36.696103054362794</v>
      </c>
      <c r="Z692" s="12">
        <f t="shared" si="17"/>
        <v>150.31930463196008</v>
      </c>
      <c r="AA692" s="12">
        <f t="shared" si="18"/>
        <v>55.161326938345617</v>
      </c>
      <c r="AB692" s="12">
        <f t="shared" si="19"/>
        <v>18.912673844444445</v>
      </c>
      <c r="AC692" s="12">
        <f t="shared" si="20"/>
        <v>4.1666666666666661</v>
      </c>
      <c r="AE692" s="13"/>
      <c r="AF692" s="13"/>
    </row>
    <row r="693" spans="1:32">
      <c r="A693" s="8" t="s">
        <v>2279</v>
      </c>
      <c r="B693" s="9" t="s">
        <v>52</v>
      </c>
      <c r="C693" s="9" t="s">
        <v>224</v>
      </c>
      <c r="D693" s="9" t="s">
        <v>2280</v>
      </c>
      <c r="E693" s="9"/>
      <c r="F693" s="9" t="str">
        <f ca="1">IFERROR(__xludf.DUMMYFUNCTION("IFS(
  REGEXMATCH(LOWER(VLOOKUP(A693, Data1_Raw_Slack!A:B, 2, FALSE)), ""news|weather""), ""News and Weather"", REGEXMATCH(LOWER(VLOOKUP(A693, Data1_Raw_Slack!A:B, 2, FALSE)), ""sports|ufc|nba|nfl|mlb|soccer|sports fans""), ""Sports"",
  REGEXMATCH(LOWER("&amp;"VLOOKUP(A693, Data1_Raw_Slack!A:B, 2, FALSE)), ""fashion|style|clothing|apparel|shoes|accessories|beauty|cosmetics|fashionistas""), ""Fashion and Beauty"",
  REGEXMATCH(LOWER(VLOOKUP(A693, Data1_Raw_Slack!A:B, 2, FALSE)), ""food|cooking|recipe|restaurant|"&amp;"snack|grocery|foodies""), ""Food"",
  REGEXMATCH(LOWER(VLOOKUP(A693, Data1_Raw_Slack!A:B, 2, FALSE)), ""travel|vacation|airline|hotel|trip|flights|travelers""), ""Travel"",
  REGEXMATCH(LOWER(VLOOKUP(A693, Data1_Raw_Slack!A:B, 2, FALSE)), ""fitness|workou"&amp;"t|gym|exercise|yoga|wellness|fitness enthusiasts""), ""Fitness"",
  REGEXMATCH(LOWER(VLOOKUP(A693, Data1_Raw_Slack!A:B, 2, FALSE)), ""health|medical|pharmacy|mental health|doctor|health-conscious""), ""Health"",
  REGEXMATCH(LOWER(VLOOKUP(A693, Data1_Raw_"&amp;"Slack!A:B, 2, FALSE)), ""pets|dogs|cats|animals|pet care|pet lovers""), ""Pets"",
  REGEXMATCH(LOWER(VLOOKUP(A693, Data1_Raw_Slack!A:B, 2, FALSE)), ""games|gaming|game|xbox|playstation|nintendo|gamers""), ""Gaming"",
  REGEXMATCH(LOWER(VLOOKUP(A693, Data1"&amp;"_Raw_Slack!A:B, 2, FALSE)), ""entertainment|movies|tv|netflix|streaming|celebrity|movie lovers|tv fans|hobb|photo|art""), ""Entertainment"",
  REGEXMATCH(LOWER(VLOOKUP(A693, Data1_Raw_Slack!A:B, 2, FALSE)), ""lifestyle|home|interior|decor|living|lifestyle"&amp;" enthusiasts""), ""Lifestyle"",
  REGEXMATCH(LOWER(VLOOKUP(A693, Data1_Raw_Slack!A:B, 2, FALSE)), ""financial|finance|investing|stocks|retirement|banking|credit|debt|loans|savings|personal finance|insurance|econ|ecom|business|retail|occupation|sale|job|ma"&amp;"rketing""), ""Finance"",
  REGEXMATCH(LOWER(VLOOKUP(A693, Data1_Raw_Slack!A:B, 2, FALSE)), ""auto|automotive""), ""Auto"",
  REGEXMATCH(LOWER(VLOOKUP(A693, Data1_Raw_Slack!A:B, 2, FALSE)), ""parenting|moms|dads|kids|toddlers|baby|parent|children""), ""Par"&amp;"enting"",
  REGEXMATCH(LOWER(VLOOKUP(A693, Data1_Raw_Slack!A:B, 2, FALSE)), ""education|students|learning|school|teachers|college|university|academics""), ""Education"",
  REGEXMATCH(LOWER(VLOOKUP(A693, Data1_Raw_Slack!A:B, 2, FALSE)), ""age|gender|dem"&amp;"ographic|family|household""), ""Demographics"",
  REGEXMATCH(LOWER(VLOOKUP(A693, Data1_Raw_Slack!A:B, 2, FALSE)), ""mortgage|real estate""), ""Real Estate"",REGEXMATCH(LOWER(VLOOKUP(A693, Data1_Raw_Slack!A:B, 2, FALSE)), ""technology|tech|gadgets|smartpho"&amp;"ne|electro|apps|devices|computing|ai|robots|software|computer|internet|tele|mobile|tablet""), ""Technology"", REGEXMATCH(LOWER(VLOOKUP(A693, Data1_Raw_Slack!A:B, 2, FALSE)), ""entertainment|purchas|movies|tv|netflix|streaming|celebrity|movie lovers|tv fan"&amp;"s|media|hobb|photo|art|shop""), ""Entertainment"", REGEXMATCH(LOWER(VLOOKUP(A693, Data1_Raw_Slack!A:B, 2, FALSE)), ""law|government|""), ""Law and Government"",
  TRUE, ""Other""
)"),"Finance")</f>
        <v>Finance</v>
      </c>
      <c r="G693" s="9" t="s">
        <v>127</v>
      </c>
      <c r="H693" s="9" t="s">
        <v>44</v>
      </c>
      <c r="I693" s="9" t="s">
        <v>462</v>
      </c>
      <c r="J693" s="9" t="s">
        <v>80</v>
      </c>
      <c r="K693" s="9" t="s">
        <v>56</v>
      </c>
      <c r="L693" s="9" t="s">
        <v>57</v>
      </c>
      <c r="M693" s="10" t="s">
        <v>2281</v>
      </c>
      <c r="N693" s="9" t="str">
        <f ca="1">IFERROR(__xludf.DUMMYFUNCTION("REGEXEXTRACT(LOWER(M693), ""([a-z0-9\-]+)\.(?:co|net|org|io|gg)"")"),"wsj")</f>
        <v>wsj</v>
      </c>
      <c r="O693" s="9" t="s">
        <v>50</v>
      </c>
      <c r="P693" s="9" t="s">
        <v>75</v>
      </c>
      <c r="Q693" s="9">
        <v>20459</v>
      </c>
      <c r="R693" s="9">
        <v>40</v>
      </c>
      <c r="S693" s="9">
        <v>12668</v>
      </c>
      <c r="T693" s="9">
        <v>18613</v>
      </c>
      <c r="U693" s="9">
        <v>4</v>
      </c>
      <c r="V693" s="11">
        <v>1842.6065129999999</v>
      </c>
      <c r="W693" s="12">
        <f t="shared" si="14"/>
        <v>460.65162824999999</v>
      </c>
      <c r="X693" s="12">
        <f t="shared" si="15"/>
        <v>0.1955129771738599</v>
      </c>
      <c r="Y693" s="12">
        <f t="shared" si="16"/>
        <v>61.91895987096143</v>
      </c>
      <c r="Z693" s="12">
        <f t="shared" si="17"/>
        <v>145.45362432901797</v>
      </c>
      <c r="AA693" s="12">
        <f t="shared" si="18"/>
        <v>90.063371279143652</v>
      </c>
      <c r="AB693" s="12">
        <f t="shared" si="19"/>
        <v>46.065162825000002</v>
      </c>
      <c r="AC693" s="12">
        <f t="shared" si="20"/>
        <v>10</v>
      </c>
      <c r="AE693" s="13"/>
      <c r="AF693" s="13"/>
    </row>
    <row r="694" spans="1:32">
      <c r="A694" s="8" t="s">
        <v>2282</v>
      </c>
      <c r="B694" s="9" t="s">
        <v>144</v>
      </c>
      <c r="C694" s="9" t="s">
        <v>2283</v>
      </c>
      <c r="D694" s="9"/>
      <c r="E694" s="9"/>
      <c r="F694" s="9" t="str">
        <f ca="1">IFERROR(__xludf.DUMMYFUNCTION("IFS(
  REGEXMATCH(LOWER(VLOOKUP(A694, Data1_Raw_Slack!A:B, 2, FALSE)), ""news|weather""), ""News and Weather"", REGEXMATCH(LOWER(VLOOKUP(A694, Data1_Raw_Slack!A:B, 2, FALSE)), ""sports|ufc|nba|nfl|mlb|soccer|sports fans""), ""Sports"",
  REGEXMATCH(LOWER("&amp;"VLOOKUP(A694, Data1_Raw_Slack!A:B, 2, FALSE)), ""fashion|style|clothing|apparel|shoes|accessories|beauty|cosmetics|fashionistas""), ""Fashion and Beauty"",
  REGEXMATCH(LOWER(VLOOKUP(A694, Data1_Raw_Slack!A:B, 2, FALSE)), ""food|cooking|recipe|restaurant|"&amp;"snack|grocery|foodies""), ""Food"",
  REGEXMATCH(LOWER(VLOOKUP(A694, Data1_Raw_Slack!A:B, 2, FALSE)), ""travel|vacation|airline|hotel|trip|flights|travelers""), ""Travel"",
  REGEXMATCH(LOWER(VLOOKUP(A694, Data1_Raw_Slack!A:B, 2, FALSE)), ""fitness|workou"&amp;"t|gym|exercise|yoga|wellness|fitness enthusiasts""), ""Fitness"",
  REGEXMATCH(LOWER(VLOOKUP(A694, Data1_Raw_Slack!A:B, 2, FALSE)), ""health|medical|pharmacy|mental health|doctor|health-conscious""), ""Health"",
  REGEXMATCH(LOWER(VLOOKUP(A694, Data1_Raw_"&amp;"Slack!A:B, 2, FALSE)), ""pets|dogs|cats|animals|pet care|pet lovers""), ""Pets"",
  REGEXMATCH(LOWER(VLOOKUP(A694, Data1_Raw_Slack!A:B, 2, FALSE)), ""games|gaming|game|xbox|playstation|nintendo|gamers""), ""Gaming"",
  REGEXMATCH(LOWER(VLOOKUP(A694, Data1"&amp;"_Raw_Slack!A:B, 2, FALSE)), ""entertainment|movies|tv|netflix|streaming|celebrity|movie lovers|tv fans|hobb|photo|art""), ""Entertainment"",
  REGEXMATCH(LOWER(VLOOKUP(A694, Data1_Raw_Slack!A:B, 2, FALSE)), ""lifestyle|home|interior|decor|living|lifestyle"&amp;" enthusiasts""), ""Lifestyle"",
  REGEXMATCH(LOWER(VLOOKUP(A694, Data1_Raw_Slack!A:B, 2, FALSE)), ""financial|finance|investing|stocks|retirement|banking|credit|debt|loans|savings|personal finance|insurance|econ|ecom|business|retail|occupation|sale|job|ma"&amp;"rketing""), ""Finance"",
  REGEXMATCH(LOWER(VLOOKUP(A694, Data1_Raw_Slack!A:B, 2, FALSE)), ""auto|automotive""), ""Auto"",
  REGEXMATCH(LOWER(VLOOKUP(A694, Data1_Raw_Slack!A:B, 2, FALSE)), ""parenting|moms|dads|kids|toddlers|baby|parent|children""), ""Par"&amp;"enting"",
  REGEXMATCH(LOWER(VLOOKUP(A694, Data1_Raw_Slack!A:B, 2, FALSE)), ""education|students|learning|school|teachers|college|university|academics""), ""Education"",
  REGEXMATCH(LOWER(VLOOKUP(A694, Data1_Raw_Slack!A:B, 2, FALSE)), ""age|gender|dem"&amp;"ographic|family|household""), ""Demographics"",
  REGEXMATCH(LOWER(VLOOKUP(A694, Data1_Raw_Slack!A:B, 2, FALSE)), ""mortgage|real estate""), ""Real Estate"",REGEXMATCH(LOWER(VLOOKUP(A694, Data1_Raw_Slack!A:B, 2, FALSE)), ""technology|tech|gadgets|smartpho"&amp;"ne|electro|apps|devices|computing|ai|robots|software|computer|internet|tele|mobile|tablet""), ""Technology"", REGEXMATCH(LOWER(VLOOKUP(A694, Data1_Raw_Slack!A:B, 2, FALSE)), ""entertainment|purchas|movies|tv|netflix|streaming|celebrity|movie lovers|tv fan"&amp;"s|media|hobb|photo|art|shop""), ""Entertainment"", REGEXMATCH(LOWER(VLOOKUP(A694, Data1_Raw_Slack!A:B, 2, FALSE)), ""law|government|""), ""Law and Government"",
  TRUE, ""Other""
)"),"News and Weather")</f>
        <v>News and Weather</v>
      </c>
      <c r="G694" s="9"/>
      <c r="H694" s="9" t="s">
        <v>32</v>
      </c>
      <c r="I694" s="9" t="s">
        <v>2232</v>
      </c>
      <c r="J694" s="9" t="s">
        <v>34</v>
      </c>
      <c r="K694" s="9" t="s">
        <v>236</v>
      </c>
      <c r="L694" s="9" t="s">
        <v>82</v>
      </c>
      <c r="M694" s="10" t="s">
        <v>229</v>
      </c>
      <c r="N694" s="9" t="str">
        <f ca="1">IFERROR(__xludf.DUMMYFUNCTION("REGEXEXTRACT(LOWER(M694), ""([a-z0-9\-]+)\.(?:co|net|org|io|gg)"")"),"msn")</f>
        <v>msn</v>
      </c>
      <c r="O694" s="9" t="s">
        <v>50</v>
      </c>
      <c r="P694" s="9" t="s">
        <v>39</v>
      </c>
      <c r="Q694" s="9">
        <v>80456</v>
      </c>
      <c r="R694" s="9">
        <v>204</v>
      </c>
      <c r="S694" s="9">
        <v>46039</v>
      </c>
      <c r="T694" s="9">
        <v>65383</v>
      </c>
      <c r="U694" s="9">
        <v>3</v>
      </c>
      <c r="V694" s="11">
        <v>2039.848792</v>
      </c>
      <c r="W694" s="12">
        <f t="shared" si="14"/>
        <v>679.94959733333337</v>
      </c>
      <c r="X694" s="12">
        <f t="shared" si="15"/>
        <v>0.25355473799343736</v>
      </c>
      <c r="Y694" s="12">
        <f t="shared" si="16"/>
        <v>57.222581286666006</v>
      </c>
      <c r="Z694" s="12">
        <f t="shared" si="17"/>
        <v>44.306974347835528</v>
      </c>
      <c r="AA694" s="12">
        <f t="shared" si="18"/>
        <v>25.353594411852441</v>
      </c>
      <c r="AB694" s="12">
        <f t="shared" si="19"/>
        <v>9.9992587843137262</v>
      </c>
      <c r="AC694" s="12">
        <f t="shared" si="20"/>
        <v>1.4705882352941175</v>
      </c>
      <c r="AE694" s="13"/>
      <c r="AF694" s="13"/>
    </row>
    <row r="695" spans="1:32">
      <c r="A695" s="8" t="s">
        <v>2284</v>
      </c>
      <c r="B695" s="9" t="s">
        <v>41</v>
      </c>
      <c r="C695" s="9" t="s">
        <v>120</v>
      </c>
      <c r="D695" s="9" t="s">
        <v>762</v>
      </c>
      <c r="E695" s="9"/>
      <c r="F695" s="9" t="str">
        <f ca="1">IFERROR(__xludf.DUMMYFUNCTION("IFS(
  REGEXMATCH(LOWER(VLOOKUP(A695, Data1_Raw_Slack!A:B, 2, FALSE)), ""news|weather""), ""News and Weather"", REGEXMATCH(LOWER(VLOOKUP(A695, Data1_Raw_Slack!A:B, 2, FALSE)), ""sports|ufc|nba|nfl|mlb|soccer|sports fans""), ""Sports"",
  REGEXMATCH(LOWER("&amp;"VLOOKUP(A695, Data1_Raw_Slack!A:B, 2, FALSE)), ""fashion|style|clothing|apparel|shoes|accessories|beauty|cosmetics|fashionistas""), ""Fashion and Beauty"",
  REGEXMATCH(LOWER(VLOOKUP(A695, Data1_Raw_Slack!A:B, 2, FALSE)), ""food|cooking|recipe|restaurant|"&amp;"snack|grocery|foodies""), ""Food"",
  REGEXMATCH(LOWER(VLOOKUP(A695, Data1_Raw_Slack!A:B, 2, FALSE)), ""travel|vacation|airline|hotel|trip|flights|travelers""), ""Travel"",
  REGEXMATCH(LOWER(VLOOKUP(A695, Data1_Raw_Slack!A:B, 2, FALSE)), ""fitness|workou"&amp;"t|gym|exercise|yoga|wellness|fitness enthusiasts""), ""Fitness"",
  REGEXMATCH(LOWER(VLOOKUP(A695, Data1_Raw_Slack!A:B, 2, FALSE)), ""health|medical|pharmacy|mental health|doctor|health-conscious""), ""Health"",
  REGEXMATCH(LOWER(VLOOKUP(A695, Data1_Raw_"&amp;"Slack!A:B, 2, FALSE)), ""pets|dogs|cats|animals|pet care|pet lovers""), ""Pets"",
  REGEXMATCH(LOWER(VLOOKUP(A695, Data1_Raw_Slack!A:B, 2, FALSE)), ""games|gaming|game|xbox|playstation|nintendo|gamers""), ""Gaming"",
  REGEXMATCH(LOWER(VLOOKUP(A695, Data1"&amp;"_Raw_Slack!A:B, 2, FALSE)), ""entertainment|movies|tv|netflix|streaming|celebrity|movie lovers|tv fans|hobb|photo|art""), ""Entertainment"",
  REGEXMATCH(LOWER(VLOOKUP(A695, Data1_Raw_Slack!A:B, 2, FALSE)), ""lifestyle|home|interior|decor|living|lifestyle"&amp;" enthusiasts""), ""Lifestyle"",
  REGEXMATCH(LOWER(VLOOKUP(A695, Data1_Raw_Slack!A:B, 2, FALSE)), ""financial|finance|investing|stocks|retirement|banking|credit|debt|loans|savings|personal finance|insurance|econ|ecom|business|retail|occupation|sale|job|ma"&amp;"rketing""), ""Finance"",
  REGEXMATCH(LOWER(VLOOKUP(A695, Data1_Raw_Slack!A:B, 2, FALSE)), ""auto|automotive""), ""Auto"",
  REGEXMATCH(LOWER(VLOOKUP(A695, Data1_Raw_Slack!A:B, 2, FALSE)), ""parenting|moms|dads|kids|toddlers|baby|parent|children""), ""Par"&amp;"enting"",
  REGEXMATCH(LOWER(VLOOKUP(A695, Data1_Raw_Slack!A:B, 2, FALSE)), ""education|students|learning|school|teachers|college|university|academics""), ""Education"",
  REGEXMATCH(LOWER(VLOOKUP(A695, Data1_Raw_Slack!A:B, 2, FALSE)), ""age|gender|dem"&amp;"ographic|family|household""), ""Demographics"",
  REGEXMATCH(LOWER(VLOOKUP(A695, Data1_Raw_Slack!A:B, 2, FALSE)), ""mortgage|real estate""), ""Real Estate"",REGEXMATCH(LOWER(VLOOKUP(A695, Data1_Raw_Slack!A:B, 2, FALSE)), ""technology|tech|gadgets|smartpho"&amp;"ne|electro|apps|devices|computing|ai|robots|software|computer|internet|tele|mobile|tablet""), ""Technology"", REGEXMATCH(LOWER(VLOOKUP(A695, Data1_Raw_Slack!A:B, 2, FALSE)), ""entertainment|purchas|movies|tv|netflix|streaming|celebrity|movie lovers|tv fan"&amp;"s|media|hobb|photo|art|shop""), ""Entertainment"", REGEXMATCH(LOWER(VLOOKUP(A695, Data1_Raw_Slack!A:B, 2, FALSE)), ""law|government|""), ""Law and Government"",
  TRUE, ""Other""
)"),"Fashion and Beauty")</f>
        <v>Fashion and Beauty</v>
      </c>
      <c r="G695" s="9" t="s">
        <v>122</v>
      </c>
      <c r="H695" s="9" t="s">
        <v>44</v>
      </c>
      <c r="I695" s="9" t="s">
        <v>1084</v>
      </c>
      <c r="J695" s="9" t="s">
        <v>80</v>
      </c>
      <c r="K695" s="9" t="s">
        <v>142</v>
      </c>
      <c r="L695" s="9" t="s">
        <v>72</v>
      </c>
      <c r="M695" s="10" t="s">
        <v>1257</v>
      </c>
      <c r="N695" s="9" t="str">
        <f ca="1">IFERROR(__xludf.DUMMYFUNCTION("REGEXEXTRACT(LOWER(M695), ""([a-z0-9\-]+)\.(?:co|net|org|io|gg)"")"),"pandora")</f>
        <v>pandora</v>
      </c>
      <c r="O695" s="9" t="s">
        <v>109</v>
      </c>
      <c r="P695" s="9" t="s">
        <v>39</v>
      </c>
      <c r="Q695" s="9">
        <v>58477</v>
      </c>
      <c r="R695" s="9">
        <v>135</v>
      </c>
      <c r="S695" s="9">
        <v>43554</v>
      </c>
      <c r="T695" s="9">
        <v>56558</v>
      </c>
      <c r="U695" s="9">
        <v>19</v>
      </c>
      <c r="V695" s="11">
        <v>5247.6238830000002</v>
      </c>
      <c r="W695" s="12">
        <f t="shared" si="14"/>
        <v>276.19073068421056</v>
      </c>
      <c r="X695" s="12">
        <f t="shared" si="15"/>
        <v>0.23085999623783712</v>
      </c>
      <c r="Y695" s="12">
        <f t="shared" si="16"/>
        <v>74.480565008464879</v>
      </c>
      <c r="Z695" s="12">
        <f t="shared" si="17"/>
        <v>120.48546363135419</v>
      </c>
      <c r="AA695" s="12">
        <f t="shared" si="18"/>
        <v>89.738254065701042</v>
      </c>
      <c r="AB695" s="12">
        <f t="shared" si="19"/>
        <v>38.871288022222224</v>
      </c>
      <c r="AC695" s="12">
        <f t="shared" si="20"/>
        <v>14.074074074074074</v>
      </c>
      <c r="AE695" s="13"/>
      <c r="AF695" s="13"/>
    </row>
    <row r="696" spans="1:32">
      <c r="A696" s="8" t="s">
        <v>2285</v>
      </c>
      <c r="B696" s="9" t="s">
        <v>66</v>
      </c>
      <c r="C696" s="9" t="s">
        <v>85</v>
      </c>
      <c r="D696" s="9" t="s">
        <v>2286</v>
      </c>
      <c r="E696" s="9"/>
      <c r="F696" s="9" t="str">
        <f ca="1">IFERROR(__xludf.DUMMYFUNCTION("IFS(
  REGEXMATCH(LOWER(VLOOKUP(A696, Data1_Raw_Slack!A:B, 2, FALSE)), ""news|weather""), ""News and Weather"", REGEXMATCH(LOWER(VLOOKUP(A696, Data1_Raw_Slack!A:B, 2, FALSE)), ""sports|ufc|nba|nfl|mlb|soccer|sports fans""), ""Sports"",
  REGEXMATCH(LOWER("&amp;"VLOOKUP(A696, Data1_Raw_Slack!A:B, 2, FALSE)), ""fashion|style|clothing|apparel|shoes|accessories|beauty|cosmetics|fashionistas""), ""Fashion and Beauty"",
  REGEXMATCH(LOWER(VLOOKUP(A696, Data1_Raw_Slack!A:B, 2, FALSE)), ""food|cooking|recipe|restaurant|"&amp;"snack|grocery|foodies""), ""Food"",
  REGEXMATCH(LOWER(VLOOKUP(A696, Data1_Raw_Slack!A:B, 2, FALSE)), ""travel|vacation|airline|hotel|trip|flights|travelers""), ""Travel"",
  REGEXMATCH(LOWER(VLOOKUP(A696, Data1_Raw_Slack!A:B, 2, FALSE)), ""fitness|workou"&amp;"t|gym|exercise|yoga|wellness|fitness enthusiasts""), ""Fitness"",
  REGEXMATCH(LOWER(VLOOKUP(A696, Data1_Raw_Slack!A:B, 2, FALSE)), ""health|medical|pharmacy|mental health|doctor|health-conscious""), ""Health"",
  REGEXMATCH(LOWER(VLOOKUP(A696, Data1_Raw_"&amp;"Slack!A:B, 2, FALSE)), ""pets|dogs|cats|animals|pet care|pet lovers""), ""Pets"",
  REGEXMATCH(LOWER(VLOOKUP(A696, Data1_Raw_Slack!A:B, 2, FALSE)), ""games|gaming|game|xbox|playstation|nintendo|gamers""), ""Gaming"",
  REGEXMATCH(LOWER(VLOOKUP(A696, Data1"&amp;"_Raw_Slack!A:B, 2, FALSE)), ""entertainment|movies|tv|netflix|streaming|celebrity|movie lovers|tv fans|hobb|photo|art""), ""Entertainment"",
  REGEXMATCH(LOWER(VLOOKUP(A696, Data1_Raw_Slack!A:B, 2, FALSE)), ""lifestyle|home|interior|decor|living|lifestyle"&amp;" enthusiasts""), ""Lifestyle"",
  REGEXMATCH(LOWER(VLOOKUP(A696, Data1_Raw_Slack!A:B, 2, FALSE)), ""financial|finance|investing|stocks|retirement|banking|credit|debt|loans|savings|personal finance|insurance|econ|ecom|business|retail|occupation|sale|job|ma"&amp;"rketing""), ""Finance"",
  REGEXMATCH(LOWER(VLOOKUP(A696, Data1_Raw_Slack!A:B, 2, FALSE)), ""auto|automotive""), ""Auto"",
  REGEXMATCH(LOWER(VLOOKUP(A696, Data1_Raw_Slack!A:B, 2, FALSE)), ""parenting|moms|dads|kids|toddlers|baby|parent|children""), ""Par"&amp;"enting"",
  REGEXMATCH(LOWER(VLOOKUP(A696, Data1_Raw_Slack!A:B, 2, FALSE)), ""education|students|learning|school|teachers|college|university|academics""), ""Education"",
  REGEXMATCH(LOWER(VLOOKUP(A696, Data1_Raw_Slack!A:B, 2, FALSE)), ""age|gender|dem"&amp;"ographic|family|household""), ""Demographics"",
  REGEXMATCH(LOWER(VLOOKUP(A696, Data1_Raw_Slack!A:B, 2, FALSE)), ""mortgage|real estate""), ""Real Estate"",REGEXMATCH(LOWER(VLOOKUP(A696, Data1_Raw_Slack!A:B, 2, FALSE)), ""technology|tech|gadgets|smartpho"&amp;"ne|electro|apps|devices|computing|ai|robots|software|computer|internet|tele|mobile|tablet""), ""Technology"", REGEXMATCH(LOWER(VLOOKUP(A696, Data1_Raw_Slack!A:B, 2, FALSE)), ""entertainment|purchas|movies|tv|netflix|streaming|celebrity|movie lovers|tv fan"&amp;"s|media|hobb|photo|art|shop""), ""Entertainment"", REGEXMATCH(LOWER(VLOOKUP(A696, Data1_Raw_Slack!A:B, 2, FALSE)), ""law|government|""), ""Law and Government"",
  TRUE, ""Other""
)"),"Travel")</f>
        <v>Travel</v>
      </c>
      <c r="G696" s="9" t="s">
        <v>85</v>
      </c>
      <c r="H696" s="9" t="s">
        <v>44</v>
      </c>
      <c r="I696" s="9" t="s">
        <v>2287</v>
      </c>
      <c r="J696" s="9" t="s">
        <v>62</v>
      </c>
      <c r="K696" s="9" t="s">
        <v>236</v>
      </c>
      <c r="L696" s="9" t="s">
        <v>82</v>
      </c>
      <c r="M696" s="10" t="s">
        <v>430</v>
      </c>
      <c r="N696" s="9" t="str">
        <f ca="1">IFERROR(__xludf.DUMMYFUNCTION("REGEXEXTRACT(LOWER(M696), ""([a-z0-9\-]+)\.(?:co|net|org|io|gg)"")"),"biblegateway")</f>
        <v>biblegateway</v>
      </c>
      <c r="O696" s="9" t="s">
        <v>131</v>
      </c>
      <c r="P696" s="9" t="s">
        <v>39</v>
      </c>
      <c r="Q696" s="9">
        <v>210096</v>
      </c>
      <c r="R696" s="9">
        <v>590</v>
      </c>
      <c r="S696" s="9">
        <v>90928</v>
      </c>
      <c r="T696" s="9">
        <v>184823</v>
      </c>
      <c r="U696" s="9">
        <v>4</v>
      </c>
      <c r="V696" s="11">
        <v>2027.431388</v>
      </c>
      <c r="W696" s="12">
        <f t="shared" si="14"/>
        <v>506.85784699999999</v>
      </c>
      <c r="X696" s="12">
        <f t="shared" si="15"/>
        <v>0.2808240042647171</v>
      </c>
      <c r="Y696" s="12">
        <f t="shared" si="16"/>
        <v>43.279262813190158</v>
      </c>
      <c r="Z696" s="12">
        <f t="shared" si="17"/>
        <v>22.297107469646313</v>
      </c>
      <c r="AA696" s="12">
        <f t="shared" si="18"/>
        <v>9.6500237415276811</v>
      </c>
      <c r="AB696" s="12">
        <f t="shared" si="19"/>
        <v>3.4363243864406781</v>
      </c>
      <c r="AC696" s="12">
        <f t="shared" si="20"/>
        <v>0.67796610169491522</v>
      </c>
      <c r="AE696" s="13"/>
      <c r="AF696" s="13"/>
    </row>
    <row r="697" spans="1:32">
      <c r="A697" s="8" t="s">
        <v>2288</v>
      </c>
      <c r="B697" s="9" t="s">
        <v>41</v>
      </c>
      <c r="C697" s="9" t="s">
        <v>127</v>
      </c>
      <c r="D697" s="9" t="s">
        <v>448</v>
      </c>
      <c r="E697" s="9" t="s">
        <v>448</v>
      </c>
      <c r="F697" s="9" t="str">
        <f ca="1">IFERROR(__xludf.DUMMYFUNCTION("IFS(
  REGEXMATCH(LOWER(VLOOKUP(A697, Data1_Raw_Slack!A:B, 2, FALSE)), ""news|weather""), ""News and Weather"", REGEXMATCH(LOWER(VLOOKUP(A697, Data1_Raw_Slack!A:B, 2, FALSE)), ""sports|ufc|nba|nfl|mlb|soccer|sports fans""), ""Sports"",
  REGEXMATCH(LOWER("&amp;"VLOOKUP(A697, Data1_Raw_Slack!A:B, 2, FALSE)), ""fashion|style|clothing|apparel|shoes|accessories|beauty|cosmetics|fashionistas""), ""Fashion and Beauty"",
  REGEXMATCH(LOWER(VLOOKUP(A697, Data1_Raw_Slack!A:B, 2, FALSE)), ""food|cooking|recipe|restaurant|"&amp;"snack|grocery|foodies""), ""Food"",
  REGEXMATCH(LOWER(VLOOKUP(A697, Data1_Raw_Slack!A:B, 2, FALSE)), ""travel|vacation|airline|hotel|trip|flights|travelers""), ""Travel"",
  REGEXMATCH(LOWER(VLOOKUP(A697, Data1_Raw_Slack!A:B, 2, FALSE)), ""fitness|workou"&amp;"t|gym|exercise|yoga|wellness|fitness enthusiasts""), ""Fitness"",
  REGEXMATCH(LOWER(VLOOKUP(A697, Data1_Raw_Slack!A:B, 2, FALSE)), ""health|medical|pharmacy|mental health|doctor|health-conscious""), ""Health"",
  REGEXMATCH(LOWER(VLOOKUP(A697, Data1_Raw_"&amp;"Slack!A:B, 2, FALSE)), ""pets|dogs|cats|animals|pet care|pet lovers""), ""Pets"",
  REGEXMATCH(LOWER(VLOOKUP(A697, Data1_Raw_Slack!A:B, 2, FALSE)), ""games|gaming|game|xbox|playstation|nintendo|gamers""), ""Gaming"",
  REGEXMATCH(LOWER(VLOOKUP(A697, Data1"&amp;"_Raw_Slack!A:B, 2, FALSE)), ""entertainment|movies|tv|netflix|streaming|celebrity|movie lovers|tv fans|hobb|photo|art""), ""Entertainment"",
  REGEXMATCH(LOWER(VLOOKUP(A697, Data1_Raw_Slack!A:B, 2, FALSE)), ""lifestyle|home|interior|decor|living|lifestyle"&amp;" enthusiasts""), ""Lifestyle"",
  REGEXMATCH(LOWER(VLOOKUP(A697, Data1_Raw_Slack!A:B, 2, FALSE)), ""financial|finance|investing|stocks|retirement|banking|credit|debt|loans|savings|personal finance|insurance|econ|ecom|business|retail|occupation|sale|job|ma"&amp;"rketing""), ""Finance"",
  REGEXMATCH(LOWER(VLOOKUP(A697, Data1_Raw_Slack!A:B, 2, FALSE)), ""auto|automotive""), ""Auto"",
  REGEXMATCH(LOWER(VLOOKUP(A697, Data1_Raw_Slack!A:B, 2, FALSE)), ""parenting|moms|dads|kids|toddlers|baby|parent|children""), ""Par"&amp;"enting"",
  REGEXMATCH(LOWER(VLOOKUP(A697, Data1_Raw_Slack!A:B, 2, FALSE)), ""education|students|learning|school|teachers|college|university|academics""), ""Education"",
  REGEXMATCH(LOWER(VLOOKUP(A697, Data1_Raw_Slack!A:B, 2, FALSE)), ""age|gender|dem"&amp;"ographic|family|household""), ""Demographics"",
  REGEXMATCH(LOWER(VLOOKUP(A697, Data1_Raw_Slack!A:B, 2, FALSE)), ""mortgage|real estate""), ""Real Estate"",REGEXMATCH(LOWER(VLOOKUP(A697, Data1_Raw_Slack!A:B, 2, FALSE)), ""technology|tech|gadgets|smartpho"&amp;"ne|electro|apps|devices|computing|ai|robots|software|computer|internet|tele|mobile|tablet""), ""Technology"", REGEXMATCH(LOWER(VLOOKUP(A697, Data1_Raw_Slack!A:B, 2, FALSE)), ""entertainment|purchas|movies|tv|netflix|streaming|celebrity|movie lovers|tv fan"&amp;"s|media|hobb|photo|art|shop""), ""Entertainment"", REGEXMATCH(LOWER(VLOOKUP(A697, Data1_Raw_Slack!A:B, 2, FALSE)), ""law|government|""), ""Law and Government"",
  TRUE, ""Other""
)"),"Finance")</f>
        <v>Finance</v>
      </c>
      <c r="G697" s="9" t="s">
        <v>127</v>
      </c>
      <c r="H697" s="9" t="s">
        <v>32</v>
      </c>
      <c r="I697" s="9" t="s">
        <v>1638</v>
      </c>
      <c r="J697" s="9" t="s">
        <v>62</v>
      </c>
      <c r="K697" s="9" t="s">
        <v>236</v>
      </c>
      <c r="L697" s="9" t="s">
        <v>82</v>
      </c>
      <c r="M697" s="10" t="s">
        <v>49</v>
      </c>
      <c r="N697" s="9" t="str">
        <f ca="1">IFERROR(__xludf.DUMMYFUNCTION("REGEXEXTRACT(LOWER(M697), ""([a-z0-9\-]+)\.(?:co|net|org|io|gg)"")"),"yahoo")</f>
        <v>yahoo</v>
      </c>
      <c r="O697" s="9" t="s">
        <v>109</v>
      </c>
      <c r="P697" s="9" t="s">
        <v>39</v>
      </c>
      <c r="Q697" s="9">
        <v>1323451</v>
      </c>
      <c r="R697" s="9">
        <v>3414</v>
      </c>
      <c r="S697" s="9">
        <v>737990</v>
      </c>
      <c r="T697" s="9">
        <v>1177859</v>
      </c>
      <c r="U697" s="9">
        <v>123</v>
      </c>
      <c r="V697" s="11">
        <v>8187.1145409999999</v>
      </c>
      <c r="W697" s="12">
        <f t="shared" si="14"/>
        <v>66.561906837398368</v>
      </c>
      <c r="X697" s="12">
        <f t="shared" si="15"/>
        <v>0.25796194947905138</v>
      </c>
      <c r="Y697" s="12">
        <f t="shared" si="16"/>
        <v>55.762548065625396</v>
      </c>
      <c r="Z697" s="12">
        <f t="shared" si="17"/>
        <v>11.093801462079432</v>
      </c>
      <c r="AA697" s="12">
        <f t="shared" si="18"/>
        <v>6.1861863725970965</v>
      </c>
      <c r="AB697" s="12">
        <f t="shared" si="19"/>
        <v>2.3981003342120681</v>
      </c>
      <c r="AC697" s="12">
        <f t="shared" si="20"/>
        <v>3.6028119507908607</v>
      </c>
      <c r="AE697" s="13"/>
      <c r="AF697" s="13"/>
    </row>
    <row r="698" spans="1:32">
      <c r="A698" s="8" t="s">
        <v>2289</v>
      </c>
      <c r="B698" s="9" t="s">
        <v>41</v>
      </c>
      <c r="C698" s="9" t="s">
        <v>85</v>
      </c>
      <c r="D698" s="9" t="s">
        <v>1284</v>
      </c>
      <c r="E698" s="9" t="s">
        <v>2290</v>
      </c>
      <c r="F698" s="9" t="str">
        <f ca="1">IFERROR(__xludf.DUMMYFUNCTION("IFS(
  REGEXMATCH(LOWER(VLOOKUP(A698, Data1_Raw_Slack!A:B, 2, FALSE)), ""news|weather""), ""News and Weather"", REGEXMATCH(LOWER(VLOOKUP(A698, Data1_Raw_Slack!A:B, 2, FALSE)), ""sports|ufc|nba|nfl|mlb|soccer|sports fans""), ""Sports"",
  REGEXMATCH(LOWER("&amp;"VLOOKUP(A698, Data1_Raw_Slack!A:B, 2, FALSE)), ""fashion|style|clothing|apparel|shoes|accessories|beauty|cosmetics|fashionistas""), ""Fashion and Beauty"",
  REGEXMATCH(LOWER(VLOOKUP(A698, Data1_Raw_Slack!A:B, 2, FALSE)), ""food|cooking|recipe|restaurant|"&amp;"snack|grocery|foodies""), ""Food"",
  REGEXMATCH(LOWER(VLOOKUP(A698, Data1_Raw_Slack!A:B, 2, FALSE)), ""travel|vacation|airline|hotel|trip|flights|travelers""), ""Travel"",
  REGEXMATCH(LOWER(VLOOKUP(A698, Data1_Raw_Slack!A:B, 2, FALSE)), ""fitness|workou"&amp;"t|gym|exercise|yoga|wellness|fitness enthusiasts""), ""Fitness"",
  REGEXMATCH(LOWER(VLOOKUP(A698, Data1_Raw_Slack!A:B, 2, FALSE)), ""health|medical|pharmacy|mental health|doctor|health-conscious""), ""Health"",
  REGEXMATCH(LOWER(VLOOKUP(A698, Data1_Raw_"&amp;"Slack!A:B, 2, FALSE)), ""pets|dogs|cats|animals|pet care|pet lovers""), ""Pets"",
  REGEXMATCH(LOWER(VLOOKUP(A698, Data1_Raw_Slack!A:B, 2, FALSE)), ""games|gaming|game|xbox|playstation|nintendo|gamers""), ""Gaming"",
  REGEXMATCH(LOWER(VLOOKUP(A698, Data1"&amp;"_Raw_Slack!A:B, 2, FALSE)), ""entertainment|movies|tv|netflix|streaming|celebrity|movie lovers|tv fans|hobb|photo|art""), ""Entertainment"",
  REGEXMATCH(LOWER(VLOOKUP(A698, Data1_Raw_Slack!A:B, 2, FALSE)), ""lifestyle|home|interior|decor|living|lifestyle"&amp;" enthusiasts""), ""Lifestyle"",
  REGEXMATCH(LOWER(VLOOKUP(A698, Data1_Raw_Slack!A:B, 2, FALSE)), ""financial|finance|investing|stocks|retirement|banking|credit|debt|loans|savings|personal finance|insurance|econ|ecom|business|retail|occupation|sale|job|ma"&amp;"rketing""), ""Finance"",
  REGEXMATCH(LOWER(VLOOKUP(A698, Data1_Raw_Slack!A:B, 2, FALSE)), ""auto|automotive""), ""Auto"",
  REGEXMATCH(LOWER(VLOOKUP(A698, Data1_Raw_Slack!A:B, 2, FALSE)), ""parenting|moms|dads|kids|toddlers|baby|parent|children""), ""Par"&amp;"enting"",
  REGEXMATCH(LOWER(VLOOKUP(A698, Data1_Raw_Slack!A:B, 2, FALSE)), ""education|students|learning|school|teachers|college|university|academics""), ""Education"",
  REGEXMATCH(LOWER(VLOOKUP(A698, Data1_Raw_Slack!A:B, 2, FALSE)), ""age|gender|dem"&amp;"ographic|family|household""), ""Demographics"",
  REGEXMATCH(LOWER(VLOOKUP(A698, Data1_Raw_Slack!A:B, 2, FALSE)), ""mortgage|real estate""), ""Real Estate"",REGEXMATCH(LOWER(VLOOKUP(A698, Data1_Raw_Slack!A:B, 2, FALSE)), ""technology|tech|gadgets|smartpho"&amp;"ne|electro|apps|devices|computing|ai|robots|software|computer|internet|tele|mobile|tablet""), ""Technology"", REGEXMATCH(LOWER(VLOOKUP(A698, Data1_Raw_Slack!A:B, 2, FALSE)), ""entertainment|purchas|movies|tv|netflix|streaming|celebrity|movie lovers|tv fan"&amp;"s|media|hobb|photo|art|shop""), ""Entertainment"", REGEXMATCH(LOWER(VLOOKUP(A698, Data1_Raw_Slack!A:B, 2, FALSE)), ""law|government|""), ""Law and Government"",
  TRUE, ""Other""
)"),"Travel")</f>
        <v>Travel</v>
      </c>
      <c r="G698" s="9" t="s">
        <v>85</v>
      </c>
      <c r="H698" s="9" t="s">
        <v>32</v>
      </c>
      <c r="I698" s="9" t="s">
        <v>928</v>
      </c>
      <c r="J698" s="9" t="s">
        <v>62</v>
      </c>
      <c r="K698" s="9" t="s">
        <v>236</v>
      </c>
      <c r="L698" s="9" t="s">
        <v>82</v>
      </c>
      <c r="M698" s="10" t="s">
        <v>430</v>
      </c>
      <c r="N698" s="9" t="str">
        <f ca="1">IFERROR(__xludf.DUMMYFUNCTION("REGEXEXTRACT(LOWER(M698), ""([a-z0-9\-]+)\.(?:co|net|org|io|gg)"")"),"biblegateway")</f>
        <v>biblegateway</v>
      </c>
      <c r="O698" s="9" t="s">
        <v>50</v>
      </c>
      <c r="P698" s="9" t="s">
        <v>39</v>
      </c>
      <c r="Q698" s="9">
        <v>108559</v>
      </c>
      <c r="R698" s="9">
        <v>212</v>
      </c>
      <c r="S698" s="9">
        <v>79254</v>
      </c>
      <c r="T698" s="9">
        <v>100563</v>
      </c>
      <c r="U698" s="9">
        <v>7</v>
      </c>
      <c r="V698" s="11">
        <v>6850.5764829999998</v>
      </c>
      <c r="W698" s="12">
        <f t="shared" si="14"/>
        <v>978.65378328571421</v>
      </c>
      <c r="X698" s="12">
        <f t="shared" si="15"/>
        <v>0.19528551294687679</v>
      </c>
      <c r="Y698" s="12">
        <f t="shared" si="16"/>
        <v>73.005462467414034</v>
      </c>
      <c r="Z698" s="12">
        <f t="shared" si="17"/>
        <v>86.43824265021324</v>
      </c>
      <c r="AA698" s="12">
        <f t="shared" si="18"/>
        <v>63.104638795493692</v>
      </c>
      <c r="AB698" s="12">
        <f t="shared" si="19"/>
        <v>32.31404001415094</v>
      </c>
      <c r="AC698" s="12">
        <f t="shared" si="20"/>
        <v>3.3018867924528301</v>
      </c>
      <c r="AE698" s="13"/>
      <c r="AF698" s="13"/>
    </row>
    <row r="699" spans="1:32">
      <c r="A699" s="8" t="s">
        <v>2291</v>
      </c>
      <c r="B699" s="9" t="s">
        <v>144</v>
      </c>
      <c r="C699" s="9" t="s">
        <v>658</v>
      </c>
      <c r="D699" s="9"/>
      <c r="E699" s="9"/>
      <c r="F699" s="9" t="str">
        <f ca="1">IFERROR(__xludf.DUMMYFUNCTION("IFS(
  REGEXMATCH(LOWER(VLOOKUP(A699, Data1_Raw_Slack!A:B, 2, FALSE)), ""news|weather""), ""News and Weather"", REGEXMATCH(LOWER(VLOOKUP(A699, Data1_Raw_Slack!A:B, 2, FALSE)), ""sports|ufc|nba|nfl|mlb|soccer|sports fans""), ""Sports"",
  REGEXMATCH(LOWER("&amp;"VLOOKUP(A699, Data1_Raw_Slack!A:B, 2, FALSE)), ""fashion|style|clothing|apparel|shoes|accessories|beauty|cosmetics|fashionistas""), ""Fashion and Beauty"",
  REGEXMATCH(LOWER(VLOOKUP(A699, Data1_Raw_Slack!A:B, 2, FALSE)), ""food|cooking|recipe|restaurant|"&amp;"snack|grocery|foodies""), ""Food"",
  REGEXMATCH(LOWER(VLOOKUP(A699, Data1_Raw_Slack!A:B, 2, FALSE)), ""travel|vacation|airline|hotel|trip|flights|travelers""), ""Travel"",
  REGEXMATCH(LOWER(VLOOKUP(A699, Data1_Raw_Slack!A:B, 2, FALSE)), ""fitness|workou"&amp;"t|gym|exercise|yoga|wellness|fitness enthusiasts""), ""Fitness"",
  REGEXMATCH(LOWER(VLOOKUP(A699, Data1_Raw_Slack!A:B, 2, FALSE)), ""health|medical|pharmacy|mental health|doctor|health-conscious""), ""Health"",
  REGEXMATCH(LOWER(VLOOKUP(A699, Data1_Raw_"&amp;"Slack!A:B, 2, FALSE)), ""pets|dogs|cats|animals|pet care|pet lovers""), ""Pets"",
  REGEXMATCH(LOWER(VLOOKUP(A699, Data1_Raw_Slack!A:B, 2, FALSE)), ""games|gaming|game|xbox|playstation|nintendo|gamers""), ""Gaming"",
  REGEXMATCH(LOWER(VLOOKUP(A699, Data1"&amp;"_Raw_Slack!A:B, 2, FALSE)), ""entertainment|movies|tv|netflix|streaming|celebrity|movie lovers|tv fans|hobb|photo|art""), ""Entertainment"",
  REGEXMATCH(LOWER(VLOOKUP(A699, Data1_Raw_Slack!A:B, 2, FALSE)), ""lifestyle|home|interior|decor|living|lifestyle"&amp;" enthusiasts""), ""Lifestyle"",
  REGEXMATCH(LOWER(VLOOKUP(A699, Data1_Raw_Slack!A:B, 2, FALSE)), ""financial|finance|investing|stocks|retirement|banking|credit|debt|loans|savings|personal finance|insurance|econ|ecom|business|retail|occupation|sale|job|ma"&amp;"rketing""), ""Finance"",
  REGEXMATCH(LOWER(VLOOKUP(A699, Data1_Raw_Slack!A:B, 2, FALSE)), ""auto|automotive""), ""Auto"",
  REGEXMATCH(LOWER(VLOOKUP(A699, Data1_Raw_Slack!A:B, 2, FALSE)), ""parenting|moms|dads|kids|toddlers|baby|parent|children""), ""Par"&amp;"enting"",
  REGEXMATCH(LOWER(VLOOKUP(A699, Data1_Raw_Slack!A:B, 2, FALSE)), ""education|students|learning|school|teachers|college|university|academics""), ""Education"",
  REGEXMATCH(LOWER(VLOOKUP(A699, Data1_Raw_Slack!A:B, 2, FALSE)), ""age|gender|dem"&amp;"ographic|family|household""), ""Demographics"",
  REGEXMATCH(LOWER(VLOOKUP(A699, Data1_Raw_Slack!A:B, 2, FALSE)), ""mortgage|real estate""), ""Real Estate"",REGEXMATCH(LOWER(VLOOKUP(A699, Data1_Raw_Slack!A:B, 2, FALSE)), ""technology|tech|gadgets|smartpho"&amp;"ne|electro|apps|devices|computing|ai|robots|software|computer|internet|tele|mobile|tablet""), ""Technology"", REGEXMATCH(LOWER(VLOOKUP(A699, Data1_Raw_Slack!A:B, 2, FALSE)), ""entertainment|purchas|movies|tv|netflix|streaming|celebrity|movie lovers|tv fan"&amp;"s|media|hobb|photo|art|shop""), ""Entertainment"", REGEXMATCH(LOWER(VLOOKUP(A699, Data1_Raw_Slack!A:B, 2, FALSE)), ""law|government|""), ""Law and Government"",
  TRUE, ""Other""
)"),"Education")</f>
        <v>Education</v>
      </c>
      <c r="G699" s="9"/>
      <c r="H699" s="9" t="s">
        <v>32</v>
      </c>
      <c r="I699" s="9" t="s">
        <v>1374</v>
      </c>
      <c r="J699" s="9" t="s">
        <v>80</v>
      </c>
      <c r="K699" s="9" t="s">
        <v>47</v>
      </c>
      <c r="L699" s="9" t="s">
        <v>48</v>
      </c>
      <c r="M699" s="10" t="s">
        <v>444</v>
      </c>
      <c r="N699" s="9" t="str">
        <f ca="1">IFERROR(__xludf.DUMMYFUNCTION("REGEXEXTRACT(LOWER(M699), ""([a-z0-9\-]+)\.(?:co|net|org|io|gg)"")"),"icy-veins")</f>
        <v>icy-veins</v>
      </c>
      <c r="O699" s="9" t="s">
        <v>74</v>
      </c>
      <c r="P699" s="9" t="s">
        <v>39</v>
      </c>
      <c r="Q699" s="9">
        <v>19344</v>
      </c>
      <c r="R699" s="9">
        <v>68</v>
      </c>
      <c r="S699" s="9">
        <v>2353</v>
      </c>
      <c r="T699" s="9">
        <v>18261</v>
      </c>
      <c r="U699" s="9">
        <v>10</v>
      </c>
      <c r="V699" s="11">
        <v>1500.722291</v>
      </c>
      <c r="W699" s="12">
        <f t="shared" si="14"/>
        <v>150.07222910000002</v>
      </c>
      <c r="X699" s="12">
        <f t="shared" si="15"/>
        <v>0.3515301902398677</v>
      </c>
      <c r="Y699" s="12">
        <f t="shared" si="16"/>
        <v>12.163978494623656</v>
      </c>
      <c r="Z699" s="12">
        <f t="shared" si="17"/>
        <v>637.79102889927753</v>
      </c>
      <c r="AA699" s="12">
        <f t="shared" si="18"/>
        <v>77.580763595947062</v>
      </c>
      <c r="AB699" s="12">
        <f t="shared" si="19"/>
        <v>22.069445455882352</v>
      </c>
      <c r="AC699" s="12">
        <f t="shared" si="20"/>
        <v>14.705882352941178</v>
      </c>
      <c r="AE699" s="13"/>
      <c r="AF699" s="13"/>
    </row>
    <row r="700" spans="1:32">
      <c r="A700" s="8" t="s">
        <v>2292</v>
      </c>
      <c r="B700" s="9" t="s">
        <v>144</v>
      </c>
      <c r="C700" s="9" t="s">
        <v>1976</v>
      </c>
      <c r="D700" s="9" t="s">
        <v>1998</v>
      </c>
      <c r="E700" s="9"/>
      <c r="F700" s="9" t="str">
        <f ca="1">IFERROR(__xludf.DUMMYFUNCTION("IFS(
  REGEXMATCH(LOWER(VLOOKUP(A700, Data1_Raw_Slack!A:B, 2, FALSE)), ""news|weather""), ""News and Weather"", REGEXMATCH(LOWER(VLOOKUP(A700, Data1_Raw_Slack!A:B, 2, FALSE)), ""sports|ufc|nba|nfl|mlb|soccer|sports fans""), ""Sports"",
  REGEXMATCH(LOWER("&amp;"VLOOKUP(A700, Data1_Raw_Slack!A:B, 2, FALSE)), ""fashion|style|clothing|apparel|shoes|accessories|beauty|cosmetics|fashionistas""), ""Fashion and Beauty"",
  REGEXMATCH(LOWER(VLOOKUP(A700, Data1_Raw_Slack!A:B, 2, FALSE)), ""food|cooking|recipe|restaurant|"&amp;"snack|grocery|foodies""), ""Food"",
  REGEXMATCH(LOWER(VLOOKUP(A700, Data1_Raw_Slack!A:B, 2, FALSE)), ""travel|vacation|airline|hotel|trip|flights|travelers""), ""Travel"",
  REGEXMATCH(LOWER(VLOOKUP(A700, Data1_Raw_Slack!A:B, 2, FALSE)), ""fitness|workou"&amp;"t|gym|exercise|yoga|wellness|fitness enthusiasts""), ""Fitness"",
  REGEXMATCH(LOWER(VLOOKUP(A700, Data1_Raw_Slack!A:B, 2, FALSE)), ""health|medical|pharmacy|mental health|doctor|health-conscious""), ""Health"",
  REGEXMATCH(LOWER(VLOOKUP(A700, Data1_Raw_"&amp;"Slack!A:B, 2, FALSE)), ""pets|dogs|cats|animals|pet care|pet lovers""), ""Pets"",
  REGEXMATCH(LOWER(VLOOKUP(A700, Data1_Raw_Slack!A:B, 2, FALSE)), ""games|gaming|game|xbox|playstation|nintendo|gamers""), ""Gaming"",
  REGEXMATCH(LOWER(VLOOKUP(A700, Data1"&amp;"_Raw_Slack!A:B, 2, FALSE)), ""entertainment|movies|tv|netflix|streaming|celebrity|movie lovers|tv fans|hobb|photo|art""), ""Entertainment"",
  REGEXMATCH(LOWER(VLOOKUP(A700, Data1_Raw_Slack!A:B, 2, FALSE)), ""lifestyle|home|interior|decor|living|lifestyle"&amp;" enthusiasts""), ""Lifestyle"",
  REGEXMATCH(LOWER(VLOOKUP(A700, Data1_Raw_Slack!A:B, 2, FALSE)), ""financial|finance|investing|stocks|retirement|banking|credit|debt|loans|savings|personal finance|insurance|econ|ecom|business|retail|occupation|sale|job|ma"&amp;"rketing""), ""Finance"",
  REGEXMATCH(LOWER(VLOOKUP(A700, Data1_Raw_Slack!A:B, 2, FALSE)), ""auto|automotive""), ""Auto"",
  REGEXMATCH(LOWER(VLOOKUP(A700, Data1_Raw_Slack!A:B, 2, FALSE)), ""parenting|moms|dads|kids|toddlers|baby|parent|children""), ""Par"&amp;"enting"",
  REGEXMATCH(LOWER(VLOOKUP(A700, Data1_Raw_Slack!A:B, 2, FALSE)), ""education|students|learning|school|teachers|college|university|academics""), ""Education"",
  REGEXMATCH(LOWER(VLOOKUP(A700, Data1_Raw_Slack!A:B, 2, FALSE)), ""age|gender|dem"&amp;"ographic|family|household""), ""Demographics"",
  REGEXMATCH(LOWER(VLOOKUP(A700, Data1_Raw_Slack!A:B, 2, FALSE)), ""mortgage|real estate""), ""Real Estate"",REGEXMATCH(LOWER(VLOOKUP(A700, Data1_Raw_Slack!A:B, 2, FALSE)), ""technology|tech|gadgets|smartpho"&amp;"ne|electro|apps|devices|computing|ai|robots|software|computer|internet|tele|mobile|tablet""), ""Technology"", REGEXMATCH(LOWER(VLOOKUP(A700, Data1_Raw_Slack!A:B, 2, FALSE)), ""entertainment|purchas|movies|tv|netflix|streaming|celebrity|movie lovers|tv fan"&amp;"s|media|hobb|photo|art|shop""), ""Entertainment"", REGEXMATCH(LOWER(VLOOKUP(A700, Data1_Raw_Slack!A:B, 2, FALSE)), ""law|government|""), ""Law and Government"",
  TRUE, ""Other""
)"),"Gaming")</f>
        <v>Gaming</v>
      </c>
      <c r="G700" s="9" t="s">
        <v>69</v>
      </c>
      <c r="H700" s="9" t="s">
        <v>32</v>
      </c>
      <c r="I700" s="9" t="s">
        <v>2293</v>
      </c>
      <c r="J700" s="9" t="s">
        <v>34</v>
      </c>
      <c r="K700" s="9" t="s">
        <v>236</v>
      </c>
      <c r="L700" s="9" t="s">
        <v>82</v>
      </c>
      <c r="M700" s="10" t="s">
        <v>1204</v>
      </c>
      <c r="N700" s="9" t="str">
        <f ca="1">IFERROR(__xludf.DUMMYFUNCTION("REGEXEXTRACT(LOWER(M700), ""([a-z0-9\-]+)\.(?:co|net|org|io|gg)"")"),"reuters")</f>
        <v>reuters</v>
      </c>
      <c r="O700" s="9" t="s">
        <v>819</v>
      </c>
      <c r="P700" s="9" t="s">
        <v>39</v>
      </c>
      <c r="Q700" s="9">
        <v>16791</v>
      </c>
      <c r="R700" s="9">
        <v>40</v>
      </c>
      <c r="S700" s="9">
        <v>11402</v>
      </c>
      <c r="T700" s="9">
        <v>14231</v>
      </c>
      <c r="U700" s="9">
        <v>3</v>
      </c>
      <c r="V700" s="11">
        <v>1522.5122719999999</v>
      </c>
      <c r="W700" s="12">
        <f t="shared" si="14"/>
        <v>507.50409066666663</v>
      </c>
      <c r="X700" s="12">
        <f t="shared" si="15"/>
        <v>0.23822285748317551</v>
      </c>
      <c r="Y700" s="12">
        <f t="shared" si="16"/>
        <v>67.905425525579176</v>
      </c>
      <c r="Z700" s="12">
        <f t="shared" si="17"/>
        <v>133.53028170496404</v>
      </c>
      <c r="AA700" s="12">
        <f t="shared" si="18"/>
        <v>90.674305997260433</v>
      </c>
      <c r="AB700" s="12">
        <f t="shared" si="19"/>
        <v>38.062806799999997</v>
      </c>
      <c r="AC700" s="12">
        <f t="shared" si="20"/>
        <v>7.5</v>
      </c>
      <c r="AE700" s="13"/>
      <c r="AF700" s="13"/>
    </row>
    <row r="701" spans="1:32">
      <c r="A701" s="8" t="s">
        <v>2294</v>
      </c>
      <c r="B701" s="9"/>
      <c r="C701" s="9" t="s">
        <v>77</v>
      </c>
      <c r="D701" s="9" t="s">
        <v>2295</v>
      </c>
      <c r="E701" s="9"/>
      <c r="F701" s="9" t="str">
        <f ca="1">IFERROR(__xludf.DUMMYFUNCTION("IFS(
  REGEXMATCH(LOWER(VLOOKUP(A701, Data1_Raw_Slack!A:B, 2, FALSE)), ""news|weather""), ""News and Weather"", REGEXMATCH(LOWER(VLOOKUP(A701, Data1_Raw_Slack!A:B, 2, FALSE)), ""sports|ufc|nba|nfl|mlb|soccer|sports fans""), ""Sports"",
  REGEXMATCH(LOWER("&amp;"VLOOKUP(A701, Data1_Raw_Slack!A:B, 2, FALSE)), ""fashion|style|clothing|apparel|shoes|accessories|beauty|cosmetics|fashionistas""), ""Fashion and Beauty"",
  REGEXMATCH(LOWER(VLOOKUP(A701, Data1_Raw_Slack!A:B, 2, FALSE)), ""food|cooking|recipe|restaurant|"&amp;"snack|grocery|foodies""), ""Food"",
  REGEXMATCH(LOWER(VLOOKUP(A701, Data1_Raw_Slack!A:B, 2, FALSE)), ""travel|vacation|airline|hotel|trip|flights|travelers""), ""Travel"",
  REGEXMATCH(LOWER(VLOOKUP(A701, Data1_Raw_Slack!A:B, 2, FALSE)), ""fitness|workou"&amp;"t|gym|exercise|yoga|wellness|fitness enthusiasts""), ""Fitness"",
  REGEXMATCH(LOWER(VLOOKUP(A701, Data1_Raw_Slack!A:B, 2, FALSE)), ""health|medical|pharmacy|mental health|doctor|health-conscious""), ""Health"",
  REGEXMATCH(LOWER(VLOOKUP(A701, Data1_Raw_"&amp;"Slack!A:B, 2, FALSE)), ""pets|dogs|cats|animals|pet care|pet lovers""), ""Pets"",
  REGEXMATCH(LOWER(VLOOKUP(A701, Data1_Raw_Slack!A:B, 2, FALSE)), ""games|gaming|game|xbox|playstation|nintendo|gamers""), ""Gaming"",
  REGEXMATCH(LOWER(VLOOKUP(A701, Data1"&amp;"_Raw_Slack!A:B, 2, FALSE)), ""entertainment|movies|tv|netflix|streaming|celebrity|movie lovers|tv fans|hobb|photo|art""), ""Entertainment"",
  REGEXMATCH(LOWER(VLOOKUP(A701, Data1_Raw_Slack!A:B, 2, FALSE)), ""lifestyle|home|interior|decor|living|lifestyle"&amp;" enthusiasts""), ""Lifestyle"",
  REGEXMATCH(LOWER(VLOOKUP(A701, Data1_Raw_Slack!A:B, 2, FALSE)), ""financial|finance|investing|stocks|retirement|banking|credit|debt|loans|savings|personal finance|insurance|econ|ecom|business|retail|occupation|sale|job|ma"&amp;"rketing""), ""Finance"",
  REGEXMATCH(LOWER(VLOOKUP(A701, Data1_Raw_Slack!A:B, 2, FALSE)), ""auto|automotive""), ""Auto"",
  REGEXMATCH(LOWER(VLOOKUP(A701, Data1_Raw_Slack!A:B, 2, FALSE)), ""parenting|moms|dads|kids|toddlers|baby|parent|children""), ""Par"&amp;"enting"",
  REGEXMATCH(LOWER(VLOOKUP(A701, Data1_Raw_Slack!A:B, 2, FALSE)), ""education|students|learning|school|teachers|college|university|academics""), ""Education"",
  REGEXMATCH(LOWER(VLOOKUP(A701, Data1_Raw_Slack!A:B, 2, FALSE)), ""age|gender|dem"&amp;"ographic|family|household""), ""Demographics"",
  REGEXMATCH(LOWER(VLOOKUP(A701, Data1_Raw_Slack!A:B, 2, FALSE)), ""mortgage|real estate""), ""Real Estate"",REGEXMATCH(LOWER(VLOOKUP(A701, Data1_Raw_Slack!A:B, 2, FALSE)), ""technology|tech|gadgets|smartpho"&amp;"ne|electro|apps|devices|computing|ai|robots|software|computer|internet|tele|mobile|tablet""), ""Technology"", REGEXMATCH(LOWER(VLOOKUP(A701, Data1_Raw_Slack!A:B, 2, FALSE)), ""entertainment|purchas|movies|tv|netflix|streaming|celebrity|movie lovers|tv fan"&amp;"s|media|hobb|photo|art|shop""), ""Entertainment"", REGEXMATCH(LOWER(VLOOKUP(A701, Data1_Raw_Slack!A:B, 2, FALSE)), ""law|government|""), ""Law and Government"",
  TRUE, ""Other""
)"),"Finance")</f>
        <v>Finance</v>
      </c>
      <c r="G701" s="9"/>
      <c r="H701" s="9" t="s">
        <v>44</v>
      </c>
      <c r="I701" s="9" t="s">
        <v>735</v>
      </c>
      <c r="J701" s="9" t="s">
        <v>62</v>
      </c>
      <c r="K701" s="9" t="s">
        <v>236</v>
      </c>
      <c r="L701" s="9" t="s">
        <v>82</v>
      </c>
      <c r="M701" s="10" t="s">
        <v>2296</v>
      </c>
      <c r="N701" s="9" t="str">
        <f ca="1">IFERROR(__xludf.DUMMYFUNCTION("REGEXEXTRACT(LOWER(M701), ""([a-z0-9\-]+)\.(?:co|net|org|io|gg)"")"),"baseball-reference")</f>
        <v>baseball-reference</v>
      </c>
      <c r="O701" s="9" t="s">
        <v>109</v>
      </c>
      <c r="P701" s="9" t="s">
        <v>39</v>
      </c>
      <c r="Q701" s="9">
        <v>117713</v>
      </c>
      <c r="R701" s="9">
        <v>374</v>
      </c>
      <c r="S701" s="9">
        <v>16357</v>
      </c>
      <c r="T701" s="9">
        <v>100222</v>
      </c>
      <c r="U701" s="9">
        <v>5</v>
      </c>
      <c r="V701" s="11">
        <v>2505.4035429999999</v>
      </c>
      <c r="W701" s="12">
        <f t="shared" si="14"/>
        <v>501.08070859999998</v>
      </c>
      <c r="X701" s="12">
        <f t="shared" si="15"/>
        <v>0.31772191686559681</v>
      </c>
      <c r="Y701" s="12">
        <f t="shared" si="16"/>
        <v>13.895661481739484</v>
      </c>
      <c r="Z701" s="12">
        <f t="shared" si="17"/>
        <v>153.17011328483218</v>
      </c>
      <c r="AA701" s="12">
        <f t="shared" si="18"/>
        <v>21.284000433257159</v>
      </c>
      <c r="AB701" s="12">
        <f t="shared" si="19"/>
        <v>6.6989399545454544</v>
      </c>
      <c r="AC701" s="12">
        <f t="shared" si="20"/>
        <v>1.3368983957219251</v>
      </c>
      <c r="AE701" s="13"/>
      <c r="AF701" s="13"/>
    </row>
    <row r="702" spans="1:32">
      <c r="A702" s="8" t="s">
        <v>2297</v>
      </c>
      <c r="B702" s="9" t="s">
        <v>41</v>
      </c>
      <c r="C702" s="9" t="s">
        <v>105</v>
      </c>
      <c r="D702" s="9" t="s">
        <v>530</v>
      </c>
      <c r="E702" s="9" t="s">
        <v>2298</v>
      </c>
      <c r="F702" s="9" t="str">
        <f ca="1">IFERROR(__xludf.DUMMYFUNCTION("IFS(
  REGEXMATCH(LOWER(VLOOKUP(A702, Data1_Raw_Slack!A:B, 2, FALSE)), ""news|weather""), ""News and Weather"", REGEXMATCH(LOWER(VLOOKUP(A702, Data1_Raw_Slack!A:B, 2, FALSE)), ""sports|ufc|nba|nfl|mlb|soccer|sports fans""), ""Sports"",
  REGEXMATCH(LOWER("&amp;"VLOOKUP(A702, Data1_Raw_Slack!A:B, 2, FALSE)), ""fashion|style|clothing|apparel|shoes|accessories|beauty|cosmetics|fashionistas""), ""Fashion and Beauty"",
  REGEXMATCH(LOWER(VLOOKUP(A702, Data1_Raw_Slack!A:B, 2, FALSE)), ""food|cooking|recipe|restaurant|"&amp;"snack|grocery|foodies""), ""Food"",
  REGEXMATCH(LOWER(VLOOKUP(A702, Data1_Raw_Slack!A:B, 2, FALSE)), ""travel|vacation|airline|hotel|trip|flights|travelers""), ""Travel"",
  REGEXMATCH(LOWER(VLOOKUP(A702, Data1_Raw_Slack!A:B, 2, FALSE)), ""fitness|workou"&amp;"t|gym|exercise|yoga|wellness|fitness enthusiasts""), ""Fitness"",
  REGEXMATCH(LOWER(VLOOKUP(A702, Data1_Raw_Slack!A:B, 2, FALSE)), ""health|medical|pharmacy|mental health|doctor|health-conscious""), ""Health"",
  REGEXMATCH(LOWER(VLOOKUP(A702, Data1_Raw_"&amp;"Slack!A:B, 2, FALSE)), ""pets|dogs|cats|animals|pet care|pet lovers""), ""Pets"",
  REGEXMATCH(LOWER(VLOOKUP(A702, Data1_Raw_Slack!A:B, 2, FALSE)), ""games|gaming|game|xbox|playstation|nintendo|gamers""), ""Gaming"",
  REGEXMATCH(LOWER(VLOOKUP(A702, Data1"&amp;"_Raw_Slack!A:B, 2, FALSE)), ""entertainment|movies|tv|netflix|streaming|celebrity|movie lovers|tv fans|hobb|photo|art""), ""Entertainment"",
  REGEXMATCH(LOWER(VLOOKUP(A702, Data1_Raw_Slack!A:B, 2, FALSE)), ""lifestyle|home|interior|decor|living|lifestyle"&amp;" enthusiasts""), ""Lifestyle"",
  REGEXMATCH(LOWER(VLOOKUP(A702, Data1_Raw_Slack!A:B, 2, FALSE)), ""financial|finance|investing|stocks|retirement|banking|credit|debt|loans|savings|personal finance|insurance|econ|ecom|business|retail|occupation|sale|job|ma"&amp;"rketing""), ""Finance"",
  REGEXMATCH(LOWER(VLOOKUP(A702, Data1_Raw_Slack!A:B, 2, FALSE)), ""auto|automotive""), ""Auto"",
  REGEXMATCH(LOWER(VLOOKUP(A702, Data1_Raw_Slack!A:B, 2, FALSE)), ""parenting|moms|dads|kids|toddlers|baby|parent|children""), ""Par"&amp;"enting"",
  REGEXMATCH(LOWER(VLOOKUP(A702, Data1_Raw_Slack!A:B, 2, FALSE)), ""education|students|learning|school|teachers|college|university|academics""), ""Education"",
  REGEXMATCH(LOWER(VLOOKUP(A702, Data1_Raw_Slack!A:B, 2, FALSE)), ""age|gender|dem"&amp;"ographic|family|household""), ""Demographics"",
  REGEXMATCH(LOWER(VLOOKUP(A702, Data1_Raw_Slack!A:B, 2, FALSE)), ""mortgage|real estate""), ""Real Estate"",REGEXMATCH(LOWER(VLOOKUP(A702, Data1_Raw_Slack!A:B, 2, FALSE)), ""technology|tech|gadgets|smartpho"&amp;"ne|electro|apps|devices|computing|ai|robots|software|computer|internet|tele|mobile|tablet""), ""Technology"", REGEXMATCH(LOWER(VLOOKUP(A702, Data1_Raw_Slack!A:B, 2, FALSE)), ""entertainment|purchas|movies|tv|netflix|streaming|celebrity|movie lovers|tv fan"&amp;"s|media|hobb|photo|art|shop""), ""Entertainment"", REGEXMATCH(LOWER(VLOOKUP(A702, Data1_Raw_Slack!A:B, 2, FALSE)), ""law|government|""), ""Law and Government"",
  TRUE, ""Other""
)"),"Fashion and Beauty")</f>
        <v>Fashion and Beauty</v>
      </c>
      <c r="G702" s="9" t="s">
        <v>530</v>
      </c>
      <c r="H702" s="9" t="s">
        <v>44</v>
      </c>
      <c r="I702" s="9" t="s">
        <v>877</v>
      </c>
      <c r="J702" s="9" t="s">
        <v>62</v>
      </c>
      <c r="K702" s="9" t="s">
        <v>443</v>
      </c>
      <c r="L702" s="9" t="s">
        <v>72</v>
      </c>
      <c r="M702" s="10" t="s">
        <v>1766</v>
      </c>
      <c r="N702" s="9" t="str">
        <f ca="1">IFERROR(__xludf.DUMMYFUNCTION("REGEXEXTRACT(LOWER(M702), ""([a-z0-9\-]+)\.(?:co|net|org|io|gg)"")"),"nbcnews")</f>
        <v>nbcnews</v>
      </c>
      <c r="O702" s="9" t="s">
        <v>593</v>
      </c>
      <c r="P702" s="9" t="s">
        <v>39</v>
      </c>
      <c r="Q702" s="9">
        <v>14224</v>
      </c>
      <c r="R702" s="9">
        <v>30</v>
      </c>
      <c r="S702" s="9">
        <v>2549</v>
      </c>
      <c r="T702" s="9">
        <v>11974</v>
      </c>
      <c r="U702" s="9">
        <v>7</v>
      </c>
      <c r="V702" s="11">
        <v>5637.3034969999999</v>
      </c>
      <c r="W702" s="12">
        <f t="shared" si="14"/>
        <v>805.329071</v>
      </c>
      <c r="X702" s="12">
        <f t="shared" si="15"/>
        <v>0.21091113610798651</v>
      </c>
      <c r="Y702" s="12">
        <f t="shared" si="16"/>
        <v>17.920416197975253</v>
      </c>
      <c r="Z702" s="12">
        <f t="shared" si="17"/>
        <v>2211.5745378579836</v>
      </c>
      <c r="AA702" s="12">
        <f t="shared" si="18"/>
        <v>396.3233617125984</v>
      </c>
      <c r="AB702" s="12">
        <f t="shared" si="19"/>
        <v>187.91011656666666</v>
      </c>
      <c r="AC702" s="12">
        <f t="shared" si="20"/>
        <v>23.333333333333332</v>
      </c>
      <c r="AE702" s="13"/>
      <c r="AF702" s="13"/>
    </row>
    <row r="703" spans="1:32">
      <c r="A703" s="8" t="s">
        <v>2299</v>
      </c>
      <c r="B703" s="9" t="s">
        <v>41</v>
      </c>
      <c r="C703" s="9" t="s">
        <v>105</v>
      </c>
      <c r="D703" s="9" t="s">
        <v>2300</v>
      </c>
      <c r="E703" s="9"/>
      <c r="F703" s="9" t="str">
        <f ca="1">IFERROR(__xludf.DUMMYFUNCTION("IFS(
  REGEXMATCH(LOWER(VLOOKUP(A703, Data1_Raw_Slack!A:B, 2, FALSE)), ""news|weather""), ""News and Weather"", REGEXMATCH(LOWER(VLOOKUP(A703, Data1_Raw_Slack!A:B, 2, FALSE)), ""sports|ufc|nba|nfl|mlb|soccer|sports fans""), ""Sports"",
  REGEXMATCH(LOWER("&amp;"VLOOKUP(A703, Data1_Raw_Slack!A:B, 2, FALSE)), ""fashion|style|clothing|apparel|shoes|accessories|beauty|cosmetics|fashionistas""), ""Fashion and Beauty"",
  REGEXMATCH(LOWER(VLOOKUP(A703, Data1_Raw_Slack!A:B, 2, FALSE)), ""food|cooking|recipe|restaurant|"&amp;"snack|grocery|foodies""), ""Food"",
  REGEXMATCH(LOWER(VLOOKUP(A703, Data1_Raw_Slack!A:B, 2, FALSE)), ""travel|vacation|airline|hotel|trip|flights|travelers""), ""Travel"",
  REGEXMATCH(LOWER(VLOOKUP(A703, Data1_Raw_Slack!A:B, 2, FALSE)), ""fitness|workou"&amp;"t|gym|exercise|yoga|wellness|fitness enthusiasts""), ""Fitness"",
  REGEXMATCH(LOWER(VLOOKUP(A703, Data1_Raw_Slack!A:B, 2, FALSE)), ""health|medical|pharmacy|mental health|doctor|health-conscious""), ""Health"",
  REGEXMATCH(LOWER(VLOOKUP(A703, Data1_Raw_"&amp;"Slack!A:B, 2, FALSE)), ""pets|dogs|cats|animals|pet care|pet lovers""), ""Pets"",
  REGEXMATCH(LOWER(VLOOKUP(A703, Data1_Raw_Slack!A:B, 2, FALSE)), ""games|gaming|game|xbox|playstation|nintendo|gamers""), ""Gaming"",
  REGEXMATCH(LOWER(VLOOKUP(A703, Data1"&amp;"_Raw_Slack!A:B, 2, FALSE)), ""entertainment|movies|tv|netflix|streaming|celebrity|movie lovers|tv fans|hobb|photo|art""), ""Entertainment"",
  REGEXMATCH(LOWER(VLOOKUP(A703, Data1_Raw_Slack!A:B, 2, FALSE)), ""lifestyle|home|interior|decor|living|lifestyle"&amp;" enthusiasts""), ""Lifestyle"",
  REGEXMATCH(LOWER(VLOOKUP(A703, Data1_Raw_Slack!A:B, 2, FALSE)), ""financial|finance|investing|stocks|retirement|banking|credit|debt|loans|savings|personal finance|insurance|econ|ecom|business|retail|occupation|sale|job|ma"&amp;"rketing""), ""Finance"",
  REGEXMATCH(LOWER(VLOOKUP(A703, Data1_Raw_Slack!A:B, 2, FALSE)), ""auto|automotive""), ""Auto"",
  REGEXMATCH(LOWER(VLOOKUP(A703, Data1_Raw_Slack!A:B, 2, FALSE)), ""parenting|moms|dads|kids|toddlers|baby|parent|children""), ""Par"&amp;"enting"",
  REGEXMATCH(LOWER(VLOOKUP(A703, Data1_Raw_Slack!A:B, 2, FALSE)), ""education|students|learning|school|teachers|college|university|academics""), ""Education"",
  REGEXMATCH(LOWER(VLOOKUP(A703, Data1_Raw_Slack!A:B, 2, FALSE)), ""age|gender|dem"&amp;"ographic|family|household""), ""Demographics"",
  REGEXMATCH(LOWER(VLOOKUP(A703, Data1_Raw_Slack!A:B, 2, FALSE)), ""mortgage|real estate""), ""Real Estate"",REGEXMATCH(LOWER(VLOOKUP(A703, Data1_Raw_Slack!A:B, 2, FALSE)), ""technology|tech|gadgets|smartpho"&amp;"ne|electro|apps|devices|computing|ai|robots|software|computer|internet|tele|mobile|tablet""), ""Technology"", REGEXMATCH(LOWER(VLOOKUP(A703, Data1_Raw_Slack!A:B, 2, FALSE)), ""entertainment|purchas|movies|tv|netflix|streaming|celebrity|movie lovers|tv fan"&amp;"s|media|hobb|photo|art|shop""), ""Entertainment"", REGEXMATCH(LOWER(VLOOKUP(A703, Data1_Raw_Slack!A:B, 2, FALSE)), ""law|government|""), ""Law and Government"",
  TRUE, ""Other""
)"),"Fashion and Beauty")</f>
        <v>Fashion and Beauty</v>
      </c>
      <c r="G703" s="9" t="s">
        <v>105</v>
      </c>
      <c r="H703" s="9" t="s">
        <v>44</v>
      </c>
      <c r="I703" s="9" t="s">
        <v>2301</v>
      </c>
      <c r="J703" s="9" t="s">
        <v>46</v>
      </c>
      <c r="K703" s="9" t="s">
        <v>236</v>
      </c>
      <c r="L703" s="9" t="s">
        <v>82</v>
      </c>
      <c r="M703" s="10" t="s">
        <v>354</v>
      </c>
      <c r="N703" s="9" t="str">
        <f ca="1">IFERROR(__xludf.DUMMYFUNCTION("REGEXEXTRACT(LOWER(M703), ""([a-z0-9\-]+)\.(?:co|net|org|io|gg)"")"),"yahoo")</f>
        <v>yahoo</v>
      </c>
      <c r="O703" s="9" t="s">
        <v>103</v>
      </c>
      <c r="P703" s="9" t="s">
        <v>64</v>
      </c>
      <c r="Q703" s="9">
        <v>7584</v>
      </c>
      <c r="R703" s="9">
        <v>40</v>
      </c>
      <c r="S703" s="9">
        <v>3093</v>
      </c>
      <c r="T703" s="9">
        <v>6897</v>
      </c>
      <c r="U703" s="9">
        <v>2</v>
      </c>
      <c r="V703" s="11">
        <v>4467.0807580000001</v>
      </c>
      <c r="W703" s="12">
        <f t="shared" si="14"/>
        <v>2233.540379</v>
      </c>
      <c r="X703" s="12">
        <f t="shared" si="15"/>
        <v>0.52742616033755274</v>
      </c>
      <c r="Y703" s="12">
        <f t="shared" si="16"/>
        <v>40.783227848101269</v>
      </c>
      <c r="Z703" s="12">
        <f t="shared" si="17"/>
        <v>1444.2550139023601</v>
      </c>
      <c r="AA703" s="12">
        <f t="shared" si="18"/>
        <v>589.01381302742618</v>
      </c>
      <c r="AB703" s="12">
        <f t="shared" si="19"/>
        <v>111.67701895</v>
      </c>
      <c r="AC703" s="12">
        <f t="shared" si="20"/>
        <v>5</v>
      </c>
      <c r="AE703" s="13"/>
      <c r="AF703" s="13"/>
    </row>
    <row r="704" spans="1:32">
      <c r="A704" s="8" t="s">
        <v>2302</v>
      </c>
      <c r="B704" s="9" t="s">
        <v>41</v>
      </c>
      <c r="C704" s="9" t="s">
        <v>162</v>
      </c>
      <c r="D704" s="9" t="s">
        <v>163</v>
      </c>
      <c r="E704" s="9" t="s">
        <v>2303</v>
      </c>
      <c r="F704" s="9" t="str">
        <f ca="1">IFERROR(__xludf.DUMMYFUNCTION("IFS(
  REGEXMATCH(LOWER(VLOOKUP(A704, Data1_Raw_Slack!A:B, 2, FALSE)), ""news|weather""), ""News and Weather"", REGEXMATCH(LOWER(VLOOKUP(A704, Data1_Raw_Slack!A:B, 2, FALSE)), ""sports|ufc|nba|nfl|mlb|soccer|sports fans""), ""Sports"",
  REGEXMATCH(LOWER("&amp;"VLOOKUP(A704, Data1_Raw_Slack!A:B, 2, FALSE)), ""fashion|style|clothing|apparel|shoes|accessories|beauty|cosmetics|fashionistas""), ""Fashion and Beauty"",
  REGEXMATCH(LOWER(VLOOKUP(A704, Data1_Raw_Slack!A:B, 2, FALSE)), ""food|cooking|recipe|restaurant|"&amp;"snack|grocery|foodies""), ""Food"",
  REGEXMATCH(LOWER(VLOOKUP(A704, Data1_Raw_Slack!A:B, 2, FALSE)), ""travel|vacation|airline|hotel|trip|flights|travelers""), ""Travel"",
  REGEXMATCH(LOWER(VLOOKUP(A704, Data1_Raw_Slack!A:B, 2, FALSE)), ""fitness|workou"&amp;"t|gym|exercise|yoga|wellness|fitness enthusiasts""), ""Fitness"",
  REGEXMATCH(LOWER(VLOOKUP(A704, Data1_Raw_Slack!A:B, 2, FALSE)), ""health|medical|pharmacy|mental health|doctor|health-conscious""), ""Health"",
  REGEXMATCH(LOWER(VLOOKUP(A704, Data1_Raw_"&amp;"Slack!A:B, 2, FALSE)), ""pets|dogs|cats|animals|pet care|pet lovers""), ""Pets"",
  REGEXMATCH(LOWER(VLOOKUP(A704, Data1_Raw_Slack!A:B, 2, FALSE)), ""games|gaming|game|xbox|playstation|nintendo|gamers""), ""Gaming"",
  REGEXMATCH(LOWER(VLOOKUP(A704, Data1"&amp;"_Raw_Slack!A:B, 2, FALSE)), ""entertainment|movies|tv|netflix|streaming|celebrity|movie lovers|tv fans|hobb|photo|art""), ""Entertainment"",
  REGEXMATCH(LOWER(VLOOKUP(A704, Data1_Raw_Slack!A:B, 2, FALSE)), ""lifestyle|home|interior|decor|living|lifestyle"&amp;" enthusiasts""), ""Lifestyle"",
  REGEXMATCH(LOWER(VLOOKUP(A704, Data1_Raw_Slack!A:B, 2, FALSE)), ""financial|finance|investing|stocks|retirement|banking|credit|debt|loans|savings|personal finance|insurance|econ|ecom|business|retail|occupation|sale|job|ma"&amp;"rketing""), ""Finance"",
  REGEXMATCH(LOWER(VLOOKUP(A704, Data1_Raw_Slack!A:B, 2, FALSE)), ""auto|automotive""), ""Auto"",
  REGEXMATCH(LOWER(VLOOKUP(A704, Data1_Raw_Slack!A:B, 2, FALSE)), ""parenting|moms|dads|kids|toddlers|baby|parent|children""), ""Par"&amp;"enting"",
  REGEXMATCH(LOWER(VLOOKUP(A704, Data1_Raw_Slack!A:B, 2, FALSE)), ""education|students|learning|school|teachers|college|university|academics""), ""Education"",
  REGEXMATCH(LOWER(VLOOKUP(A704, Data1_Raw_Slack!A:B, 2, FALSE)), ""age|gender|dem"&amp;"ographic|family|household""), ""Demographics"",
  REGEXMATCH(LOWER(VLOOKUP(A704, Data1_Raw_Slack!A:B, 2, FALSE)), ""mortgage|real estate""), ""Real Estate"",REGEXMATCH(LOWER(VLOOKUP(A704, Data1_Raw_Slack!A:B, 2, FALSE)), ""technology|tech|gadgets|smartpho"&amp;"ne|electro|apps|devices|computing|ai|robots|software|computer|internet|tele|mobile|tablet""), ""Technology"", REGEXMATCH(LOWER(VLOOKUP(A704, Data1_Raw_Slack!A:B, 2, FALSE)), ""entertainment|purchas|movies|tv|netflix|streaming|celebrity|movie lovers|tv fan"&amp;"s|media|hobb|photo|art|shop""), ""Entertainment"", REGEXMATCH(LOWER(VLOOKUP(A704, Data1_Raw_Slack!A:B, 2, FALSE)), ""law|government|""), ""Law and Government"",
  TRUE, ""Other""
)"),"Auto")</f>
        <v>Auto</v>
      </c>
      <c r="G704" s="9" t="s">
        <v>122</v>
      </c>
      <c r="H704" s="9" t="s">
        <v>44</v>
      </c>
      <c r="I704" s="9" t="s">
        <v>1232</v>
      </c>
      <c r="J704" s="9" t="s">
        <v>62</v>
      </c>
      <c r="K704" s="9" t="s">
        <v>35</v>
      </c>
      <c r="L704" s="9" t="s">
        <v>36</v>
      </c>
      <c r="M704" s="10" t="s">
        <v>339</v>
      </c>
      <c r="N704" s="9" t="str">
        <f ca="1">IFERROR(__xludf.DUMMYFUNCTION("REGEXEXTRACT(LOWER(M704), ""([a-z0-9\-]+)\.(?:co|net|org|io|gg)"")"),"foxnews")</f>
        <v>foxnews</v>
      </c>
      <c r="O704" s="9" t="s">
        <v>103</v>
      </c>
      <c r="P704" s="9" t="s">
        <v>64</v>
      </c>
      <c r="Q704" s="9">
        <v>29323</v>
      </c>
      <c r="R704" s="9">
        <v>88</v>
      </c>
      <c r="S704" s="9">
        <v>13822</v>
      </c>
      <c r="T704" s="9">
        <v>26934</v>
      </c>
      <c r="U704" s="9">
        <v>9</v>
      </c>
      <c r="V704" s="11">
        <v>6096.045521</v>
      </c>
      <c r="W704" s="12">
        <f t="shared" si="14"/>
        <v>677.33839122222219</v>
      </c>
      <c r="X704" s="12">
        <f t="shared" si="15"/>
        <v>0.30010571906012345</v>
      </c>
      <c r="Y704" s="12">
        <f t="shared" si="16"/>
        <v>47.137059646011664</v>
      </c>
      <c r="Z704" s="12">
        <f t="shared" si="17"/>
        <v>441.03932289104324</v>
      </c>
      <c r="AA704" s="12">
        <f t="shared" si="18"/>
        <v>207.89296869351702</v>
      </c>
      <c r="AB704" s="12">
        <f t="shared" si="19"/>
        <v>69.273244556818184</v>
      </c>
      <c r="AC704" s="12">
        <f t="shared" si="20"/>
        <v>10.227272727272728</v>
      </c>
      <c r="AE704" s="13"/>
      <c r="AF704" s="13"/>
    </row>
    <row r="705" spans="1:32">
      <c r="A705" s="8" t="s">
        <v>2304</v>
      </c>
      <c r="B705" s="9" t="s">
        <v>92</v>
      </c>
      <c r="C705" s="9" t="s">
        <v>178</v>
      </c>
      <c r="D705" s="9" t="s">
        <v>154</v>
      </c>
      <c r="E705" s="9" t="s">
        <v>2305</v>
      </c>
      <c r="F705" s="9" t="str">
        <f ca="1">IFERROR(__xludf.DUMMYFUNCTION("IFS(
  REGEXMATCH(LOWER(VLOOKUP(A705, Data1_Raw_Slack!A:B, 2, FALSE)), ""news|weather""), ""News and Weather"", REGEXMATCH(LOWER(VLOOKUP(A705, Data1_Raw_Slack!A:B, 2, FALSE)), ""sports|ufc|nba|nfl|mlb|soccer|sports fans""), ""Sports"",
  REGEXMATCH(LOWER("&amp;"VLOOKUP(A705, Data1_Raw_Slack!A:B, 2, FALSE)), ""fashion|style|clothing|apparel|shoes|accessories|beauty|cosmetics|fashionistas""), ""Fashion and Beauty"",
  REGEXMATCH(LOWER(VLOOKUP(A705, Data1_Raw_Slack!A:B, 2, FALSE)), ""food|cooking|recipe|restaurant|"&amp;"snack|grocery|foodies""), ""Food"",
  REGEXMATCH(LOWER(VLOOKUP(A705, Data1_Raw_Slack!A:B, 2, FALSE)), ""travel|vacation|airline|hotel|trip|flights|travelers""), ""Travel"",
  REGEXMATCH(LOWER(VLOOKUP(A705, Data1_Raw_Slack!A:B, 2, FALSE)), ""fitness|workou"&amp;"t|gym|exercise|yoga|wellness|fitness enthusiasts""), ""Fitness"",
  REGEXMATCH(LOWER(VLOOKUP(A705, Data1_Raw_Slack!A:B, 2, FALSE)), ""health|medical|pharmacy|mental health|doctor|health-conscious""), ""Health"",
  REGEXMATCH(LOWER(VLOOKUP(A705, Data1_Raw_"&amp;"Slack!A:B, 2, FALSE)), ""pets|dogs|cats|animals|pet care|pet lovers""), ""Pets"",
  REGEXMATCH(LOWER(VLOOKUP(A705, Data1_Raw_Slack!A:B, 2, FALSE)), ""games|gaming|game|xbox|playstation|nintendo|gamers""), ""Gaming"",
  REGEXMATCH(LOWER(VLOOKUP(A705, Data1"&amp;"_Raw_Slack!A:B, 2, FALSE)), ""entertainment|movies|tv|netflix|streaming|celebrity|movie lovers|tv fans|hobb|photo|art""), ""Entertainment"",
  REGEXMATCH(LOWER(VLOOKUP(A705, Data1_Raw_Slack!A:B, 2, FALSE)), ""lifestyle|home|interior|decor|living|lifestyle"&amp;" enthusiasts""), ""Lifestyle"",
  REGEXMATCH(LOWER(VLOOKUP(A705, Data1_Raw_Slack!A:B, 2, FALSE)), ""financial|finance|investing|stocks|retirement|banking|credit|debt|loans|savings|personal finance|insurance|econ|ecom|business|retail|occupation|sale|job|ma"&amp;"rketing""), ""Finance"",
  REGEXMATCH(LOWER(VLOOKUP(A705, Data1_Raw_Slack!A:B, 2, FALSE)), ""auto|automotive""), ""Auto"",
  REGEXMATCH(LOWER(VLOOKUP(A705, Data1_Raw_Slack!A:B, 2, FALSE)), ""parenting|moms|dads|kids|toddlers|baby|parent|children""), ""Par"&amp;"enting"",
  REGEXMATCH(LOWER(VLOOKUP(A705, Data1_Raw_Slack!A:B, 2, FALSE)), ""education|students|learning|school|teachers|college|university|academics""), ""Education"",
  REGEXMATCH(LOWER(VLOOKUP(A705, Data1_Raw_Slack!A:B, 2, FALSE)), ""age|gender|dem"&amp;"ographic|family|household""), ""Demographics"",
  REGEXMATCH(LOWER(VLOOKUP(A705, Data1_Raw_Slack!A:B, 2, FALSE)), ""mortgage|real estate""), ""Real Estate"",REGEXMATCH(LOWER(VLOOKUP(A705, Data1_Raw_Slack!A:B, 2, FALSE)), ""technology|tech|gadgets|smartpho"&amp;"ne|electro|apps|devices|computing|ai|robots|software|computer|internet|tele|mobile|tablet""), ""Technology"", REGEXMATCH(LOWER(VLOOKUP(A705, Data1_Raw_Slack!A:B, 2, FALSE)), ""entertainment|purchas|movies|tv|netflix|streaming|celebrity|movie lovers|tv fan"&amp;"s|media|hobb|photo|art|shop""), ""Entertainment"", REGEXMATCH(LOWER(VLOOKUP(A705, Data1_Raw_Slack!A:B, 2, FALSE)), ""law|government|""), ""Law and Government"",
  TRUE, ""Other""
)"),"Sports")</f>
        <v>Sports</v>
      </c>
      <c r="G705" s="9" t="s">
        <v>154</v>
      </c>
      <c r="H705" s="9" t="s">
        <v>44</v>
      </c>
      <c r="I705" s="9" t="s">
        <v>1795</v>
      </c>
      <c r="J705" s="9" t="s">
        <v>80</v>
      </c>
      <c r="K705" s="9" t="s">
        <v>176</v>
      </c>
      <c r="L705" s="9" t="s">
        <v>36</v>
      </c>
      <c r="M705" s="10" t="s">
        <v>207</v>
      </c>
      <c r="N705" s="9" t="str">
        <f ca="1">IFERROR(__xludf.DUMMYFUNCTION("REGEXEXTRACT(LOWER(M705), ""([a-z0-9\-]+)\.(?:co|net|org|io|gg)"")"),"realtor")</f>
        <v>realtor</v>
      </c>
      <c r="O705" s="9" t="s">
        <v>74</v>
      </c>
      <c r="P705" s="9" t="s">
        <v>64</v>
      </c>
      <c r="Q705" s="9">
        <v>65043</v>
      </c>
      <c r="R705" s="9">
        <v>160</v>
      </c>
      <c r="S705" s="9">
        <v>25871</v>
      </c>
      <c r="T705" s="9">
        <v>53969</v>
      </c>
      <c r="U705" s="9">
        <v>4</v>
      </c>
      <c r="V705" s="11">
        <v>2347.9185309999998</v>
      </c>
      <c r="W705" s="12">
        <f t="shared" si="14"/>
        <v>586.97963274999995</v>
      </c>
      <c r="X705" s="12">
        <f t="shared" si="15"/>
        <v>0.24599111357102224</v>
      </c>
      <c r="Y705" s="12">
        <f t="shared" si="16"/>
        <v>39.775225619974478</v>
      </c>
      <c r="Z705" s="12">
        <f t="shared" si="17"/>
        <v>90.754842526380884</v>
      </c>
      <c r="AA705" s="12">
        <f t="shared" si="18"/>
        <v>36.097943375920543</v>
      </c>
      <c r="AB705" s="12">
        <f t="shared" si="19"/>
        <v>14.674490818749998</v>
      </c>
      <c r="AC705" s="12">
        <f t="shared" si="20"/>
        <v>2.5</v>
      </c>
      <c r="AE705" s="13"/>
      <c r="AF705" s="13"/>
    </row>
    <row r="706" spans="1:32">
      <c r="A706" s="8" t="s">
        <v>2306</v>
      </c>
      <c r="B706" s="9" t="s">
        <v>41</v>
      </c>
      <c r="C706" s="9" t="s">
        <v>42</v>
      </c>
      <c r="D706" s="9" t="s">
        <v>2307</v>
      </c>
      <c r="E706" s="9" t="s">
        <v>2308</v>
      </c>
      <c r="F706" s="9" t="str">
        <f ca="1">IFERROR(__xludf.DUMMYFUNCTION("IFS(
  REGEXMATCH(LOWER(VLOOKUP(A706, Data1_Raw_Slack!A:B, 2, FALSE)), ""news|weather""), ""News and Weather"", REGEXMATCH(LOWER(VLOOKUP(A706, Data1_Raw_Slack!A:B, 2, FALSE)), ""sports|ufc|nba|nfl|mlb|soccer|sports fans""), ""Sports"",
  REGEXMATCH(LOWER("&amp;"VLOOKUP(A706, Data1_Raw_Slack!A:B, 2, FALSE)), ""fashion|style|clothing|apparel|shoes|accessories|beauty|cosmetics|fashionistas""), ""Fashion and Beauty"",
  REGEXMATCH(LOWER(VLOOKUP(A706, Data1_Raw_Slack!A:B, 2, FALSE)), ""food|cooking|recipe|restaurant|"&amp;"snack|grocery|foodies""), ""Food"",
  REGEXMATCH(LOWER(VLOOKUP(A706, Data1_Raw_Slack!A:B, 2, FALSE)), ""travel|vacation|airline|hotel|trip|flights|travelers""), ""Travel"",
  REGEXMATCH(LOWER(VLOOKUP(A706, Data1_Raw_Slack!A:B, 2, FALSE)), ""fitness|workou"&amp;"t|gym|exercise|yoga|wellness|fitness enthusiasts""), ""Fitness"",
  REGEXMATCH(LOWER(VLOOKUP(A706, Data1_Raw_Slack!A:B, 2, FALSE)), ""health|medical|pharmacy|mental health|doctor|health-conscious""), ""Health"",
  REGEXMATCH(LOWER(VLOOKUP(A706, Data1_Raw_"&amp;"Slack!A:B, 2, FALSE)), ""pets|dogs|cats|animals|pet care|pet lovers""), ""Pets"",
  REGEXMATCH(LOWER(VLOOKUP(A706, Data1_Raw_Slack!A:B, 2, FALSE)), ""games|gaming|game|xbox|playstation|nintendo|gamers""), ""Gaming"",
  REGEXMATCH(LOWER(VLOOKUP(A706, Data1"&amp;"_Raw_Slack!A:B, 2, FALSE)), ""entertainment|movies|tv|netflix|streaming|celebrity|movie lovers|tv fans|hobb|photo|art""), ""Entertainment"",
  REGEXMATCH(LOWER(VLOOKUP(A706, Data1_Raw_Slack!A:B, 2, FALSE)), ""lifestyle|home|interior|decor|living|lifestyle"&amp;" enthusiasts""), ""Lifestyle"",
  REGEXMATCH(LOWER(VLOOKUP(A706, Data1_Raw_Slack!A:B, 2, FALSE)), ""financial|finance|investing|stocks|retirement|banking|credit|debt|loans|savings|personal finance|insurance|econ|ecom|business|retail|occupation|sale|job|ma"&amp;"rketing""), ""Finance"",
  REGEXMATCH(LOWER(VLOOKUP(A706, Data1_Raw_Slack!A:B, 2, FALSE)), ""auto|automotive""), ""Auto"",
  REGEXMATCH(LOWER(VLOOKUP(A706, Data1_Raw_Slack!A:B, 2, FALSE)), ""parenting|moms|dads|kids|toddlers|baby|parent|children""), ""Par"&amp;"enting"",
  REGEXMATCH(LOWER(VLOOKUP(A706, Data1_Raw_Slack!A:B, 2, FALSE)), ""education|students|learning|school|teachers|college|university|academics""), ""Education"",
  REGEXMATCH(LOWER(VLOOKUP(A706, Data1_Raw_Slack!A:B, 2, FALSE)), ""age|gender|dem"&amp;"ographic|family|household""), ""Demographics"",
  REGEXMATCH(LOWER(VLOOKUP(A706, Data1_Raw_Slack!A:B, 2, FALSE)), ""mortgage|real estate""), ""Real Estate"",REGEXMATCH(LOWER(VLOOKUP(A706, Data1_Raw_Slack!A:B, 2, FALSE)), ""technology|tech|gadgets|smartpho"&amp;"ne|electro|apps|devices|computing|ai|robots|software|computer|internet|tele|mobile|tablet""), ""Technology"", REGEXMATCH(LOWER(VLOOKUP(A706, Data1_Raw_Slack!A:B, 2, FALSE)), ""entertainment|purchas|movies|tv|netflix|streaming|celebrity|movie lovers|tv fan"&amp;"s|media|hobb|photo|art|shop""), ""Entertainment"", REGEXMATCH(LOWER(VLOOKUP(A706, Data1_Raw_Slack!A:B, 2, FALSE)), ""law|government|""), ""Law and Government"",
  TRUE, ""Other""
)"),"Technology")</f>
        <v>Technology</v>
      </c>
      <c r="G706" s="9"/>
      <c r="H706" s="9" t="s">
        <v>32</v>
      </c>
      <c r="I706" s="9" t="s">
        <v>1751</v>
      </c>
      <c r="J706" s="9" t="s">
        <v>34</v>
      </c>
      <c r="K706" s="9" t="s">
        <v>56</v>
      </c>
      <c r="L706" s="9" t="s">
        <v>57</v>
      </c>
      <c r="M706" s="10" t="s">
        <v>49</v>
      </c>
      <c r="N706" s="9" t="str">
        <f ca="1">IFERROR(__xludf.DUMMYFUNCTION("REGEXEXTRACT(LOWER(M706), ""([a-z0-9\-]+)\.(?:co|net|org|io|gg)"")"),"yahoo")</f>
        <v>yahoo</v>
      </c>
      <c r="O706" s="9" t="s">
        <v>131</v>
      </c>
      <c r="P706" s="9" t="s">
        <v>39</v>
      </c>
      <c r="Q706" s="9">
        <v>1010148</v>
      </c>
      <c r="R706" s="9">
        <v>2874</v>
      </c>
      <c r="S706" s="9">
        <v>699834</v>
      </c>
      <c r="T706" s="9">
        <v>955905</v>
      </c>
      <c r="U706" s="9">
        <v>31</v>
      </c>
      <c r="V706" s="11">
        <v>7788.7016210000002</v>
      </c>
      <c r="W706" s="12">
        <f t="shared" si="14"/>
        <v>251.24843938709677</v>
      </c>
      <c r="X706" s="12">
        <f t="shared" si="15"/>
        <v>0.28451276446619705</v>
      </c>
      <c r="Y706" s="12">
        <f t="shared" si="16"/>
        <v>69.280343078439984</v>
      </c>
      <c r="Z706" s="12">
        <f t="shared" si="17"/>
        <v>11.129355848672684</v>
      </c>
      <c r="AA706" s="12">
        <f t="shared" si="18"/>
        <v>7.7104559143808631</v>
      </c>
      <c r="AB706" s="12">
        <f t="shared" si="19"/>
        <v>2.7100562355601947</v>
      </c>
      <c r="AC706" s="12">
        <f t="shared" si="20"/>
        <v>1.0786360473208072</v>
      </c>
      <c r="AE706" s="13"/>
      <c r="AF706" s="13"/>
    </row>
    <row r="707" spans="1:32">
      <c r="A707" s="8" t="s">
        <v>2309</v>
      </c>
      <c r="B707" s="9" t="s">
        <v>2310</v>
      </c>
      <c r="C707" s="9" t="s">
        <v>2311</v>
      </c>
      <c r="D707" s="9" t="s">
        <v>420</v>
      </c>
      <c r="E707" s="9"/>
      <c r="F707" s="9" t="str">
        <f ca="1">IFERROR(__xludf.DUMMYFUNCTION("IFS(
  REGEXMATCH(LOWER(VLOOKUP(A707, Data1_Raw_Slack!A:B, 2, FALSE)), ""news|weather""), ""News and Weather"", REGEXMATCH(LOWER(VLOOKUP(A707, Data1_Raw_Slack!A:B, 2, FALSE)), ""sports|ufc|nba|nfl|mlb|soccer|sports fans""), ""Sports"",
  REGEXMATCH(LOWER("&amp;"VLOOKUP(A707, Data1_Raw_Slack!A:B, 2, FALSE)), ""fashion|style|clothing|apparel|shoes|accessories|beauty|cosmetics|fashionistas""), ""Fashion and Beauty"",
  REGEXMATCH(LOWER(VLOOKUP(A707, Data1_Raw_Slack!A:B, 2, FALSE)), ""food|cooking|recipe|restaurant|"&amp;"snack|grocery|foodies""), ""Food"",
  REGEXMATCH(LOWER(VLOOKUP(A707, Data1_Raw_Slack!A:B, 2, FALSE)), ""travel|vacation|airline|hotel|trip|flights|travelers""), ""Travel"",
  REGEXMATCH(LOWER(VLOOKUP(A707, Data1_Raw_Slack!A:B, 2, FALSE)), ""fitness|workou"&amp;"t|gym|exercise|yoga|wellness|fitness enthusiasts""), ""Fitness"",
  REGEXMATCH(LOWER(VLOOKUP(A707, Data1_Raw_Slack!A:B, 2, FALSE)), ""health|medical|pharmacy|mental health|doctor|health-conscious""), ""Health"",
  REGEXMATCH(LOWER(VLOOKUP(A707, Data1_Raw_"&amp;"Slack!A:B, 2, FALSE)), ""pets|dogs|cats|animals|pet care|pet lovers""), ""Pets"",
  REGEXMATCH(LOWER(VLOOKUP(A707, Data1_Raw_Slack!A:B, 2, FALSE)), ""games|gaming|game|xbox|playstation|nintendo|gamers""), ""Gaming"",
  REGEXMATCH(LOWER(VLOOKUP(A707, Data1"&amp;"_Raw_Slack!A:B, 2, FALSE)), ""entertainment|movies|tv|netflix|streaming|celebrity|movie lovers|tv fans|hobb|photo|art""), ""Entertainment"",
  REGEXMATCH(LOWER(VLOOKUP(A707, Data1_Raw_Slack!A:B, 2, FALSE)), ""lifestyle|home|interior|decor|living|lifestyle"&amp;" enthusiasts""), ""Lifestyle"",
  REGEXMATCH(LOWER(VLOOKUP(A707, Data1_Raw_Slack!A:B, 2, FALSE)), ""financial|finance|investing|stocks|retirement|banking|credit|debt|loans|savings|personal finance|insurance|econ|ecom|business|retail|occupation|sale|job|ma"&amp;"rketing""), ""Finance"",
  REGEXMATCH(LOWER(VLOOKUP(A707, Data1_Raw_Slack!A:B, 2, FALSE)), ""auto|automotive""), ""Auto"",
  REGEXMATCH(LOWER(VLOOKUP(A707, Data1_Raw_Slack!A:B, 2, FALSE)), ""parenting|moms|dads|kids|toddlers|baby|parent|children""), ""Par"&amp;"enting"",
  REGEXMATCH(LOWER(VLOOKUP(A707, Data1_Raw_Slack!A:B, 2, FALSE)), ""education|students|learning|school|teachers|college|university|academics""), ""Education"",
  REGEXMATCH(LOWER(VLOOKUP(A707, Data1_Raw_Slack!A:B, 2, FALSE)), ""age|gender|dem"&amp;"ographic|family|household""), ""Demographics"",
  REGEXMATCH(LOWER(VLOOKUP(A707, Data1_Raw_Slack!A:B, 2, FALSE)), ""mortgage|real estate""), ""Real Estate"",REGEXMATCH(LOWER(VLOOKUP(A707, Data1_Raw_Slack!A:B, 2, FALSE)), ""technology|tech|gadgets|smartpho"&amp;"ne|electro|apps|devices|computing|ai|robots|software|computer|internet|tele|mobile|tablet""), ""Technology"", REGEXMATCH(LOWER(VLOOKUP(A707, Data1_Raw_Slack!A:B, 2, FALSE)), ""entertainment|purchas|movies|tv|netflix|streaming|celebrity|movie lovers|tv fan"&amp;"s|media|hobb|photo|art|shop""), ""Entertainment"", REGEXMATCH(LOWER(VLOOKUP(A707, Data1_Raw_Slack!A:B, 2, FALSE)), ""law|government|""), ""Law and Government"",
  TRUE, ""Other""
)"),"Fitness")</f>
        <v>Fitness</v>
      </c>
      <c r="G707" s="9"/>
      <c r="H707" s="9" t="s">
        <v>123</v>
      </c>
      <c r="I707" s="9" t="s">
        <v>298</v>
      </c>
      <c r="J707" s="9" t="s">
        <v>62</v>
      </c>
      <c r="K707" s="9" t="s">
        <v>88</v>
      </c>
      <c r="L707" s="9" t="s">
        <v>89</v>
      </c>
      <c r="M707" s="10" t="s">
        <v>207</v>
      </c>
      <c r="N707" s="9" t="str">
        <f ca="1">IFERROR(__xludf.DUMMYFUNCTION("REGEXEXTRACT(LOWER(M707), ""([a-z0-9\-]+)\.(?:co|net|org|io|gg)"")"),"realtor")</f>
        <v>realtor</v>
      </c>
      <c r="O707" s="9" t="s">
        <v>103</v>
      </c>
      <c r="P707" s="9" t="s">
        <v>39</v>
      </c>
      <c r="Q707" s="9">
        <v>10819</v>
      </c>
      <c r="R707" s="9">
        <v>20</v>
      </c>
      <c r="S707" s="9">
        <v>4168</v>
      </c>
      <c r="T707" s="9">
        <v>9768</v>
      </c>
      <c r="U707" s="9">
        <v>2</v>
      </c>
      <c r="V707" s="11">
        <v>1504.3292140000001</v>
      </c>
      <c r="W707" s="12">
        <f t="shared" si="14"/>
        <v>752.16460700000005</v>
      </c>
      <c r="X707" s="12">
        <f t="shared" si="15"/>
        <v>0.18485996857380535</v>
      </c>
      <c r="Y707" s="12">
        <f t="shared" si="16"/>
        <v>38.524817450781036</v>
      </c>
      <c r="Z707" s="12">
        <f t="shared" si="17"/>
        <v>360.9235158349328</v>
      </c>
      <c r="AA707" s="12">
        <f t="shared" si="18"/>
        <v>139.04512561234867</v>
      </c>
      <c r="AB707" s="12">
        <f t="shared" si="19"/>
        <v>75.216460699999999</v>
      </c>
      <c r="AC707" s="12">
        <f t="shared" si="20"/>
        <v>10</v>
      </c>
      <c r="AE707" s="13"/>
      <c r="AF707" s="13"/>
    </row>
    <row r="708" spans="1:32">
      <c r="A708" s="8" t="s">
        <v>2312</v>
      </c>
      <c r="B708" s="9" t="s">
        <v>41</v>
      </c>
      <c r="C708" s="9" t="s">
        <v>661</v>
      </c>
      <c r="D708" s="9" t="s">
        <v>2313</v>
      </c>
      <c r="E708" s="9"/>
      <c r="F708" s="9" t="str">
        <f ca="1">IFERROR(__xludf.DUMMYFUNCTION("IFS(
  REGEXMATCH(LOWER(VLOOKUP(A708, Data1_Raw_Slack!A:B, 2, FALSE)), ""news|weather""), ""News and Weather"", REGEXMATCH(LOWER(VLOOKUP(A708, Data1_Raw_Slack!A:B, 2, FALSE)), ""sports|ufc|nba|nfl|mlb|soccer|sports fans""), ""Sports"",
  REGEXMATCH(LOWER("&amp;"VLOOKUP(A708, Data1_Raw_Slack!A:B, 2, FALSE)), ""fashion|style|clothing|apparel|shoes|accessories|beauty|cosmetics|fashionistas""), ""Fashion and Beauty"",
  REGEXMATCH(LOWER(VLOOKUP(A708, Data1_Raw_Slack!A:B, 2, FALSE)), ""food|cooking|recipe|restaurant|"&amp;"snack|grocery|foodies""), ""Food"",
  REGEXMATCH(LOWER(VLOOKUP(A708, Data1_Raw_Slack!A:B, 2, FALSE)), ""travel|vacation|airline|hotel|trip|flights|travelers""), ""Travel"",
  REGEXMATCH(LOWER(VLOOKUP(A708, Data1_Raw_Slack!A:B, 2, FALSE)), ""fitness|workou"&amp;"t|gym|exercise|yoga|wellness|fitness enthusiasts""), ""Fitness"",
  REGEXMATCH(LOWER(VLOOKUP(A708, Data1_Raw_Slack!A:B, 2, FALSE)), ""health|medical|pharmacy|mental health|doctor|health-conscious""), ""Health"",
  REGEXMATCH(LOWER(VLOOKUP(A708, Data1_Raw_"&amp;"Slack!A:B, 2, FALSE)), ""pets|dogs|cats|animals|pet care|pet lovers""), ""Pets"",
  REGEXMATCH(LOWER(VLOOKUP(A708, Data1_Raw_Slack!A:B, 2, FALSE)), ""games|gaming|game|xbox|playstation|nintendo|gamers""), ""Gaming"",
  REGEXMATCH(LOWER(VLOOKUP(A708, Data1"&amp;"_Raw_Slack!A:B, 2, FALSE)), ""entertainment|movies|tv|netflix|streaming|celebrity|movie lovers|tv fans|hobb|photo|art""), ""Entertainment"",
  REGEXMATCH(LOWER(VLOOKUP(A708, Data1_Raw_Slack!A:B, 2, FALSE)), ""lifestyle|home|interior|decor|living|lifestyle"&amp;" enthusiasts""), ""Lifestyle"",
  REGEXMATCH(LOWER(VLOOKUP(A708, Data1_Raw_Slack!A:B, 2, FALSE)), ""financial|finance|investing|stocks|retirement|banking|credit|debt|loans|savings|personal finance|insurance|econ|ecom|business|retail|occupation|sale|job|ma"&amp;"rketing""), ""Finance"",
  REGEXMATCH(LOWER(VLOOKUP(A708, Data1_Raw_Slack!A:B, 2, FALSE)), ""auto|automotive""), ""Auto"",
  REGEXMATCH(LOWER(VLOOKUP(A708, Data1_Raw_Slack!A:B, 2, FALSE)), ""parenting|moms|dads|kids|toddlers|baby|parent|children""), ""Par"&amp;"enting"",
  REGEXMATCH(LOWER(VLOOKUP(A708, Data1_Raw_Slack!A:B, 2, FALSE)), ""education|students|learning|school|teachers|college|university|academics""), ""Education"",
  REGEXMATCH(LOWER(VLOOKUP(A708, Data1_Raw_Slack!A:B, 2, FALSE)), ""age|gender|dem"&amp;"ographic|family|household""), ""Demographics"",
  REGEXMATCH(LOWER(VLOOKUP(A708, Data1_Raw_Slack!A:B, 2, FALSE)), ""mortgage|real estate""), ""Real Estate"",REGEXMATCH(LOWER(VLOOKUP(A708, Data1_Raw_Slack!A:B, 2, FALSE)), ""technology|tech|gadgets|smartpho"&amp;"ne|electro|apps|devices|computing|ai|robots|software|computer|internet|tele|mobile|tablet""), ""Technology"", REGEXMATCH(LOWER(VLOOKUP(A708, Data1_Raw_Slack!A:B, 2, FALSE)), ""entertainment|purchas|movies|tv|netflix|streaming|celebrity|movie lovers|tv fan"&amp;"s|media|hobb|photo|art|shop""), ""Entertainment"", REGEXMATCH(LOWER(VLOOKUP(A708, Data1_Raw_Slack!A:B, 2, FALSE)), ""law|government|""), ""Law and Government"",
  TRUE, ""Other""
)"),"Law and Government")</f>
        <v>Law and Government</v>
      </c>
      <c r="G708" s="9"/>
      <c r="H708" s="9" t="s">
        <v>32</v>
      </c>
      <c r="I708" s="9" t="s">
        <v>390</v>
      </c>
      <c r="J708" s="9" t="s">
        <v>62</v>
      </c>
      <c r="K708" s="9" t="s">
        <v>236</v>
      </c>
      <c r="L708" s="9" t="s">
        <v>82</v>
      </c>
      <c r="M708" s="10" t="s">
        <v>779</v>
      </c>
      <c r="N708" s="9" t="str">
        <f ca="1">IFERROR(__xludf.DUMMYFUNCTION("REGEXEXTRACT(LOWER(M708), ""([a-z0-9\-]+)\.(?:co|net|org|io|gg)"")"),"flightaware")</f>
        <v>flightaware</v>
      </c>
      <c r="O708" s="9" t="s">
        <v>50</v>
      </c>
      <c r="P708" s="9" t="s">
        <v>39</v>
      </c>
      <c r="Q708" s="9">
        <v>9463</v>
      </c>
      <c r="R708" s="9">
        <v>56</v>
      </c>
      <c r="S708" s="9">
        <v>1518</v>
      </c>
      <c r="T708" s="9">
        <v>8191</v>
      </c>
      <c r="U708" s="9">
        <v>4</v>
      </c>
      <c r="V708" s="11">
        <v>6879.6017069999998</v>
      </c>
      <c r="W708" s="12">
        <f t="shared" si="14"/>
        <v>1719.90042675</v>
      </c>
      <c r="X708" s="12">
        <f t="shared" si="15"/>
        <v>0.59177850575927293</v>
      </c>
      <c r="Y708" s="12">
        <f t="shared" si="16"/>
        <v>16.041424495403149</v>
      </c>
      <c r="Z708" s="12">
        <f t="shared" si="17"/>
        <v>4532.0169347826086</v>
      </c>
      <c r="AA708" s="12">
        <f t="shared" si="18"/>
        <v>727.00007471203628</v>
      </c>
      <c r="AB708" s="12">
        <f t="shared" si="19"/>
        <v>122.85003048214286</v>
      </c>
      <c r="AC708" s="12">
        <f t="shared" si="20"/>
        <v>7.1428571428571423</v>
      </c>
      <c r="AE708" s="13"/>
      <c r="AF708" s="13"/>
    </row>
    <row r="709" spans="1:32">
      <c r="A709" s="8" t="s">
        <v>2314</v>
      </c>
      <c r="B709" s="9" t="s">
        <v>144</v>
      </c>
      <c r="C709" s="9" t="s">
        <v>581</v>
      </c>
      <c r="D709" s="9"/>
      <c r="E709" s="9"/>
      <c r="F709" s="9" t="str">
        <f ca="1">IFERROR(__xludf.DUMMYFUNCTION("IFS(
  REGEXMATCH(LOWER(VLOOKUP(A709, Data1_Raw_Slack!A:B, 2, FALSE)), ""news|weather""), ""News and Weather"", REGEXMATCH(LOWER(VLOOKUP(A709, Data1_Raw_Slack!A:B, 2, FALSE)), ""sports|ufc|nba|nfl|mlb|soccer|sports fans""), ""Sports"",
  REGEXMATCH(LOWER("&amp;"VLOOKUP(A709, Data1_Raw_Slack!A:B, 2, FALSE)), ""fashion|style|clothing|apparel|shoes|accessories|beauty|cosmetics|fashionistas""), ""Fashion and Beauty"",
  REGEXMATCH(LOWER(VLOOKUP(A709, Data1_Raw_Slack!A:B, 2, FALSE)), ""food|cooking|recipe|restaurant|"&amp;"snack|grocery|foodies""), ""Food"",
  REGEXMATCH(LOWER(VLOOKUP(A709, Data1_Raw_Slack!A:B, 2, FALSE)), ""travel|vacation|airline|hotel|trip|flights|travelers""), ""Travel"",
  REGEXMATCH(LOWER(VLOOKUP(A709, Data1_Raw_Slack!A:B, 2, FALSE)), ""fitness|workou"&amp;"t|gym|exercise|yoga|wellness|fitness enthusiasts""), ""Fitness"",
  REGEXMATCH(LOWER(VLOOKUP(A709, Data1_Raw_Slack!A:B, 2, FALSE)), ""health|medical|pharmacy|mental health|doctor|health-conscious""), ""Health"",
  REGEXMATCH(LOWER(VLOOKUP(A709, Data1_Raw_"&amp;"Slack!A:B, 2, FALSE)), ""pets|dogs|cats|animals|pet care|pet lovers""), ""Pets"",
  REGEXMATCH(LOWER(VLOOKUP(A709, Data1_Raw_Slack!A:B, 2, FALSE)), ""games|gaming|game|xbox|playstation|nintendo|gamers""), ""Gaming"",
  REGEXMATCH(LOWER(VLOOKUP(A709, Data1"&amp;"_Raw_Slack!A:B, 2, FALSE)), ""entertainment|movies|tv|netflix|streaming|celebrity|movie lovers|tv fans|hobb|photo|art""), ""Entertainment"",
  REGEXMATCH(LOWER(VLOOKUP(A709, Data1_Raw_Slack!A:B, 2, FALSE)), ""lifestyle|home|interior|decor|living|lifestyle"&amp;" enthusiasts""), ""Lifestyle"",
  REGEXMATCH(LOWER(VLOOKUP(A709, Data1_Raw_Slack!A:B, 2, FALSE)), ""financial|finance|investing|stocks|retirement|banking|credit|debt|loans|savings|personal finance|insurance|econ|ecom|business|retail|occupation|sale|job|ma"&amp;"rketing""), ""Finance"",
  REGEXMATCH(LOWER(VLOOKUP(A709, Data1_Raw_Slack!A:B, 2, FALSE)), ""auto|automotive""), ""Auto"",
  REGEXMATCH(LOWER(VLOOKUP(A709, Data1_Raw_Slack!A:B, 2, FALSE)), ""parenting|moms|dads|kids|toddlers|baby|parent|children""), ""Par"&amp;"enting"",
  REGEXMATCH(LOWER(VLOOKUP(A709, Data1_Raw_Slack!A:B, 2, FALSE)), ""education|students|learning|school|teachers|college|university|academics""), ""Education"",
  REGEXMATCH(LOWER(VLOOKUP(A709, Data1_Raw_Slack!A:B, 2, FALSE)), ""age|gender|dem"&amp;"ographic|family|household""), ""Demographics"",
  REGEXMATCH(LOWER(VLOOKUP(A709, Data1_Raw_Slack!A:B, 2, FALSE)), ""mortgage|real estate""), ""Real Estate"",REGEXMATCH(LOWER(VLOOKUP(A709, Data1_Raw_Slack!A:B, 2, FALSE)), ""technology|tech|gadgets|smartpho"&amp;"ne|electro|apps|devices|computing|ai|robots|software|computer|internet|tele|mobile|tablet""), ""Technology"", REGEXMATCH(LOWER(VLOOKUP(A709, Data1_Raw_Slack!A:B, 2, FALSE)), ""entertainment|purchas|movies|tv|netflix|streaming|celebrity|movie lovers|tv fan"&amp;"s|media|hobb|photo|art|shop""), ""Entertainment"", REGEXMATCH(LOWER(VLOOKUP(A709, Data1_Raw_Slack!A:B, 2, FALSE)), ""law|government|""), ""Law and Government"",
  TRUE, ""Other""
)"),"Finance")</f>
        <v>Finance</v>
      </c>
      <c r="G709" s="9"/>
      <c r="H709" s="9" t="s">
        <v>32</v>
      </c>
      <c r="I709" s="9" t="s">
        <v>415</v>
      </c>
      <c r="J709" s="9" t="s">
        <v>80</v>
      </c>
      <c r="K709" s="9" t="s">
        <v>236</v>
      </c>
      <c r="L709" s="9" t="s">
        <v>82</v>
      </c>
      <c r="M709" s="10" t="s">
        <v>1677</v>
      </c>
      <c r="N709" s="9" t="str">
        <f ca="1">IFERROR(__xludf.DUMMYFUNCTION("REGEXEXTRACT(LOWER(M709), ""([a-z0-9\-]+)\.(?:co|net|org|io|gg)"")"),"essentiallysports")</f>
        <v>essentiallysports</v>
      </c>
      <c r="O709" s="9" t="s">
        <v>50</v>
      </c>
      <c r="P709" s="9" t="s">
        <v>39</v>
      </c>
      <c r="Q709" s="9">
        <v>80408</v>
      </c>
      <c r="R709" s="9">
        <v>199</v>
      </c>
      <c r="S709" s="9">
        <v>13127</v>
      </c>
      <c r="T709" s="9">
        <v>67027</v>
      </c>
      <c r="U709" s="9">
        <v>9</v>
      </c>
      <c r="V709" s="11">
        <v>1788.1116179999999</v>
      </c>
      <c r="W709" s="12">
        <f t="shared" si="14"/>
        <v>198.67906866666667</v>
      </c>
      <c r="X709" s="12">
        <f t="shared" si="15"/>
        <v>0.2474878121579942</v>
      </c>
      <c r="Y709" s="12">
        <f t="shared" si="16"/>
        <v>16.325490000994929</v>
      </c>
      <c r="Z709" s="12">
        <f t="shared" si="17"/>
        <v>136.21631888474136</v>
      </c>
      <c r="AA709" s="12">
        <f t="shared" si="18"/>
        <v>22.237981519251814</v>
      </c>
      <c r="AB709" s="12">
        <f t="shared" si="19"/>
        <v>8.9854855175879393</v>
      </c>
      <c r="AC709" s="12">
        <f t="shared" si="20"/>
        <v>4.5226130653266337</v>
      </c>
      <c r="AE709" s="13"/>
      <c r="AF709" s="13"/>
    </row>
    <row r="710" spans="1:32">
      <c r="A710" s="8" t="s">
        <v>2315</v>
      </c>
      <c r="B710" s="9" t="s">
        <v>92</v>
      </c>
      <c r="C710" s="9" t="s">
        <v>514</v>
      </c>
      <c r="D710" s="9" t="s">
        <v>2147</v>
      </c>
      <c r="E710" s="9"/>
      <c r="F710" s="9" t="str">
        <f ca="1">IFERROR(__xludf.DUMMYFUNCTION("IFS(
  REGEXMATCH(LOWER(VLOOKUP(A710, Data1_Raw_Slack!A:B, 2, FALSE)), ""news|weather""), ""News and Weather"", REGEXMATCH(LOWER(VLOOKUP(A710, Data1_Raw_Slack!A:B, 2, FALSE)), ""sports|ufc|nba|nfl|mlb|soccer|sports fans""), ""Sports"",
  REGEXMATCH(LOWER("&amp;"VLOOKUP(A710, Data1_Raw_Slack!A:B, 2, FALSE)), ""fashion|style|clothing|apparel|shoes|accessories|beauty|cosmetics|fashionistas""), ""Fashion and Beauty"",
  REGEXMATCH(LOWER(VLOOKUP(A710, Data1_Raw_Slack!A:B, 2, FALSE)), ""food|cooking|recipe|restaurant|"&amp;"snack|grocery|foodies""), ""Food"",
  REGEXMATCH(LOWER(VLOOKUP(A710, Data1_Raw_Slack!A:B, 2, FALSE)), ""travel|vacation|airline|hotel|trip|flights|travelers""), ""Travel"",
  REGEXMATCH(LOWER(VLOOKUP(A710, Data1_Raw_Slack!A:B, 2, FALSE)), ""fitness|workou"&amp;"t|gym|exercise|yoga|wellness|fitness enthusiasts""), ""Fitness"",
  REGEXMATCH(LOWER(VLOOKUP(A710, Data1_Raw_Slack!A:B, 2, FALSE)), ""health|medical|pharmacy|mental health|doctor|health-conscious""), ""Health"",
  REGEXMATCH(LOWER(VLOOKUP(A710, Data1_Raw_"&amp;"Slack!A:B, 2, FALSE)), ""pets|dogs|cats|animals|pet care|pet lovers""), ""Pets"",
  REGEXMATCH(LOWER(VLOOKUP(A710, Data1_Raw_Slack!A:B, 2, FALSE)), ""games|gaming|game|xbox|playstation|nintendo|gamers""), ""Gaming"",
  REGEXMATCH(LOWER(VLOOKUP(A710, Data1"&amp;"_Raw_Slack!A:B, 2, FALSE)), ""entertainment|movies|tv|netflix|streaming|celebrity|movie lovers|tv fans|hobb|photo|art""), ""Entertainment"",
  REGEXMATCH(LOWER(VLOOKUP(A710, Data1_Raw_Slack!A:B, 2, FALSE)), ""lifestyle|home|interior|decor|living|lifestyle"&amp;" enthusiasts""), ""Lifestyle"",
  REGEXMATCH(LOWER(VLOOKUP(A710, Data1_Raw_Slack!A:B, 2, FALSE)), ""financial|finance|investing|stocks|retirement|banking|credit|debt|loans|savings|personal finance|insurance|econ|ecom|business|retail|occupation|sale|job|ma"&amp;"rketing""), ""Finance"",
  REGEXMATCH(LOWER(VLOOKUP(A710, Data1_Raw_Slack!A:B, 2, FALSE)), ""auto|automotive""), ""Auto"",
  REGEXMATCH(LOWER(VLOOKUP(A710, Data1_Raw_Slack!A:B, 2, FALSE)), ""parenting|moms|dads|kids|toddlers|baby|parent|children""), ""Par"&amp;"enting"",
  REGEXMATCH(LOWER(VLOOKUP(A710, Data1_Raw_Slack!A:B, 2, FALSE)), ""education|students|learning|school|teachers|college|university|academics""), ""Education"",
  REGEXMATCH(LOWER(VLOOKUP(A710, Data1_Raw_Slack!A:B, 2, FALSE)), ""age|gender|dem"&amp;"ographic|family|household""), ""Demographics"",
  REGEXMATCH(LOWER(VLOOKUP(A710, Data1_Raw_Slack!A:B, 2, FALSE)), ""mortgage|real estate""), ""Real Estate"",REGEXMATCH(LOWER(VLOOKUP(A710, Data1_Raw_Slack!A:B, 2, FALSE)), ""technology|tech|gadgets|smartpho"&amp;"ne|electro|apps|devices|computing|ai|robots|software|computer|internet|tele|mobile|tablet""), ""Technology"", REGEXMATCH(LOWER(VLOOKUP(A710, Data1_Raw_Slack!A:B, 2, FALSE)), ""entertainment|purchas|movies|tv|netflix|streaming|celebrity|movie lovers|tv fan"&amp;"s|media|hobb|photo|art|shop""), ""Entertainment"", REGEXMATCH(LOWER(VLOOKUP(A710, Data1_Raw_Slack!A:B, 2, FALSE)), ""law|government|""), ""Law and Government"",
  TRUE, ""Other""
)"),"Lifestyle")</f>
        <v>Lifestyle</v>
      </c>
      <c r="G710" s="9"/>
      <c r="H710" s="9" t="s">
        <v>32</v>
      </c>
      <c r="I710" s="9" t="s">
        <v>1680</v>
      </c>
      <c r="J710" s="9" t="s">
        <v>80</v>
      </c>
      <c r="K710" s="9" t="s">
        <v>35</v>
      </c>
      <c r="L710" s="9" t="s">
        <v>36</v>
      </c>
      <c r="M710" s="10" t="s">
        <v>90</v>
      </c>
      <c r="N710" s="9" t="str">
        <f ca="1">IFERROR(__xludf.DUMMYFUNCTION("REGEXEXTRACT(LOWER(M710), ""([a-z0-9\-]+)\.(?:co|net|org|io|gg)"")"),"live")</f>
        <v>live</v>
      </c>
      <c r="O710" s="9" t="s">
        <v>131</v>
      </c>
      <c r="P710" s="9" t="s">
        <v>39</v>
      </c>
      <c r="Q710" s="9">
        <v>481526</v>
      </c>
      <c r="R710" s="9">
        <v>1235</v>
      </c>
      <c r="S710" s="9">
        <v>396802</v>
      </c>
      <c r="T710" s="9">
        <v>437639</v>
      </c>
      <c r="U710" s="9">
        <v>23</v>
      </c>
      <c r="V710" s="11">
        <v>2037.8655940000001</v>
      </c>
      <c r="W710" s="12">
        <f t="shared" si="14"/>
        <v>88.60285191304348</v>
      </c>
      <c r="X710" s="12">
        <f t="shared" si="15"/>
        <v>0.25647628580803528</v>
      </c>
      <c r="Y710" s="12">
        <f t="shared" si="16"/>
        <v>82.405103774251032</v>
      </c>
      <c r="Z710" s="12">
        <f t="shared" si="17"/>
        <v>5.1357240991728874</v>
      </c>
      <c r="AA710" s="12">
        <f t="shared" si="18"/>
        <v>4.2320987734826367</v>
      </c>
      <c r="AB710" s="12">
        <f t="shared" si="19"/>
        <v>1.6500935983805669</v>
      </c>
      <c r="AC710" s="12">
        <f t="shared" si="20"/>
        <v>1.8623481781376521</v>
      </c>
      <c r="AE710" s="13"/>
      <c r="AF710" s="13"/>
    </row>
    <row r="711" spans="1:32">
      <c r="A711" s="8" t="s">
        <v>2316</v>
      </c>
      <c r="B711" s="9" t="s">
        <v>52</v>
      </c>
      <c r="C711" s="9" t="s">
        <v>53</v>
      </c>
      <c r="D711" s="9" t="s">
        <v>2317</v>
      </c>
      <c r="E711" s="9"/>
      <c r="F711" s="9" t="str">
        <f ca="1">IFERROR(__xludf.DUMMYFUNCTION("IFS(
  REGEXMATCH(LOWER(VLOOKUP(A711, Data1_Raw_Slack!A:B, 2, FALSE)), ""news|weather""), ""News and Weather"", REGEXMATCH(LOWER(VLOOKUP(A711, Data1_Raw_Slack!A:B, 2, FALSE)), ""sports|ufc|nba|nfl|mlb|soccer|sports fans""), ""Sports"",
  REGEXMATCH(LOWER("&amp;"VLOOKUP(A711, Data1_Raw_Slack!A:B, 2, FALSE)), ""fashion|style|clothing|apparel|shoes|accessories|beauty|cosmetics|fashionistas""), ""Fashion and Beauty"",
  REGEXMATCH(LOWER(VLOOKUP(A711, Data1_Raw_Slack!A:B, 2, FALSE)), ""food|cooking|recipe|restaurant|"&amp;"snack|grocery|foodies""), ""Food"",
  REGEXMATCH(LOWER(VLOOKUP(A711, Data1_Raw_Slack!A:B, 2, FALSE)), ""travel|vacation|airline|hotel|trip|flights|travelers""), ""Travel"",
  REGEXMATCH(LOWER(VLOOKUP(A711, Data1_Raw_Slack!A:B, 2, FALSE)), ""fitness|workou"&amp;"t|gym|exercise|yoga|wellness|fitness enthusiasts""), ""Fitness"",
  REGEXMATCH(LOWER(VLOOKUP(A711, Data1_Raw_Slack!A:B, 2, FALSE)), ""health|medical|pharmacy|mental health|doctor|health-conscious""), ""Health"",
  REGEXMATCH(LOWER(VLOOKUP(A711, Data1_Raw_"&amp;"Slack!A:B, 2, FALSE)), ""pets|dogs|cats|animals|pet care|pet lovers""), ""Pets"",
  REGEXMATCH(LOWER(VLOOKUP(A711, Data1_Raw_Slack!A:B, 2, FALSE)), ""games|gaming|game|xbox|playstation|nintendo|gamers""), ""Gaming"",
  REGEXMATCH(LOWER(VLOOKUP(A711, Data1"&amp;"_Raw_Slack!A:B, 2, FALSE)), ""entertainment|movies|tv|netflix|streaming|celebrity|movie lovers|tv fans|hobb|photo|art""), ""Entertainment"",
  REGEXMATCH(LOWER(VLOOKUP(A711, Data1_Raw_Slack!A:B, 2, FALSE)), ""lifestyle|home|interior|decor|living|lifestyle"&amp;" enthusiasts""), ""Lifestyle"",
  REGEXMATCH(LOWER(VLOOKUP(A711, Data1_Raw_Slack!A:B, 2, FALSE)), ""financial|finance|investing|stocks|retirement|banking|credit|debt|loans|savings|personal finance|insurance|econ|ecom|business|retail|occupation|sale|job|ma"&amp;"rketing""), ""Finance"",
  REGEXMATCH(LOWER(VLOOKUP(A711, Data1_Raw_Slack!A:B, 2, FALSE)), ""auto|automotive""), ""Auto"",
  REGEXMATCH(LOWER(VLOOKUP(A711, Data1_Raw_Slack!A:B, 2, FALSE)), ""parenting|moms|dads|kids|toddlers|baby|parent|children""), ""Par"&amp;"enting"",
  REGEXMATCH(LOWER(VLOOKUP(A711, Data1_Raw_Slack!A:B, 2, FALSE)), ""education|students|learning|school|teachers|college|university|academics""), ""Education"",
  REGEXMATCH(LOWER(VLOOKUP(A711, Data1_Raw_Slack!A:B, 2, FALSE)), ""age|gender|dem"&amp;"ographic|family|household""), ""Demographics"",
  REGEXMATCH(LOWER(VLOOKUP(A711, Data1_Raw_Slack!A:B, 2, FALSE)), ""mortgage|real estate""), ""Real Estate"",REGEXMATCH(LOWER(VLOOKUP(A711, Data1_Raw_Slack!A:B, 2, FALSE)), ""technology|tech|gadgets|smartpho"&amp;"ne|electro|apps|devices|computing|ai|robots|software|computer|internet|tele|mobile|tablet""), ""Technology"", REGEXMATCH(LOWER(VLOOKUP(A711, Data1_Raw_Slack!A:B, 2, FALSE)), ""entertainment|purchas|movies|tv|netflix|streaming|celebrity|movie lovers|tv fan"&amp;"s|media|hobb|photo|art|shop""), ""Entertainment"", REGEXMATCH(LOWER(VLOOKUP(A711, Data1_Raw_Slack!A:B, 2, FALSE)), ""law|government|""), ""Law and Government"",
  TRUE, ""Other""
)"),"Finance")</f>
        <v>Finance</v>
      </c>
      <c r="G711" s="9"/>
      <c r="H711" s="9" t="s">
        <v>123</v>
      </c>
      <c r="I711" s="9" t="s">
        <v>1314</v>
      </c>
      <c r="J711" s="9" t="s">
        <v>46</v>
      </c>
      <c r="K711" s="9" t="s">
        <v>299</v>
      </c>
      <c r="L711" s="9" t="s">
        <v>72</v>
      </c>
      <c r="M711" s="10" t="s">
        <v>434</v>
      </c>
      <c r="N711" s="9" t="str">
        <f ca="1">IFERROR(__xludf.DUMMYFUNCTION("REGEXEXTRACT(LOWER(M711), ""([a-z0-9\-]+)\.(?:co|net|org|io|gg)"")"),"mlb")</f>
        <v>mlb</v>
      </c>
      <c r="O711" s="9" t="s">
        <v>2318</v>
      </c>
      <c r="P711" s="9" t="s">
        <v>39</v>
      </c>
      <c r="Q711" s="9">
        <v>12459</v>
      </c>
      <c r="R711" s="9">
        <v>84</v>
      </c>
      <c r="S711" s="9">
        <v>7290</v>
      </c>
      <c r="T711" s="9">
        <v>11731</v>
      </c>
      <c r="U711" s="9">
        <v>14</v>
      </c>
      <c r="V711" s="11">
        <v>1593.010399</v>
      </c>
      <c r="W711" s="12">
        <f t="shared" si="14"/>
        <v>113.78645707142857</v>
      </c>
      <c r="X711" s="12">
        <f t="shared" si="15"/>
        <v>0.67421141343607027</v>
      </c>
      <c r="Y711" s="12">
        <f t="shared" si="16"/>
        <v>58.511919094630386</v>
      </c>
      <c r="Z711" s="12">
        <f t="shared" si="17"/>
        <v>218.51994499314128</v>
      </c>
      <c r="AA711" s="12">
        <f t="shared" si="18"/>
        <v>127.86021342001766</v>
      </c>
      <c r="AB711" s="12">
        <f t="shared" si="19"/>
        <v>18.964409511904762</v>
      </c>
      <c r="AC711" s="12">
        <f t="shared" si="20"/>
        <v>16.666666666666664</v>
      </c>
      <c r="AE711" s="13"/>
      <c r="AF711" s="13"/>
    </row>
    <row r="712" spans="1:32">
      <c r="A712" s="8" t="s">
        <v>2319</v>
      </c>
      <c r="B712" s="9" t="s">
        <v>41</v>
      </c>
      <c r="C712" s="9" t="s">
        <v>120</v>
      </c>
      <c r="D712" s="9" t="s">
        <v>2303</v>
      </c>
      <c r="E712" s="9"/>
      <c r="F712" s="9" t="str">
        <f ca="1">IFERROR(__xludf.DUMMYFUNCTION("IFS(
  REGEXMATCH(LOWER(VLOOKUP(A712, Data1_Raw_Slack!A:B, 2, FALSE)), ""news|weather""), ""News and Weather"", REGEXMATCH(LOWER(VLOOKUP(A712, Data1_Raw_Slack!A:B, 2, FALSE)), ""sports|ufc|nba|nfl|mlb|soccer|sports fans""), ""Sports"",
  REGEXMATCH(LOWER("&amp;"VLOOKUP(A712, Data1_Raw_Slack!A:B, 2, FALSE)), ""fashion|style|clothing|apparel|shoes|accessories|beauty|cosmetics|fashionistas""), ""Fashion and Beauty"",
  REGEXMATCH(LOWER(VLOOKUP(A712, Data1_Raw_Slack!A:B, 2, FALSE)), ""food|cooking|recipe|restaurant|"&amp;"snack|grocery|foodies""), ""Food"",
  REGEXMATCH(LOWER(VLOOKUP(A712, Data1_Raw_Slack!A:B, 2, FALSE)), ""travel|vacation|airline|hotel|trip|flights|travelers""), ""Travel"",
  REGEXMATCH(LOWER(VLOOKUP(A712, Data1_Raw_Slack!A:B, 2, FALSE)), ""fitness|workou"&amp;"t|gym|exercise|yoga|wellness|fitness enthusiasts""), ""Fitness"",
  REGEXMATCH(LOWER(VLOOKUP(A712, Data1_Raw_Slack!A:B, 2, FALSE)), ""health|medical|pharmacy|mental health|doctor|health-conscious""), ""Health"",
  REGEXMATCH(LOWER(VLOOKUP(A712, Data1_Raw_"&amp;"Slack!A:B, 2, FALSE)), ""pets|dogs|cats|animals|pet care|pet lovers""), ""Pets"",
  REGEXMATCH(LOWER(VLOOKUP(A712, Data1_Raw_Slack!A:B, 2, FALSE)), ""games|gaming|game|xbox|playstation|nintendo|gamers""), ""Gaming"",
  REGEXMATCH(LOWER(VLOOKUP(A712, Data1"&amp;"_Raw_Slack!A:B, 2, FALSE)), ""entertainment|movies|tv|netflix|streaming|celebrity|movie lovers|tv fans|hobb|photo|art""), ""Entertainment"",
  REGEXMATCH(LOWER(VLOOKUP(A712, Data1_Raw_Slack!A:B, 2, FALSE)), ""lifestyle|home|interior|decor|living|lifestyle"&amp;" enthusiasts""), ""Lifestyle"",
  REGEXMATCH(LOWER(VLOOKUP(A712, Data1_Raw_Slack!A:B, 2, FALSE)), ""financial|finance|investing|stocks|retirement|banking|credit|debt|loans|savings|personal finance|insurance|econ|ecom|business|retail|occupation|sale|job|ma"&amp;"rketing""), ""Finance"",
  REGEXMATCH(LOWER(VLOOKUP(A712, Data1_Raw_Slack!A:B, 2, FALSE)), ""auto|automotive""), ""Auto"",
  REGEXMATCH(LOWER(VLOOKUP(A712, Data1_Raw_Slack!A:B, 2, FALSE)), ""parenting|moms|dads|kids|toddlers|baby|parent|children""), ""Par"&amp;"enting"",
  REGEXMATCH(LOWER(VLOOKUP(A712, Data1_Raw_Slack!A:B, 2, FALSE)), ""education|students|learning|school|teachers|college|university|academics""), ""Education"",
  REGEXMATCH(LOWER(VLOOKUP(A712, Data1_Raw_Slack!A:B, 2, FALSE)), ""age|gender|dem"&amp;"ographic|family|household""), ""Demographics"",
  REGEXMATCH(LOWER(VLOOKUP(A712, Data1_Raw_Slack!A:B, 2, FALSE)), ""mortgage|real estate""), ""Real Estate"",REGEXMATCH(LOWER(VLOOKUP(A712, Data1_Raw_Slack!A:B, 2, FALSE)), ""technology|tech|gadgets|smartpho"&amp;"ne|electro|apps|devices|computing|ai|robots|software|computer|internet|tele|mobile|tablet""), ""Technology"", REGEXMATCH(LOWER(VLOOKUP(A712, Data1_Raw_Slack!A:B, 2, FALSE)), ""entertainment|purchas|movies|tv|netflix|streaming|celebrity|movie lovers|tv fan"&amp;"s|media|hobb|photo|art|shop""), ""Entertainment"", REGEXMATCH(LOWER(VLOOKUP(A712, Data1_Raw_Slack!A:B, 2, FALSE)), ""law|government|""), ""Law and Government"",
  TRUE, ""Other""
)"),"Auto")</f>
        <v>Auto</v>
      </c>
      <c r="G712" s="9" t="s">
        <v>122</v>
      </c>
      <c r="H712" s="9" t="s">
        <v>123</v>
      </c>
      <c r="I712" s="9" t="s">
        <v>2320</v>
      </c>
      <c r="J712" s="9" t="s">
        <v>46</v>
      </c>
      <c r="K712" s="9" t="s">
        <v>56</v>
      </c>
      <c r="L712" s="9" t="s">
        <v>57</v>
      </c>
      <c r="M712" s="10" t="s">
        <v>1445</v>
      </c>
      <c r="N712" s="9" t="str">
        <f ca="1">IFERROR(__xludf.DUMMYFUNCTION("REGEXEXTRACT(LOWER(M712), ""([a-z0-9\-]+)\.(?:co|net|org|io|gg)"")"),"insider")</f>
        <v>insider</v>
      </c>
      <c r="O712" s="9" t="s">
        <v>50</v>
      </c>
      <c r="P712" s="9" t="s">
        <v>39</v>
      </c>
      <c r="Q712" s="9">
        <v>89744</v>
      </c>
      <c r="R712" s="9">
        <v>311</v>
      </c>
      <c r="S712" s="9">
        <v>48786</v>
      </c>
      <c r="T712" s="9">
        <v>85900</v>
      </c>
      <c r="U712" s="9">
        <v>3</v>
      </c>
      <c r="V712" s="11">
        <v>6369.8112259999998</v>
      </c>
      <c r="W712" s="12">
        <f t="shared" si="14"/>
        <v>2123.2704086666668</v>
      </c>
      <c r="X712" s="12">
        <f t="shared" si="15"/>
        <v>0.3465412729541808</v>
      </c>
      <c r="Y712" s="12">
        <f t="shared" si="16"/>
        <v>54.361294348368695</v>
      </c>
      <c r="Z712" s="12">
        <f t="shared" si="17"/>
        <v>130.56637613249703</v>
      </c>
      <c r="AA712" s="12">
        <f t="shared" si="18"/>
        <v>70.977572049384918</v>
      </c>
      <c r="AB712" s="12">
        <f t="shared" si="19"/>
        <v>20.481708122186493</v>
      </c>
      <c r="AC712" s="12">
        <f t="shared" si="20"/>
        <v>0.96463022508038598</v>
      </c>
      <c r="AE712" s="13"/>
      <c r="AF712" s="13"/>
    </row>
    <row r="713" spans="1:32">
      <c r="A713" s="8" t="s">
        <v>2321</v>
      </c>
      <c r="B713" s="9" t="s">
        <v>67</v>
      </c>
      <c r="C713" s="9" t="s">
        <v>1538</v>
      </c>
      <c r="D713" s="9" t="s">
        <v>1709</v>
      </c>
      <c r="E713" s="9"/>
      <c r="F713" s="9" t="str">
        <f ca="1">IFERROR(__xludf.DUMMYFUNCTION("IFS(
  REGEXMATCH(LOWER(VLOOKUP(A713, Data1_Raw_Slack!A:B, 2, FALSE)), ""news|weather""), ""News and Weather"", REGEXMATCH(LOWER(VLOOKUP(A713, Data1_Raw_Slack!A:B, 2, FALSE)), ""sports|ufc|nba|nfl|mlb|soccer|sports fans""), ""Sports"",
  REGEXMATCH(LOWER("&amp;"VLOOKUP(A713, Data1_Raw_Slack!A:B, 2, FALSE)), ""fashion|style|clothing|apparel|shoes|accessories|beauty|cosmetics|fashionistas""), ""Fashion and Beauty"",
  REGEXMATCH(LOWER(VLOOKUP(A713, Data1_Raw_Slack!A:B, 2, FALSE)), ""food|cooking|recipe|restaurant|"&amp;"snack|grocery|foodies""), ""Food"",
  REGEXMATCH(LOWER(VLOOKUP(A713, Data1_Raw_Slack!A:B, 2, FALSE)), ""travel|vacation|airline|hotel|trip|flights|travelers""), ""Travel"",
  REGEXMATCH(LOWER(VLOOKUP(A713, Data1_Raw_Slack!A:B, 2, FALSE)), ""fitness|workou"&amp;"t|gym|exercise|yoga|wellness|fitness enthusiasts""), ""Fitness"",
  REGEXMATCH(LOWER(VLOOKUP(A713, Data1_Raw_Slack!A:B, 2, FALSE)), ""health|medical|pharmacy|mental health|doctor|health-conscious""), ""Health"",
  REGEXMATCH(LOWER(VLOOKUP(A713, Data1_Raw_"&amp;"Slack!A:B, 2, FALSE)), ""pets|dogs|cats|animals|pet care|pet lovers""), ""Pets"",
  REGEXMATCH(LOWER(VLOOKUP(A713, Data1_Raw_Slack!A:B, 2, FALSE)), ""games|gaming|game|xbox|playstation|nintendo|gamers""), ""Gaming"",
  REGEXMATCH(LOWER(VLOOKUP(A713, Data1"&amp;"_Raw_Slack!A:B, 2, FALSE)), ""entertainment|movies|tv|netflix|streaming|celebrity|movie lovers|tv fans|hobb|photo|art""), ""Entertainment"",
  REGEXMATCH(LOWER(VLOOKUP(A713, Data1_Raw_Slack!A:B, 2, FALSE)), ""lifestyle|home|interior|decor|living|lifestyle"&amp;" enthusiasts""), ""Lifestyle"",
  REGEXMATCH(LOWER(VLOOKUP(A713, Data1_Raw_Slack!A:B, 2, FALSE)), ""financial|finance|investing|stocks|retirement|banking|credit|debt|loans|savings|personal finance|insurance|econ|ecom|business|retail|occupation|sale|job|ma"&amp;"rketing""), ""Finance"",
  REGEXMATCH(LOWER(VLOOKUP(A713, Data1_Raw_Slack!A:B, 2, FALSE)), ""auto|automotive""), ""Auto"",
  REGEXMATCH(LOWER(VLOOKUP(A713, Data1_Raw_Slack!A:B, 2, FALSE)), ""parenting|moms|dads|kids|toddlers|baby|parent|children""), ""Par"&amp;"enting"",
  REGEXMATCH(LOWER(VLOOKUP(A713, Data1_Raw_Slack!A:B, 2, FALSE)), ""education|students|learning|school|teachers|college|university|academics""), ""Education"",
  REGEXMATCH(LOWER(VLOOKUP(A713, Data1_Raw_Slack!A:B, 2, FALSE)), ""age|gender|dem"&amp;"ographic|family|household""), ""Demographics"",
  REGEXMATCH(LOWER(VLOOKUP(A713, Data1_Raw_Slack!A:B, 2, FALSE)), ""mortgage|real estate""), ""Real Estate"",REGEXMATCH(LOWER(VLOOKUP(A713, Data1_Raw_Slack!A:B, 2, FALSE)), ""technology|tech|gadgets|smartpho"&amp;"ne|electro|apps|devices|computing|ai|robots|software|computer|internet|tele|mobile|tablet""), ""Technology"", REGEXMATCH(LOWER(VLOOKUP(A713, Data1_Raw_Slack!A:B, 2, FALSE)), ""entertainment|purchas|movies|tv|netflix|streaming|celebrity|movie lovers|tv fan"&amp;"s|media|hobb|photo|art|shop""), ""Entertainment"", REGEXMATCH(LOWER(VLOOKUP(A713, Data1_Raw_Slack!A:B, 2, FALSE)), ""law|government|""), ""Law and Government"",
  TRUE, ""Other""
)"),"Entertainment")</f>
        <v>Entertainment</v>
      </c>
      <c r="G713" s="9" t="s">
        <v>135</v>
      </c>
      <c r="H713" s="9" t="s">
        <v>44</v>
      </c>
      <c r="I713" s="9" t="s">
        <v>2322</v>
      </c>
      <c r="J713" s="9" t="s">
        <v>46</v>
      </c>
      <c r="K713" s="9" t="s">
        <v>56</v>
      </c>
      <c r="L713" s="9" t="s">
        <v>57</v>
      </c>
      <c r="M713" s="10" t="s">
        <v>2323</v>
      </c>
      <c r="N713" s="9" t="str">
        <f ca="1">IFERROR(__xludf.DUMMYFUNCTION("REGEXEXTRACT(LOWER(M713), ""([a-z0-9\-]+)\.(?:co|net|org|io|gg)"")"),"womenshealthmag")</f>
        <v>womenshealthmag</v>
      </c>
      <c r="O713" s="9" t="s">
        <v>103</v>
      </c>
      <c r="P713" s="9" t="s">
        <v>39</v>
      </c>
      <c r="Q713" s="9">
        <v>14693</v>
      </c>
      <c r="R713" s="9">
        <v>70</v>
      </c>
      <c r="S713" s="9">
        <v>6597</v>
      </c>
      <c r="T713" s="9">
        <v>13508</v>
      </c>
      <c r="U713" s="9">
        <v>4</v>
      </c>
      <c r="V713" s="11">
        <v>2047.3489239999999</v>
      </c>
      <c r="W713" s="12">
        <f t="shared" si="14"/>
        <v>511.83723099999997</v>
      </c>
      <c r="X713" s="12">
        <f t="shared" si="15"/>
        <v>0.47641734159123394</v>
      </c>
      <c r="Y713" s="12">
        <f t="shared" si="16"/>
        <v>44.898931463962434</v>
      </c>
      <c r="Z713" s="12">
        <f t="shared" si="17"/>
        <v>310.34544853721383</v>
      </c>
      <c r="AA713" s="12">
        <f t="shared" si="18"/>
        <v>139.34179024025045</v>
      </c>
      <c r="AB713" s="12">
        <f t="shared" si="19"/>
        <v>29.247841771428568</v>
      </c>
      <c r="AC713" s="12">
        <f t="shared" si="20"/>
        <v>5.7142857142857144</v>
      </c>
      <c r="AE713" s="13"/>
      <c r="AF713" s="13"/>
    </row>
    <row r="714" spans="1:32">
      <c r="A714" s="8" t="s">
        <v>2324</v>
      </c>
      <c r="B714" s="9" t="s">
        <v>41</v>
      </c>
      <c r="C714" s="9" t="s">
        <v>42</v>
      </c>
      <c r="D714" s="9" t="s">
        <v>2325</v>
      </c>
      <c r="E714" s="9"/>
      <c r="F714" s="9" t="str">
        <f ca="1">IFERROR(__xludf.DUMMYFUNCTION("IFS(
  REGEXMATCH(LOWER(VLOOKUP(A714, Data1_Raw_Slack!A:B, 2, FALSE)), ""news|weather""), ""News and Weather"", REGEXMATCH(LOWER(VLOOKUP(A714, Data1_Raw_Slack!A:B, 2, FALSE)), ""sports|ufc|nba|nfl|mlb|soccer|sports fans""), ""Sports"",
  REGEXMATCH(LOWER("&amp;"VLOOKUP(A714, Data1_Raw_Slack!A:B, 2, FALSE)), ""fashion|style|clothing|apparel|shoes|accessories|beauty|cosmetics|fashionistas""), ""Fashion and Beauty"",
  REGEXMATCH(LOWER(VLOOKUP(A714, Data1_Raw_Slack!A:B, 2, FALSE)), ""food|cooking|recipe|restaurant|"&amp;"snack|grocery|foodies""), ""Food"",
  REGEXMATCH(LOWER(VLOOKUP(A714, Data1_Raw_Slack!A:B, 2, FALSE)), ""travel|vacation|airline|hotel|trip|flights|travelers""), ""Travel"",
  REGEXMATCH(LOWER(VLOOKUP(A714, Data1_Raw_Slack!A:B, 2, FALSE)), ""fitness|workou"&amp;"t|gym|exercise|yoga|wellness|fitness enthusiasts""), ""Fitness"",
  REGEXMATCH(LOWER(VLOOKUP(A714, Data1_Raw_Slack!A:B, 2, FALSE)), ""health|medical|pharmacy|mental health|doctor|health-conscious""), ""Health"",
  REGEXMATCH(LOWER(VLOOKUP(A714, Data1_Raw_"&amp;"Slack!A:B, 2, FALSE)), ""pets|dogs|cats|animals|pet care|pet lovers""), ""Pets"",
  REGEXMATCH(LOWER(VLOOKUP(A714, Data1_Raw_Slack!A:B, 2, FALSE)), ""games|gaming|game|xbox|playstation|nintendo|gamers""), ""Gaming"",
  REGEXMATCH(LOWER(VLOOKUP(A714, Data1"&amp;"_Raw_Slack!A:B, 2, FALSE)), ""entertainment|movies|tv|netflix|streaming|celebrity|movie lovers|tv fans|hobb|photo|art""), ""Entertainment"",
  REGEXMATCH(LOWER(VLOOKUP(A714, Data1_Raw_Slack!A:B, 2, FALSE)), ""lifestyle|home|interior|decor|living|lifestyle"&amp;" enthusiasts""), ""Lifestyle"",
  REGEXMATCH(LOWER(VLOOKUP(A714, Data1_Raw_Slack!A:B, 2, FALSE)), ""financial|finance|investing|stocks|retirement|banking|credit|debt|loans|savings|personal finance|insurance|econ|ecom|business|retail|occupation|sale|job|ma"&amp;"rketing""), ""Finance"",
  REGEXMATCH(LOWER(VLOOKUP(A714, Data1_Raw_Slack!A:B, 2, FALSE)), ""auto|automotive""), ""Auto"",
  REGEXMATCH(LOWER(VLOOKUP(A714, Data1_Raw_Slack!A:B, 2, FALSE)), ""parenting|moms|dads|kids|toddlers|baby|parent|children""), ""Par"&amp;"enting"",
  REGEXMATCH(LOWER(VLOOKUP(A714, Data1_Raw_Slack!A:B, 2, FALSE)), ""education|students|learning|school|teachers|college|university|academics""), ""Education"",
  REGEXMATCH(LOWER(VLOOKUP(A714, Data1_Raw_Slack!A:B, 2, FALSE)), ""age|gender|dem"&amp;"ographic|family|household""), ""Demographics"",
  REGEXMATCH(LOWER(VLOOKUP(A714, Data1_Raw_Slack!A:B, 2, FALSE)), ""mortgage|real estate""), ""Real Estate"",REGEXMATCH(LOWER(VLOOKUP(A714, Data1_Raw_Slack!A:B, 2, FALSE)), ""technology|tech|gadgets|smartpho"&amp;"ne|electro|apps|devices|computing|ai|robots|software|computer|internet|tele|mobile|tablet""), ""Technology"", REGEXMATCH(LOWER(VLOOKUP(A714, Data1_Raw_Slack!A:B, 2, FALSE)), ""entertainment|purchas|movies|tv|netflix|streaming|celebrity|movie lovers|tv fan"&amp;"s|media|hobb|photo|art|shop""), ""Entertainment"", REGEXMATCH(LOWER(VLOOKUP(A714, Data1_Raw_Slack!A:B, 2, FALSE)), ""law|government|""), ""Law and Government"",
  TRUE, ""Other""
)"),"Law and Government")</f>
        <v>Law and Government</v>
      </c>
      <c r="G714" s="9"/>
      <c r="H714" s="9" t="s">
        <v>44</v>
      </c>
      <c r="I714" s="9" t="s">
        <v>1271</v>
      </c>
      <c r="J714" s="9" t="s">
        <v>80</v>
      </c>
      <c r="K714" s="9" t="s">
        <v>405</v>
      </c>
      <c r="L714" s="9" t="s">
        <v>72</v>
      </c>
      <c r="M714" s="10" t="s">
        <v>130</v>
      </c>
      <c r="N714" s="9" t="str">
        <f ca="1">IFERROR(__xludf.DUMMYFUNCTION("REGEXEXTRACT(LOWER(M714), ""([a-z0-9\-]+)\.(?:co|net|org|io|gg)"")"),"weather")</f>
        <v>weather</v>
      </c>
      <c r="O714" s="9" t="s">
        <v>50</v>
      </c>
      <c r="P714" s="9" t="s">
        <v>64</v>
      </c>
      <c r="Q714" s="9">
        <v>45668</v>
      </c>
      <c r="R714" s="9">
        <v>130</v>
      </c>
      <c r="S714" s="9">
        <v>16872</v>
      </c>
      <c r="T714" s="9">
        <v>32085</v>
      </c>
      <c r="U714" s="9">
        <v>9</v>
      </c>
      <c r="V714" s="11">
        <v>3444.2029459999999</v>
      </c>
      <c r="W714" s="12">
        <f t="shared" si="14"/>
        <v>382.68921622222223</v>
      </c>
      <c r="X714" s="12">
        <f t="shared" si="15"/>
        <v>0.2846632215117807</v>
      </c>
      <c r="Y714" s="12">
        <f t="shared" si="16"/>
        <v>36.944906718052032</v>
      </c>
      <c r="Z714" s="12">
        <f t="shared" si="17"/>
        <v>204.13720637743006</v>
      </c>
      <c r="AA714" s="12">
        <f t="shared" si="18"/>
        <v>75.418300472978885</v>
      </c>
      <c r="AB714" s="12">
        <f t="shared" si="19"/>
        <v>26.493868815384616</v>
      </c>
      <c r="AC714" s="12">
        <f t="shared" si="20"/>
        <v>6.9230769230769234</v>
      </c>
      <c r="AE714" s="13"/>
      <c r="AF714" s="13"/>
    </row>
    <row r="715" spans="1:32">
      <c r="A715" s="8" t="s">
        <v>2326</v>
      </c>
      <c r="B715" s="9" t="s">
        <v>498</v>
      </c>
      <c r="C715" s="9" t="s">
        <v>135</v>
      </c>
      <c r="D715" s="9"/>
      <c r="E715" s="9"/>
      <c r="F715" s="9" t="str">
        <f ca="1">IFERROR(__xludf.DUMMYFUNCTION("IFS(
  REGEXMATCH(LOWER(VLOOKUP(A715, Data1_Raw_Slack!A:B, 2, FALSE)), ""news|weather""), ""News and Weather"", REGEXMATCH(LOWER(VLOOKUP(A715, Data1_Raw_Slack!A:B, 2, FALSE)), ""sports|ufc|nba|nfl|mlb|soccer|sports fans""), ""Sports"",
  REGEXMATCH(LOWER("&amp;"VLOOKUP(A715, Data1_Raw_Slack!A:B, 2, FALSE)), ""fashion|style|clothing|apparel|shoes|accessories|beauty|cosmetics|fashionistas""), ""Fashion and Beauty"",
  REGEXMATCH(LOWER(VLOOKUP(A715, Data1_Raw_Slack!A:B, 2, FALSE)), ""food|cooking|recipe|restaurant|"&amp;"snack|grocery|foodies""), ""Food"",
  REGEXMATCH(LOWER(VLOOKUP(A715, Data1_Raw_Slack!A:B, 2, FALSE)), ""travel|vacation|airline|hotel|trip|flights|travelers""), ""Travel"",
  REGEXMATCH(LOWER(VLOOKUP(A715, Data1_Raw_Slack!A:B, 2, FALSE)), ""fitness|workou"&amp;"t|gym|exercise|yoga|wellness|fitness enthusiasts""), ""Fitness"",
  REGEXMATCH(LOWER(VLOOKUP(A715, Data1_Raw_Slack!A:B, 2, FALSE)), ""health|medical|pharmacy|mental health|doctor|health-conscious""), ""Health"",
  REGEXMATCH(LOWER(VLOOKUP(A715, Data1_Raw_"&amp;"Slack!A:B, 2, FALSE)), ""pets|dogs|cats|animals|pet care|pet lovers""), ""Pets"",
  REGEXMATCH(LOWER(VLOOKUP(A715, Data1_Raw_Slack!A:B, 2, FALSE)), ""games|gaming|game|xbox|playstation|nintendo|gamers""), ""Gaming"",
  REGEXMATCH(LOWER(VLOOKUP(A715, Data1"&amp;"_Raw_Slack!A:B, 2, FALSE)), ""entertainment|movies|tv|netflix|streaming|celebrity|movie lovers|tv fans|hobb|photo|art""), ""Entertainment"",
  REGEXMATCH(LOWER(VLOOKUP(A715, Data1_Raw_Slack!A:B, 2, FALSE)), ""lifestyle|home|interior|decor|living|lifestyle"&amp;" enthusiasts""), ""Lifestyle"",
  REGEXMATCH(LOWER(VLOOKUP(A715, Data1_Raw_Slack!A:B, 2, FALSE)), ""financial|finance|investing|stocks|retirement|banking|credit|debt|loans|savings|personal finance|insurance|econ|ecom|business|retail|occupation|sale|job|ma"&amp;"rketing""), ""Finance"",
  REGEXMATCH(LOWER(VLOOKUP(A715, Data1_Raw_Slack!A:B, 2, FALSE)), ""auto|automotive""), ""Auto"",
  REGEXMATCH(LOWER(VLOOKUP(A715, Data1_Raw_Slack!A:B, 2, FALSE)), ""parenting|moms|dads|kids|toddlers|baby|parent|children""), ""Par"&amp;"enting"",
  REGEXMATCH(LOWER(VLOOKUP(A715, Data1_Raw_Slack!A:B, 2, FALSE)), ""education|students|learning|school|teachers|college|university|academics""), ""Education"",
  REGEXMATCH(LOWER(VLOOKUP(A715, Data1_Raw_Slack!A:B, 2, FALSE)), ""age|gender|dem"&amp;"ographic|family|household""), ""Demographics"",
  REGEXMATCH(LOWER(VLOOKUP(A715, Data1_Raw_Slack!A:B, 2, FALSE)), ""mortgage|real estate""), ""Real Estate"",REGEXMATCH(LOWER(VLOOKUP(A715, Data1_Raw_Slack!A:B, 2, FALSE)), ""technology|tech|gadgets|smartpho"&amp;"ne|electro|apps|devices|computing|ai|robots|software|computer|internet|tele|mobile|tablet""), ""Technology"", REGEXMATCH(LOWER(VLOOKUP(A715, Data1_Raw_Slack!A:B, 2, FALSE)), ""entertainment|purchas|movies|tv|netflix|streaming|celebrity|movie lovers|tv fan"&amp;"s|media|hobb|photo|art|shop""), ""Entertainment"", REGEXMATCH(LOWER(VLOOKUP(A715, Data1_Raw_Slack!A:B, 2, FALSE)), ""law|government|""), ""Law and Government"",
  TRUE, ""Other""
)"),"Technology")</f>
        <v>Technology</v>
      </c>
      <c r="G715" s="9" t="s">
        <v>135</v>
      </c>
      <c r="H715" s="9" t="s">
        <v>32</v>
      </c>
      <c r="I715" s="9" t="s">
        <v>2327</v>
      </c>
      <c r="J715" s="9" t="s">
        <v>80</v>
      </c>
      <c r="K715" s="9" t="s">
        <v>88</v>
      </c>
      <c r="L715" s="9" t="s">
        <v>89</v>
      </c>
      <c r="M715" s="10" t="s">
        <v>402</v>
      </c>
      <c r="N715" s="9" t="str">
        <f ca="1">IFERROR(__xludf.DUMMYFUNCTION("REGEXEXTRACT(LOWER(M715), ""([a-z0-9\-]+)\.(?:co|net|org|io|gg)"")"),"timesofindia")</f>
        <v>timesofindia</v>
      </c>
      <c r="O715" s="9" t="s">
        <v>50</v>
      </c>
      <c r="P715" s="9" t="s">
        <v>39</v>
      </c>
      <c r="Q715" s="9">
        <v>9059</v>
      </c>
      <c r="R715" s="9">
        <v>22</v>
      </c>
      <c r="S715" s="9">
        <v>589</v>
      </c>
      <c r="T715" s="9">
        <v>7480</v>
      </c>
      <c r="U715" s="9">
        <v>4</v>
      </c>
      <c r="V715" s="11">
        <v>1908.5261170000001</v>
      </c>
      <c r="W715" s="12">
        <f t="shared" si="14"/>
        <v>477.13152925000003</v>
      </c>
      <c r="X715" s="12">
        <f t="shared" si="15"/>
        <v>0.24285241196600069</v>
      </c>
      <c r="Y715" s="12">
        <f t="shared" si="16"/>
        <v>6.5018213930897444</v>
      </c>
      <c r="Z715" s="12">
        <f t="shared" si="17"/>
        <v>3240.2820322580646</v>
      </c>
      <c r="AA715" s="12">
        <f t="shared" si="18"/>
        <v>210.67735036979801</v>
      </c>
      <c r="AB715" s="12">
        <f t="shared" si="19"/>
        <v>86.75118713636364</v>
      </c>
      <c r="AC715" s="12">
        <f t="shared" si="20"/>
        <v>18.181818181818183</v>
      </c>
      <c r="AE715" s="13"/>
      <c r="AF715" s="13"/>
    </row>
    <row r="716" spans="1:32">
      <c r="A716" s="8" t="s">
        <v>2328</v>
      </c>
      <c r="B716" s="9" t="s">
        <v>92</v>
      </c>
      <c r="C716" s="9" t="s">
        <v>851</v>
      </c>
      <c r="D716" s="9" t="s">
        <v>2329</v>
      </c>
      <c r="E716" s="9"/>
      <c r="F716" s="9" t="str">
        <f ca="1">IFERROR(__xludf.DUMMYFUNCTION("IFS(
  REGEXMATCH(LOWER(VLOOKUP(A716, Data1_Raw_Slack!A:B, 2, FALSE)), ""news|weather""), ""News and Weather"", REGEXMATCH(LOWER(VLOOKUP(A716, Data1_Raw_Slack!A:B, 2, FALSE)), ""sports|ufc|nba|nfl|mlb|soccer|sports fans""), ""Sports"",
  REGEXMATCH(LOWER("&amp;"VLOOKUP(A716, Data1_Raw_Slack!A:B, 2, FALSE)), ""fashion|style|clothing|apparel|shoes|accessories|beauty|cosmetics|fashionistas""), ""Fashion and Beauty"",
  REGEXMATCH(LOWER(VLOOKUP(A716, Data1_Raw_Slack!A:B, 2, FALSE)), ""food|cooking|recipe|restaurant|"&amp;"snack|grocery|foodies""), ""Food"",
  REGEXMATCH(LOWER(VLOOKUP(A716, Data1_Raw_Slack!A:B, 2, FALSE)), ""travel|vacation|airline|hotel|trip|flights|travelers""), ""Travel"",
  REGEXMATCH(LOWER(VLOOKUP(A716, Data1_Raw_Slack!A:B, 2, FALSE)), ""fitness|workou"&amp;"t|gym|exercise|yoga|wellness|fitness enthusiasts""), ""Fitness"",
  REGEXMATCH(LOWER(VLOOKUP(A716, Data1_Raw_Slack!A:B, 2, FALSE)), ""health|medical|pharmacy|mental health|doctor|health-conscious""), ""Health"",
  REGEXMATCH(LOWER(VLOOKUP(A716, Data1_Raw_"&amp;"Slack!A:B, 2, FALSE)), ""pets|dogs|cats|animals|pet care|pet lovers""), ""Pets"",
  REGEXMATCH(LOWER(VLOOKUP(A716, Data1_Raw_Slack!A:B, 2, FALSE)), ""games|gaming|game|xbox|playstation|nintendo|gamers""), ""Gaming"",
  REGEXMATCH(LOWER(VLOOKUP(A716, Data1"&amp;"_Raw_Slack!A:B, 2, FALSE)), ""entertainment|movies|tv|netflix|streaming|celebrity|movie lovers|tv fans|hobb|photo|art""), ""Entertainment"",
  REGEXMATCH(LOWER(VLOOKUP(A716, Data1_Raw_Slack!A:B, 2, FALSE)), ""lifestyle|home|interior|decor|living|lifestyle"&amp;" enthusiasts""), ""Lifestyle"",
  REGEXMATCH(LOWER(VLOOKUP(A716, Data1_Raw_Slack!A:B, 2, FALSE)), ""financial|finance|investing|stocks|retirement|banking|credit|debt|loans|savings|personal finance|insurance|econ|ecom|business|retail|occupation|sale|job|ma"&amp;"rketing""), ""Finance"",
  REGEXMATCH(LOWER(VLOOKUP(A716, Data1_Raw_Slack!A:B, 2, FALSE)), ""auto|automotive""), ""Auto"",
  REGEXMATCH(LOWER(VLOOKUP(A716, Data1_Raw_Slack!A:B, 2, FALSE)), ""parenting|moms|dads|kids|toddlers|baby|parent|children""), ""Par"&amp;"enting"",
  REGEXMATCH(LOWER(VLOOKUP(A716, Data1_Raw_Slack!A:B, 2, FALSE)), ""education|students|learning|school|teachers|college|university|academics""), ""Education"",
  REGEXMATCH(LOWER(VLOOKUP(A716, Data1_Raw_Slack!A:B, 2, FALSE)), ""age|gender|dem"&amp;"ographic|family|household""), ""Demographics"",
  REGEXMATCH(LOWER(VLOOKUP(A716, Data1_Raw_Slack!A:B, 2, FALSE)), ""mortgage|real estate""), ""Real Estate"",REGEXMATCH(LOWER(VLOOKUP(A716, Data1_Raw_Slack!A:B, 2, FALSE)), ""technology|tech|gadgets|smartpho"&amp;"ne|electro|apps|devices|computing|ai|robots|software|computer|internet|tele|mobile|tablet""), ""Technology"", REGEXMATCH(LOWER(VLOOKUP(A716, Data1_Raw_Slack!A:B, 2, FALSE)), ""entertainment|purchas|movies|tv|netflix|streaming|celebrity|movie lovers|tv fan"&amp;"s|media|hobb|photo|art|shop""), ""Entertainment"", REGEXMATCH(LOWER(VLOOKUP(A716, Data1_Raw_Slack!A:B, 2, FALSE)), ""law|government|""), ""Law and Government"",
  TRUE, ""Other""
)"),"Demographics")</f>
        <v>Demographics</v>
      </c>
      <c r="G716" s="9"/>
      <c r="H716" s="9" t="s">
        <v>32</v>
      </c>
      <c r="I716" s="9" t="s">
        <v>2330</v>
      </c>
      <c r="J716" s="9" t="s">
        <v>80</v>
      </c>
      <c r="K716" s="9" t="s">
        <v>2331</v>
      </c>
      <c r="L716" s="9" t="s">
        <v>2332</v>
      </c>
      <c r="M716" s="10" t="s">
        <v>888</v>
      </c>
      <c r="N716" s="9" t="str">
        <f ca="1">IFERROR(__xludf.DUMMYFUNCTION("REGEXEXTRACT(LOWER(M716), ""([a-z0-9\-]+)\.(?:co|net|org|io|gg)"")"),"microsoftcasualgames")</f>
        <v>microsoftcasualgames</v>
      </c>
      <c r="O716" s="9" t="s">
        <v>74</v>
      </c>
      <c r="P716" s="9" t="s">
        <v>39</v>
      </c>
      <c r="Q716" s="9">
        <v>68114</v>
      </c>
      <c r="R716" s="9">
        <v>174</v>
      </c>
      <c r="S716" s="9">
        <v>569</v>
      </c>
      <c r="T716" s="9">
        <v>2059</v>
      </c>
      <c r="U716" s="9">
        <v>15</v>
      </c>
      <c r="V716" s="11">
        <v>2753.7119859999998</v>
      </c>
      <c r="W716" s="12">
        <f t="shared" si="14"/>
        <v>183.58079906666666</v>
      </c>
      <c r="X716" s="12">
        <f t="shared" si="15"/>
        <v>0.25545409166984762</v>
      </c>
      <c r="Y716" s="12">
        <f t="shared" si="16"/>
        <v>0.8353642422996741</v>
      </c>
      <c r="Z716" s="12">
        <f t="shared" si="17"/>
        <v>4839.5641230228466</v>
      </c>
      <c r="AA716" s="12">
        <f t="shared" si="18"/>
        <v>40.427988166896668</v>
      </c>
      <c r="AB716" s="12">
        <f t="shared" si="19"/>
        <v>15.825930954022988</v>
      </c>
      <c r="AC716" s="12">
        <f t="shared" si="20"/>
        <v>8.6206896551724146</v>
      </c>
      <c r="AE716" s="13"/>
      <c r="AF716" s="13"/>
    </row>
    <row r="717" spans="1:32">
      <c r="A717" s="8" t="s">
        <v>2333</v>
      </c>
      <c r="B717" s="9" t="s">
        <v>41</v>
      </c>
      <c r="C717" s="9" t="s">
        <v>319</v>
      </c>
      <c r="D717" s="9" t="s">
        <v>320</v>
      </c>
      <c r="E717" s="9" t="s">
        <v>2334</v>
      </c>
      <c r="F717" s="9" t="str">
        <f ca="1">IFERROR(__xludf.DUMMYFUNCTION("IFS(
  REGEXMATCH(LOWER(VLOOKUP(A717, Data1_Raw_Slack!A:B, 2, FALSE)), ""news|weather""), ""News and Weather"", REGEXMATCH(LOWER(VLOOKUP(A717, Data1_Raw_Slack!A:B, 2, FALSE)), ""sports|ufc|nba|nfl|mlb|soccer|sports fans""), ""Sports"",
  REGEXMATCH(LOWER("&amp;"VLOOKUP(A717, Data1_Raw_Slack!A:B, 2, FALSE)), ""fashion|style|clothing|apparel|shoes|accessories|beauty|cosmetics|fashionistas""), ""Fashion and Beauty"",
  REGEXMATCH(LOWER(VLOOKUP(A717, Data1_Raw_Slack!A:B, 2, FALSE)), ""food|cooking|recipe|restaurant|"&amp;"snack|grocery|foodies""), ""Food"",
  REGEXMATCH(LOWER(VLOOKUP(A717, Data1_Raw_Slack!A:B, 2, FALSE)), ""travel|vacation|airline|hotel|trip|flights|travelers""), ""Travel"",
  REGEXMATCH(LOWER(VLOOKUP(A717, Data1_Raw_Slack!A:B, 2, FALSE)), ""fitness|workou"&amp;"t|gym|exercise|yoga|wellness|fitness enthusiasts""), ""Fitness"",
  REGEXMATCH(LOWER(VLOOKUP(A717, Data1_Raw_Slack!A:B, 2, FALSE)), ""health|medical|pharmacy|mental health|doctor|health-conscious""), ""Health"",
  REGEXMATCH(LOWER(VLOOKUP(A717, Data1_Raw_"&amp;"Slack!A:B, 2, FALSE)), ""pets|dogs|cats|animals|pet care|pet lovers""), ""Pets"",
  REGEXMATCH(LOWER(VLOOKUP(A717, Data1_Raw_Slack!A:B, 2, FALSE)), ""games|gaming|game|xbox|playstation|nintendo|gamers""), ""Gaming"",
  REGEXMATCH(LOWER(VLOOKUP(A717, Data1"&amp;"_Raw_Slack!A:B, 2, FALSE)), ""entertainment|movies|tv|netflix|streaming|celebrity|movie lovers|tv fans|hobb|photo|art""), ""Entertainment"",
  REGEXMATCH(LOWER(VLOOKUP(A717, Data1_Raw_Slack!A:B, 2, FALSE)), ""lifestyle|home|interior|decor|living|lifestyle"&amp;" enthusiasts""), ""Lifestyle"",
  REGEXMATCH(LOWER(VLOOKUP(A717, Data1_Raw_Slack!A:B, 2, FALSE)), ""financial|finance|investing|stocks|retirement|banking|credit|debt|loans|savings|personal finance|insurance|econ|ecom|business|retail|occupation|sale|job|ma"&amp;"rketing""), ""Finance"",
  REGEXMATCH(LOWER(VLOOKUP(A717, Data1_Raw_Slack!A:B, 2, FALSE)), ""auto|automotive""), ""Auto"",
  REGEXMATCH(LOWER(VLOOKUP(A717, Data1_Raw_Slack!A:B, 2, FALSE)), ""parenting|moms|dads|kids|toddlers|baby|parent|children""), ""Par"&amp;"enting"",
  REGEXMATCH(LOWER(VLOOKUP(A717, Data1_Raw_Slack!A:B, 2, FALSE)), ""education|students|learning|school|teachers|college|university|academics""), ""Education"",
  REGEXMATCH(LOWER(VLOOKUP(A717, Data1_Raw_Slack!A:B, 2, FALSE)), ""age|gender|dem"&amp;"ographic|family|household""), ""Demographics"",
  REGEXMATCH(LOWER(VLOOKUP(A717, Data1_Raw_Slack!A:B, 2, FALSE)), ""mortgage|real estate""), ""Real Estate"",REGEXMATCH(LOWER(VLOOKUP(A717, Data1_Raw_Slack!A:B, 2, FALSE)), ""technology|tech|gadgets|smartpho"&amp;"ne|electro|apps|devices|computing|ai|robots|software|computer|internet|tele|mobile|tablet""), ""Technology"", REGEXMATCH(LOWER(VLOOKUP(A717, Data1_Raw_Slack!A:B, 2, FALSE)), ""entertainment|purchas|movies|tv|netflix|streaming|celebrity|movie lovers|tv fan"&amp;"s|media|hobb|photo|art|shop""), ""Entertainment"", REGEXMATCH(LOWER(VLOOKUP(A717, Data1_Raw_Slack!A:B, 2, FALSE)), ""law|government|""), ""Law and Government"",
  TRUE, ""Other""
)"),"Food")</f>
        <v>Food</v>
      </c>
      <c r="G717" s="9"/>
      <c r="H717" s="9" t="s">
        <v>32</v>
      </c>
      <c r="I717" s="9" t="s">
        <v>2335</v>
      </c>
      <c r="J717" s="9" t="s">
        <v>80</v>
      </c>
      <c r="K717" s="9" t="s">
        <v>405</v>
      </c>
      <c r="L717" s="9" t="s">
        <v>72</v>
      </c>
      <c r="M717" s="10" t="s">
        <v>339</v>
      </c>
      <c r="N717" s="9" t="str">
        <f ca="1">IFERROR(__xludf.DUMMYFUNCTION("REGEXEXTRACT(LOWER(M717), ""([a-z0-9\-]+)\.(?:co|net|org|io|gg)"")"),"foxnews")</f>
        <v>foxnews</v>
      </c>
      <c r="O717" s="9" t="s">
        <v>103</v>
      </c>
      <c r="P717" s="9" t="s">
        <v>39</v>
      </c>
      <c r="Q717" s="9">
        <v>63794</v>
      </c>
      <c r="R717" s="9">
        <v>200</v>
      </c>
      <c r="S717" s="9">
        <v>46557</v>
      </c>
      <c r="T717" s="9">
        <v>60868</v>
      </c>
      <c r="U717" s="9">
        <v>9</v>
      </c>
      <c r="V717" s="11">
        <v>6832.9400670000005</v>
      </c>
      <c r="W717" s="12">
        <f t="shared" si="14"/>
        <v>759.21556300000009</v>
      </c>
      <c r="X717" s="12">
        <f t="shared" si="15"/>
        <v>0.31350910743957117</v>
      </c>
      <c r="Y717" s="12">
        <f t="shared" si="16"/>
        <v>72.980217575320566</v>
      </c>
      <c r="Z717" s="12">
        <f t="shared" si="17"/>
        <v>146.7650421418906</v>
      </c>
      <c r="AA717" s="12">
        <f t="shared" si="18"/>
        <v>107.10944707966267</v>
      </c>
      <c r="AB717" s="12">
        <f t="shared" si="19"/>
        <v>34.164700334999999</v>
      </c>
      <c r="AC717" s="12">
        <f t="shared" si="20"/>
        <v>4.5</v>
      </c>
      <c r="AE717" s="13"/>
      <c r="AF717" s="13"/>
    </row>
    <row r="718" spans="1:32">
      <c r="A718" s="8" t="s">
        <v>2336</v>
      </c>
      <c r="B718" s="9" t="s">
        <v>41</v>
      </c>
      <c r="C718" s="9" t="s">
        <v>120</v>
      </c>
      <c r="D718" s="9" t="s">
        <v>2337</v>
      </c>
      <c r="E718" s="9"/>
      <c r="F718" s="9" t="str">
        <f ca="1">IFERROR(__xludf.DUMMYFUNCTION("IFS(
  REGEXMATCH(LOWER(VLOOKUP(A718, Data1_Raw_Slack!A:B, 2, FALSE)), ""news|weather""), ""News and Weather"", REGEXMATCH(LOWER(VLOOKUP(A718, Data1_Raw_Slack!A:B, 2, FALSE)), ""sports|ufc|nba|nfl|mlb|soccer|sports fans""), ""Sports"",
  REGEXMATCH(LOWER("&amp;"VLOOKUP(A718, Data1_Raw_Slack!A:B, 2, FALSE)), ""fashion|style|clothing|apparel|shoes|accessories|beauty|cosmetics|fashionistas""), ""Fashion and Beauty"",
  REGEXMATCH(LOWER(VLOOKUP(A718, Data1_Raw_Slack!A:B, 2, FALSE)), ""food|cooking|recipe|restaurant|"&amp;"snack|grocery|foodies""), ""Food"",
  REGEXMATCH(LOWER(VLOOKUP(A718, Data1_Raw_Slack!A:B, 2, FALSE)), ""travel|vacation|airline|hotel|trip|flights|travelers""), ""Travel"",
  REGEXMATCH(LOWER(VLOOKUP(A718, Data1_Raw_Slack!A:B, 2, FALSE)), ""fitness|workou"&amp;"t|gym|exercise|yoga|wellness|fitness enthusiasts""), ""Fitness"",
  REGEXMATCH(LOWER(VLOOKUP(A718, Data1_Raw_Slack!A:B, 2, FALSE)), ""health|medical|pharmacy|mental health|doctor|health-conscious""), ""Health"",
  REGEXMATCH(LOWER(VLOOKUP(A718, Data1_Raw_"&amp;"Slack!A:B, 2, FALSE)), ""pets|dogs|cats|animals|pet care|pet lovers""), ""Pets"",
  REGEXMATCH(LOWER(VLOOKUP(A718, Data1_Raw_Slack!A:B, 2, FALSE)), ""games|gaming|game|xbox|playstation|nintendo|gamers""), ""Gaming"",
  REGEXMATCH(LOWER(VLOOKUP(A718, Data1"&amp;"_Raw_Slack!A:B, 2, FALSE)), ""entertainment|movies|tv|netflix|streaming|celebrity|movie lovers|tv fans|hobb|photo|art""), ""Entertainment"",
  REGEXMATCH(LOWER(VLOOKUP(A718, Data1_Raw_Slack!A:B, 2, FALSE)), ""lifestyle|home|interior|decor|living|lifestyle"&amp;" enthusiasts""), ""Lifestyle"",
  REGEXMATCH(LOWER(VLOOKUP(A718, Data1_Raw_Slack!A:B, 2, FALSE)), ""financial|finance|investing|stocks|retirement|banking|credit|debt|loans|savings|personal finance|insurance|econ|ecom|business|retail|occupation|sale|job|ma"&amp;"rketing""), ""Finance"",
  REGEXMATCH(LOWER(VLOOKUP(A718, Data1_Raw_Slack!A:B, 2, FALSE)), ""auto|automotive""), ""Auto"",
  REGEXMATCH(LOWER(VLOOKUP(A718, Data1_Raw_Slack!A:B, 2, FALSE)), ""parenting|moms|dads|kids|toddlers|baby|parent|children""), ""Par"&amp;"enting"",
  REGEXMATCH(LOWER(VLOOKUP(A718, Data1_Raw_Slack!A:B, 2, FALSE)), ""education|students|learning|school|teachers|college|university|academics""), ""Education"",
  REGEXMATCH(LOWER(VLOOKUP(A718, Data1_Raw_Slack!A:B, 2, FALSE)), ""age|gender|dem"&amp;"ographic|family|household""), ""Demographics"",
  REGEXMATCH(LOWER(VLOOKUP(A718, Data1_Raw_Slack!A:B, 2, FALSE)), ""mortgage|real estate""), ""Real Estate"",REGEXMATCH(LOWER(VLOOKUP(A718, Data1_Raw_Slack!A:B, 2, FALSE)), ""technology|tech|gadgets|smartpho"&amp;"ne|electro|apps|devices|computing|ai|robots|software|computer|internet|tele|mobile|tablet""), ""Technology"", REGEXMATCH(LOWER(VLOOKUP(A718, Data1_Raw_Slack!A:B, 2, FALSE)), ""entertainment|purchas|movies|tv|netflix|streaming|celebrity|movie lovers|tv fan"&amp;"s|media|hobb|photo|art|shop""), ""Entertainment"", REGEXMATCH(LOWER(VLOOKUP(A718, Data1_Raw_Slack!A:B, 2, FALSE)), ""law|government|""), ""Law and Government"",
  TRUE, ""Other""
)"),"Auto")</f>
        <v>Auto</v>
      </c>
      <c r="G718" s="9" t="s">
        <v>122</v>
      </c>
      <c r="H718" s="9" t="s">
        <v>32</v>
      </c>
      <c r="I718" s="9" t="s">
        <v>2338</v>
      </c>
      <c r="J718" s="9" t="s">
        <v>80</v>
      </c>
      <c r="K718" s="9" t="s">
        <v>264</v>
      </c>
      <c r="L718" s="9" t="s">
        <v>265</v>
      </c>
      <c r="M718" s="10" t="s">
        <v>2339</v>
      </c>
      <c r="N718" s="9" t="str">
        <f ca="1">IFERROR(__xludf.DUMMYFUNCTION("REGEXEXTRACT(LOWER(M718), ""([a-z0-9\-]+)\.(?:co|net|org|io|gg)"")"),"eenadu")</f>
        <v>eenadu</v>
      </c>
      <c r="O718" s="9" t="s">
        <v>50</v>
      </c>
      <c r="P718" s="9" t="s">
        <v>39</v>
      </c>
      <c r="Q718" s="9">
        <v>14011</v>
      </c>
      <c r="R718" s="9">
        <v>40</v>
      </c>
      <c r="S718" s="9">
        <v>5060</v>
      </c>
      <c r="T718" s="9">
        <v>12459</v>
      </c>
      <c r="U718" s="9">
        <v>5</v>
      </c>
      <c r="V718" s="11">
        <v>5632.0879729999997</v>
      </c>
      <c r="W718" s="12">
        <f t="shared" si="14"/>
        <v>1126.4175946</v>
      </c>
      <c r="X718" s="12">
        <f t="shared" si="15"/>
        <v>0.28548997216472771</v>
      </c>
      <c r="Y718" s="12">
        <f t="shared" si="16"/>
        <v>36.114481478838059</v>
      </c>
      <c r="Z718" s="12">
        <f t="shared" si="17"/>
        <v>1113.0608642292491</v>
      </c>
      <c r="AA718" s="12">
        <f t="shared" si="18"/>
        <v>401.97615966026689</v>
      </c>
      <c r="AB718" s="12">
        <f t="shared" si="19"/>
        <v>140.802199325</v>
      </c>
      <c r="AC718" s="12">
        <f t="shared" si="20"/>
        <v>12.5</v>
      </c>
      <c r="AE718" s="13"/>
      <c r="AF718" s="13"/>
    </row>
    <row r="719" spans="1:32">
      <c r="A719" s="8" t="s">
        <v>2340</v>
      </c>
      <c r="B719" s="9" t="s">
        <v>41</v>
      </c>
      <c r="C719" s="9" t="s">
        <v>214</v>
      </c>
      <c r="D719" s="9" t="s">
        <v>215</v>
      </c>
      <c r="E719" s="9" t="s">
        <v>2341</v>
      </c>
      <c r="F719" s="9" t="str">
        <f ca="1">IFERROR(__xludf.DUMMYFUNCTION("IFS(
  REGEXMATCH(LOWER(VLOOKUP(A719, Data1_Raw_Slack!A:B, 2, FALSE)), ""news|weather""), ""News and Weather"", REGEXMATCH(LOWER(VLOOKUP(A719, Data1_Raw_Slack!A:B, 2, FALSE)), ""sports|ufc|nba|nfl|mlb|soccer|sports fans""), ""Sports"",
  REGEXMATCH(LOWER("&amp;"VLOOKUP(A719, Data1_Raw_Slack!A:B, 2, FALSE)), ""fashion|style|clothing|apparel|shoes|accessories|beauty|cosmetics|fashionistas""), ""Fashion and Beauty"",
  REGEXMATCH(LOWER(VLOOKUP(A719, Data1_Raw_Slack!A:B, 2, FALSE)), ""food|cooking|recipe|restaurant|"&amp;"snack|grocery|foodies""), ""Food"",
  REGEXMATCH(LOWER(VLOOKUP(A719, Data1_Raw_Slack!A:B, 2, FALSE)), ""travel|vacation|airline|hotel|trip|flights|travelers""), ""Travel"",
  REGEXMATCH(LOWER(VLOOKUP(A719, Data1_Raw_Slack!A:B, 2, FALSE)), ""fitness|workou"&amp;"t|gym|exercise|yoga|wellness|fitness enthusiasts""), ""Fitness"",
  REGEXMATCH(LOWER(VLOOKUP(A719, Data1_Raw_Slack!A:B, 2, FALSE)), ""health|medical|pharmacy|mental health|doctor|health-conscious""), ""Health"",
  REGEXMATCH(LOWER(VLOOKUP(A719, Data1_Raw_"&amp;"Slack!A:B, 2, FALSE)), ""pets|dogs|cats|animals|pet care|pet lovers""), ""Pets"",
  REGEXMATCH(LOWER(VLOOKUP(A719, Data1_Raw_Slack!A:B, 2, FALSE)), ""games|gaming|game|xbox|playstation|nintendo|gamers""), ""Gaming"",
  REGEXMATCH(LOWER(VLOOKUP(A719, Data1"&amp;"_Raw_Slack!A:B, 2, FALSE)), ""entertainment|movies|tv|netflix|streaming|celebrity|movie lovers|tv fans|hobb|photo|art""), ""Entertainment"",
  REGEXMATCH(LOWER(VLOOKUP(A719, Data1_Raw_Slack!A:B, 2, FALSE)), ""lifestyle|home|interior|decor|living|lifestyle"&amp;" enthusiasts""), ""Lifestyle"",
  REGEXMATCH(LOWER(VLOOKUP(A719, Data1_Raw_Slack!A:B, 2, FALSE)), ""financial|finance|investing|stocks|retirement|banking|credit|debt|loans|savings|personal finance|insurance|econ|ecom|business|retail|occupation|sale|job|ma"&amp;"rketing""), ""Finance"",
  REGEXMATCH(LOWER(VLOOKUP(A719, Data1_Raw_Slack!A:B, 2, FALSE)), ""auto|automotive""), ""Auto"",
  REGEXMATCH(LOWER(VLOOKUP(A719, Data1_Raw_Slack!A:B, 2, FALSE)), ""parenting|moms|dads|kids|toddlers|baby|parent|children""), ""Par"&amp;"enting"",
  REGEXMATCH(LOWER(VLOOKUP(A719, Data1_Raw_Slack!A:B, 2, FALSE)), ""education|students|learning|school|teachers|college|university|academics""), ""Education"",
  REGEXMATCH(LOWER(VLOOKUP(A719, Data1_Raw_Slack!A:B, 2, FALSE)), ""age|gender|dem"&amp;"ographic|family|household""), ""Demographics"",
  REGEXMATCH(LOWER(VLOOKUP(A719, Data1_Raw_Slack!A:B, 2, FALSE)), ""mortgage|real estate""), ""Real Estate"",REGEXMATCH(LOWER(VLOOKUP(A719, Data1_Raw_Slack!A:B, 2, FALSE)), ""technology|tech|gadgets|smartpho"&amp;"ne|electro|apps|devices|computing|ai|robots|software|computer|internet|tele|mobile|tablet""), ""Technology"", REGEXMATCH(LOWER(VLOOKUP(A719, Data1_Raw_Slack!A:B, 2, FALSE)), ""entertainment|purchas|movies|tv|netflix|streaming|celebrity|movie lovers|tv fan"&amp;"s|media|hobb|photo|art|shop""), ""Entertainment"", REGEXMATCH(LOWER(VLOOKUP(A719, Data1_Raw_Slack!A:B, 2, FALSE)), ""law|government|""), ""Law and Government"",
  TRUE, ""Other""
)"),"Demographics")</f>
        <v>Demographics</v>
      </c>
      <c r="G719" s="9"/>
      <c r="H719" s="9" t="s">
        <v>32</v>
      </c>
      <c r="I719" s="9" t="s">
        <v>2338</v>
      </c>
      <c r="J719" s="9" t="s">
        <v>80</v>
      </c>
      <c r="K719" s="9" t="s">
        <v>148</v>
      </c>
      <c r="L719" s="9" t="s">
        <v>89</v>
      </c>
      <c r="M719" s="10" t="s">
        <v>102</v>
      </c>
      <c r="N719" s="9" t="str">
        <f ca="1">IFERROR(__xludf.DUMMYFUNCTION("REGEXEXTRACT(LOWER(M719), ""([a-z0-9\-]+)\.(?:co|net|org|io|gg)"")"),"cbsnews")</f>
        <v>cbsnews</v>
      </c>
      <c r="O719" s="9" t="s">
        <v>50</v>
      </c>
      <c r="P719" s="9" t="s">
        <v>39</v>
      </c>
      <c r="Q719" s="9">
        <v>43117</v>
      </c>
      <c r="R719" s="9">
        <v>100</v>
      </c>
      <c r="S719" s="9">
        <v>6478</v>
      </c>
      <c r="T719" s="9">
        <v>27405</v>
      </c>
      <c r="U719" s="9">
        <v>8</v>
      </c>
      <c r="V719" s="11">
        <v>4250.4304389999998</v>
      </c>
      <c r="W719" s="12">
        <f t="shared" si="14"/>
        <v>531.30380487499997</v>
      </c>
      <c r="X719" s="12">
        <f t="shared" si="15"/>
        <v>0.23192708212537977</v>
      </c>
      <c r="Y719" s="12">
        <f t="shared" si="16"/>
        <v>15.024236380082101</v>
      </c>
      <c r="Z719" s="12">
        <f t="shared" si="17"/>
        <v>656.13313352886689</v>
      </c>
      <c r="AA719" s="12">
        <f t="shared" si="18"/>
        <v>98.578992949416701</v>
      </c>
      <c r="AB719" s="12">
        <f t="shared" si="19"/>
        <v>42.504304389999994</v>
      </c>
      <c r="AC719" s="12">
        <f t="shared" si="20"/>
        <v>8</v>
      </c>
      <c r="AE719" s="13"/>
      <c r="AF719" s="13"/>
    </row>
    <row r="720" spans="1:32">
      <c r="A720" s="8" t="s">
        <v>2342</v>
      </c>
      <c r="B720" s="9" t="s">
        <v>52</v>
      </c>
      <c r="C720" s="9" t="s">
        <v>791</v>
      </c>
      <c r="D720" s="9" t="s">
        <v>2343</v>
      </c>
      <c r="E720" s="9"/>
      <c r="F720" s="9" t="str">
        <f ca="1">IFERROR(__xludf.DUMMYFUNCTION("IFS(
  REGEXMATCH(LOWER(VLOOKUP(A720, Data1_Raw_Slack!A:B, 2, FALSE)), ""news|weather""), ""News and Weather"", REGEXMATCH(LOWER(VLOOKUP(A720, Data1_Raw_Slack!A:B, 2, FALSE)), ""sports|ufc|nba|nfl|mlb|soccer|sports fans""), ""Sports"",
  REGEXMATCH(LOWER("&amp;"VLOOKUP(A720, Data1_Raw_Slack!A:B, 2, FALSE)), ""fashion|style|clothing|apparel|shoes|accessories|beauty|cosmetics|fashionistas""), ""Fashion and Beauty"",
  REGEXMATCH(LOWER(VLOOKUP(A720, Data1_Raw_Slack!A:B, 2, FALSE)), ""food|cooking|recipe|restaurant|"&amp;"snack|grocery|foodies""), ""Food"",
  REGEXMATCH(LOWER(VLOOKUP(A720, Data1_Raw_Slack!A:B, 2, FALSE)), ""travel|vacation|airline|hotel|trip|flights|travelers""), ""Travel"",
  REGEXMATCH(LOWER(VLOOKUP(A720, Data1_Raw_Slack!A:B, 2, FALSE)), ""fitness|workou"&amp;"t|gym|exercise|yoga|wellness|fitness enthusiasts""), ""Fitness"",
  REGEXMATCH(LOWER(VLOOKUP(A720, Data1_Raw_Slack!A:B, 2, FALSE)), ""health|medical|pharmacy|mental health|doctor|health-conscious""), ""Health"",
  REGEXMATCH(LOWER(VLOOKUP(A720, Data1_Raw_"&amp;"Slack!A:B, 2, FALSE)), ""pets|dogs|cats|animals|pet care|pet lovers""), ""Pets"",
  REGEXMATCH(LOWER(VLOOKUP(A720, Data1_Raw_Slack!A:B, 2, FALSE)), ""games|gaming|game|xbox|playstation|nintendo|gamers""), ""Gaming"",
  REGEXMATCH(LOWER(VLOOKUP(A720, Data1"&amp;"_Raw_Slack!A:B, 2, FALSE)), ""entertainment|movies|tv|netflix|streaming|celebrity|movie lovers|tv fans|hobb|photo|art""), ""Entertainment"",
  REGEXMATCH(LOWER(VLOOKUP(A720, Data1_Raw_Slack!A:B, 2, FALSE)), ""lifestyle|home|interior|decor|living|lifestyle"&amp;" enthusiasts""), ""Lifestyle"",
  REGEXMATCH(LOWER(VLOOKUP(A720, Data1_Raw_Slack!A:B, 2, FALSE)), ""financial|finance|investing|stocks|retirement|banking|credit|debt|loans|savings|personal finance|insurance|econ|ecom|business|retail|occupation|sale|job|ma"&amp;"rketing""), ""Finance"",
  REGEXMATCH(LOWER(VLOOKUP(A720, Data1_Raw_Slack!A:B, 2, FALSE)), ""auto|automotive""), ""Auto"",
  REGEXMATCH(LOWER(VLOOKUP(A720, Data1_Raw_Slack!A:B, 2, FALSE)), ""parenting|moms|dads|kids|toddlers|baby|parent|children""), ""Par"&amp;"enting"",
  REGEXMATCH(LOWER(VLOOKUP(A720, Data1_Raw_Slack!A:B, 2, FALSE)), ""education|students|learning|school|teachers|college|university|academics""), ""Education"",
  REGEXMATCH(LOWER(VLOOKUP(A720, Data1_Raw_Slack!A:B, 2, FALSE)), ""age|gender|dem"&amp;"ographic|family|household""), ""Demographics"",
  REGEXMATCH(LOWER(VLOOKUP(A720, Data1_Raw_Slack!A:B, 2, FALSE)), ""mortgage|real estate""), ""Real Estate"",REGEXMATCH(LOWER(VLOOKUP(A720, Data1_Raw_Slack!A:B, 2, FALSE)), ""technology|tech|gadgets|smartpho"&amp;"ne|electro|apps|devices|computing|ai|robots|software|computer|internet|tele|mobile|tablet""), ""Technology"", REGEXMATCH(LOWER(VLOOKUP(A720, Data1_Raw_Slack!A:B, 2, FALSE)), ""entertainment|purchas|movies|tv|netflix|streaming|celebrity|movie lovers|tv fan"&amp;"s|media|hobb|photo|art|shop""), ""Entertainment"", REGEXMATCH(LOWER(VLOOKUP(A720, Data1_Raw_Slack!A:B, 2, FALSE)), ""law|government|""), ""Law and Government"",
  TRUE, ""Other""
)"),"Finance")</f>
        <v>Finance</v>
      </c>
      <c r="G720" s="9"/>
      <c r="H720" s="9" t="s">
        <v>32</v>
      </c>
      <c r="I720" s="9" t="s">
        <v>2238</v>
      </c>
      <c r="J720" s="9" t="s">
        <v>46</v>
      </c>
      <c r="K720" s="9" t="s">
        <v>170</v>
      </c>
      <c r="L720" s="9" t="s">
        <v>72</v>
      </c>
      <c r="M720" s="10" t="s">
        <v>737</v>
      </c>
      <c r="N720" s="9" t="str">
        <f ca="1">IFERROR(__xludf.DUMMYFUNCTION("REGEXEXTRACT(LOWER(M720), ""([a-z0-9\-]+)\.(?:co|net|org|io|gg)"")"),"yellowpages")</f>
        <v>yellowpages</v>
      </c>
      <c r="O720" s="9" t="s">
        <v>50</v>
      </c>
      <c r="P720" s="9" t="s">
        <v>39</v>
      </c>
      <c r="Q720" s="9">
        <v>61474</v>
      </c>
      <c r="R720" s="9">
        <v>250</v>
      </c>
      <c r="S720" s="9">
        <v>31245</v>
      </c>
      <c r="T720" s="9">
        <v>49089</v>
      </c>
      <c r="U720" s="9">
        <v>15</v>
      </c>
      <c r="V720" s="11">
        <v>2189.3413489999998</v>
      </c>
      <c r="W720" s="12">
        <f t="shared" si="14"/>
        <v>145.95608993333332</v>
      </c>
      <c r="X720" s="12">
        <f t="shared" si="15"/>
        <v>0.40667599310277519</v>
      </c>
      <c r="Y720" s="12">
        <f t="shared" si="16"/>
        <v>50.826365617984834</v>
      </c>
      <c r="Z720" s="12">
        <f t="shared" si="17"/>
        <v>70.070134389502314</v>
      </c>
      <c r="AA720" s="12">
        <f t="shared" si="18"/>
        <v>35.614102693821771</v>
      </c>
      <c r="AB720" s="12">
        <f t="shared" si="19"/>
        <v>8.7573653959999991</v>
      </c>
      <c r="AC720" s="12">
        <f t="shared" si="20"/>
        <v>6</v>
      </c>
      <c r="AE720" s="13"/>
      <c r="AF720" s="13"/>
    </row>
    <row r="721" spans="1:32">
      <c r="A721" s="8" t="s">
        <v>2344</v>
      </c>
      <c r="B721" s="9" t="s">
        <v>41</v>
      </c>
      <c r="C721" s="9" t="s">
        <v>162</v>
      </c>
      <c r="D721" s="9" t="s">
        <v>163</v>
      </c>
      <c r="E721" s="9" t="s">
        <v>370</v>
      </c>
      <c r="F721" s="9" t="str">
        <f ca="1">IFERROR(__xludf.DUMMYFUNCTION("IFS(
  REGEXMATCH(LOWER(VLOOKUP(A721, Data1_Raw_Slack!A:B, 2, FALSE)), ""news|weather""), ""News and Weather"", REGEXMATCH(LOWER(VLOOKUP(A721, Data1_Raw_Slack!A:B, 2, FALSE)), ""sports|ufc|nba|nfl|mlb|soccer|sports fans""), ""Sports"",
  REGEXMATCH(LOWER("&amp;"VLOOKUP(A721, Data1_Raw_Slack!A:B, 2, FALSE)), ""fashion|style|clothing|apparel|shoes|accessories|beauty|cosmetics|fashionistas""), ""Fashion and Beauty"",
  REGEXMATCH(LOWER(VLOOKUP(A721, Data1_Raw_Slack!A:B, 2, FALSE)), ""food|cooking|recipe|restaurant|"&amp;"snack|grocery|foodies""), ""Food"",
  REGEXMATCH(LOWER(VLOOKUP(A721, Data1_Raw_Slack!A:B, 2, FALSE)), ""travel|vacation|airline|hotel|trip|flights|travelers""), ""Travel"",
  REGEXMATCH(LOWER(VLOOKUP(A721, Data1_Raw_Slack!A:B, 2, FALSE)), ""fitness|workou"&amp;"t|gym|exercise|yoga|wellness|fitness enthusiasts""), ""Fitness"",
  REGEXMATCH(LOWER(VLOOKUP(A721, Data1_Raw_Slack!A:B, 2, FALSE)), ""health|medical|pharmacy|mental health|doctor|health-conscious""), ""Health"",
  REGEXMATCH(LOWER(VLOOKUP(A721, Data1_Raw_"&amp;"Slack!A:B, 2, FALSE)), ""pets|dogs|cats|animals|pet care|pet lovers""), ""Pets"",
  REGEXMATCH(LOWER(VLOOKUP(A721, Data1_Raw_Slack!A:B, 2, FALSE)), ""games|gaming|game|xbox|playstation|nintendo|gamers""), ""Gaming"",
  REGEXMATCH(LOWER(VLOOKUP(A721, Data1"&amp;"_Raw_Slack!A:B, 2, FALSE)), ""entertainment|movies|tv|netflix|streaming|celebrity|movie lovers|tv fans|hobb|photo|art""), ""Entertainment"",
  REGEXMATCH(LOWER(VLOOKUP(A721, Data1_Raw_Slack!A:B, 2, FALSE)), ""lifestyle|home|interior|decor|living|lifestyle"&amp;" enthusiasts""), ""Lifestyle"",
  REGEXMATCH(LOWER(VLOOKUP(A721, Data1_Raw_Slack!A:B, 2, FALSE)), ""financial|finance|investing|stocks|retirement|banking|credit|debt|loans|savings|personal finance|insurance|econ|ecom|business|retail|occupation|sale|job|ma"&amp;"rketing""), ""Finance"",
  REGEXMATCH(LOWER(VLOOKUP(A721, Data1_Raw_Slack!A:B, 2, FALSE)), ""auto|automotive""), ""Auto"",
  REGEXMATCH(LOWER(VLOOKUP(A721, Data1_Raw_Slack!A:B, 2, FALSE)), ""parenting|moms|dads|kids|toddlers|baby|parent|children""), ""Par"&amp;"enting"",
  REGEXMATCH(LOWER(VLOOKUP(A721, Data1_Raw_Slack!A:B, 2, FALSE)), ""education|students|learning|school|teachers|college|university|academics""), ""Education"",
  REGEXMATCH(LOWER(VLOOKUP(A721, Data1_Raw_Slack!A:B, 2, FALSE)), ""age|gender|dem"&amp;"ographic|family|household""), ""Demographics"",
  REGEXMATCH(LOWER(VLOOKUP(A721, Data1_Raw_Slack!A:B, 2, FALSE)), ""mortgage|real estate""), ""Real Estate"",REGEXMATCH(LOWER(VLOOKUP(A721, Data1_Raw_Slack!A:B, 2, FALSE)), ""technology|tech|gadgets|smartpho"&amp;"ne|electro|apps|devices|computing|ai|robots|software|computer|internet|tele|mobile|tablet""), ""Technology"", REGEXMATCH(LOWER(VLOOKUP(A721, Data1_Raw_Slack!A:B, 2, FALSE)), ""entertainment|purchas|movies|tv|netflix|streaming|celebrity|movie lovers|tv fan"&amp;"s|media|hobb|photo|art|shop""), ""Entertainment"", REGEXMATCH(LOWER(VLOOKUP(A721, Data1_Raw_Slack!A:B, 2, FALSE)), ""law|government|""), ""Law and Government"",
  TRUE, ""Other""
)"),"Auto")</f>
        <v>Auto</v>
      </c>
      <c r="G721" s="9" t="s">
        <v>122</v>
      </c>
      <c r="H721" s="9" t="s">
        <v>44</v>
      </c>
      <c r="I721" s="9" t="s">
        <v>1215</v>
      </c>
      <c r="J721" s="9" t="s">
        <v>46</v>
      </c>
      <c r="K721" s="9" t="s">
        <v>56</v>
      </c>
      <c r="L721" s="9" t="s">
        <v>57</v>
      </c>
      <c r="M721" s="10" t="s">
        <v>130</v>
      </c>
      <c r="N721" s="9" t="str">
        <f ca="1">IFERROR(__xludf.DUMMYFUNCTION("REGEXEXTRACT(LOWER(M721), ""([a-z0-9\-]+)\.(?:co|net|org|io|gg)"")"),"weather")</f>
        <v>weather</v>
      </c>
      <c r="O721" s="9" t="s">
        <v>349</v>
      </c>
      <c r="P721" s="9" t="s">
        <v>75</v>
      </c>
      <c r="Q721" s="9">
        <v>96779</v>
      </c>
      <c r="R721" s="9">
        <v>299</v>
      </c>
      <c r="S721" s="9">
        <v>9831</v>
      </c>
      <c r="T721" s="9">
        <v>63640</v>
      </c>
      <c r="U721" s="9">
        <v>12</v>
      </c>
      <c r="V721" s="11">
        <v>6317.5107539999999</v>
      </c>
      <c r="W721" s="12">
        <f t="shared" si="14"/>
        <v>526.45922949999999</v>
      </c>
      <c r="X721" s="12">
        <f t="shared" si="15"/>
        <v>0.30895132208433645</v>
      </c>
      <c r="Y721" s="12">
        <f t="shared" si="16"/>
        <v>10.158195476291345</v>
      </c>
      <c r="Z721" s="12">
        <f t="shared" si="17"/>
        <v>642.61120476045164</v>
      </c>
      <c r="AA721" s="12">
        <f t="shared" si="18"/>
        <v>65.277702332117514</v>
      </c>
      <c r="AB721" s="12">
        <f t="shared" si="19"/>
        <v>21.128798508361204</v>
      </c>
      <c r="AC721" s="12">
        <f t="shared" si="20"/>
        <v>4.0133779264214047</v>
      </c>
      <c r="AE721" s="13"/>
      <c r="AF721" s="13"/>
    </row>
    <row r="722" spans="1:32">
      <c r="A722" s="8" t="s">
        <v>2345</v>
      </c>
      <c r="B722" s="9" t="s">
        <v>2346</v>
      </c>
      <c r="C722" s="9" t="s">
        <v>2347</v>
      </c>
      <c r="D722" s="9"/>
      <c r="E722" s="9"/>
      <c r="F722" s="9" t="str">
        <f ca="1">IFERROR(__xludf.DUMMYFUNCTION("IFS(
  REGEXMATCH(LOWER(VLOOKUP(A722, Data1_Raw_Slack!A:B, 2, FALSE)), ""news|weather""), ""News and Weather"", REGEXMATCH(LOWER(VLOOKUP(A722, Data1_Raw_Slack!A:B, 2, FALSE)), ""sports|ufc|nba|nfl|mlb|soccer|sports fans""), ""Sports"",
  REGEXMATCH(LOWER("&amp;"VLOOKUP(A722, Data1_Raw_Slack!A:B, 2, FALSE)), ""fashion|style|clothing|apparel|shoes|accessories|beauty|cosmetics|fashionistas""), ""Fashion and Beauty"",
  REGEXMATCH(LOWER(VLOOKUP(A722, Data1_Raw_Slack!A:B, 2, FALSE)), ""food|cooking|recipe|restaurant|"&amp;"snack|grocery|foodies""), ""Food"",
  REGEXMATCH(LOWER(VLOOKUP(A722, Data1_Raw_Slack!A:B, 2, FALSE)), ""travel|vacation|airline|hotel|trip|flights|travelers""), ""Travel"",
  REGEXMATCH(LOWER(VLOOKUP(A722, Data1_Raw_Slack!A:B, 2, FALSE)), ""fitness|workou"&amp;"t|gym|exercise|yoga|wellness|fitness enthusiasts""), ""Fitness"",
  REGEXMATCH(LOWER(VLOOKUP(A722, Data1_Raw_Slack!A:B, 2, FALSE)), ""health|medical|pharmacy|mental health|doctor|health-conscious""), ""Health"",
  REGEXMATCH(LOWER(VLOOKUP(A722, Data1_Raw_"&amp;"Slack!A:B, 2, FALSE)), ""pets|dogs|cats|animals|pet care|pet lovers""), ""Pets"",
  REGEXMATCH(LOWER(VLOOKUP(A722, Data1_Raw_Slack!A:B, 2, FALSE)), ""games|gaming|game|xbox|playstation|nintendo|gamers""), ""Gaming"",
  REGEXMATCH(LOWER(VLOOKUP(A722, Data1"&amp;"_Raw_Slack!A:B, 2, FALSE)), ""entertainment|movies|tv|netflix|streaming|celebrity|movie lovers|tv fans|hobb|photo|art""), ""Entertainment"",
  REGEXMATCH(LOWER(VLOOKUP(A722, Data1_Raw_Slack!A:B, 2, FALSE)), ""lifestyle|home|interior|decor|living|lifestyle"&amp;" enthusiasts""), ""Lifestyle"",
  REGEXMATCH(LOWER(VLOOKUP(A722, Data1_Raw_Slack!A:B, 2, FALSE)), ""financial|finance|investing|stocks|retirement|banking|credit|debt|loans|savings|personal finance|insurance|econ|ecom|business|retail|occupation|sale|job|ma"&amp;"rketing""), ""Finance"",
  REGEXMATCH(LOWER(VLOOKUP(A722, Data1_Raw_Slack!A:B, 2, FALSE)), ""auto|automotive""), ""Auto"",
  REGEXMATCH(LOWER(VLOOKUP(A722, Data1_Raw_Slack!A:B, 2, FALSE)), ""parenting|moms|dads|kids|toddlers|baby|parent|children""), ""Par"&amp;"enting"",
  REGEXMATCH(LOWER(VLOOKUP(A722, Data1_Raw_Slack!A:B, 2, FALSE)), ""education|students|learning|school|teachers|college|university|academics""), ""Education"",
  REGEXMATCH(LOWER(VLOOKUP(A722, Data1_Raw_Slack!A:B, 2, FALSE)), ""age|gender|dem"&amp;"ographic|family|household""), ""Demographics"",
  REGEXMATCH(LOWER(VLOOKUP(A722, Data1_Raw_Slack!A:B, 2, FALSE)), ""mortgage|real estate""), ""Real Estate"",REGEXMATCH(LOWER(VLOOKUP(A722, Data1_Raw_Slack!A:B, 2, FALSE)), ""technology|tech|gadgets|smartpho"&amp;"ne|electro|apps|devices|computing|ai|robots|software|computer|internet|tele|mobile|tablet""), ""Technology"", REGEXMATCH(LOWER(VLOOKUP(A722, Data1_Raw_Slack!A:B, 2, FALSE)), ""entertainment|purchas|movies|tv|netflix|streaming|celebrity|movie lovers|tv fan"&amp;"s|media|hobb|photo|art|shop""), ""Entertainment"", REGEXMATCH(LOWER(VLOOKUP(A722, Data1_Raw_Slack!A:B, 2, FALSE)), ""law|government|""), ""Law and Government"",
  TRUE, ""Other""
)"),"Finance")</f>
        <v>Finance</v>
      </c>
      <c r="G722" s="9" t="s">
        <v>135</v>
      </c>
      <c r="H722" s="9" t="s">
        <v>44</v>
      </c>
      <c r="I722" s="9" t="s">
        <v>1300</v>
      </c>
      <c r="J722" s="9" t="s">
        <v>80</v>
      </c>
      <c r="K722" s="9" t="s">
        <v>274</v>
      </c>
      <c r="L722" s="9" t="s">
        <v>48</v>
      </c>
      <c r="M722" s="10" t="s">
        <v>207</v>
      </c>
      <c r="N722" s="9" t="str">
        <f ca="1">IFERROR(__xludf.DUMMYFUNCTION("REGEXEXTRACT(LOWER(M722), ""([a-z0-9\-]+)\.(?:co|net|org|io|gg)"")"),"realtor")</f>
        <v>realtor</v>
      </c>
      <c r="O722" s="9" t="s">
        <v>74</v>
      </c>
      <c r="P722" s="9" t="s">
        <v>64</v>
      </c>
      <c r="Q722" s="9">
        <v>11269</v>
      </c>
      <c r="R722" s="9">
        <v>63</v>
      </c>
      <c r="S722" s="9">
        <v>4992</v>
      </c>
      <c r="T722" s="9">
        <v>10245</v>
      </c>
      <c r="U722" s="9">
        <v>3</v>
      </c>
      <c r="V722" s="11">
        <v>1576.38921</v>
      </c>
      <c r="W722" s="12">
        <f t="shared" si="14"/>
        <v>525.46307000000002</v>
      </c>
      <c r="X722" s="12">
        <f t="shared" si="15"/>
        <v>0.5590558168426657</v>
      </c>
      <c r="Y722" s="12">
        <f t="shared" si="16"/>
        <v>44.298518058390272</v>
      </c>
      <c r="Z722" s="12">
        <f t="shared" si="17"/>
        <v>315.78309495192309</v>
      </c>
      <c r="AA722" s="12">
        <f t="shared" si="18"/>
        <v>139.88723134262136</v>
      </c>
      <c r="AB722" s="12">
        <f t="shared" si="19"/>
        <v>25.022050952380955</v>
      </c>
      <c r="AC722" s="12">
        <f t="shared" si="20"/>
        <v>4.7619047619047619</v>
      </c>
      <c r="AE722" s="13"/>
      <c r="AF722" s="13"/>
    </row>
    <row r="723" spans="1:32">
      <c r="A723" s="17"/>
      <c r="M723" s="17"/>
      <c r="V723" s="18"/>
      <c r="W723" s="19"/>
      <c r="X723" s="19"/>
      <c r="Y723" s="19"/>
      <c r="Z723" s="19"/>
      <c r="AA723" s="17"/>
      <c r="AB723" s="19"/>
      <c r="AC723" s="19"/>
      <c r="AE723" s="17"/>
      <c r="AF723" s="17"/>
    </row>
    <row r="724" spans="1:32">
      <c r="A724" s="17"/>
      <c r="M724" s="17"/>
      <c r="V724" s="18"/>
      <c r="W724" s="19"/>
      <c r="X724" s="19"/>
      <c r="Y724" s="19"/>
      <c r="Z724" s="19"/>
      <c r="AA724" s="17"/>
      <c r="AC724" s="19"/>
      <c r="AE724" s="17"/>
      <c r="AF724" s="17"/>
    </row>
    <row r="725" spans="1:32">
      <c r="A725" s="17"/>
      <c r="M725" s="17"/>
      <c r="V725" s="18"/>
      <c r="W725" s="19"/>
      <c r="X725" s="19"/>
      <c r="Y725" s="19"/>
      <c r="Z725" s="19"/>
      <c r="AA725" s="17"/>
      <c r="AB725" s="19"/>
      <c r="AC725" s="19"/>
      <c r="AE725" s="17"/>
      <c r="AF725" s="17"/>
    </row>
    <row r="726" spans="1:32">
      <c r="A726" s="17"/>
      <c r="M726" s="17"/>
      <c r="V726" s="18"/>
      <c r="W726" s="19"/>
      <c r="X726" s="19"/>
      <c r="Y726" s="19"/>
      <c r="Z726" s="19"/>
      <c r="AA726" s="17"/>
      <c r="AB726" s="19"/>
      <c r="AC726" s="19"/>
      <c r="AE726" s="17"/>
      <c r="AF726" s="17"/>
    </row>
    <row r="727" spans="1:32">
      <c r="A727" s="17"/>
      <c r="M727" s="17"/>
      <c r="V727" s="18"/>
      <c r="W727" s="19"/>
      <c r="X727" s="19"/>
      <c r="Y727" s="19"/>
      <c r="Z727" s="19"/>
      <c r="AA727" s="17"/>
      <c r="AB727" s="19"/>
      <c r="AC727" s="19"/>
      <c r="AE727" s="17"/>
      <c r="AF727" s="17"/>
    </row>
    <row r="728" spans="1:32">
      <c r="A728" s="17"/>
      <c r="M728" s="17"/>
      <c r="V728" s="18"/>
      <c r="W728" s="19"/>
      <c r="X728" s="19"/>
      <c r="Y728" s="19"/>
      <c r="Z728" s="19"/>
      <c r="AA728" s="17"/>
      <c r="AB728" s="19"/>
      <c r="AC728" s="19"/>
      <c r="AE728" s="17"/>
      <c r="AF728" s="17"/>
    </row>
    <row r="729" spans="1:32">
      <c r="A729" s="17"/>
      <c r="M729" s="17"/>
      <c r="V729" s="18"/>
      <c r="W729" s="19"/>
      <c r="X729" s="19"/>
      <c r="Y729" s="19"/>
      <c r="Z729" s="19"/>
      <c r="AA729" s="17"/>
      <c r="AB729" s="19"/>
      <c r="AC729" s="19"/>
      <c r="AE729" s="17"/>
      <c r="AF729" s="17"/>
    </row>
    <row r="730" spans="1:32">
      <c r="A730" s="17"/>
      <c r="M730" s="17"/>
      <c r="V730" s="18"/>
      <c r="W730" s="19"/>
      <c r="X730" s="19"/>
      <c r="Y730" s="19"/>
      <c r="Z730" s="19"/>
      <c r="AA730" s="17"/>
      <c r="AB730" s="19"/>
      <c r="AC730" s="19"/>
      <c r="AE730" s="17"/>
      <c r="AF730" s="17"/>
    </row>
    <row r="731" spans="1:32">
      <c r="A731" s="17"/>
      <c r="M731" s="17"/>
      <c r="V731" s="18"/>
      <c r="W731" s="19"/>
      <c r="X731" s="19"/>
      <c r="Y731" s="19"/>
      <c r="Z731" s="19"/>
      <c r="AA731" s="17"/>
      <c r="AB731" s="19"/>
      <c r="AC731" s="19"/>
      <c r="AE731" s="17"/>
      <c r="AF731" s="17"/>
    </row>
    <row r="732" spans="1:32">
      <c r="A732" s="17"/>
      <c r="M732" s="17"/>
      <c r="V732" s="18"/>
      <c r="W732" s="19"/>
      <c r="X732" s="19"/>
      <c r="Y732" s="19"/>
      <c r="Z732" s="19"/>
      <c r="AA732" s="17"/>
      <c r="AB732" s="19"/>
      <c r="AC732" s="19"/>
      <c r="AE732" s="17"/>
      <c r="AF732" s="17"/>
    </row>
    <row r="733" spans="1:32">
      <c r="A733" s="17"/>
      <c r="M733" s="17"/>
      <c r="V733" s="18"/>
      <c r="W733" s="19"/>
      <c r="X733" s="19"/>
      <c r="Y733" s="19"/>
      <c r="Z733" s="19"/>
      <c r="AA733" s="17"/>
      <c r="AB733" s="19"/>
      <c r="AC733" s="19"/>
      <c r="AE733" s="17"/>
      <c r="AF733" s="17"/>
    </row>
    <row r="734" spans="1:32">
      <c r="A734" s="17"/>
      <c r="M734" s="17"/>
      <c r="V734" s="18"/>
      <c r="W734" s="19"/>
      <c r="X734" s="19"/>
      <c r="Y734" s="19"/>
      <c r="Z734" s="19"/>
      <c r="AA734" s="17"/>
      <c r="AB734" s="19"/>
      <c r="AC734" s="19"/>
      <c r="AE734" s="17"/>
      <c r="AF734" s="17"/>
    </row>
    <row r="735" spans="1:32">
      <c r="A735" s="17"/>
      <c r="M735" s="17"/>
      <c r="V735" s="18"/>
      <c r="W735" s="19"/>
      <c r="X735" s="19"/>
      <c r="Y735" s="19"/>
      <c r="Z735" s="19"/>
      <c r="AA735" s="17"/>
      <c r="AB735" s="19"/>
      <c r="AC735" s="19"/>
      <c r="AE735" s="17"/>
      <c r="AF735" s="17"/>
    </row>
    <row r="736" spans="1:32">
      <c r="A736" s="17"/>
      <c r="M736" s="17"/>
      <c r="V736" s="18"/>
      <c r="W736" s="19"/>
      <c r="X736" s="19"/>
      <c r="Y736" s="19"/>
      <c r="Z736" s="19"/>
      <c r="AA736" s="17"/>
      <c r="AB736" s="19"/>
      <c r="AC736" s="19"/>
      <c r="AE736" s="17"/>
      <c r="AF736" s="17"/>
    </row>
    <row r="737" spans="1:32">
      <c r="A737" s="17"/>
      <c r="M737" s="17"/>
      <c r="V737" s="18"/>
      <c r="W737" s="19"/>
      <c r="X737" s="19"/>
      <c r="Y737" s="19"/>
      <c r="Z737" s="19"/>
      <c r="AA737" s="17"/>
      <c r="AB737" s="19"/>
      <c r="AC737" s="19"/>
      <c r="AE737" s="17"/>
      <c r="AF737" s="17"/>
    </row>
    <row r="738" spans="1:32">
      <c r="A738" s="17"/>
      <c r="M738" s="17"/>
      <c r="V738" s="18"/>
      <c r="W738" s="19"/>
      <c r="X738" s="19"/>
      <c r="Y738" s="19"/>
      <c r="Z738" s="19"/>
      <c r="AA738" s="17"/>
      <c r="AB738" s="19"/>
      <c r="AC738" s="19"/>
      <c r="AE738" s="17"/>
      <c r="AF738" s="17"/>
    </row>
    <row r="739" spans="1:32">
      <c r="A739" s="17"/>
      <c r="M739" s="17"/>
      <c r="V739" s="18"/>
      <c r="W739" s="19"/>
      <c r="X739" s="19"/>
      <c r="Y739" s="19"/>
      <c r="Z739" s="19"/>
      <c r="AA739" s="17"/>
      <c r="AB739" s="19"/>
      <c r="AC739" s="19"/>
      <c r="AE739" s="17"/>
      <c r="AF739" s="17"/>
    </row>
    <row r="740" spans="1:32">
      <c r="A740" s="17"/>
      <c r="M740" s="17"/>
      <c r="V740" s="18"/>
      <c r="W740" s="19"/>
      <c r="X740" s="19"/>
      <c r="Y740" s="19"/>
      <c r="Z740" s="19"/>
      <c r="AA740" s="17"/>
      <c r="AB740" s="19"/>
      <c r="AC740" s="19"/>
      <c r="AE740" s="17"/>
      <c r="AF740" s="17"/>
    </row>
    <row r="741" spans="1:32">
      <c r="A741" s="17"/>
      <c r="M741" s="17"/>
      <c r="V741" s="18"/>
      <c r="W741" s="19"/>
      <c r="X741" s="19"/>
      <c r="Y741" s="19"/>
      <c r="Z741" s="19"/>
      <c r="AA741" s="17"/>
      <c r="AB741" s="19"/>
      <c r="AC741" s="19"/>
      <c r="AE741" s="17"/>
      <c r="AF741" s="17"/>
    </row>
    <row r="742" spans="1:32">
      <c r="A742" s="17"/>
      <c r="M742" s="17"/>
      <c r="V742" s="18"/>
      <c r="W742" s="19"/>
      <c r="X742" s="19"/>
      <c r="Y742" s="19"/>
      <c r="Z742" s="19"/>
      <c r="AA742" s="17"/>
      <c r="AB742" s="19"/>
      <c r="AC742" s="19"/>
      <c r="AE742" s="17"/>
      <c r="AF742" s="17"/>
    </row>
    <row r="743" spans="1:32">
      <c r="A743" s="17"/>
      <c r="M743" s="17"/>
      <c r="V743" s="18"/>
      <c r="W743" s="19"/>
      <c r="X743" s="19"/>
      <c r="Y743" s="19"/>
      <c r="Z743" s="19"/>
      <c r="AA743" s="17"/>
      <c r="AB743" s="19"/>
      <c r="AC743" s="19"/>
      <c r="AE743" s="17"/>
      <c r="AF743" s="17"/>
    </row>
    <row r="744" spans="1:32">
      <c r="A744" s="17"/>
      <c r="M744" s="17"/>
      <c r="V744" s="18"/>
      <c r="W744" s="19"/>
      <c r="X744" s="19"/>
      <c r="Y744" s="19"/>
      <c r="Z744" s="19"/>
      <c r="AA744" s="17"/>
      <c r="AB744" s="19"/>
      <c r="AC744" s="19"/>
      <c r="AE744" s="17"/>
      <c r="AF744" s="17"/>
    </row>
    <row r="745" spans="1:32">
      <c r="A745" s="17"/>
      <c r="M745" s="17"/>
      <c r="V745" s="18"/>
      <c r="W745" s="19"/>
      <c r="X745" s="19"/>
      <c r="Y745" s="19"/>
      <c r="Z745" s="19"/>
      <c r="AA745" s="17"/>
      <c r="AB745" s="19"/>
      <c r="AC745" s="19"/>
      <c r="AE745" s="17"/>
      <c r="AF745" s="17"/>
    </row>
    <row r="746" spans="1:32">
      <c r="A746" s="17"/>
      <c r="M746" s="17"/>
      <c r="V746" s="18"/>
      <c r="W746" s="19"/>
      <c r="X746" s="19"/>
      <c r="Y746" s="19"/>
      <c r="Z746" s="19"/>
      <c r="AA746" s="17"/>
      <c r="AB746" s="19"/>
      <c r="AC746" s="19"/>
      <c r="AE746" s="17"/>
      <c r="AF746" s="17"/>
    </row>
    <row r="747" spans="1:32">
      <c r="A747" s="17"/>
      <c r="M747" s="17"/>
      <c r="V747" s="18"/>
      <c r="W747" s="19"/>
      <c r="X747" s="19"/>
      <c r="Y747" s="19"/>
      <c r="Z747" s="19"/>
      <c r="AA747" s="17"/>
      <c r="AB747" s="19"/>
      <c r="AC747" s="19"/>
      <c r="AE747" s="17"/>
      <c r="AF747" s="17"/>
    </row>
    <row r="748" spans="1:32">
      <c r="A748" s="17"/>
      <c r="M748" s="17"/>
      <c r="V748" s="18"/>
      <c r="W748" s="19"/>
      <c r="X748" s="19"/>
      <c r="Y748" s="19"/>
      <c r="Z748" s="19"/>
      <c r="AA748" s="17"/>
      <c r="AB748" s="19"/>
      <c r="AC748" s="19"/>
      <c r="AE748" s="17"/>
      <c r="AF748" s="17"/>
    </row>
    <row r="749" spans="1:32">
      <c r="A749" s="17"/>
      <c r="M749" s="17"/>
      <c r="V749" s="18"/>
      <c r="W749" s="19"/>
      <c r="X749" s="19"/>
      <c r="Y749" s="19"/>
      <c r="Z749" s="19"/>
      <c r="AA749" s="17"/>
      <c r="AB749" s="19"/>
      <c r="AC749" s="19"/>
      <c r="AE749" s="17"/>
      <c r="AF749" s="17"/>
    </row>
    <row r="750" spans="1:32">
      <c r="A750" s="17"/>
      <c r="M750" s="17"/>
      <c r="V750" s="18"/>
      <c r="W750" s="19"/>
      <c r="X750" s="19"/>
      <c r="Y750" s="19"/>
      <c r="Z750" s="19"/>
      <c r="AA750" s="17"/>
      <c r="AB750" s="19"/>
      <c r="AC750" s="19"/>
      <c r="AE750" s="17"/>
      <c r="AF750" s="17"/>
    </row>
    <row r="751" spans="1:32">
      <c r="A751" s="17"/>
      <c r="M751" s="17"/>
      <c r="V751" s="18"/>
      <c r="W751" s="19"/>
      <c r="X751" s="19"/>
      <c r="Y751" s="19"/>
      <c r="Z751" s="19"/>
      <c r="AA751" s="17"/>
      <c r="AB751" s="19"/>
      <c r="AC751" s="19"/>
      <c r="AE751" s="17"/>
      <c r="AF751" s="17"/>
    </row>
    <row r="752" spans="1:32">
      <c r="A752" s="17"/>
      <c r="M752" s="17"/>
      <c r="V752" s="18"/>
      <c r="W752" s="19"/>
      <c r="X752" s="19"/>
      <c r="Y752" s="19"/>
      <c r="Z752" s="19"/>
      <c r="AA752" s="17"/>
      <c r="AB752" s="19"/>
      <c r="AC752" s="19"/>
      <c r="AE752" s="17"/>
      <c r="AF752" s="17"/>
    </row>
    <row r="753" spans="1:32">
      <c r="A753" s="17"/>
      <c r="M753" s="17"/>
      <c r="V753" s="18"/>
      <c r="W753" s="19"/>
      <c r="X753" s="19"/>
      <c r="Y753" s="19"/>
      <c r="Z753" s="19"/>
      <c r="AA753" s="17"/>
      <c r="AB753" s="19"/>
      <c r="AC753" s="19"/>
      <c r="AE753" s="17"/>
      <c r="AF753" s="17"/>
    </row>
    <row r="754" spans="1:32">
      <c r="A754" s="17"/>
      <c r="M754" s="17"/>
      <c r="V754" s="18"/>
      <c r="W754" s="19"/>
      <c r="X754" s="19"/>
      <c r="Y754" s="19"/>
      <c r="Z754" s="19"/>
      <c r="AA754" s="17"/>
      <c r="AB754" s="19"/>
      <c r="AC754" s="19"/>
      <c r="AE754" s="17"/>
      <c r="AF754" s="17"/>
    </row>
    <row r="755" spans="1:32">
      <c r="A755" s="17"/>
      <c r="M755" s="17"/>
      <c r="V755" s="18"/>
      <c r="W755" s="19"/>
      <c r="X755" s="19"/>
      <c r="Y755" s="19"/>
      <c r="Z755" s="19"/>
      <c r="AA755" s="17"/>
      <c r="AB755" s="19"/>
      <c r="AC755" s="19"/>
      <c r="AE755" s="17"/>
      <c r="AF755" s="17"/>
    </row>
    <row r="756" spans="1:32">
      <c r="A756" s="17"/>
      <c r="M756" s="17"/>
      <c r="V756" s="18"/>
      <c r="W756" s="19"/>
      <c r="X756" s="19"/>
      <c r="Y756" s="19"/>
      <c r="Z756" s="19"/>
      <c r="AA756" s="17"/>
      <c r="AB756" s="19"/>
      <c r="AC756" s="19"/>
      <c r="AE756" s="17"/>
      <c r="AF756" s="17"/>
    </row>
    <row r="757" spans="1:32">
      <c r="A757" s="17"/>
      <c r="M757" s="17"/>
      <c r="V757" s="18"/>
      <c r="W757" s="19"/>
      <c r="X757" s="19"/>
      <c r="Y757" s="19"/>
      <c r="Z757" s="19"/>
      <c r="AA757" s="17"/>
      <c r="AB757" s="19"/>
      <c r="AC757" s="19"/>
      <c r="AE757" s="17"/>
      <c r="AF757" s="17"/>
    </row>
    <row r="758" spans="1:32">
      <c r="A758" s="17"/>
      <c r="M758" s="17"/>
      <c r="V758" s="18"/>
      <c r="W758" s="19"/>
      <c r="X758" s="19"/>
      <c r="Y758" s="19"/>
      <c r="Z758" s="19"/>
      <c r="AA758" s="17"/>
      <c r="AB758" s="19"/>
      <c r="AC758" s="19"/>
      <c r="AE758" s="17"/>
      <c r="AF758" s="17"/>
    </row>
    <row r="759" spans="1:32">
      <c r="A759" s="17"/>
      <c r="M759" s="17"/>
      <c r="V759" s="18"/>
      <c r="W759" s="19"/>
      <c r="X759" s="19"/>
      <c r="Y759" s="19"/>
      <c r="Z759" s="19"/>
      <c r="AA759" s="17"/>
      <c r="AB759" s="19"/>
      <c r="AC759" s="19"/>
      <c r="AE759" s="17"/>
      <c r="AF759" s="17"/>
    </row>
    <row r="760" spans="1:32">
      <c r="A760" s="17"/>
      <c r="M760" s="17"/>
      <c r="V760" s="18"/>
      <c r="W760" s="19"/>
      <c r="X760" s="19"/>
      <c r="Y760" s="19"/>
      <c r="Z760" s="19"/>
      <c r="AA760" s="17"/>
      <c r="AB760" s="19"/>
      <c r="AC760" s="19"/>
      <c r="AE760" s="17"/>
      <c r="AF760" s="17"/>
    </row>
    <row r="761" spans="1:32">
      <c r="A761" s="17"/>
      <c r="M761" s="17"/>
      <c r="V761" s="18"/>
      <c r="W761" s="19"/>
      <c r="X761" s="19"/>
      <c r="Y761" s="19"/>
      <c r="Z761" s="19"/>
      <c r="AA761" s="17"/>
      <c r="AB761" s="19"/>
      <c r="AC761" s="19"/>
      <c r="AE761" s="17"/>
      <c r="AF761" s="17"/>
    </row>
    <row r="762" spans="1:32">
      <c r="A762" s="17"/>
      <c r="M762" s="17"/>
      <c r="V762" s="18"/>
      <c r="W762" s="19"/>
      <c r="X762" s="19"/>
      <c r="Y762" s="19"/>
      <c r="Z762" s="19"/>
      <c r="AA762" s="17"/>
      <c r="AB762" s="19"/>
      <c r="AC762" s="19"/>
      <c r="AE762" s="17"/>
      <c r="AF762" s="17"/>
    </row>
    <row r="763" spans="1:32">
      <c r="A763" s="17"/>
      <c r="M763" s="17"/>
      <c r="V763" s="18"/>
      <c r="W763" s="19"/>
      <c r="X763" s="19"/>
      <c r="Y763" s="19"/>
      <c r="Z763" s="19"/>
      <c r="AA763" s="17"/>
      <c r="AB763" s="19"/>
      <c r="AC763" s="19"/>
      <c r="AE763" s="17"/>
      <c r="AF763" s="17"/>
    </row>
    <row r="764" spans="1:32">
      <c r="A764" s="17"/>
      <c r="M764" s="17"/>
      <c r="V764" s="18"/>
      <c r="W764" s="19"/>
      <c r="X764" s="19"/>
      <c r="Y764" s="19"/>
      <c r="Z764" s="19"/>
      <c r="AA764" s="17"/>
      <c r="AB764" s="19"/>
      <c r="AC764" s="19"/>
      <c r="AE764" s="17"/>
      <c r="AF764" s="17"/>
    </row>
    <row r="765" spans="1:32">
      <c r="A765" s="17"/>
      <c r="M765" s="17"/>
      <c r="V765" s="18"/>
      <c r="W765" s="19"/>
      <c r="X765" s="19"/>
      <c r="Y765" s="19"/>
      <c r="Z765" s="19"/>
      <c r="AA765" s="17"/>
      <c r="AB765" s="19"/>
      <c r="AC765" s="19"/>
      <c r="AE765" s="17"/>
      <c r="AF765" s="17"/>
    </row>
    <row r="766" spans="1:32">
      <c r="A766" s="17"/>
      <c r="M766" s="17"/>
      <c r="V766" s="18"/>
      <c r="W766" s="19"/>
      <c r="X766" s="19"/>
      <c r="Y766" s="19"/>
      <c r="Z766" s="19"/>
      <c r="AA766" s="17"/>
      <c r="AB766" s="19"/>
      <c r="AC766" s="19"/>
      <c r="AE766" s="17"/>
      <c r="AF766" s="17"/>
    </row>
    <row r="767" spans="1:32">
      <c r="A767" s="17"/>
      <c r="M767" s="17"/>
      <c r="V767" s="18"/>
      <c r="W767" s="19"/>
      <c r="X767" s="19"/>
      <c r="Y767" s="19"/>
      <c r="Z767" s="19"/>
      <c r="AA767" s="17"/>
      <c r="AB767" s="19"/>
      <c r="AC767" s="19"/>
      <c r="AE767" s="17"/>
      <c r="AF767" s="17"/>
    </row>
    <row r="768" spans="1:32">
      <c r="A768" s="17"/>
      <c r="M768" s="17"/>
      <c r="V768" s="18"/>
      <c r="W768" s="19"/>
      <c r="X768" s="19"/>
      <c r="Y768" s="19"/>
      <c r="Z768" s="19"/>
      <c r="AA768" s="17"/>
      <c r="AB768" s="19"/>
      <c r="AC768" s="19"/>
      <c r="AE768" s="17"/>
      <c r="AF768" s="17"/>
    </row>
    <row r="769" spans="1:32">
      <c r="A769" s="17"/>
      <c r="M769" s="17"/>
      <c r="V769" s="18"/>
      <c r="W769" s="19"/>
      <c r="X769" s="19"/>
      <c r="Y769" s="19"/>
      <c r="Z769" s="19"/>
      <c r="AA769" s="17"/>
      <c r="AB769" s="19"/>
      <c r="AC769" s="19"/>
      <c r="AE769" s="17"/>
      <c r="AF769" s="17"/>
    </row>
    <row r="770" spans="1:32">
      <c r="A770" s="17"/>
      <c r="M770" s="17"/>
      <c r="V770" s="18"/>
      <c r="W770" s="19"/>
      <c r="X770" s="19"/>
      <c r="Y770" s="19"/>
      <c r="Z770" s="19"/>
      <c r="AA770" s="17"/>
      <c r="AB770" s="19"/>
      <c r="AC770" s="19"/>
      <c r="AE770" s="17"/>
      <c r="AF770" s="17"/>
    </row>
    <row r="771" spans="1:32">
      <c r="A771" s="17"/>
      <c r="M771" s="17"/>
      <c r="V771" s="18"/>
      <c r="W771" s="19"/>
      <c r="X771" s="19"/>
      <c r="Y771" s="19"/>
      <c r="Z771" s="19"/>
      <c r="AA771" s="17"/>
      <c r="AB771" s="19"/>
      <c r="AC771" s="19"/>
      <c r="AE771" s="17"/>
      <c r="AF771" s="17"/>
    </row>
    <row r="772" spans="1:32">
      <c r="A772" s="17"/>
      <c r="M772" s="17"/>
      <c r="V772" s="18"/>
      <c r="W772" s="19"/>
      <c r="X772" s="19"/>
      <c r="Y772" s="19"/>
      <c r="Z772" s="19"/>
      <c r="AA772" s="17"/>
      <c r="AB772" s="19"/>
      <c r="AC772" s="19"/>
      <c r="AE772" s="17"/>
      <c r="AF772" s="17"/>
    </row>
    <row r="773" spans="1:32">
      <c r="A773" s="17"/>
      <c r="M773" s="17"/>
      <c r="V773" s="18"/>
      <c r="W773" s="19"/>
      <c r="X773" s="19"/>
      <c r="Y773" s="19"/>
      <c r="Z773" s="19"/>
      <c r="AA773" s="17"/>
      <c r="AB773" s="19"/>
      <c r="AC773" s="19"/>
      <c r="AE773" s="17"/>
      <c r="AF773" s="17"/>
    </row>
    <row r="774" spans="1:32">
      <c r="A774" s="17"/>
      <c r="M774" s="17"/>
      <c r="V774" s="18"/>
      <c r="W774" s="19"/>
      <c r="X774" s="19"/>
      <c r="Y774" s="19"/>
      <c r="Z774" s="19"/>
      <c r="AA774" s="17"/>
      <c r="AB774" s="19"/>
      <c r="AC774" s="19"/>
      <c r="AE774" s="17"/>
      <c r="AF774" s="17"/>
    </row>
    <row r="775" spans="1:32">
      <c r="A775" s="17"/>
      <c r="M775" s="17"/>
      <c r="V775" s="18"/>
      <c r="W775" s="19"/>
      <c r="X775" s="19"/>
      <c r="Y775" s="19"/>
      <c r="Z775" s="19"/>
      <c r="AA775" s="17"/>
      <c r="AB775" s="19"/>
      <c r="AC775" s="19"/>
      <c r="AE775" s="17"/>
      <c r="AF775" s="17"/>
    </row>
    <row r="776" spans="1:32">
      <c r="A776" s="17"/>
      <c r="M776" s="17"/>
      <c r="V776" s="18"/>
      <c r="W776" s="19"/>
      <c r="X776" s="19"/>
      <c r="Y776" s="19"/>
      <c r="Z776" s="19"/>
      <c r="AA776" s="17"/>
      <c r="AB776" s="19"/>
      <c r="AC776" s="19"/>
      <c r="AE776" s="17"/>
      <c r="AF776" s="17"/>
    </row>
    <row r="777" spans="1:32">
      <c r="A777" s="17"/>
      <c r="M777" s="17"/>
      <c r="V777" s="18"/>
      <c r="W777" s="19"/>
      <c r="X777" s="19"/>
      <c r="Y777" s="19"/>
      <c r="Z777" s="19"/>
      <c r="AA777" s="17"/>
      <c r="AB777" s="19"/>
      <c r="AC777" s="19"/>
      <c r="AE777" s="17"/>
      <c r="AF777" s="17"/>
    </row>
    <row r="778" spans="1:32">
      <c r="A778" s="17"/>
      <c r="M778" s="17"/>
      <c r="V778" s="18"/>
      <c r="W778" s="19"/>
      <c r="X778" s="19"/>
      <c r="Y778" s="19"/>
      <c r="Z778" s="19"/>
      <c r="AA778" s="17"/>
      <c r="AB778" s="19"/>
      <c r="AC778" s="19"/>
      <c r="AE778" s="17"/>
      <c r="AF778" s="17"/>
    </row>
    <row r="779" spans="1:32">
      <c r="A779" s="17"/>
      <c r="M779" s="17"/>
      <c r="V779" s="18"/>
      <c r="W779" s="19"/>
      <c r="X779" s="19"/>
      <c r="Y779" s="19"/>
      <c r="Z779" s="19"/>
      <c r="AA779" s="17"/>
      <c r="AB779" s="19"/>
      <c r="AC779" s="19"/>
      <c r="AE779" s="17"/>
      <c r="AF779" s="17"/>
    </row>
    <row r="780" spans="1:32">
      <c r="A780" s="17"/>
      <c r="M780" s="17"/>
      <c r="V780" s="18"/>
      <c r="W780" s="19"/>
      <c r="X780" s="19"/>
      <c r="Y780" s="19"/>
      <c r="Z780" s="19"/>
      <c r="AA780" s="17"/>
      <c r="AB780" s="19"/>
      <c r="AC780" s="19"/>
      <c r="AE780" s="17"/>
      <c r="AF780" s="17"/>
    </row>
    <row r="781" spans="1:32">
      <c r="A781" s="17"/>
      <c r="M781" s="17"/>
      <c r="V781" s="18"/>
      <c r="W781" s="19"/>
      <c r="X781" s="19"/>
      <c r="Y781" s="19"/>
      <c r="Z781" s="19"/>
      <c r="AA781" s="17"/>
      <c r="AB781" s="19"/>
      <c r="AC781" s="19"/>
      <c r="AE781" s="17"/>
      <c r="AF781" s="17"/>
    </row>
    <row r="782" spans="1:32">
      <c r="A782" s="17"/>
      <c r="M782" s="17"/>
      <c r="V782" s="18"/>
      <c r="W782" s="19"/>
      <c r="X782" s="19"/>
      <c r="Y782" s="19"/>
      <c r="Z782" s="19"/>
      <c r="AA782" s="17"/>
      <c r="AB782" s="19"/>
      <c r="AC782" s="19"/>
      <c r="AE782" s="17"/>
      <c r="AF782" s="17"/>
    </row>
    <row r="783" spans="1:32">
      <c r="A783" s="17"/>
      <c r="M783" s="17"/>
      <c r="V783" s="18"/>
      <c r="W783" s="19"/>
      <c r="X783" s="19"/>
      <c r="Y783" s="19"/>
      <c r="Z783" s="19"/>
      <c r="AA783" s="17"/>
      <c r="AB783" s="19"/>
      <c r="AC783" s="19"/>
      <c r="AE783" s="17"/>
      <c r="AF783" s="17"/>
    </row>
    <row r="784" spans="1:32">
      <c r="A784" s="17"/>
      <c r="M784" s="17"/>
      <c r="V784" s="18"/>
      <c r="W784" s="19"/>
      <c r="X784" s="19"/>
      <c r="Y784" s="19"/>
      <c r="Z784" s="19"/>
      <c r="AA784" s="17"/>
      <c r="AB784" s="19"/>
      <c r="AC784" s="19"/>
      <c r="AE784" s="17"/>
      <c r="AF784" s="17"/>
    </row>
    <row r="785" spans="1:32">
      <c r="A785" s="17"/>
      <c r="M785" s="17"/>
      <c r="V785" s="18"/>
      <c r="W785" s="19"/>
      <c r="X785" s="19"/>
      <c r="Y785" s="19"/>
      <c r="Z785" s="19"/>
      <c r="AA785" s="17"/>
      <c r="AB785" s="19"/>
      <c r="AC785" s="19"/>
      <c r="AE785" s="17"/>
      <c r="AF785" s="17"/>
    </row>
    <row r="786" spans="1:32">
      <c r="A786" s="17"/>
      <c r="M786" s="17"/>
      <c r="V786" s="18"/>
      <c r="W786" s="19"/>
      <c r="X786" s="19"/>
      <c r="Y786" s="19"/>
      <c r="Z786" s="19"/>
      <c r="AA786" s="17"/>
      <c r="AB786" s="19"/>
      <c r="AC786" s="19"/>
      <c r="AE786" s="17"/>
      <c r="AF786" s="17"/>
    </row>
    <row r="787" spans="1:32">
      <c r="A787" s="17"/>
      <c r="M787" s="17"/>
      <c r="V787" s="18"/>
      <c r="W787" s="19"/>
      <c r="X787" s="19"/>
      <c r="Y787" s="19"/>
      <c r="Z787" s="19"/>
      <c r="AA787" s="17"/>
      <c r="AB787" s="19"/>
      <c r="AC787" s="19"/>
      <c r="AE787" s="17"/>
      <c r="AF787" s="17"/>
    </row>
    <row r="788" spans="1:32">
      <c r="A788" s="17"/>
      <c r="M788" s="17"/>
      <c r="V788" s="18"/>
      <c r="W788" s="19"/>
      <c r="X788" s="19"/>
      <c r="Y788" s="19"/>
      <c r="Z788" s="19"/>
      <c r="AA788" s="17"/>
      <c r="AB788" s="19"/>
      <c r="AC788" s="19"/>
      <c r="AE788" s="17"/>
      <c r="AF788" s="17"/>
    </row>
    <row r="789" spans="1:32">
      <c r="A789" s="17"/>
      <c r="M789" s="17"/>
      <c r="V789" s="18"/>
      <c r="W789" s="19"/>
      <c r="X789" s="19"/>
      <c r="Y789" s="19"/>
      <c r="Z789" s="19"/>
      <c r="AA789" s="17"/>
      <c r="AB789" s="19"/>
      <c r="AC789" s="19"/>
      <c r="AE789" s="17"/>
      <c r="AF789" s="17"/>
    </row>
    <row r="790" spans="1:32">
      <c r="A790" s="17"/>
      <c r="M790" s="17"/>
      <c r="V790" s="18"/>
      <c r="W790" s="19"/>
      <c r="X790" s="19"/>
      <c r="Y790" s="19"/>
      <c r="Z790" s="19"/>
      <c r="AA790" s="17"/>
      <c r="AB790" s="19"/>
      <c r="AC790" s="19"/>
      <c r="AE790" s="17"/>
      <c r="AF790" s="17"/>
    </row>
    <row r="791" spans="1:32">
      <c r="A791" s="17"/>
      <c r="M791" s="17"/>
      <c r="V791" s="18"/>
      <c r="W791" s="19"/>
      <c r="X791" s="19"/>
      <c r="Y791" s="19"/>
      <c r="Z791" s="19"/>
      <c r="AA791" s="17"/>
      <c r="AB791" s="19"/>
      <c r="AC791" s="19"/>
      <c r="AE791" s="17"/>
      <c r="AF791" s="17"/>
    </row>
    <row r="792" spans="1:32">
      <c r="A792" s="17"/>
      <c r="M792" s="17"/>
      <c r="V792" s="18"/>
      <c r="W792" s="19"/>
      <c r="X792" s="19"/>
      <c r="Y792" s="19"/>
      <c r="Z792" s="19"/>
      <c r="AA792" s="17"/>
      <c r="AB792" s="19"/>
      <c r="AC792" s="19"/>
      <c r="AE792" s="17"/>
      <c r="AF792" s="17"/>
    </row>
    <row r="793" spans="1:32">
      <c r="A793" s="17"/>
      <c r="M793" s="17"/>
      <c r="V793" s="18"/>
      <c r="W793" s="19"/>
      <c r="X793" s="19"/>
      <c r="Y793" s="19"/>
      <c r="Z793" s="19"/>
      <c r="AA793" s="17"/>
      <c r="AB793" s="19"/>
      <c r="AC793" s="19"/>
      <c r="AE793" s="17"/>
      <c r="AF793" s="17"/>
    </row>
    <row r="794" spans="1:32">
      <c r="A794" s="17"/>
      <c r="M794" s="17"/>
      <c r="V794" s="18"/>
      <c r="W794" s="19"/>
      <c r="X794" s="19"/>
      <c r="Y794" s="19"/>
      <c r="Z794" s="19"/>
      <c r="AA794" s="17"/>
      <c r="AB794" s="19"/>
      <c r="AC794" s="19"/>
      <c r="AE794" s="17"/>
      <c r="AF794" s="17"/>
    </row>
    <row r="795" spans="1:32">
      <c r="A795" s="17"/>
      <c r="M795" s="17"/>
      <c r="V795" s="18"/>
      <c r="W795" s="19"/>
      <c r="X795" s="19"/>
      <c r="Y795" s="19"/>
      <c r="Z795" s="19"/>
      <c r="AA795" s="17"/>
      <c r="AB795" s="19"/>
      <c r="AC795" s="19"/>
      <c r="AE795" s="17"/>
      <c r="AF795" s="17"/>
    </row>
    <row r="796" spans="1:32">
      <c r="A796" s="17"/>
      <c r="M796" s="17"/>
      <c r="V796" s="18"/>
      <c r="W796" s="19"/>
      <c r="X796" s="19"/>
      <c r="Y796" s="19"/>
      <c r="Z796" s="19"/>
      <c r="AA796" s="17"/>
      <c r="AB796" s="19"/>
      <c r="AC796" s="19"/>
      <c r="AE796" s="17"/>
      <c r="AF796" s="17"/>
    </row>
    <row r="797" spans="1:32">
      <c r="A797" s="17"/>
      <c r="M797" s="17"/>
      <c r="V797" s="18"/>
      <c r="W797" s="19"/>
      <c r="X797" s="19"/>
      <c r="Y797" s="19"/>
      <c r="Z797" s="19"/>
      <c r="AA797" s="17"/>
      <c r="AB797" s="19"/>
      <c r="AC797" s="19"/>
      <c r="AE797" s="17"/>
      <c r="AF797" s="17"/>
    </row>
    <row r="798" spans="1:32">
      <c r="A798" s="17"/>
      <c r="M798" s="17"/>
      <c r="V798" s="18"/>
      <c r="W798" s="19"/>
      <c r="X798" s="19"/>
      <c r="Y798" s="19"/>
      <c r="Z798" s="19"/>
      <c r="AA798" s="17"/>
      <c r="AB798" s="19"/>
      <c r="AC798" s="19"/>
      <c r="AE798" s="17"/>
      <c r="AF798" s="17"/>
    </row>
    <row r="799" spans="1:32">
      <c r="A799" s="17"/>
      <c r="M799" s="17"/>
      <c r="V799" s="18"/>
      <c r="W799" s="19"/>
      <c r="X799" s="19"/>
      <c r="Y799" s="19"/>
      <c r="Z799" s="19"/>
      <c r="AA799" s="17"/>
      <c r="AB799" s="19"/>
      <c r="AC799" s="19"/>
      <c r="AE799" s="17"/>
      <c r="AF799" s="17"/>
    </row>
    <row r="800" spans="1:32">
      <c r="A800" s="17"/>
      <c r="M800" s="17"/>
      <c r="V800" s="18"/>
      <c r="W800" s="19"/>
      <c r="X800" s="19"/>
      <c r="Y800" s="19"/>
      <c r="Z800" s="19"/>
      <c r="AA800" s="17"/>
      <c r="AB800" s="19"/>
      <c r="AC800" s="19"/>
      <c r="AE800" s="17"/>
      <c r="AF800" s="17"/>
    </row>
    <row r="801" spans="1:32">
      <c r="A801" s="17"/>
      <c r="M801" s="17"/>
      <c r="V801" s="18"/>
      <c r="W801" s="19"/>
      <c r="X801" s="19"/>
      <c r="Y801" s="19"/>
      <c r="Z801" s="19"/>
      <c r="AA801" s="17"/>
      <c r="AB801" s="19"/>
      <c r="AC801" s="19"/>
      <c r="AE801" s="17"/>
      <c r="AF801" s="17"/>
    </row>
    <row r="802" spans="1:32">
      <c r="A802" s="17"/>
      <c r="M802" s="17"/>
      <c r="V802" s="18"/>
      <c r="W802" s="19"/>
      <c r="X802" s="19"/>
      <c r="Y802" s="19"/>
      <c r="Z802" s="19"/>
      <c r="AA802" s="17"/>
      <c r="AB802" s="19"/>
      <c r="AC802" s="19"/>
      <c r="AE802" s="17"/>
      <c r="AF802" s="17"/>
    </row>
    <row r="803" spans="1:32">
      <c r="A803" s="17"/>
      <c r="M803" s="17"/>
      <c r="V803" s="18"/>
      <c r="W803" s="19"/>
      <c r="X803" s="19"/>
      <c r="Y803" s="19"/>
      <c r="Z803" s="19"/>
      <c r="AA803" s="17"/>
      <c r="AB803" s="19"/>
      <c r="AC803" s="19"/>
      <c r="AE803" s="17"/>
      <c r="AF803" s="17"/>
    </row>
    <row r="804" spans="1:32">
      <c r="A804" s="17"/>
      <c r="M804" s="17"/>
      <c r="V804" s="18"/>
      <c r="W804" s="19"/>
      <c r="X804" s="19"/>
      <c r="Y804" s="19"/>
      <c r="Z804" s="19"/>
      <c r="AA804" s="17"/>
      <c r="AB804" s="19"/>
      <c r="AC804" s="19"/>
      <c r="AE804" s="17"/>
      <c r="AF804" s="17"/>
    </row>
    <row r="805" spans="1:32">
      <c r="A805" s="17"/>
      <c r="M805" s="17"/>
      <c r="V805" s="18"/>
      <c r="W805" s="19"/>
      <c r="X805" s="19"/>
      <c r="Y805" s="19"/>
      <c r="Z805" s="19"/>
      <c r="AA805" s="17"/>
      <c r="AB805" s="19"/>
      <c r="AC805" s="19"/>
      <c r="AE805" s="17"/>
      <c r="AF805" s="17"/>
    </row>
    <row r="806" spans="1:32">
      <c r="A806" s="17"/>
      <c r="M806" s="17"/>
      <c r="V806" s="18"/>
      <c r="W806" s="19"/>
      <c r="X806" s="19"/>
      <c r="Y806" s="19"/>
      <c r="Z806" s="19"/>
      <c r="AA806" s="17"/>
      <c r="AB806" s="19"/>
      <c r="AC806" s="19"/>
      <c r="AE806" s="17"/>
      <c r="AF806" s="17"/>
    </row>
    <row r="807" spans="1:32">
      <c r="A807" s="17"/>
      <c r="M807" s="17"/>
      <c r="V807" s="18"/>
      <c r="W807" s="19"/>
      <c r="X807" s="19"/>
      <c r="Y807" s="19"/>
      <c r="Z807" s="19"/>
      <c r="AA807" s="17"/>
      <c r="AB807" s="19"/>
      <c r="AC807" s="19"/>
      <c r="AE807" s="17"/>
      <c r="AF807" s="17"/>
    </row>
    <row r="808" spans="1:32">
      <c r="A808" s="17"/>
      <c r="M808" s="17"/>
      <c r="V808" s="18"/>
      <c r="W808" s="19"/>
      <c r="X808" s="19"/>
      <c r="Y808" s="19"/>
      <c r="Z808" s="19"/>
      <c r="AA808" s="17"/>
      <c r="AB808" s="19"/>
      <c r="AC808" s="19"/>
      <c r="AE808" s="17"/>
      <c r="AF808" s="17"/>
    </row>
    <row r="809" spans="1:32">
      <c r="A809" s="17"/>
      <c r="M809" s="17"/>
      <c r="V809" s="18"/>
      <c r="W809" s="19"/>
      <c r="X809" s="19"/>
      <c r="Y809" s="19"/>
      <c r="Z809" s="19"/>
      <c r="AA809" s="17"/>
      <c r="AB809" s="19"/>
      <c r="AC809" s="19"/>
      <c r="AE809" s="17"/>
      <c r="AF809" s="17"/>
    </row>
    <row r="810" spans="1:32">
      <c r="A810" s="17"/>
      <c r="M810" s="17"/>
      <c r="V810" s="18"/>
      <c r="W810" s="19"/>
      <c r="X810" s="19"/>
      <c r="Y810" s="19"/>
      <c r="Z810" s="19"/>
      <c r="AA810" s="17"/>
      <c r="AB810" s="19"/>
      <c r="AC810" s="19"/>
      <c r="AE810" s="17"/>
      <c r="AF810" s="17"/>
    </row>
    <row r="811" spans="1:32">
      <c r="A811" s="17"/>
      <c r="M811" s="17"/>
      <c r="V811" s="18"/>
      <c r="W811" s="19"/>
      <c r="X811" s="19"/>
      <c r="Y811" s="19"/>
      <c r="Z811" s="19"/>
      <c r="AA811" s="17"/>
      <c r="AB811" s="19"/>
      <c r="AC811" s="19"/>
      <c r="AE811" s="17"/>
      <c r="AF811" s="17"/>
    </row>
    <row r="812" spans="1:32">
      <c r="A812" s="17"/>
      <c r="M812" s="17"/>
      <c r="V812" s="18"/>
      <c r="W812" s="19"/>
      <c r="X812" s="19"/>
      <c r="Y812" s="19"/>
      <c r="Z812" s="19"/>
      <c r="AA812" s="17"/>
      <c r="AB812" s="19"/>
      <c r="AC812" s="19"/>
      <c r="AE812" s="17"/>
      <c r="AF812" s="17"/>
    </row>
    <row r="813" spans="1:32">
      <c r="A813" s="17"/>
      <c r="M813" s="17"/>
      <c r="V813" s="18"/>
      <c r="W813" s="19"/>
      <c r="X813" s="19"/>
      <c r="Y813" s="19"/>
      <c r="Z813" s="19"/>
      <c r="AA813" s="17"/>
      <c r="AB813" s="19"/>
      <c r="AC813" s="19"/>
      <c r="AE813" s="17"/>
      <c r="AF813" s="17"/>
    </row>
    <row r="814" spans="1:32">
      <c r="A814" s="17"/>
      <c r="M814" s="17"/>
      <c r="V814" s="18"/>
      <c r="W814" s="19"/>
      <c r="X814" s="19"/>
      <c r="Y814" s="19"/>
      <c r="Z814" s="19"/>
      <c r="AA814" s="17"/>
      <c r="AB814" s="19"/>
      <c r="AC814" s="19"/>
      <c r="AE814" s="17"/>
      <c r="AF814" s="17"/>
    </row>
    <row r="815" spans="1:32">
      <c r="A815" s="17"/>
      <c r="M815" s="17"/>
      <c r="V815" s="18"/>
      <c r="W815" s="19"/>
      <c r="X815" s="19"/>
      <c r="Y815" s="19"/>
      <c r="Z815" s="19"/>
      <c r="AA815" s="17"/>
      <c r="AB815" s="19"/>
      <c r="AC815" s="19"/>
      <c r="AE815" s="17"/>
      <c r="AF815" s="17"/>
    </row>
    <row r="816" spans="1:32">
      <c r="A816" s="17"/>
      <c r="M816" s="17"/>
      <c r="V816" s="18"/>
      <c r="W816" s="19"/>
      <c r="X816" s="19"/>
      <c r="Y816" s="19"/>
      <c r="Z816" s="19"/>
      <c r="AA816" s="17"/>
      <c r="AB816" s="19"/>
      <c r="AC816" s="19"/>
      <c r="AE816" s="17"/>
      <c r="AF816" s="17"/>
    </row>
    <row r="817" spans="1:32">
      <c r="A817" s="17"/>
      <c r="M817" s="17"/>
      <c r="V817" s="18"/>
      <c r="W817" s="19"/>
      <c r="X817" s="19"/>
      <c r="Y817" s="19"/>
      <c r="Z817" s="19"/>
      <c r="AA817" s="17"/>
      <c r="AB817" s="19"/>
      <c r="AC817" s="19"/>
      <c r="AE817" s="17"/>
      <c r="AF817" s="17"/>
    </row>
    <row r="818" spans="1:32">
      <c r="A818" s="17"/>
      <c r="M818" s="17"/>
      <c r="V818" s="18"/>
      <c r="W818" s="19"/>
      <c r="X818" s="19"/>
      <c r="Y818" s="19"/>
      <c r="Z818" s="19"/>
      <c r="AA818" s="17"/>
      <c r="AB818" s="19"/>
      <c r="AC818" s="19"/>
      <c r="AE818" s="17"/>
      <c r="AF818" s="17"/>
    </row>
    <row r="819" spans="1:32">
      <c r="A819" s="17"/>
      <c r="M819" s="17"/>
      <c r="V819" s="18"/>
      <c r="W819" s="19"/>
      <c r="X819" s="19"/>
      <c r="Y819" s="19"/>
      <c r="Z819" s="19"/>
      <c r="AA819" s="17"/>
      <c r="AB819" s="19"/>
      <c r="AC819" s="19"/>
      <c r="AE819" s="17"/>
      <c r="AF819" s="17"/>
    </row>
    <row r="820" spans="1:32">
      <c r="A820" s="17"/>
      <c r="M820" s="17"/>
      <c r="V820" s="18"/>
      <c r="W820" s="19"/>
      <c r="X820" s="19"/>
      <c r="Y820" s="19"/>
      <c r="Z820" s="19"/>
      <c r="AA820" s="17"/>
      <c r="AB820" s="19"/>
      <c r="AC820" s="19"/>
      <c r="AE820" s="17"/>
      <c r="AF820" s="17"/>
    </row>
    <row r="821" spans="1:32">
      <c r="A821" s="17"/>
      <c r="M821" s="17"/>
      <c r="V821" s="18"/>
      <c r="W821" s="19"/>
      <c r="X821" s="19"/>
      <c r="Y821" s="19"/>
      <c r="Z821" s="19"/>
      <c r="AA821" s="17"/>
      <c r="AB821" s="19"/>
      <c r="AC821" s="19"/>
      <c r="AE821" s="17"/>
      <c r="AF821" s="17"/>
    </row>
    <row r="822" spans="1:32">
      <c r="A822" s="17"/>
      <c r="M822" s="17"/>
      <c r="V822" s="18"/>
      <c r="W822" s="19"/>
      <c r="X822" s="19"/>
      <c r="Y822" s="19"/>
      <c r="Z822" s="19"/>
      <c r="AA822" s="17"/>
      <c r="AB822" s="19"/>
      <c r="AC822" s="19"/>
      <c r="AE822" s="17"/>
      <c r="AF822" s="17"/>
    </row>
    <row r="823" spans="1:32">
      <c r="A823" s="17"/>
      <c r="M823" s="17"/>
      <c r="V823" s="18"/>
      <c r="W823" s="19"/>
      <c r="X823" s="19"/>
      <c r="Y823" s="19"/>
      <c r="Z823" s="19"/>
      <c r="AA823" s="17"/>
      <c r="AB823" s="19"/>
      <c r="AC823" s="19"/>
      <c r="AE823" s="17"/>
      <c r="AF823" s="17"/>
    </row>
    <row r="824" spans="1:32">
      <c r="A824" s="17"/>
      <c r="M824" s="17"/>
      <c r="V824" s="18"/>
      <c r="W824" s="19"/>
      <c r="X824" s="19"/>
      <c r="Y824" s="19"/>
      <c r="Z824" s="19"/>
      <c r="AA824" s="17"/>
      <c r="AB824" s="19"/>
      <c r="AC824" s="19"/>
      <c r="AE824" s="17"/>
      <c r="AF824" s="17"/>
    </row>
    <row r="825" spans="1:32">
      <c r="A825" s="17"/>
      <c r="M825" s="17"/>
      <c r="V825" s="18"/>
      <c r="W825" s="19"/>
      <c r="X825" s="19"/>
      <c r="Y825" s="19"/>
      <c r="Z825" s="19"/>
      <c r="AA825" s="17"/>
      <c r="AB825" s="19"/>
      <c r="AC825" s="19"/>
      <c r="AE825" s="17"/>
      <c r="AF825" s="17"/>
    </row>
    <row r="826" spans="1:32">
      <c r="A826" s="17"/>
      <c r="M826" s="17"/>
      <c r="V826" s="18"/>
      <c r="W826" s="19"/>
      <c r="X826" s="19"/>
      <c r="Y826" s="19"/>
      <c r="Z826" s="19"/>
      <c r="AA826" s="17"/>
      <c r="AB826" s="19"/>
      <c r="AC826" s="19"/>
      <c r="AE826" s="17"/>
      <c r="AF826" s="17"/>
    </row>
    <row r="827" spans="1:32">
      <c r="A827" s="17"/>
      <c r="M827" s="17"/>
      <c r="V827" s="18"/>
      <c r="W827" s="19"/>
      <c r="X827" s="19"/>
      <c r="Y827" s="19"/>
      <c r="Z827" s="19"/>
      <c r="AA827" s="17"/>
      <c r="AB827" s="19"/>
      <c r="AC827" s="19"/>
      <c r="AE827" s="17"/>
      <c r="AF827" s="17"/>
    </row>
    <row r="828" spans="1:32">
      <c r="A828" s="17"/>
      <c r="M828" s="17"/>
      <c r="V828" s="18"/>
      <c r="W828" s="19"/>
      <c r="X828" s="19"/>
      <c r="Y828" s="19"/>
      <c r="Z828" s="19"/>
      <c r="AA828" s="17"/>
      <c r="AB828" s="19"/>
      <c r="AC828" s="19"/>
      <c r="AE828" s="17"/>
      <c r="AF828" s="17"/>
    </row>
    <row r="829" spans="1:32">
      <c r="A829" s="17"/>
      <c r="M829" s="17"/>
      <c r="V829" s="18"/>
      <c r="W829" s="19"/>
      <c r="X829" s="19"/>
      <c r="Y829" s="19"/>
      <c r="Z829" s="19"/>
      <c r="AA829" s="17"/>
      <c r="AB829" s="19"/>
      <c r="AC829" s="19"/>
      <c r="AE829" s="17"/>
      <c r="AF829" s="17"/>
    </row>
    <row r="830" spans="1:32">
      <c r="A830" s="17"/>
      <c r="M830" s="17"/>
      <c r="V830" s="18"/>
      <c r="W830" s="19"/>
      <c r="X830" s="19"/>
      <c r="Y830" s="19"/>
      <c r="Z830" s="19"/>
      <c r="AA830" s="17"/>
      <c r="AB830" s="19"/>
      <c r="AC830" s="19"/>
      <c r="AE830" s="17"/>
      <c r="AF830" s="17"/>
    </row>
    <row r="831" spans="1:32">
      <c r="A831" s="17"/>
      <c r="M831" s="17"/>
      <c r="V831" s="18"/>
      <c r="W831" s="19"/>
      <c r="X831" s="19"/>
      <c r="Y831" s="19"/>
      <c r="Z831" s="19"/>
      <c r="AA831" s="17"/>
      <c r="AB831" s="19"/>
      <c r="AC831" s="19"/>
      <c r="AE831" s="17"/>
      <c r="AF831" s="17"/>
    </row>
    <row r="832" spans="1:32">
      <c r="A832" s="17"/>
      <c r="M832" s="17"/>
      <c r="V832" s="18"/>
      <c r="W832" s="19"/>
      <c r="X832" s="19"/>
      <c r="Y832" s="19"/>
      <c r="Z832" s="19"/>
      <c r="AA832" s="17"/>
      <c r="AB832" s="19"/>
      <c r="AC832" s="19"/>
      <c r="AE832" s="17"/>
      <c r="AF832" s="17"/>
    </row>
    <row r="833" spans="1:32">
      <c r="A833" s="17"/>
      <c r="M833" s="17"/>
      <c r="V833" s="18"/>
      <c r="W833" s="19"/>
      <c r="X833" s="19"/>
      <c r="Y833" s="19"/>
      <c r="Z833" s="19"/>
      <c r="AA833" s="17"/>
      <c r="AB833" s="19"/>
      <c r="AC833" s="19"/>
      <c r="AE833" s="17"/>
      <c r="AF833" s="17"/>
    </row>
    <row r="834" spans="1:32">
      <c r="A834" s="17"/>
      <c r="M834" s="17"/>
      <c r="V834" s="18"/>
      <c r="W834" s="19"/>
      <c r="X834" s="19"/>
      <c r="Y834" s="19"/>
      <c r="Z834" s="19"/>
      <c r="AA834" s="17"/>
      <c r="AB834" s="19"/>
      <c r="AC834" s="19"/>
      <c r="AE834" s="17"/>
      <c r="AF834" s="17"/>
    </row>
    <row r="835" spans="1:32">
      <c r="A835" s="17"/>
      <c r="M835" s="17"/>
      <c r="V835" s="18"/>
      <c r="W835" s="19"/>
      <c r="X835" s="19"/>
      <c r="Y835" s="19"/>
      <c r="Z835" s="19"/>
      <c r="AA835" s="17"/>
      <c r="AB835" s="19"/>
      <c r="AC835" s="19"/>
      <c r="AE835" s="17"/>
      <c r="AF835" s="17"/>
    </row>
    <row r="836" spans="1:32">
      <c r="A836" s="17"/>
      <c r="M836" s="17"/>
      <c r="V836" s="18"/>
      <c r="W836" s="19"/>
      <c r="X836" s="19"/>
      <c r="Y836" s="19"/>
      <c r="Z836" s="19"/>
      <c r="AA836" s="17"/>
      <c r="AB836" s="19"/>
      <c r="AC836" s="19"/>
      <c r="AE836" s="17"/>
      <c r="AF836" s="17"/>
    </row>
    <row r="837" spans="1:32">
      <c r="A837" s="17"/>
      <c r="M837" s="17"/>
      <c r="V837" s="18"/>
      <c r="W837" s="19"/>
      <c r="X837" s="19"/>
      <c r="Y837" s="19"/>
      <c r="Z837" s="19"/>
      <c r="AA837" s="17"/>
      <c r="AB837" s="19"/>
      <c r="AC837" s="19"/>
      <c r="AE837" s="17"/>
      <c r="AF837" s="17"/>
    </row>
    <row r="838" spans="1:32">
      <c r="A838" s="17"/>
      <c r="M838" s="17"/>
      <c r="V838" s="18"/>
      <c r="W838" s="19"/>
      <c r="X838" s="19"/>
      <c r="Y838" s="19"/>
      <c r="Z838" s="19"/>
      <c r="AA838" s="17"/>
      <c r="AB838" s="19"/>
      <c r="AC838" s="19"/>
      <c r="AE838" s="17"/>
      <c r="AF838" s="17"/>
    </row>
    <row r="839" spans="1:32">
      <c r="A839" s="17"/>
      <c r="M839" s="17"/>
      <c r="V839" s="18"/>
      <c r="W839" s="19"/>
      <c r="X839" s="19"/>
      <c r="Y839" s="19"/>
      <c r="Z839" s="19"/>
      <c r="AA839" s="17"/>
      <c r="AB839" s="19"/>
      <c r="AC839" s="19"/>
      <c r="AE839" s="17"/>
      <c r="AF839" s="17"/>
    </row>
    <row r="840" spans="1:32">
      <c r="A840" s="17"/>
      <c r="M840" s="17"/>
      <c r="V840" s="18"/>
      <c r="W840" s="19"/>
      <c r="X840" s="19"/>
      <c r="Y840" s="19"/>
      <c r="Z840" s="19"/>
      <c r="AA840" s="17"/>
      <c r="AB840" s="19"/>
      <c r="AC840" s="19"/>
      <c r="AE840" s="17"/>
      <c r="AF840" s="17"/>
    </row>
    <row r="841" spans="1:32">
      <c r="A841" s="17"/>
      <c r="M841" s="17"/>
      <c r="V841" s="18"/>
      <c r="W841" s="19"/>
      <c r="X841" s="19"/>
      <c r="Y841" s="19"/>
      <c r="Z841" s="19"/>
      <c r="AA841" s="17"/>
      <c r="AB841" s="19"/>
      <c r="AC841" s="19"/>
      <c r="AE841" s="17"/>
      <c r="AF841" s="17"/>
    </row>
    <row r="842" spans="1:32">
      <c r="A842" s="17"/>
      <c r="M842" s="17"/>
      <c r="V842" s="18"/>
      <c r="W842" s="19"/>
      <c r="X842" s="19"/>
      <c r="Y842" s="19"/>
      <c r="Z842" s="19"/>
      <c r="AA842" s="17"/>
      <c r="AB842" s="19"/>
      <c r="AC842" s="19"/>
      <c r="AE842" s="17"/>
      <c r="AF842" s="17"/>
    </row>
    <row r="843" spans="1:32">
      <c r="A843" s="17"/>
      <c r="M843" s="17"/>
      <c r="V843" s="18"/>
      <c r="W843" s="19"/>
      <c r="X843" s="19"/>
      <c r="Y843" s="19"/>
      <c r="Z843" s="19"/>
      <c r="AA843" s="17"/>
      <c r="AB843" s="19"/>
      <c r="AC843" s="19"/>
      <c r="AE843" s="17"/>
      <c r="AF843" s="17"/>
    </row>
    <row r="844" spans="1:32">
      <c r="A844" s="17"/>
      <c r="M844" s="17"/>
      <c r="V844" s="18"/>
      <c r="W844" s="19"/>
      <c r="X844" s="19"/>
      <c r="Y844" s="19"/>
      <c r="Z844" s="19"/>
      <c r="AA844" s="17"/>
      <c r="AB844" s="19"/>
      <c r="AC844" s="19"/>
      <c r="AE844" s="17"/>
      <c r="AF844" s="17"/>
    </row>
    <row r="845" spans="1:32">
      <c r="A845" s="17"/>
      <c r="M845" s="17"/>
      <c r="V845" s="18"/>
      <c r="W845" s="19"/>
      <c r="X845" s="19"/>
      <c r="Y845" s="19"/>
      <c r="Z845" s="19"/>
      <c r="AA845" s="17"/>
      <c r="AB845" s="19"/>
      <c r="AC845" s="19"/>
      <c r="AE845" s="17"/>
      <c r="AF845" s="17"/>
    </row>
    <row r="846" spans="1:32">
      <c r="A846" s="17"/>
      <c r="M846" s="17"/>
      <c r="V846" s="18"/>
      <c r="W846" s="19"/>
      <c r="X846" s="19"/>
      <c r="Y846" s="19"/>
      <c r="Z846" s="19"/>
      <c r="AA846" s="17"/>
      <c r="AB846" s="19"/>
      <c r="AC846" s="19"/>
      <c r="AE846" s="17"/>
      <c r="AF846" s="17"/>
    </row>
    <row r="847" spans="1:32">
      <c r="A847" s="17"/>
      <c r="M847" s="17"/>
      <c r="V847" s="18"/>
      <c r="W847" s="19"/>
      <c r="X847" s="19"/>
      <c r="Y847" s="19"/>
      <c r="Z847" s="19"/>
      <c r="AA847" s="17"/>
      <c r="AB847" s="19"/>
      <c r="AC847" s="19"/>
      <c r="AE847" s="17"/>
      <c r="AF847" s="17"/>
    </row>
    <row r="848" spans="1:32">
      <c r="A848" s="17"/>
      <c r="M848" s="17"/>
      <c r="V848" s="18"/>
      <c r="W848" s="19"/>
      <c r="X848" s="19"/>
      <c r="Y848" s="19"/>
      <c r="Z848" s="19"/>
      <c r="AA848" s="17"/>
      <c r="AB848" s="19"/>
      <c r="AC848" s="19"/>
      <c r="AE848" s="17"/>
      <c r="AF848" s="17"/>
    </row>
    <row r="849" spans="1:32">
      <c r="A849" s="17"/>
      <c r="M849" s="17"/>
      <c r="V849" s="18"/>
      <c r="W849" s="19"/>
      <c r="X849" s="19"/>
      <c r="Y849" s="19"/>
      <c r="Z849" s="19"/>
      <c r="AA849" s="17"/>
      <c r="AB849" s="19"/>
      <c r="AC849" s="19"/>
      <c r="AE849" s="17"/>
      <c r="AF849" s="17"/>
    </row>
    <row r="850" spans="1:32">
      <c r="A850" s="17"/>
      <c r="M850" s="17"/>
      <c r="V850" s="18"/>
      <c r="W850" s="19"/>
      <c r="X850" s="19"/>
      <c r="Y850" s="19"/>
      <c r="Z850" s="19"/>
      <c r="AA850" s="17"/>
      <c r="AB850" s="19"/>
      <c r="AC850" s="19"/>
      <c r="AE850" s="17"/>
      <c r="AF850" s="17"/>
    </row>
    <row r="851" spans="1:32">
      <c r="A851" s="17"/>
      <c r="M851" s="17"/>
      <c r="V851" s="18"/>
      <c r="W851" s="19"/>
      <c r="X851" s="19"/>
      <c r="Y851" s="19"/>
      <c r="Z851" s="19"/>
      <c r="AA851" s="17"/>
      <c r="AB851" s="19"/>
      <c r="AC851" s="19"/>
      <c r="AE851" s="17"/>
      <c r="AF851" s="17"/>
    </row>
    <row r="852" spans="1:32">
      <c r="A852" s="17"/>
      <c r="M852" s="17"/>
      <c r="V852" s="18"/>
      <c r="W852" s="19"/>
      <c r="X852" s="19"/>
      <c r="Y852" s="19"/>
      <c r="Z852" s="19"/>
      <c r="AA852" s="17"/>
      <c r="AB852" s="19"/>
      <c r="AC852" s="19"/>
      <c r="AE852" s="17"/>
      <c r="AF852" s="17"/>
    </row>
    <row r="853" spans="1:32">
      <c r="A853" s="17"/>
      <c r="M853" s="17"/>
      <c r="V853" s="18"/>
      <c r="W853" s="19"/>
      <c r="X853" s="19"/>
      <c r="Y853" s="19"/>
      <c r="Z853" s="19"/>
      <c r="AA853" s="17"/>
      <c r="AB853" s="19"/>
      <c r="AC853" s="19"/>
      <c r="AE853" s="17"/>
      <c r="AF853" s="17"/>
    </row>
    <row r="854" spans="1:32">
      <c r="A854" s="17"/>
      <c r="M854" s="17"/>
      <c r="V854" s="18"/>
      <c r="W854" s="19"/>
      <c r="X854" s="19"/>
      <c r="Y854" s="19"/>
      <c r="Z854" s="19"/>
      <c r="AA854" s="17"/>
      <c r="AB854" s="19"/>
      <c r="AC854" s="19"/>
      <c r="AE854" s="17"/>
      <c r="AF854" s="17"/>
    </row>
    <row r="855" spans="1:32">
      <c r="A855" s="17"/>
      <c r="M855" s="17"/>
      <c r="V855" s="18"/>
      <c r="W855" s="19"/>
      <c r="X855" s="19"/>
      <c r="Y855" s="19"/>
      <c r="Z855" s="19"/>
      <c r="AA855" s="17"/>
      <c r="AB855" s="19"/>
      <c r="AC855" s="19"/>
      <c r="AE855" s="17"/>
      <c r="AF855" s="17"/>
    </row>
    <row r="856" spans="1:32">
      <c r="A856" s="17"/>
      <c r="M856" s="17"/>
      <c r="V856" s="18"/>
      <c r="W856" s="19"/>
      <c r="X856" s="19"/>
      <c r="Y856" s="19"/>
      <c r="Z856" s="19"/>
      <c r="AA856" s="17"/>
      <c r="AB856" s="19"/>
      <c r="AC856" s="19"/>
      <c r="AE856" s="17"/>
      <c r="AF856" s="17"/>
    </row>
    <row r="857" spans="1:32">
      <c r="A857" s="17"/>
      <c r="M857" s="17"/>
      <c r="V857" s="18"/>
      <c r="W857" s="19"/>
      <c r="X857" s="19"/>
      <c r="Y857" s="19"/>
      <c r="Z857" s="19"/>
      <c r="AA857" s="17"/>
      <c r="AB857" s="19"/>
      <c r="AC857" s="19"/>
      <c r="AE857" s="17"/>
      <c r="AF857" s="17"/>
    </row>
    <row r="858" spans="1:32">
      <c r="A858" s="17"/>
      <c r="M858" s="17"/>
      <c r="V858" s="18"/>
      <c r="W858" s="19"/>
      <c r="X858" s="19"/>
      <c r="Y858" s="19"/>
      <c r="Z858" s="19"/>
      <c r="AA858" s="17"/>
      <c r="AB858" s="19"/>
      <c r="AC858" s="19"/>
      <c r="AE858" s="17"/>
      <c r="AF858" s="17"/>
    </row>
    <row r="859" spans="1:32">
      <c r="A859" s="17"/>
      <c r="M859" s="17"/>
      <c r="V859" s="18"/>
      <c r="W859" s="19"/>
      <c r="X859" s="19"/>
      <c r="Y859" s="19"/>
      <c r="Z859" s="19"/>
      <c r="AA859" s="17"/>
      <c r="AB859" s="19"/>
      <c r="AC859" s="19"/>
      <c r="AE859" s="17"/>
      <c r="AF859" s="17"/>
    </row>
    <row r="860" spans="1:32">
      <c r="A860" s="17"/>
      <c r="M860" s="17"/>
      <c r="V860" s="18"/>
      <c r="W860" s="19"/>
      <c r="X860" s="19"/>
      <c r="Y860" s="19"/>
      <c r="Z860" s="19"/>
      <c r="AA860" s="17"/>
      <c r="AB860" s="19"/>
      <c r="AC860" s="19"/>
      <c r="AE860" s="17"/>
      <c r="AF860" s="17"/>
    </row>
    <row r="861" spans="1:32">
      <c r="A861" s="17"/>
      <c r="M861" s="17"/>
      <c r="V861" s="18"/>
      <c r="W861" s="19"/>
      <c r="X861" s="19"/>
      <c r="Y861" s="19"/>
      <c r="Z861" s="19"/>
      <c r="AA861" s="17"/>
      <c r="AB861" s="19"/>
      <c r="AC861" s="19"/>
      <c r="AE861" s="17"/>
      <c r="AF861" s="17"/>
    </row>
    <row r="862" spans="1:32">
      <c r="A862" s="17"/>
      <c r="M862" s="17"/>
      <c r="V862" s="18"/>
      <c r="W862" s="19"/>
      <c r="X862" s="19"/>
      <c r="Y862" s="19"/>
      <c r="Z862" s="19"/>
      <c r="AA862" s="17"/>
      <c r="AB862" s="19"/>
      <c r="AC862" s="19"/>
      <c r="AE862" s="17"/>
      <c r="AF862" s="17"/>
    </row>
    <row r="863" spans="1:32">
      <c r="A863" s="17"/>
      <c r="M863" s="17"/>
      <c r="V863" s="18"/>
      <c r="W863" s="19"/>
      <c r="X863" s="19"/>
      <c r="Y863" s="19"/>
      <c r="Z863" s="19"/>
      <c r="AA863" s="17"/>
      <c r="AB863" s="19"/>
      <c r="AC863" s="19"/>
      <c r="AE863" s="17"/>
      <c r="AF863" s="17"/>
    </row>
    <row r="864" spans="1:32">
      <c r="A864" s="17"/>
      <c r="M864" s="17"/>
      <c r="V864" s="18"/>
      <c r="W864" s="19"/>
      <c r="X864" s="19"/>
      <c r="Y864" s="19"/>
      <c r="Z864" s="19"/>
      <c r="AA864" s="17"/>
      <c r="AB864" s="19"/>
      <c r="AC864" s="19"/>
      <c r="AE864" s="17"/>
      <c r="AF864" s="17"/>
    </row>
    <row r="865" spans="1:32">
      <c r="A865" s="17"/>
      <c r="M865" s="17"/>
      <c r="V865" s="18"/>
      <c r="W865" s="19"/>
      <c r="X865" s="19"/>
      <c r="Y865" s="19"/>
      <c r="Z865" s="19"/>
      <c r="AA865" s="17"/>
      <c r="AB865" s="19"/>
      <c r="AC865" s="19"/>
      <c r="AE865" s="17"/>
      <c r="AF865" s="17"/>
    </row>
    <row r="866" spans="1:32">
      <c r="A866" s="17"/>
      <c r="M866" s="17"/>
      <c r="V866" s="18"/>
      <c r="W866" s="19"/>
      <c r="X866" s="19"/>
      <c r="Y866" s="19"/>
      <c r="Z866" s="19"/>
      <c r="AA866" s="17"/>
      <c r="AB866" s="19"/>
      <c r="AC866" s="19"/>
      <c r="AE866" s="17"/>
      <c r="AF866" s="17"/>
    </row>
    <row r="867" spans="1:32">
      <c r="A867" s="17"/>
      <c r="M867" s="17"/>
      <c r="V867" s="18"/>
      <c r="W867" s="19"/>
      <c r="X867" s="19"/>
      <c r="Y867" s="19"/>
      <c r="Z867" s="19"/>
      <c r="AA867" s="17"/>
      <c r="AB867" s="19"/>
      <c r="AC867" s="19"/>
      <c r="AE867" s="17"/>
      <c r="AF867" s="17"/>
    </row>
    <row r="868" spans="1:32">
      <c r="A868" s="17"/>
      <c r="M868" s="17"/>
      <c r="V868" s="18"/>
      <c r="W868" s="19"/>
      <c r="X868" s="19"/>
      <c r="Y868" s="19"/>
      <c r="Z868" s="19"/>
      <c r="AA868" s="17"/>
      <c r="AB868" s="19"/>
      <c r="AC868" s="19"/>
      <c r="AE868" s="17"/>
      <c r="AF868" s="17"/>
    </row>
    <row r="869" spans="1:32">
      <c r="A869" s="17"/>
      <c r="M869" s="17"/>
      <c r="V869" s="18"/>
      <c r="W869" s="19"/>
      <c r="X869" s="19"/>
      <c r="Y869" s="19"/>
      <c r="Z869" s="19"/>
      <c r="AA869" s="17"/>
      <c r="AB869" s="19"/>
      <c r="AC869" s="19"/>
      <c r="AE869" s="17"/>
      <c r="AF869" s="17"/>
    </row>
    <row r="870" spans="1:32">
      <c r="A870" s="17"/>
      <c r="M870" s="17"/>
      <c r="V870" s="18"/>
      <c r="W870" s="19"/>
      <c r="X870" s="19"/>
      <c r="Y870" s="19"/>
      <c r="Z870" s="19"/>
      <c r="AA870" s="17"/>
      <c r="AB870" s="19"/>
      <c r="AC870" s="19"/>
      <c r="AE870" s="17"/>
      <c r="AF870" s="17"/>
    </row>
    <row r="871" spans="1:32">
      <c r="A871" s="17"/>
      <c r="M871" s="17"/>
      <c r="V871" s="18"/>
      <c r="W871" s="19"/>
      <c r="X871" s="19"/>
      <c r="Y871" s="19"/>
      <c r="Z871" s="19"/>
      <c r="AA871" s="17"/>
      <c r="AB871" s="19"/>
      <c r="AC871" s="19"/>
      <c r="AE871" s="17"/>
      <c r="AF871" s="17"/>
    </row>
    <row r="872" spans="1:32">
      <c r="A872" s="17"/>
      <c r="M872" s="17"/>
      <c r="V872" s="18"/>
      <c r="W872" s="19"/>
      <c r="X872" s="19"/>
      <c r="Y872" s="19"/>
      <c r="Z872" s="19"/>
      <c r="AA872" s="17"/>
      <c r="AB872" s="19"/>
      <c r="AC872" s="19"/>
      <c r="AE872" s="17"/>
      <c r="AF872" s="17"/>
    </row>
    <row r="873" spans="1:32">
      <c r="A873" s="17"/>
      <c r="M873" s="17"/>
      <c r="V873" s="18"/>
      <c r="W873" s="19"/>
      <c r="X873" s="19"/>
      <c r="Y873" s="19"/>
      <c r="Z873" s="19"/>
      <c r="AA873" s="17"/>
      <c r="AB873" s="19"/>
      <c r="AC873" s="19"/>
      <c r="AE873" s="17"/>
      <c r="AF873" s="17"/>
    </row>
    <row r="874" spans="1:32">
      <c r="A874" s="17"/>
      <c r="M874" s="17"/>
      <c r="V874" s="18"/>
      <c r="W874" s="19"/>
      <c r="X874" s="19"/>
      <c r="Y874" s="19"/>
      <c r="Z874" s="19"/>
      <c r="AA874" s="17"/>
      <c r="AB874" s="19"/>
      <c r="AC874" s="19"/>
      <c r="AE874" s="17"/>
      <c r="AF874" s="17"/>
    </row>
    <row r="875" spans="1:32">
      <c r="A875" s="17"/>
      <c r="M875" s="17"/>
      <c r="V875" s="18"/>
      <c r="W875" s="19"/>
      <c r="X875" s="19"/>
      <c r="Y875" s="19"/>
      <c r="Z875" s="19"/>
      <c r="AA875" s="17"/>
      <c r="AB875" s="19"/>
      <c r="AC875" s="19"/>
      <c r="AE875" s="17"/>
      <c r="AF875" s="17"/>
    </row>
    <row r="876" spans="1:32">
      <c r="A876" s="17"/>
      <c r="M876" s="17"/>
      <c r="V876" s="18"/>
      <c r="W876" s="19"/>
      <c r="X876" s="19"/>
      <c r="Y876" s="19"/>
      <c r="Z876" s="19"/>
      <c r="AA876" s="17"/>
      <c r="AB876" s="19"/>
      <c r="AC876" s="19"/>
      <c r="AE876" s="17"/>
      <c r="AF876" s="17"/>
    </row>
    <row r="877" spans="1:32">
      <c r="A877" s="17"/>
      <c r="M877" s="17"/>
      <c r="V877" s="18"/>
      <c r="W877" s="19"/>
      <c r="X877" s="19"/>
      <c r="Y877" s="19"/>
      <c r="Z877" s="19"/>
      <c r="AA877" s="17"/>
      <c r="AB877" s="19"/>
      <c r="AC877" s="19"/>
      <c r="AE877" s="17"/>
      <c r="AF877" s="17"/>
    </row>
    <row r="878" spans="1:32">
      <c r="A878" s="17"/>
      <c r="M878" s="17"/>
      <c r="V878" s="18"/>
      <c r="W878" s="19"/>
      <c r="X878" s="19"/>
      <c r="Y878" s="19"/>
      <c r="Z878" s="19"/>
      <c r="AA878" s="17"/>
      <c r="AB878" s="19"/>
      <c r="AC878" s="19"/>
      <c r="AE878" s="17"/>
      <c r="AF878" s="17"/>
    </row>
    <row r="879" spans="1:32">
      <c r="A879" s="17"/>
      <c r="M879" s="17"/>
      <c r="V879" s="18"/>
      <c r="W879" s="19"/>
      <c r="X879" s="19"/>
      <c r="Y879" s="19"/>
      <c r="Z879" s="19"/>
      <c r="AA879" s="17"/>
      <c r="AB879" s="19"/>
      <c r="AC879" s="19"/>
      <c r="AE879" s="17"/>
      <c r="AF879" s="17"/>
    </row>
    <row r="880" spans="1:32">
      <c r="A880" s="17"/>
      <c r="M880" s="17"/>
      <c r="V880" s="18"/>
      <c r="W880" s="19"/>
      <c r="X880" s="19"/>
      <c r="Y880" s="19"/>
      <c r="Z880" s="19"/>
      <c r="AA880" s="17"/>
      <c r="AB880" s="19"/>
      <c r="AC880" s="19"/>
      <c r="AE880" s="17"/>
      <c r="AF880" s="17"/>
    </row>
    <row r="881" spans="1:32">
      <c r="A881" s="17"/>
      <c r="M881" s="17"/>
      <c r="V881" s="18"/>
      <c r="W881" s="19"/>
      <c r="X881" s="19"/>
      <c r="Y881" s="19"/>
      <c r="Z881" s="19"/>
      <c r="AA881" s="17"/>
      <c r="AB881" s="19"/>
      <c r="AC881" s="19"/>
      <c r="AE881" s="17"/>
      <c r="AF881" s="17"/>
    </row>
    <row r="882" spans="1:32">
      <c r="A882" s="17"/>
      <c r="M882" s="17"/>
      <c r="V882" s="18"/>
      <c r="W882" s="19"/>
      <c r="X882" s="19"/>
      <c r="Y882" s="19"/>
      <c r="Z882" s="19"/>
      <c r="AA882" s="17"/>
      <c r="AB882" s="19"/>
      <c r="AC882" s="19"/>
      <c r="AE882" s="17"/>
      <c r="AF882" s="17"/>
    </row>
    <row r="883" spans="1:32">
      <c r="A883" s="17"/>
      <c r="M883" s="17"/>
      <c r="V883" s="18"/>
      <c r="W883" s="19"/>
      <c r="X883" s="19"/>
      <c r="Y883" s="19"/>
      <c r="Z883" s="19"/>
      <c r="AA883" s="17"/>
      <c r="AB883" s="19"/>
      <c r="AC883" s="19"/>
      <c r="AE883" s="17"/>
      <c r="AF883" s="17"/>
    </row>
    <row r="884" spans="1:32">
      <c r="A884" s="17"/>
      <c r="M884" s="17"/>
      <c r="V884" s="18"/>
      <c r="W884" s="19"/>
      <c r="X884" s="19"/>
      <c r="Y884" s="19"/>
      <c r="Z884" s="19"/>
      <c r="AA884" s="17"/>
      <c r="AB884" s="19"/>
      <c r="AC884" s="19"/>
      <c r="AE884" s="17"/>
      <c r="AF884" s="17"/>
    </row>
    <row r="885" spans="1:32">
      <c r="A885" s="17"/>
      <c r="M885" s="17"/>
      <c r="V885" s="18"/>
      <c r="W885" s="19"/>
      <c r="X885" s="19"/>
      <c r="Y885" s="19"/>
      <c r="Z885" s="19"/>
      <c r="AA885" s="17"/>
      <c r="AB885" s="19"/>
      <c r="AC885" s="19"/>
      <c r="AE885" s="17"/>
      <c r="AF885" s="17"/>
    </row>
    <row r="886" spans="1:32">
      <c r="A886" s="17"/>
      <c r="M886" s="17"/>
      <c r="V886" s="18"/>
      <c r="W886" s="19"/>
      <c r="X886" s="19"/>
      <c r="Y886" s="19"/>
      <c r="Z886" s="19"/>
      <c r="AA886" s="17"/>
      <c r="AB886" s="19"/>
      <c r="AC886" s="19"/>
      <c r="AE886" s="17"/>
      <c r="AF886" s="17"/>
    </row>
    <row r="887" spans="1:32">
      <c r="A887" s="17"/>
      <c r="M887" s="17"/>
      <c r="V887" s="18"/>
      <c r="W887" s="19"/>
      <c r="X887" s="19"/>
      <c r="Y887" s="19"/>
      <c r="Z887" s="19"/>
      <c r="AA887" s="17"/>
      <c r="AB887" s="19"/>
      <c r="AC887" s="19"/>
      <c r="AE887" s="17"/>
      <c r="AF887" s="17"/>
    </row>
    <row r="888" spans="1:32">
      <c r="A888" s="17"/>
      <c r="M888" s="17"/>
      <c r="V888" s="18"/>
      <c r="W888" s="19"/>
      <c r="X888" s="19"/>
      <c r="Y888" s="19"/>
      <c r="Z888" s="19"/>
      <c r="AA888" s="17"/>
      <c r="AB888" s="19"/>
      <c r="AC888" s="19"/>
      <c r="AE888" s="17"/>
      <c r="AF888" s="17"/>
    </row>
    <row r="889" spans="1:32">
      <c r="A889" s="17"/>
      <c r="M889" s="17"/>
      <c r="V889" s="18"/>
      <c r="W889" s="19"/>
      <c r="X889" s="19"/>
      <c r="Y889" s="19"/>
      <c r="Z889" s="19"/>
      <c r="AA889" s="17"/>
      <c r="AB889" s="19"/>
      <c r="AC889" s="19"/>
      <c r="AE889" s="17"/>
      <c r="AF889" s="17"/>
    </row>
    <row r="890" spans="1:32">
      <c r="A890" s="17"/>
      <c r="M890" s="17"/>
      <c r="V890" s="18"/>
      <c r="W890" s="19"/>
      <c r="X890" s="19"/>
      <c r="Y890" s="19"/>
      <c r="Z890" s="19"/>
      <c r="AA890" s="17"/>
      <c r="AB890" s="19"/>
      <c r="AC890" s="19"/>
      <c r="AE890" s="17"/>
      <c r="AF890" s="17"/>
    </row>
    <row r="891" spans="1:32">
      <c r="A891" s="17"/>
      <c r="M891" s="17"/>
      <c r="V891" s="18"/>
      <c r="W891" s="19"/>
      <c r="X891" s="19"/>
      <c r="Y891" s="19"/>
      <c r="Z891" s="19"/>
      <c r="AA891" s="17"/>
      <c r="AB891" s="19"/>
      <c r="AC891" s="19"/>
      <c r="AE891" s="17"/>
      <c r="AF891" s="17"/>
    </row>
    <row r="892" spans="1:32">
      <c r="A892" s="17"/>
      <c r="M892" s="17"/>
      <c r="V892" s="18"/>
      <c r="W892" s="19"/>
      <c r="X892" s="19"/>
      <c r="Y892" s="19"/>
      <c r="Z892" s="19"/>
      <c r="AA892" s="17"/>
      <c r="AB892" s="19"/>
      <c r="AC892" s="19"/>
      <c r="AE892" s="17"/>
      <c r="AF892" s="17"/>
    </row>
    <row r="893" spans="1:32">
      <c r="A893" s="17"/>
      <c r="M893" s="17"/>
      <c r="V893" s="18"/>
      <c r="W893" s="19"/>
      <c r="X893" s="19"/>
      <c r="Y893" s="19"/>
      <c r="Z893" s="19"/>
      <c r="AA893" s="17"/>
      <c r="AB893" s="19"/>
      <c r="AC893" s="19"/>
      <c r="AE893" s="17"/>
      <c r="AF893" s="17"/>
    </row>
    <row r="894" spans="1:32">
      <c r="A894" s="17"/>
      <c r="M894" s="17"/>
      <c r="V894" s="18"/>
      <c r="W894" s="19"/>
      <c r="X894" s="19"/>
      <c r="Y894" s="19"/>
      <c r="Z894" s="19"/>
      <c r="AA894" s="17"/>
      <c r="AB894" s="19"/>
      <c r="AC894" s="19"/>
      <c r="AE894" s="17"/>
      <c r="AF894" s="17"/>
    </row>
    <row r="895" spans="1:32">
      <c r="A895" s="17"/>
      <c r="M895" s="17"/>
      <c r="V895" s="18"/>
      <c r="W895" s="19"/>
      <c r="X895" s="19"/>
      <c r="Y895" s="19"/>
      <c r="Z895" s="19"/>
      <c r="AA895" s="17"/>
      <c r="AB895" s="19"/>
      <c r="AC895" s="19"/>
      <c r="AE895" s="17"/>
      <c r="AF895" s="17"/>
    </row>
    <row r="896" spans="1:32">
      <c r="A896" s="17"/>
      <c r="M896" s="17"/>
      <c r="V896" s="18"/>
      <c r="W896" s="19"/>
      <c r="X896" s="19"/>
      <c r="Y896" s="19"/>
      <c r="Z896" s="19"/>
      <c r="AA896" s="17"/>
      <c r="AB896" s="19"/>
      <c r="AC896" s="19"/>
      <c r="AE896" s="17"/>
      <c r="AF896" s="17"/>
    </row>
    <row r="897" spans="1:32">
      <c r="A897" s="17"/>
      <c r="M897" s="17"/>
      <c r="V897" s="18"/>
      <c r="W897" s="19"/>
      <c r="X897" s="19"/>
      <c r="Y897" s="19"/>
      <c r="Z897" s="19"/>
      <c r="AA897" s="17"/>
      <c r="AB897" s="19"/>
      <c r="AC897" s="19"/>
      <c r="AE897" s="17"/>
      <c r="AF897" s="17"/>
    </row>
    <row r="898" spans="1:32">
      <c r="A898" s="17"/>
      <c r="M898" s="17"/>
      <c r="V898" s="18"/>
      <c r="W898" s="19"/>
      <c r="X898" s="19"/>
      <c r="Y898" s="19"/>
      <c r="Z898" s="19"/>
      <c r="AA898" s="17"/>
      <c r="AB898" s="19"/>
      <c r="AC898" s="19"/>
      <c r="AE898" s="17"/>
      <c r="AF898" s="17"/>
    </row>
    <row r="899" spans="1:32">
      <c r="A899" s="17"/>
      <c r="M899" s="17"/>
      <c r="V899" s="18"/>
      <c r="W899" s="19"/>
      <c r="X899" s="19"/>
      <c r="Y899" s="19"/>
      <c r="Z899" s="19"/>
      <c r="AA899" s="17"/>
      <c r="AB899" s="19"/>
      <c r="AC899" s="19"/>
      <c r="AE899" s="17"/>
      <c r="AF899" s="17"/>
    </row>
    <row r="900" spans="1:32">
      <c r="A900" s="17"/>
      <c r="M900" s="17"/>
      <c r="V900" s="18"/>
      <c r="W900" s="19"/>
      <c r="X900" s="19"/>
      <c r="Y900" s="19"/>
      <c r="Z900" s="19"/>
      <c r="AA900" s="17"/>
      <c r="AB900" s="19"/>
      <c r="AC900" s="19"/>
      <c r="AE900" s="17"/>
      <c r="AF900" s="17"/>
    </row>
    <row r="901" spans="1:32">
      <c r="A901" s="17"/>
      <c r="M901" s="17"/>
      <c r="V901" s="18"/>
      <c r="W901" s="19"/>
      <c r="X901" s="19"/>
      <c r="Y901" s="19"/>
      <c r="Z901" s="19"/>
      <c r="AA901" s="17"/>
      <c r="AB901" s="19"/>
      <c r="AC901" s="19"/>
      <c r="AE901" s="17"/>
      <c r="AF901" s="17"/>
    </row>
    <row r="902" spans="1:32">
      <c r="A902" s="17"/>
      <c r="M902" s="17"/>
      <c r="V902" s="18"/>
      <c r="W902" s="19"/>
      <c r="X902" s="19"/>
      <c r="Y902" s="19"/>
      <c r="Z902" s="19"/>
      <c r="AA902" s="17"/>
      <c r="AB902" s="19"/>
      <c r="AC902" s="19"/>
      <c r="AE902" s="17"/>
      <c r="AF902" s="17"/>
    </row>
    <row r="903" spans="1:32">
      <c r="A903" s="17"/>
      <c r="M903" s="17"/>
      <c r="V903" s="18"/>
      <c r="W903" s="19"/>
      <c r="X903" s="19"/>
      <c r="Y903" s="19"/>
      <c r="Z903" s="19"/>
      <c r="AA903" s="17"/>
      <c r="AB903" s="19"/>
      <c r="AC903" s="19"/>
      <c r="AE903" s="17"/>
      <c r="AF903" s="17"/>
    </row>
    <row r="904" spans="1:32">
      <c r="A904" s="17"/>
      <c r="M904" s="17"/>
      <c r="V904" s="18"/>
      <c r="W904" s="19"/>
      <c r="X904" s="19"/>
      <c r="Y904" s="19"/>
      <c r="Z904" s="19"/>
      <c r="AA904" s="17"/>
      <c r="AB904" s="19"/>
      <c r="AC904" s="19"/>
      <c r="AE904" s="17"/>
      <c r="AF904" s="17"/>
    </row>
    <row r="905" spans="1:32">
      <c r="A905" s="17"/>
      <c r="M905" s="17"/>
      <c r="V905" s="18"/>
      <c r="W905" s="19"/>
      <c r="X905" s="19"/>
      <c r="Y905" s="19"/>
      <c r="Z905" s="19"/>
      <c r="AA905" s="17"/>
      <c r="AB905" s="19"/>
      <c r="AC905" s="19"/>
      <c r="AE905" s="17"/>
      <c r="AF905" s="17"/>
    </row>
    <row r="906" spans="1:32">
      <c r="A906" s="17"/>
      <c r="M906" s="17"/>
      <c r="V906" s="18"/>
      <c r="W906" s="19"/>
      <c r="X906" s="19"/>
      <c r="Y906" s="19"/>
      <c r="Z906" s="19"/>
      <c r="AA906" s="17"/>
      <c r="AB906" s="19"/>
      <c r="AC906" s="19"/>
      <c r="AE906" s="17"/>
      <c r="AF906" s="17"/>
    </row>
    <row r="907" spans="1:32">
      <c r="A907" s="17"/>
      <c r="M907" s="17"/>
      <c r="V907" s="18"/>
      <c r="W907" s="19"/>
      <c r="X907" s="19"/>
      <c r="Y907" s="19"/>
      <c r="Z907" s="19"/>
      <c r="AA907" s="17"/>
      <c r="AB907" s="19"/>
      <c r="AC907" s="19"/>
      <c r="AE907" s="17"/>
      <c r="AF907" s="17"/>
    </row>
    <row r="908" spans="1:32">
      <c r="A908" s="17"/>
      <c r="M908" s="17"/>
      <c r="V908" s="18"/>
      <c r="W908" s="19"/>
      <c r="X908" s="19"/>
      <c r="Y908" s="19"/>
      <c r="Z908" s="19"/>
      <c r="AA908" s="17"/>
      <c r="AB908" s="19"/>
      <c r="AC908" s="19"/>
      <c r="AE908" s="17"/>
      <c r="AF908" s="17"/>
    </row>
    <row r="909" spans="1:32">
      <c r="A909" s="17"/>
      <c r="M909" s="17"/>
      <c r="V909" s="18"/>
      <c r="W909" s="19"/>
      <c r="X909" s="19"/>
      <c r="Y909" s="19"/>
      <c r="Z909" s="19"/>
      <c r="AA909" s="17"/>
      <c r="AB909" s="19"/>
      <c r="AC909" s="19"/>
      <c r="AE909" s="17"/>
      <c r="AF909" s="17"/>
    </row>
    <row r="910" spans="1:32">
      <c r="A910" s="17"/>
      <c r="M910" s="17"/>
      <c r="V910" s="18"/>
      <c r="W910" s="19"/>
      <c r="X910" s="19"/>
      <c r="Y910" s="19"/>
      <c r="Z910" s="19"/>
      <c r="AA910" s="17"/>
      <c r="AB910" s="19"/>
      <c r="AC910" s="19"/>
      <c r="AE910" s="17"/>
      <c r="AF910" s="17"/>
    </row>
    <row r="911" spans="1:32">
      <c r="A911" s="17"/>
      <c r="M911" s="17"/>
      <c r="V911" s="18"/>
      <c r="W911" s="19"/>
      <c r="X911" s="19"/>
      <c r="Y911" s="19"/>
      <c r="Z911" s="19"/>
      <c r="AA911" s="17"/>
      <c r="AB911" s="19"/>
      <c r="AC911" s="19"/>
      <c r="AE911" s="17"/>
      <c r="AF911" s="17"/>
    </row>
    <row r="912" spans="1:32">
      <c r="A912" s="17"/>
      <c r="M912" s="17"/>
      <c r="V912" s="18"/>
      <c r="W912" s="19"/>
      <c r="X912" s="19"/>
      <c r="Y912" s="19"/>
      <c r="Z912" s="19"/>
      <c r="AA912" s="17"/>
      <c r="AB912" s="19"/>
      <c r="AC912" s="19"/>
      <c r="AE912" s="17"/>
      <c r="AF912" s="17"/>
    </row>
    <row r="913" spans="1:32">
      <c r="A913" s="17"/>
      <c r="M913" s="17"/>
      <c r="V913" s="18"/>
      <c r="W913" s="19"/>
      <c r="X913" s="19"/>
      <c r="Y913" s="19"/>
      <c r="Z913" s="19"/>
      <c r="AA913" s="17"/>
      <c r="AB913" s="19"/>
      <c r="AC913" s="19"/>
      <c r="AE913" s="17"/>
      <c r="AF913" s="17"/>
    </row>
    <row r="914" spans="1:32">
      <c r="A914" s="17"/>
      <c r="M914" s="17"/>
      <c r="V914" s="18"/>
      <c r="W914" s="19"/>
      <c r="X914" s="19"/>
      <c r="Y914" s="19"/>
      <c r="Z914" s="19"/>
      <c r="AA914" s="17"/>
      <c r="AB914" s="19"/>
      <c r="AC914" s="19"/>
      <c r="AE914" s="17"/>
      <c r="AF914" s="17"/>
    </row>
    <row r="915" spans="1:32">
      <c r="A915" s="17"/>
      <c r="M915" s="17"/>
      <c r="V915" s="18"/>
      <c r="W915" s="19"/>
      <c r="X915" s="19"/>
      <c r="Y915" s="19"/>
      <c r="Z915" s="19"/>
      <c r="AA915" s="17"/>
      <c r="AB915" s="19"/>
      <c r="AC915" s="19"/>
      <c r="AE915" s="17"/>
      <c r="AF915" s="17"/>
    </row>
    <row r="916" spans="1:32">
      <c r="A916" s="17"/>
      <c r="M916" s="17"/>
      <c r="V916" s="18"/>
      <c r="W916" s="19"/>
      <c r="X916" s="19"/>
      <c r="Y916" s="19"/>
      <c r="Z916" s="19"/>
      <c r="AA916" s="17"/>
      <c r="AB916" s="19"/>
      <c r="AC916" s="19"/>
      <c r="AE916" s="17"/>
      <c r="AF916" s="17"/>
    </row>
    <row r="917" spans="1:32">
      <c r="A917" s="17"/>
      <c r="M917" s="17"/>
      <c r="V917" s="18"/>
      <c r="W917" s="19"/>
      <c r="X917" s="19"/>
      <c r="Y917" s="19"/>
      <c r="Z917" s="19"/>
      <c r="AA917" s="17"/>
      <c r="AB917" s="19"/>
      <c r="AC917" s="19"/>
      <c r="AE917" s="17"/>
      <c r="AF917" s="17"/>
    </row>
    <row r="918" spans="1:32">
      <c r="A918" s="17"/>
      <c r="M918" s="17"/>
      <c r="V918" s="18"/>
      <c r="W918" s="19"/>
      <c r="X918" s="19"/>
      <c r="Y918" s="19"/>
      <c r="Z918" s="19"/>
      <c r="AA918" s="17"/>
      <c r="AB918" s="19"/>
      <c r="AC918" s="19"/>
      <c r="AE918" s="17"/>
      <c r="AF918" s="17"/>
    </row>
    <row r="919" spans="1:32">
      <c r="A919" s="17"/>
      <c r="M919" s="17"/>
      <c r="V919" s="18"/>
      <c r="W919" s="19"/>
      <c r="X919" s="19"/>
      <c r="Y919" s="19"/>
      <c r="Z919" s="19"/>
      <c r="AA919" s="17"/>
      <c r="AB919" s="19"/>
      <c r="AC919" s="19"/>
      <c r="AE919" s="17"/>
      <c r="AF919" s="17"/>
    </row>
    <row r="920" spans="1:32">
      <c r="A920" s="17"/>
      <c r="M920" s="17"/>
      <c r="V920" s="18"/>
      <c r="W920" s="19"/>
      <c r="X920" s="19"/>
      <c r="Y920" s="19"/>
      <c r="Z920" s="19"/>
      <c r="AA920" s="17"/>
      <c r="AB920" s="19"/>
      <c r="AC920" s="19"/>
      <c r="AE920" s="17"/>
      <c r="AF920" s="17"/>
    </row>
    <row r="921" spans="1:32">
      <c r="A921" s="17"/>
      <c r="M921" s="17"/>
      <c r="V921" s="18"/>
      <c r="W921" s="19"/>
      <c r="X921" s="19"/>
      <c r="Y921" s="19"/>
      <c r="Z921" s="19"/>
      <c r="AA921" s="17"/>
      <c r="AB921" s="19"/>
      <c r="AC921" s="19"/>
      <c r="AE921" s="17"/>
      <c r="AF921" s="17"/>
    </row>
    <row r="922" spans="1:32">
      <c r="A922" s="17"/>
      <c r="M922" s="17"/>
      <c r="V922" s="18"/>
      <c r="W922" s="19"/>
      <c r="X922" s="19"/>
      <c r="Y922" s="19"/>
      <c r="Z922" s="19"/>
      <c r="AA922" s="17"/>
      <c r="AB922" s="19"/>
      <c r="AC922" s="19"/>
      <c r="AE922" s="17"/>
      <c r="AF922" s="17"/>
    </row>
    <row r="923" spans="1:32">
      <c r="A923" s="17"/>
      <c r="M923" s="17"/>
      <c r="V923" s="18"/>
      <c r="W923" s="19"/>
      <c r="X923" s="19"/>
      <c r="Y923" s="19"/>
      <c r="Z923" s="19"/>
      <c r="AA923" s="17"/>
      <c r="AB923" s="19"/>
      <c r="AC923" s="19"/>
      <c r="AE923" s="17"/>
      <c r="AF923" s="17"/>
    </row>
    <row r="924" spans="1:32">
      <c r="A924" s="17"/>
      <c r="M924" s="17"/>
      <c r="V924" s="18"/>
      <c r="W924" s="19"/>
      <c r="X924" s="19"/>
      <c r="Y924" s="19"/>
      <c r="Z924" s="19"/>
      <c r="AA924" s="17"/>
      <c r="AB924" s="19"/>
      <c r="AC924" s="19"/>
      <c r="AE924" s="17"/>
      <c r="AF924" s="17"/>
    </row>
    <row r="925" spans="1:32">
      <c r="A925" s="17"/>
      <c r="M925" s="17"/>
      <c r="V925" s="18"/>
      <c r="W925" s="19"/>
      <c r="X925" s="19"/>
      <c r="Y925" s="19"/>
      <c r="Z925" s="19"/>
      <c r="AA925" s="17"/>
      <c r="AB925" s="19"/>
      <c r="AC925" s="19"/>
      <c r="AE925" s="17"/>
      <c r="AF925" s="17"/>
    </row>
    <row r="926" spans="1:32">
      <c r="A926" s="17"/>
      <c r="M926" s="17"/>
      <c r="V926" s="18"/>
      <c r="W926" s="19"/>
      <c r="X926" s="19"/>
      <c r="Y926" s="19"/>
      <c r="Z926" s="19"/>
      <c r="AA926" s="17"/>
      <c r="AB926" s="19"/>
      <c r="AC926" s="19"/>
      <c r="AE926" s="17"/>
      <c r="AF926" s="17"/>
    </row>
    <row r="927" spans="1:32">
      <c r="A927" s="17"/>
      <c r="M927" s="17"/>
      <c r="V927" s="18"/>
      <c r="W927" s="19"/>
      <c r="X927" s="19"/>
      <c r="Y927" s="19"/>
      <c r="Z927" s="19"/>
      <c r="AA927" s="17"/>
      <c r="AB927" s="19"/>
      <c r="AC927" s="19"/>
      <c r="AE927" s="17"/>
      <c r="AF927" s="17"/>
    </row>
    <row r="928" spans="1:32">
      <c r="A928" s="17"/>
      <c r="M928" s="17"/>
      <c r="V928" s="18"/>
      <c r="W928" s="19"/>
      <c r="X928" s="19"/>
      <c r="Y928" s="19"/>
      <c r="Z928" s="19"/>
      <c r="AA928" s="17"/>
      <c r="AB928" s="19"/>
      <c r="AC928" s="19"/>
      <c r="AE928" s="17"/>
      <c r="AF928" s="17"/>
    </row>
    <row r="929" spans="1:32">
      <c r="A929" s="17"/>
      <c r="M929" s="17"/>
      <c r="V929" s="18"/>
      <c r="W929" s="19"/>
      <c r="X929" s="19"/>
      <c r="Y929" s="19"/>
      <c r="Z929" s="19"/>
      <c r="AA929" s="17"/>
      <c r="AB929" s="19"/>
      <c r="AC929" s="19"/>
      <c r="AE929" s="17"/>
      <c r="AF929" s="17"/>
    </row>
    <row r="930" spans="1:32">
      <c r="A930" s="17"/>
      <c r="M930" s="17"/>
      <c r="V930" s="18"/>
      <c r="W930" s="19"/>
      <c r="X930" s="19"/>
      <c r="Y930" s="19"/>
      <c r="Z930" s="19"/>
      <c r="AA930" s="17"/>
      <c r="AB930" s="19"/>
      <c r="AC930" s="19"/>
      <c r="AE930" s="17"/>
      <c r="AF930" s="17"/>
    </row>
    <row r="931" spans="1:32">
      <c r="A931" s="17"/>
      <c r="M931" s="17"/>
      <c r="V931" s="18"/>
      <c r="W931" s="19"/>
      <c r="X931" s="19"/>
      <c r="Y931" s="19"/>
      <c r="Z931" s="19"/>
      <c r="AA931" s="17"/>
      <c r="AB931" s="19"/>
      <c r="AC931" s="19"/>
      <c r="AE931" s="17"/>
      <c r="AF931" s="17"/>
    </row>
    <row r="932" spans="1:32">
      <c r="A932" s="17"/>
      <c r="M932" s="17"/>
      <c r="V932" s="18"/>
      <c r="W932" s="19"/>
      <c r="X932" s="19"/>
      <c r="Y932" s="19"/>
      <c r="Z932" s="19"/>
      <c r="AA932" s="17"/>
      <c r="AB932" s="19"/>
      <c r="AC932" s="19"/>
      <c r="AE932" s="17"/>
      <c r="AF932" s="17"/>
    </row>
    <row r="933" spans="1:32">
      <c r="A933" s="17"/>
      <c r="M933" s="17"/>
      <c r="V933" s="18"/>
      <c r="W933" s="19"/>
      <c r="X933" s="19"/>
      <c r="Y933" s="19"/>
      <c r="Z933" s="19"/>
      <c r="AA933" s="17"/>
      <c r="AB933" s="19"/>
      <c r="AC933" s="19"/>
      <c r="AE933" s="17"/>
      <c r="AF933" s="17"/>
    </row>
    <row r="934" spans="1:32">
      <c r="A934" s="17"/>
      <c r="M934" s="17"/>
      <c r="V934" s="18"/>
      <c r="W934" s="19"/>
      <c r="X934" s="19"/>
      <c r="Y934" s="19"/>
      <c r="Z934" s="19"/>
      <c r="AA934" s="17"/>
      <c r="AB934" s="19"/>
      <c r="AC934" s="19"/>
      <c r="AE934" s="17"/>
      <c r="AF934" s="17"/>
    </row>
    <row r="935" spans="1:32">
      <c r="A935" s="17"/>
      <c r="M935" s="17"/>
      <c r="V935" s="18"/>
      <c r="W935" s="19"/>
      <c r="X935" s="19"/>
      <c r="Y935" s="19"/>
      <c r="Z935" s="19"/>
      <c r="AA935" s="17"/>
      <c r="AB935" s="19"/>
      <c r="AC935" s="19"/>
      <c r="AE935" s="17"/>
      <c r="AF935" s="17"/>
    </row>
    <row r="936" spans="1:32">
      <c r="A936" s="17"/>
      <c r="M936" s="17"/>
      <c r="V936" s="18"/>
      <c r="W936" s="19"/>
      <c r="X936" s="19"/>
      <c r="Y936" s="19"/>
      <c r="Z936" s="19"/>
      <c r="AA936" s="17"/>
      <c r="AB936" s="19"/>
      <c r="AC936" s="19"/>
      <c r="AE936" s="17"/>
      <c r="AF936" s="17"/>
    </row>
    <row r="937" spans="1:32">
      <c r="A937" s="17"/>
      <c r="M937" s="17"/>
      <c r="V937" s="18"/>
      <c r="W937" s="19"/>
      <c r="X937" s="19"/>
      <c r="Y937" s="19"/>
      <c r="Z937" s="19"/>
      <c r="AA937" s="17"/>
      <c r="AB937" s="19"/>
      <c r="AC937" s="19"/>
      <c r="AE937" s="17"/>
      <c r="AF937" s="17"/>
    </row>
    <row r="938" spans="1:32">
      <c r="A938" s="17"/>
      <c r="M938" s="17"/>
      <c r="V938" s="18"/>
      <c r="W938" s="19"/>
      <c r="X938" s="19"/>
      <c r="Y938" s="19"/>
      <c r="Z938" s="19"/>
      <c r="AA938" s="17"/>
      <c r="AB938" s="19"/>
      <c r="AC938" s="19"/>
      <c r="AE938" s="17"/>
      <c r="AF938" s="17"/>
    </row>
    <row r="939" spans="1:32">
      <c r="A939" s="17"/>
      <c r="M939" s="17"/>
      <c r="V939" s="18"/>
      <c r="W939" s="19"/>
      <c r="X939" s="19"/>
      <c r="Y939" s="19"/>
      <c r="Z939" s="19"/>
      <c r="AA939" s="17"/>
      <c r="AB939" s="19"/>
      <c r="AC939" s="19"/>
      <c r="AE939" s="17"/>
      <c r="AF939" s="17"/>
    </row>
    <row r="940" spans="1:32">
      <c r="A940" s="17"/>
      <c r="M940" s="17"/>
      <c r="V940" s="18"/>
      <c r="W940" s="19"/>
      <c r="X940" s="19"/>
      <c r="Y940" s="19"/>
      <c r="Z940" s="19"/>
      <c r="AA940" s="17"/>
      <c r="AB940" s="19"/>
      <c r="AC940" s="19"/>
      <c r="AE940" s="17"/>
      <c r="AF940" s="17"/>
    </row>
    <row r="941" spans="1:32">
      <c r="A941" s="17"/>
      <c r="M941" s="17"/>
      <c r="V941" s="18"/>
      <c r="W941" s="19"/>
      <c r="X941" s="19"/>
      <c r="Y941" s="19"/>
      <c r="Z941" s="19"/>
      <c r="AA941" s="17"/>
      <c r="AB941" s="19"/>
      <c r="AC941" s="19"/>
      <c r="AE941" s="17"/>
      <c r="AF941" s="17"/>
    </row>
    <row r="942" spans="1:32">
      <c r="A942" s="17"/>
      <c r="M942" s="17"/>
      <c r="V942" s="18"/>
      <c r="W942" s="19"/>
      <c r="X942" s="19"/>
      <c r="Y942" s="19"/>
      <c r="Z942" s="19"/>
      <c r="AA942" s="17"/>
      <c r="AB942" s="19"/>
      <c r="AC942" s="19"/>
      <c r="AE942" s="17"/>
      <c r="AF942" s="17"/>
    </row>
    <row r="943" spans="1:32">
      <c r="A943" s="17"/>
      <c r="M943" s="17"/>
      <c r="V943" s="18"/>
      <c r="W943" s="19"/>
      <c r="X943" s="19"/>
      <c r="Y943" s="19"/>
      <c r="Z943" s="19"/>
      <c r="AA943" s="17"/>
      <c r="AB943" s="19"/>
      <c r="AC943" s="19"/>
      <c r="AE943" s="17"/>
      <c r="AF943" s="17"/>
    </row>
    <row r="944" spans="1:32">
      <c r="A944" s="17"/>
      <c r="M944" s="17"/>
      <c r="V944" s="18"/>
      <c r="W944" s="19"/>
      <c r="X944" s="19"/>
      <c r="Y944" s="19"/>
      <c r="Z944" s="19"/>
      <c r="AA944" s="17"/>
      <c r="AB944" s="19"/>
      <c r="AC944" s="19"/>
      <c r="AE944" s="17"/>
      <c r="AF944" s="17"/>
    </row>
    <row r="945" spans="1:32">
      <c r="A945" s="17"/>
      <c r="M945" s="17"/>
      <c r="V945" s="18"/>
      <c r="W945" s="19"/>
      <c r="X945" s="19"/>
      <c r="Y945" s="19"/>
      <c r="Z945" s="19"/>
      <c r="AA945" s="17"/>
      <c r="AB945" s="19"/>
      <c r="AC945" s="19"/>
      <c r="AE945" s="17"/>
      <c r="AF945" s="17"/>
    </row>
    <row r="946" spans="1:32">
      <c r="A946" s="17"/>
      <c r="M946" s="17"/>
      <c r="V946" s="18"/>
      <c r="W946" s="19"/>
      <c r="X946" s="19"/>
      <c r="Y946" s="19"/>
      <c r="Z946" s="19"/>
      <c r="AA946" s="17"/>
      <c r="AB946" s="19"/>
      <c r="AC946" s="19"/>
      <c r="AE946" s="17"/>
      <c r="AF946" s="17"/>
    </row>
    <row r="947" spans="1:32">
      <c r="A947" s="17"/>
      <c r="M947" s="17"/>
      <c r="V947" s="18"/>
      <c r="W947" s="19"/>
      <c r="X947" s="19"/>
      <c r="Y947" s="19"/>
      <c r="Z947" s="19"/>
      <c r="AA947" s="17"/>
      <c r="AB947" s="19"/>
      <c r="AC947" s="19"/>
      <c r="AE947" s="17"/>
      <c r="AF947" s="17"/>
    </row>
    <row r="948" spans="1:32">
      <c r="A948" s="17"/>
      <c r="M948" s="17"/>
      <c r="V948" s="18"/>
      <c r="W948" s="19"/>
      <c r="X948" s="19"/>
      <c r="Y948" s="19"/>
      <c r="Z948" s="19"/>
      <c r="AA948" s="17"/>
      <c r="AB948" s="19"/>
      <c r="AC948" s="19"/>
      <c r="AE948" s="17"/>
      <c r="AF948" s="17"/>
    </row>
    <row r="949" spans="1:32">
      <c r="A949" s="17"/>
      <c r="M949" s="17"/>
      <c r="V949" s="18"/>
      <c r="W949" s="19"/>
      <c r="X949" s="19"/>
      <c r="Y949" s="19"/>
      <c r="Z949" s="19"/>
      <c r="AA949" s="17"/>
      <c r="AB949" s="19"/>
      <c r="AC949" s="19"/>
      <c r="AE949" s="17"/>
      <c r="AF949" s="17"/>
    </row>
    <row r="950" spans="1:32">
      <c r="A950" s="17"/>
      <c r="M950" s="17"/>
      <c r="V950" s="18"/>
      <c r="W950" s="19"/>
      <c r="X950" s="19"/>
      <c r="Y950" s="19"/>
      <c r="Z950" s="19"/>
      <c r="AA950" s="17"/>
      <c r="AB950" s="19"/>
      <c r="AC950" s="19"/>
      <c r="AE950" s="17"/>
      <c r="AF950" s="17"/>
    </row>
    <row r="951" spans="1:32">
      <c r="A951" s="17"/>
      <c r="M951" s="17"/>
      <c r="V951" s="18"/>
      <c r="W951" s="19"/>
      <c r="X951" s="19"/>
      <c r="Y951" s="19"/>
      <c r="Z951" s="19"/>
      <c r="AA951" s="17"/>
      <c r="AB951" s="19"/>
      <c r="AC951" s="19"/>
      <c r="AE951" s="17"/>
      <c r="AF951" s="17"/>
    </row>
    <row r="952" spans="1:32">
      <c r="A952" s="17"/>
      <c r="M952" s="17"/>
      <c r="V952" s="18"/>
      <c r="W952" s="19"/>
      <c r="X952" s="19"/>
      <c r="Y952" s="19"/>
      <c r="Z952" s="19"/>
      <c r="AA952" s="17"/>
      <c r="AB952" s="19"/>
      <c r="AC952" s="19"/>
      <c r="AE952" s="17"/>
      <c r="AF952" s="17"/>
    </row>
    <row r="953" spans="1:32">
      <c r="A953" s="17"/>
      <c r="M953" s="17"/>
      <c r="V953" s="18"/>
      <c r="W953" s="19"/>
      <c r="X953" s="19"/>
      <c r="Y953" s="19"/>
      <c r="Z953" s="19"/>
      <c r="AA953" s="17"/>
      <c r="AB953" s="19"/>
      <c r="AC953" s="19"/>
      <c r="AE953" s="17"/>
      <c r="AF953" s="17"/>
    </row>
    <row r="954" spans="1:32">
      <c r="A954" s="17"/>
      <c r="M954" s="17"/>
      <c r="V954" s="18"/>
      <c r="W954" s="19"/>
      <c r="X954" s="19"/>
      <c r="Y954" s="19"/>
      <c r="Z954" s="19"/>
      <c r="AA954" s="17"/>
      <c r="AB954" s="19"/>
      <c r="AC954" s="19"/>
      <c r="AE954" s="17"/>
      <c r="AF954" s="17"/>
    </row>
    <row r="955" spans="1:32">
      <c r="A955" s="17"/>
      <c r="M955" s="17"/>
      <c r="V955" s="18"/>
      <c r="W955" s="19"/>
      <c r="X955" s="19"/>
      <c r="Y955" s="19"/>
      <c r="Z955" s="19"/>
      <c r="AA955" s="17"/>
      <c r="AB955" s="19"/>
      <c r="AC955" s="19"/>
      <c r="AE955" s="17"/>
      <c r="AF955" s="17"/>
    </row>
    <row r="956" spans="1:32">
      <c r="A956" s="17"/>
      <c r="M956" s="17"/>
      <c r="V956" s="18"/>
      <c r="W956" s="19"/>
      <c r="X956" s="19"/>
      <c r="Y956" s="19"/>
      <c r="Z956" s="19"/>
      <c r="AA956" s="17"/>
      <c r="AB956" s="19"/>
      <c r="AC956" s="19"/>
      <c r="AE956" s="17"/>
      <c r="AF956" s="17"/>
    </row>
    <row r="957" spans="1:32">
      <c r="A957" s="17"/>
      <c r="M957" s="17"/>
      <c r="V957" s="18"/>
      <c r="W957" s="19"/>
      <c r="X957" s="19"/>
      <c r="Y957" s="19"/>
      <c r="Z957" s="19"/>
      <c r="AA957" s="17"/>
      <c r="AB957" s="19"/>
      <c r="AC957" s="19"/>
      <c r="AE957" s="17"/>
      <c r="AF957" s="17"/>
    </row>
    <row r="958" spans="1:32">
      <c r="A958" s="17"/>
      <c r="M958" s="17"/>
      <c r="V958" s="18"/>
      <c r="W958" s="19"/>
      <c r="X958" s="19"/>
      <c r="Y958" s="19"/>
      <c r="Z958" s="19"/>
      <c r="AA958" s="17"/>
      <c r="AB958" s="19"/>
      <c r="AC958" s="19"/>
      <c r="AE958" s="17"/>
      <c r="AF958" s="17"/>
    </row>
    <row r="959" spans="1:32">
      <c r="A959" s="17"/>
      <c r="M959" s="17"/>
      <c r="V959" s="18"/>
      <c r="W959" s="19"/>
      <c r="X959" s="19"/>
      <c r="Y959" s="19"/>
      <c r="Z959" s="19"/>
      <c r="AA959" s="17"/>
      <c r="AB959" s="19"/>
      <c r="AC959" s="19"/>
      <c r="AE959" s="17"/>
      <c r="AF959" s="17"/>
    </row>
    <row r="960" spans="1:32">
      <c r="A960" s="17"/>
      <c r="M960" s="17"/>
      <c r="V960" s="18"/>
      <c r="W960" s="19"/>
      <c r="X960" s="19"/>
      <c r="Y960" s="19"/>
      <c r="Z960" s="19"/>
      <c r="AA960" s="17"/>
      <c r="AB960" s="19"/>
      <c r="AC960" s="19"/>
      <c r="AE960" s="17"/>
      <c r="AF960" s="17"/>
    </row>
    <row r="961" spans="1:32">
      <c r="A961" s="17"/>
      <c r="M961" s="17"/>
      <c r="V961" s="18"/>
      <c r="W961" s="19"/>
      <c r="X961" s="19"/>
      <c r="Y961" s="19"/>
      <c r="Z961" s="19"/>
      <c r="AA961" s="17"/>
      <c r="AB961" s="19"/>
      <c r="AC961" s="19"/>
      <c r="AE961" s="17"/>
      <c r="AF961" s="17"/>
    </row>
    <row r="962" spans="1:32">
      <c r="A962" s="17"/>
      <c r="M962" s="17"/>
      <c r="V962" s="18"/>
      <c r="W962" s="19"/>
      <c r="X962" s="19"/>
      <c r="Y962" s="19"/>
      <c r="Z962" s="19"/>
      <c r="AA962" s="17"/>
      <c r="AB962" s="19"/>
      <c r="AC962" s="19"/>
      <c r="AE962" s="17"/>
      <c r="AF962" s="17"/>
    </row>
    <row r="963" spans="1:32">
      <c r="A963" s="17"/>
      <c r="M963" s="17"/>
      <c r="V963" s="18"/>
      <c r="W963" s="19"/>
      <c r="X963" s="19"/>
      <c r="Y963" s="19"/>
      <c r="Z963" s="19"/>
      <c r="AA963" s="17"/>
      <c r="AB963" s="19"/>
      <c r="AC963" s="19"/>
      <c r="AE963" s="17"/>
      <c r="AF963" s="17"/>
    </row>
    <row r="964" spans="1:32">
      <c r="A964" s="17"/>
      <c r="M964" s="17"/>
      <c r="V964" s="18"/>
      <c r="W964" s="19"/>
      <c r="X964" s="19"/>
      <c r="Y964" s="19"/>
      <c r="Z964" s="19"/>
      <c r="AA964" s="17"/>
      <c r="AB964" s="19"/>
      <c r="AC964" s="19"/>
      <c r="AE964" s="17"/>
      <c r="AF964" s="17"/>
    </row>
    <row r="965" spans="1:32">
      <c r="A965" s="17"/>
      <c r="M965" s="17"/>
      <c r="V965" s="18"/>
      <c r="W965" s="19"/>
      <c r="X965" s="19"/>
      <c r="Y965" s="19"/>
      <c r="Z965" s="19"/>
      <c r="AA965" s="17"/>
      <c r="AB965" s="19"/>
      <c r="AC965" s="19"/>
      <c r="AE965" s="17"/>
      <c r="AF965" s="17"/>
    </row>
    <row r="966" spans="1:32">
      <c r="A966" s="17"/>
      <c r="M966" s="17"/>
      <c r="V966" s="18"/>
      <c r="W966" s="19"/>
      <c r="X966" s="19"/>
      <c r="Y966" s="19"/>
      <c r="Z966" s="19"/>
      <c r="AA966" s="17"/>
      <c r="AB966" s="19"/>
      <c r="AC966" s="19"/>
      <c r="AE966" s="17"/>
      <c r="AF966" s="17"/>
    </row>
    <row r="967" spans="1:32">
      <c r="A967" s="17"/>
      <c r="M967" s="17"/>
      <c r="V967" s="18"/>
      <c r="W967" s="19"/>
      <c r="X967" s="19"/>
      <c r="Y967" s="19"/>
      <c r="Z967" s="19"/>
      <c r="AA967" s="17"/>
      <c r="AB967" s="19"/>
      <c r="AC967" s="19"/>
      <c r="AE967" s="17"/>
      <c r="AF967" s="17"/>
    </row>
    <row r="968" spans="1:32">
      <c r="A968" s="17"/>
      <c r="M968" s="17"/>
      <c r="V968" s="18"/>
      <c r="W968" s="19"/>
      <c r="X968" s="19"/>
      <c r="Y968" s="19"/>
      <c r="Z968" s="19"/>
      <c r="AA968" s="17"/>
      <c r="AB968" s="19"/>
      <c r="AC968" s="19"/>
      <c r="AE968" s="17"/>
      <c r="AF968" s="17"/>
    </row>
    <row r="969" spans="1:32">
      <c r="A969" s="17"/>
      <c r="M969" s="17"/>
      <c r="V969" s="18"/>
      <c r="W969" s="19"/>
      <c r="X969" s="19"/>
      <c r="Y969" s="19"/>
      <c r="Z969" s="19"/>
      <c r="AA969" s="17"/>
      <c r="AB969" s="19"/>
      <c r="AC969" s="19"/>
      <c r="AE969" s="17"/>
      <c r="AF969" s="17"/>
    </row>
    <row r="970" spans="1:32">
      <c r="A970" s="17"/>
      <c r="M970" s="17"/>
      <c r="V970" s="18"/>
      <c r="W970" s="19"/>
      <c r="X970" s="19"/>
      <c r="Y970" s="19"/>
      <c r="Z970" s="19"/>
      <c r="AA970" s="17"/>
      <c r="AB970" s="19"/>
      <c r="AC970" s="19"/>
      <c r="AE970" s="17"/>
      <c r="AF970" s="17"/>
    </row>
    <row r="971" spans="1:32">
      <c r="A971" s="17"/>
      <c r="M971" s="17"/>
      <c r="V971" s="18"/>
      <c r="W971" s="19"/>
      <c r="X971" s="19"/>
      <c r="Y971" s="19"/>
      <c r="Z971" s="19"/>
      <c r="AA971" s="17"/>
      <c r="AB971" s="19"/>
      <c r="AC971" s="19"/>
      <c r="AE971" s="17"/>
      <c r="AF971" s="17"/>
    </row>
    <row r="972" spans="1:32">
      <c r="A972" s="17"/>
      <c r="M972" s="17"/>
      <c r="V972" s="18"/>
      <c r="W972" s="19"/>
      <c r="X972" s="19"/>
      <c r="Y972" s="19"/>
      <c r="Z972" s="19"/>
      <c r="AA972" s="17"/>
      <c r="AB972" s="19"/>
      <c r="AC972" s="19"/>
      <c r="AE972" s="17"/>
      <c r="AF972" s="17"/>
    </row>
    <row r="973" spans="1:32">
      <c r="A973" s="17"/>
      <c r="M973" s="17"/>
      <c r="V973" s="18"/>
      <c r="W973" s="19"/>
      <c r="X973" s="19"/>
      <c r="Y973" s="19"/>
      <c r="Z973" s="19"/>
      <c r="AA973" s="17"/>
      <c r="AB973" s="19"/>
      <c r="AC973" s="19"/>
      <c r="AE973" s="17"/>
      <c r="AF973" s="17"/>
    </row>
    <row r="974" spans="1:32">
      <c r="A974" s="17"/>
      <c r="M974" s="17"/>
      <c r="V974" s="18"/>
      <c r="W974" s="19"/>
      <c r="X974" s="19"/>
      <c r="Y974" s="19"/>
      <c r="Z974" s="19"/>
      <c r="AA974" s="17"/>
      <c r="AB974" s="19"/>
      <c r="AC974" s="19"/>
      <c r="AE974" s="17"/>
      <c r="AF974" s="17"/>
    </row>
    <row r="975" spans="1:32">
      <c r="A975" s="17"/>
      <c r="M975" s="17"/>
      <c r="V975" s="18"/>
      <c r="W975" s="19"/>
      <c r="X975" s="19"/>
      <c r="Y975" s="19"/>
      <c r="Z975" s="19"/>
      <c r="AA975" s="17"/>
      <c r="AB975" s="19"/>
      <c r="AC975" s="19"/>
      <c r="AE975" s="17"/>
      <c r="AF975" s="17"/>
    </row>
    <row r="976" spans="1:32">
      <c r="A976" s="17"/>
      <c r="M976" s="17"/>
      <c r="V976" s="18"/>
      <c r="W976" s="19"/>
      <c r="X976" s="19"/>
      <c r="Y976" s="19"/>
      <c r="Z976" s="19"/>
      <c r="AA976" s="17"/>
      <c r="AB976" s="19"/>
      <c r="AC976" s="19"/>
      <c r="AE976" s="17"/>
      <c r="AF976" s="17"/>
    </row>
    <row r="977" spans="1:32">
      <c r="A977" s="17"/>
      <c r="M977" s="17"/>
      <c r="V977" s="18"/>
      <c r="W977" s="19"/>
      <c r="X977" s="19"/>
      <c r="Y977" s="19"/>
      <c r="Z977" s="19"/>
      <c r="AA977" s="17"/>
      <c r="AB977" s="19"/>
      <c r="AC977" s="19"/>
      <c r="AE977" s="17"/>
      <c r="AF977" s="17"/>
    </row>
    <row r="978" spans="1:32">
      <c r="A978" s="17"/>
      <c r="M978" s="17"/>
      <c r="V978" s="18"/>
      <c r="W978" s="19"/>
      <c r="X978" s="19"/>
      <c r="Y978" s="19"/>
      <c r="Z978" s="19"/>
      <c r="AA978" s="17"/>
      <c r="AB978" s="19"/>
      <c r="AC978" s="19"/>
      <c r="AE978" s="17"/>
      <c r="AF978" s="17"/>
    </row>
    <row r="979" spans="1:32">
      <c r="A979" s="17"/>
      <c r="M979" s="17"/>
      <c r="V979" s="18"/>
      <c r="W979" s="19"/>
      <c r="X979" s="19"/>
      <c r="Y979" s="19"/>
      <c r="Z979" s="19"/>
      <c r="AA979" s="17"/>
      <c r="AB979" s="19"/>
      <c r="AC979" s="19"/>
      <c r="AE979" s="17"/>
      <c r="AF979" s="17"/>
    </row>
    <row r="980" spans="1:32">
      <c r="A980" s="17"/>
      <c r="M980" s="17"/>
      <c r="V980" s="18"/>
      <c r="W980" s="19"/>
      <c r="X980" s="19"/>
      <c r="Y980" s="19"/>
      <c r="Z980" s="19"/>
      <c r="AA980" s="17"/>
      <c r="AB980" s="19"/>
      <c r="AC980" s="19"/>
      <c r="AE980" s="17"/>
      <c r="AF980" s="17"/>
    </row>
    <row r="981" spans="1:32">
      <c r="A981" s="17"/>
      <c r="M981" s="17"/>
      <c r="V981" s="18"/>
      <c r="W981" s="19"/>
      <c r="X981" s="19"/>
      <c r="Y981" s="19"/>
      <c r="Z981" s="19"/>
      <c r="AA981" s="17"/>
      <c r="AB981" s="19"/>
      <c r="AC981" s="19"/>
      <c r="AE981" s="17"/>
      <c r="AF981" s="17"/>
    </row>
    <row r="982" spans="1:32">
      <c r="A982" s="17"/>
      <c r="M982" s="17"/>
      <c r="V982" s="18"/>
      <c r="W982" s="19"/>
      <c r="X982" s="19"/>
      <c r="Y982" s="19"/>
      <c r="Z982" s="19"/>
      <c r="AA982" s="17"/>
      <c r="AB982" s="19"/>
      <c r="AC982" s="19"/>
      <c r="AE982" s="17"/>
      <c r="AF982" s="17"/>
    </row>
    <row r="983" spans="1:32">
      <c r="A983" s="17"/>
      <c r="M983" s="17"/>
      <c r="V983" s="18"/>
      <c r="W983" s="19"/>
      <c r="X983" s="19"/>
      <c r="Y983" s="19"/>
      <c r="Z983" s="19"/>
      <c r="AA983" s="17"/>
      <c r="AB983" s="19"/>
      <c r="AC983" s="19"/>
      <c r="AE983" s="17"/>
      <c r="AF983" s="17"/>
    </row>
    <row r="984" spans="1:32">
      <c r="A984" s="17"/>
      <c r="M984" s="17"/>
      <c r="V984" s="18"/>
      <c r="W984" s="19"/>
      <c r="X984" s="19"/>
      <c r="Y984" s="19"/>
      <c r="Z984" s="19"/>
      <c r="AA984" s="17"/>
      <c r="AB984" s="19"/>
      <c r="AC984" s="19"/>
      <c r="AE984" s="17"/>
      <c r="AF984" s="17"/>
    </row>
    <row r="985" spans="1:32">
      <c r="A985" s="17"/>
      <c r="M985" s="17"/>
      <c r="V985" s="18"/>
      <c r="W985" s="19"/>
      <c r="X985" s="19"/>
      <c r="Y985" s="19"/>
      <c r="Z985" s="19"/>
      <c r="AA985" s="17"/>
      <c r="AB985" s="19"/>
      <c r="AC985" s="19"/>
      <c r="AE985" s="17"/>
      <c r="AF985" s="17"/>
    </row>
    <row r="986" spans="1:32">
      <c r="A986" s="17"/>
      <c r="M986" s="17"/>
      <c r="V986" s="18"/>
      <c r="W986" s="19"/>
      <c r="X986" s="19"/>
      <c r="Y986" s="19"/>
      <c r="Z986" s="19"/>
      <c r="AA986" s="17"/>
      <c r="AB986" s="19"/>
      <c r="AC986" s="19"/>
      <c r="AE986" s="17"/>
      <c r="AF986" s="17"/>
    </row>
    <row r="987" spans="1:32">
      <c r="A987" s="17"/>
      <c r="M987" s="17"/>
      <c r="V987" s="18"/>
      <c r="W987" s="19"/>
      <c r="X987" s="19"/>
      <c r="Y987" s="19"/>
      <c r="Z987" s="19"/>
      <c r="AA987" s="17"/>
      <c r="AB987" s="19"/>
      <c r="AC987" s="19"/>
      <c r="AE987" s="17"/>
      <c r="AF987" s="17"/>
    </row>
    <row r="988" spans="1:32">
      <c r="A988" s="17"/>
      <c r="M988" s="17"/>
      <c r="V988" s="18"/>
      <c r="W988" s="19"/>
      <c r="X988" s="19"/>
      <c r="Y988" s="19"/>
      <c r="Z988" s="19"/>
      <c r="AA988" s="17"/>
      <c r="AB988" s="19"/>
      <c r="AC988" s="19"/>
      <c r="AE988" s="17"/>
      <c r="AF988" s="17"/>
    </row>
    <row r="989" spans="1:32">
      <c r="A989" s="17"/>
      <c r="M989" s="17"/>
      <c r="V989" s="18"/>
      <c r="W989" s="19"/>
      <c r="X989" s="19"/>
      <c r="Y989" s="19"/>
      <c r="Z989" s="19"/>
      <c r="AA989" s="17"/>
      <c r="AB989" s="19"/>
      <c r="AC989" s="19"/>
      <c r="AE989" s="17"/>
      <c r="AF989" s="17"/>
    </row>
    <row r="990" spans="1:32">
      <c r="A990" s="17"/>
      <c r="M990" s="17"/>
      <c r="V990" s="18"/>
      <c r="W990" s="19"/>
      <c r="X990" s="19"/>
      <c r="Y990" s="19"/>
      <c r="Z990" s="19"/>
      <c r="AA990" s="17"/>
      <c r="AB990" s="19"/>
      <c r="AC990" s="19"/>
      <c r="AE990" s="17"/>
      <c r="AF990" s="17"/>
    </row>
    <row r="991" spans="1:32">
      <c r="A991" s="17"/>
      <c r="M991" s="17"/>
      <c r="V991" s="18"/>
      <c r="W991" s="19"/>
      <c r="X991" s="19"/>
      <c r="Y991" s="19"/>
      <c r="Z991" s="19"/>
      <c r="AA991" s="17"/>
      <c r="AB991" s="19"/>
      <c r="AC991" s="19"/>
      <c r="AE991" s="17"/>
      <c r="AF991" s="17"/>
    </row>
    <row r="992" spans="1:32">
      <c r="A992" s="17"/>
      <c r="M992" s="17"/>
      <c r="V992" s="18"/>
      <c r="W992" s="19"/>
      <c r="X992" s="19"/>
      <c r="Y992" s="19"/>
      <c r="Z992" s="19"/>
      <c r="AA992" s="17"/>
      <c r="AB992" s="19"/>
      <c r="AC992" s="19"/>
      <c r="AE992" s="17"/>
      <c r="AF992" s="17"/>
    </row>
  </sheetData>
  <autoFilter ref="A1:AC992" xr:uid="{00000000-0009-0000-0000-000000000000}"/>
  <hyperlinks>
    <hyperlink ref="M2" r:id="rId1" xr:uid="{00000000-0004-0000-0000-000000000000}"/>
    <hyperlink ref="M3" r:id="rId2" xr:uid="{00000000-0004-0000-0000-000001000000}"/>
    <hyperlink ref="M4" r:id="rId3" xr:uid="{00000000-0004-0000-0000-000002000000}"/>
    <hyperlink ref="M5" r:id="rId4" xr:uid="{00000000-0004-0000-0000-000003000000}"/>
    <hyperlink ref="M6" r:id="rId5" xr:uid="{00000000-0004-0000-0000-000004000000}"/>
    <hyperlink ref="M7" r:id="rId6" xr:uid="{00000000-0004-0000-0000-000005000000}"/>
    <hyperlink ref="M8" r:id="rId7" xr:uid="{00000000-0004-0000-0000-000006000000}"/>
    <hyperlink ref="M9" r:id="rId8" xr:uid="{00000000-0004-0000-0000-000007000000}"/>
    <hyperlink ref="M10" r:id="rId9" xr:uid="{00000000-0004-0000-0000-000008000000}"/>
    <hyperlink ref="M11" r:id="rId10" xr:uid="{00000000-0004-0000-0000-000009000000}"/>
    <hyperlink ref="M12" r:id="rId11" xr:uid="{00000000-0004-0000-0000-00000A000000}"/>
    <hyperlink ref="M13" r:id="rId12" xr:uid="{00000000-0004-0000-0000-00000B000000}"/>
    <hyperlink ref="M14" r:id="rId13" xr:uid="{00000000-0004-0000-0000-00000C000000}"/>
    <hyperlink ref="M15" r:id="rId14" xr:uid="{00000000-0004-0000-0000-00000D000000}"/>
    <hyperlink ref="M16" r:id="rId15" xr:uid="{00000000-0004-0000-0000-00000E000000}"/>
    <hyperlink ref="M17" r:id="rId16" xr:uid="{00000000-0004-0000-0000-00000F000000}"/>
    <hyperlink ref="M18" r:id="rId17" xr:uid="{00000000-0004-0000-0000-000010000000}"/>
    <hyperlink ref="M19" r:id="rId18" xr:uid="{00000000-0004-0000-0000-000011000000}"/>
    <hyperlink ref="M20" r:id="rId19" xr:uid="{00000000-0004-0000-0000-000012000000}"/>
    <hyperlink ref="M21" r:id="rId20" xr:uid="{00000000-0004-0000-0000-000013000000}"/>
    <hyperlink ref="M22" r:id="rId21" xr:uid="{00000000-0004-0000-0000-000014000000}"/>
    <hyperlink ref="M23" r:id="rId22" xr:uid="{00000000-0004-0000-0000-000015000000}"/>
    <hyperlink ref="M24" r:id="rId23" xr:uid="{00000000-0004-0000-0000-000016000000}"/>
    <hyperlink ref="M25" r:id="rId24" xr:uid="{00000000-0004-0000-0000-000017000000}"/>
    <hyperlink ref="M26" r:id="rId25" xr:uid="{00000000-0004-0000-0000-000018000000}"/>
    <hyperlink ref="M27" r:id="rId26" xr:uid="{00000000-0004-0000-0000-000019000000}"/>
    <hyperlink ref="M28" r:id="rId27" xr:uid="{00000000-0004-0000-0000-00001A000000}"/>
    <hyperlink ref="M29" r:id="rId28" xr:uid="{00000000-0004-0000-0000-00001B000000}"/>
    <hyperlink ref="M30" r:id="rId29" xr:uid="{00000000-0004-0000-0000-00001C000000}"/>
    <hyperlink ref="M31" r:id="rId30" xr:uid="{00000000-0004-0000-0000-00001D000000}"/>
    <hyperlink ref="M32" r:id="rId31" xr:uid="{00000000-0004-0000-0000-00001E000000}"/>
    <hyperlink ref="M33" r:id="rId32" xr:uid="{00000000-0004-0000-0000-00001F000000}"/>
    <hyperlink ref="M34" r:id="rId33" xr:uid="{00000000-0004-0000-0000-000020000000}"/>
    <hyperlink ref="M35" r:id="rId34" xr:uid="{00000000-0004-0000-0000-000021000000}"/>
    <hyperlink ref="M36" r:id="rId35" xr:uid="{00000000-0004-0000-0000-000022000000}"/>
    <hyperlink ref="M37" r:id="rId36" xr:uid="{00000000-0004-0000-0000-000023000000}"/>
    <hyperlink ref="M38" r:id="rId37" xr:uid="{00000000-0004-0000-0000-000024000000}"/>
    <hyperlink ref="M39" r:id="rId38" xr:uid="{00000000-0004-0000-0000-000025000000}"/>
    <hyperlink ref="M40" r:id="rId39" xr:uid="{00000000-0004-0000-0000-000026000000}"/>
    <hyperlink ref="M41" r:id="rId40" xr:uid="{00000000-0004-0000-0000-000027000000}"/>
    <hyperlink ref="M42" r:id="rId41" xr:uid="{00000000-0004-0000-0000-000028000000}"/>
    <hyperlink ref="M43" r:id="rId42" xr:uid="{00000000-0004-0000-0000-000029000000}"/>
    <hyperlink ref="M44" r:id="rId43" xr:uid="{00000000-0004-0000-0000-00002A000000}"/>
    <hyperlink ref="M45" r:id="rId44" xr:uid="{00000000-0004-0000-0000-00002B000000}"/>
    <hyperlink ref="M46" r:id="rId45" xr:uid="{00000000-0004-0000-0000-00002C000000}"/>
    <hyperlink ref="M47" r:id="rId46" xr:uid="{00000000-0004-0000-0000-00002D000000}"/>
    <hyperlink ref="M48" r:id="rId47" xr:uid="{00000000-0004-0000-0000-00002E000000}"/>
    <hyperlink ref="M49" r:id="rId48" xr:uid="{00000000-0004-0000-0000-00002F000000}"/>
    <hyperlink ref="M50" r:id="rId49" xr:uid="{00000000-0004-0000-0000-000030000000}"/>
    <hyperlink ref="M51" r:id="rId50" xr:uid="{00000000-0004-0000-0000-000031000000}"/>
    <hyperlink ref="M52" r:id="rId51" xr:uid="{00000000-0004-0000-0000-000032000000}"/>
    <hyperlink ref="M53" r:id="rId52" xr:uid="{00000000-0004-0000-0000-000033000000}"/>
    <hyperlink ref="M54" r:id="rId53" xr:uid="{00000000-0004-0000-0000-000034000000}"/>
    <hyperlink ref="M55" r:id="rId54" xr:uid="{00000000-0004-0000-0000-000035000000}"/>
    <hyperlink ref="M56" r:id="rId55" xr:uid="{00000000-0004-0000-0000-000036000000}"/>
    <hyperlink ref="M57" r:id="rId56" xr:uid="{00000000-0004-0000-0000-000037000000}"/>
    <hyperlink ref="M58" r:id="rId57" xr:uid="{00000000-0004-0000-0000-000038000000}"/>
    <hyperlink ref="M59" r:id="rId58" xr:uid="{00000000-0004-0000-0000-000039000000}"/>
    <hyperlink ref="M60" r:id="rId59" xr:uid="{00000000-0004-0000-0000-00003A000000}"/>
    <hyperlink ref="M61" r:id="rId60" xr:uid="{00000000-0004-0000-0000-00003B000000}"/>
    <hyperlink ref="M62" r:id="rId61" xr:uid="{00000000-0004-0000-0000-00003C000000}"/>
    <hyperlink ref="M63" r:id="rId62" xr:uid="{00000000-0004-0000-0000-00003D000000}"/>
    <hyperlink ref="M64" r:id="rId63" xr:uid="{00000000-0004-0000-0000-00003E000000}"/>
    <hyperlink ref="M65" r:id="rId64" xr:uid="{00000000-0004-0000-0000-00003F000000}"/>
    <hyperlink ref="M66" r:id="rId65" xr:uid="{00000000-0004-0000-0000-000040000000}"/>
    <hyperlink ref="M67" r:id="rId66" xr:uid="{00000000-0004-0000-0000-000041000000}"/>
    <hyperlink ref="M68" r:id="rId67" xr:uid="{00000000-0004-0000-0000-000042000000}"/>
    <hyperlink ref="M69" r:id="rId68" xr:uid="{00000000-0004-0000-0000-000043000000}"/>
    <hyperlink ref="M70" r:id="rId69" xr:uid="{00000000-0004-0000-0000-000044000000}"/>
    <hyperlink ref="M71" r:id="rId70" xr:uid="{00000000-0004-0000-0000-000045000000}"/>
    <hyperlink ref="M72" r:id="rId71" xr:uid="{00000000-0004-0000-0000-000046000000}"/>
    <hyperlink ref="M73" r:id="rId72" xr:uid="{00000000-0004-0000-0000-000047000000}"/>
    <hyperlink ref="M74" r:id="rId73" xr:uid="{00000000-0004-0000-0000-000048000000}"/>
    <hyperlink ref="M75" r:id="rId74" xr:uid="{00000000-0004-0000-0000-000049000000}"/>
    <hyperlink ref="M76" r:id="rId75" xr:uid="{00000000-0004-0000-0000-00004A000000}"/>
    <hyperlink ref="M77" r:id="rId76" xr:uid="{00000000-0004-0000-0000-00004B000000}"/>
    <hyperlink ref="M78" r:id="rId77" xr:uid="{00000000-0004-0000-0000-00004C000000}"/>
    <hyperlink ref="M79" r:id="rId78" xr:uid="{00000000-0004-0000-0000-00004D000000}"/>
    <hyperlink ref="M80" r:id="rId79" xr:uid="{00000000-0004-0000-0000-00004E000000}"/>
    <hyperlink ref="M81" r:id="rId80" xr:uid="{00000000-0004-0000-0000-00004F000000}"/>
    <hyperlink ref="M82" r:id="rId81" xr:uid="{00000000-0004-0000-0000-000050000000}"/>
    <hyperlink ref="M83" r:id="rId82" xr:uid="{00000000-0004-0000-0000-000051000000}"/>
    <hyperlink ref="M84" r:id="rId83" xr:uid="{00000000-0004-0000-0000-000052000000}"/>
    <hyperlink ref="M85" r:id="rId84" xr:uid="{00000000-0004-0000-0000-000053000000}"/>
    <hyperlink ref="M86" r:id="rId85" xr:uid="{00000000-0004-0000-0000-000054000000}"/>
    <hyperlink ref="M87" r:id="rId86" xr:uid="{00000000-0004-0000-0000-000055000000}"/>
    <hyperlink ref="M88" r:id="rId87" xr:uid="{00000000-0004-0000-0000-000056000000}"/>
    <hyperlink ref="M89" r:id="rId88" xr:uid="{00000000-0004-0000-0000-000057000000}"/>
    <hyperlink ref="M90" r:id="rId89" xr:uid="{00000000-0004-0000-0000-000058000000}"/>
    <hyperlink ref="M91" r:id="rId90" xr:uid="{00000000-0004-0000-0000-000059000000}"/>
    <hyperlink ref="M92" r:id="rId91" xr:uid="{00000000-0004-0000-0000-00005A000000}"/>
    <hyperlink ref="M93" r:id="rId92" xr:uid="{00000000-0004-0000-0000-00005B000000}"/>
    <hyperlink ref="M94" r:id="rId93" xr:uid="{00000000-0004-0000-0000-00005C000000}"/>
    <hyperlink ref="M95" r:id="rId94" xr:uid="{00000000-0004-0000-0000-00005D000000}"/>
    <hyperlink ref="M96" r:id="rId95" xr:uid="{00000000-0004-0000-0000-00005E000000}"/>
    <hyperlink ref="M97" r:id="rId96" xr:uid="{00000000-0004-0000-0000-00005F000000}"/>
    <hyperlink ref="M98" r:id="rId97" xr:uid="{00000000-0004-0000-0000-000060000000}"/>
    <hyperlink ref="M99" r:id="rId98" xr:uid="{00000000-0004-0000-0000-000061000000}"/>
    <hyperlink ref="M100" r:id="rId99" xr:uid="{00000000-0004-0000-0000-000062000000}"/>
    <hyperlink ref="M101" r:id="rId100" xr:uid="{00000000-0004-0000-0000-000063000000}"/>
    <hyperlink ref="M102" r:id="rId101" xr:uid="{00000000-0004-0000-0000-000064000000}"/>
    <hyperlink ref="M103" r:id="rId102" xr:uid="{00000000-0004-0000-0000-000065000000}"/>
    <hyperlink ref="M104" r:id="rId103" xr:uid="{00000000-0004-0000-0000-000066000000}"/>
    <hyperlink ref="M105" r:id="rId104" xr:uid="{00000000-0004-0000-0000-000067000000}"/>
    <hyperlink ref="M106" r:id="rId105" xr:uid="{00000000-0004-0000-0000-000068000000}"/>
    <hyperlink ref="M107" r:id="rId106" xr:uid="{00000000-0004-0000-0000-000069000000}"/>
    <hyperlink ref="M108" r:id="rId107" xr:uid="{00000000-0004-0000-0000-00006A000000}"/>
    <hyperlink ref="M109" r:id="rId108" xr:uid="{00000000-0004-0000-0000-00006B000000}"/>
    <hyperlink ref="M110" r:id="rId109" xr:uid="{00000000-0004-0000-0000-00006C000000}"/>
    <hyperlink ref="M111" r:id="rId110" xr:uid="{00000000-0004-0000-0000-00006D000000}"/>
    <hyperlink ref="M112" r:id="rId111" xr:uid="{00000000-0004-0000-0000-00006E000000}"/>
    <hyperlink ref="M113" r:id="rId112" xr:uid="{00000000-0004-0000-0000-00006F000000}"/>
    <hyperlink ref="M114" r:id="rId113" xr:uid="{00000000-0004-0000-0000-000070000000}"/>
    <hyperlink ref="M115" r:id="rId114" xr:uid="{00000000-0004-0000-0000-000071000000}"/>
    <hyperlink ref="M116" r:id="rId115" xr:uid="{00000000-0004-0000-0000-000072000000}"/>
    <hyperlink ref="M117" r:id="rId116" xr:uid="{00000000-0004-0000-0000-000073000000}"/>
    <hyperlink ref="M118" r:id="rId117" xr:uid="{00000000-0004-0000-0000-000074000000}"/>
    <hyperlink ref="M119" r:id="rId118" xr:uid="{00000000-0004-0000-0000-000075000000}"/>
    <hyperlink ref="M120" r:id="rId119" xr:uid="{00000000-0004-0000-0000-000076000000}"/>
    <hyperlink ref="M121" r:id="rId120" xr:uid="{00000000-0004-0000-0000-000077000000}"/>
    <hyperlink ref="M122" r:id="rId121" xr:uid="{00000000-0004-0000-0000-000078000000}"/>
    <hyperlink ref="M123" r:id="rId122" xr:uid="{00000000-0004-0000-0000-000079000000}"/>
    <hyperlink ref="M124" r:id="rId123" xr:uid="{00000000-0004-0000-0000-00007A000000}"/>
    <hyperlink ref="M125" r:id="rId124" xr:uid="{00000000-0004-0000-0000-00007B000000}"/>
    <hyperlink ref="M126" r:id="rId125" xr:uid="{00000000-0004-0000-0000-00007C000000}"/>
    <hyperlink ref="M127" r:id="rId126" xr:uid="{00000000-0004-0000-0000-00007D000000}"/>
    <hyperlink ref="M128" r:id="rId127" xr:uid="{00000000-0004-0000-0000-00007E000000}"/>
    <hyperlink ref="M129" r:id="rId128" xr:uid="{00000000-0004-0000-0000-00007F000000}"/>
    <hyperlink ref="M130" r:id="rId129" xr:uid="{00000000-0004-0000-0000-000080000000}"/>
    <hyperlink ref="M131" r:id="rId130" xr:uid="{00000000-0004-0000-0000-000081000000}"/>
    <hyperlink ref="M132" r:id="rId131" xr:uid="{00000000-0004-0000-0000-000082000000}"/>
    <hyperlink ref="M133" r:id="rId132" xr:uid="{00000000-0004-0000-0000-000083000000}"/>
    <hyperlink ref="M134" r:id="rId133" xr:uid="{00000000-0004-0000-0000-000084000000}"/>
    <hyperlink ref="M135" r:id="rId134" xr:uid="{00000000-0004-0000-0000-000085000000}"/>
    <hyperlink ref="M136" r:id="rId135" xr:uid="{00000000-0004-0000-0000-000086000000}"/>
    <hyperlink ref="M137" r:id="rId136" xr:uid="{00000000-0004-0000-0000-000087000000}"/>
    <hyperlink ref="M138" r:id="rId137" xr:uid="{00000000-0004-0000-0000-000088000000}"/>
    <hyperlink ref="M139" r:id="rId138" xr:uid="{00000000-0004-0000-0000-000089000000}"/>
    <hyperlink ref="M140" r:id="rId139" xr:uid="{00000000-0004-0000-0000-00008A000000}"/>
    <hyperlink ref="M141" r:id="rId140" xr:uid="{00000000-0004-0000-0000-00008B000000}"/>
    <hyperlink ref="M142" r:id="rId141" xr:uid="{00000000-0004-0000-0000-00008C000000}"/>
    <hyperlink ref="M143" r:id="rId142" xr:uid="{00000000-0004-0000-0000-00008D000000}"/>
    <hyperlink ref="M144" r:id="rId143" xr:uid="{00000000-0004-0000-0000-00008E000000}"/>
    <hyperlink ref="M145" r:id="rId144" xr:uid="{00000000-0004-0000-0000-00008F000000}"/>
    <hyperlink ref="M146" r:id="rId145" xr:uid="{00000000-0004-0000-0000-000090000000}"/>
    <hyperlink ref="M147" r:id="rId146" xr:uid="{00000000-0004-0000-0000-000091000000}"/>
    <hyperlink ref="M148" r:id="rId147" xr:uid="{00000000-0004-0000-0000-000092000000}"/>
    <hyperlink ref="M149" r:id="rId148" xr:uid="{00000000-0004-0000-0000-000093000000}"/>
    <hyperlink ref="M150" r:id="rId149" xr:uid="{00000000-0004-0000-0000-000094000000}"/>
    <hyperlink ref="M151" r:id="rId150" xr:uid="{00000000-0004-0000-0000-000095000000}"/>
    <hyperlink ref="M152" r:id="rId151" xr:uid="{00000000-0004-0000-0000-000096000000}"/>
    <hyperlink ref="M153" r:id="rId152" xr:uid="{00000000-0004-0000-0000-000097000000}"/>
    <hyperlink ref="M154" r:id="rId153" xr:uid="{00000000-0004-0000-0000-000098000000}"/>
    <hyperlink ref="M155" r:id="rId154" xr:uid="{00000000-0004-0000-0000-000099000000}"/>
    <hyperlink ref="M156" r:id="rId155" xr:uid="{00000000-0004-0000-0000-00009A000000}"/>
    <hyperlink ref="M157" r:id="rId156" xr:uid="{00000000-0004-0000-0000-00009B000000}"/>
    <hyperlink ref="M158" r:id="rId157" xr:uid="{00000000-0004-0000-0000-00009C000000}"/>
    <hyperlink ref="M159" r:id="rId158" xr:uid="{00000000-0004-0000-0000-00009D000000}"/>
    <hyperlink ref="M160" r:id="rId159" xr:uid="{00000000-0004-0000-0000-00009E000000}"/>
    <hyperlink ref="M161" r:id="rId160" xr:uid="{00000000-0004-0000-0000-00009F000000}"/>
    <hyperlink ref="M162" r:id="rId161" xr:uid="{00000000-0004-0000-0000-0000A0000000}"/>
    <hyperlink ref="M163" r:id="rId162" xr:uid="{00000000-0004-0000-0000-0000A1000000}"/>
    <hyperlink ref="M164" r:id="rId163" xr:uid="{00000000-0004-0000-0000-0000A2000000}"/>
    <hyperlink ref="M165" r:id="rId164" xr:uid="{00000000-0004-0000-0000-0000A3000000}"/>
    <hyperlink ref="M166" r:id="rId165" xr:uid="{00000000-0004-0000-0000-0000A4000000}"/>
    <hyperlink ref="M167" r:id="rId166" xr:uid="{00000000-0004-0000-0000-0000A5000000}"/>
    <hyperlink ref="M168" r:id="rId167" xr:uid="{00000000-0004-0000-0000-0000A6000000}"/>
    <hyperlink ref="M169" r:id="rId168" xr:uid="{00000000-0004-0000-0000-0000A7000000}"/>
    <hyperlink ref="M170" r:id="rId169" xr:uid="{00000000-0004-0000-0000-0000A8000000}"/>
    <hyperlink ref="M171" r:id="rId170" xr:uid="{00000000-0004-0000-0000-0000A9000000}"/>
    <hyperlink ref="M172" r:id="rId171" xr:uid="{00000000-0004-0000-0000-0000AA000000}"/>
    <hyperlink ref="M173" r:id="rId172" xr:uid="{00000000-0004-0000-0000-0000AB000000}"/>
    <hyperlink ref="M174" r:id="rId173" xr:uid="{00000000-0004-0000-0000-0000AC000000}"/>
    <hyperlink ref="M175" r:id="rId174" xr:uid="{00000000-0004-0000-0000-0000AD000000}"/>
    <hyperlink ref="M176" r:id="rId175" xr:uid="{00000000-0004-0000-0000-0000AE000000}"/>
    <hyperlink ref="M177" r:id="rId176" xr:uid="{00000000-0004-0000-0000-0000AF000000}"/>
    <hyperlink ref="M178" r:id="rId177" xr:uid="{00000000-0004-0000-0000-0000B0000000}"/>
    <hyperlink ref="M179" r:id="rId178" xr:uid="{00000000-0004-0000-0000-0000B1000000}"/>
    <hyperlink ref="M180" r:id="rId179" xr:uid="{00000000-0004-0000-0000-0000B2000000}"/>
    <hyperlink ref="M181" r:id="rId180" xr:uid="{00000000-0004-0000-0000-0000B3000000}"/>
    <hyperlink ref="M182" r:id="rId181" xr:uid="{00000000-0004-0000-0000-0000B4000000}"/>
    <hyperlink ref="M183" r:id="rId182" xr:uid="{00000000-0004-0000-0000-0000B5000000}"/>
    <hyperlink ref="M184" r:id="rId183" xr:uid="{00000000-0004-0000-0000-0000B6000000}"/>
    <hyperlink ref="M185" r:id="rId184" xr:uid="{00000000-0004-0000-0000-0000B7000000}"/>
    <hyperlink ref="M186" r:id="rId185" xr:uid="{00000000-0004-0000-0000-0000B8000000}"/>
    <hyperlink ref="M187" r:id="rId186" xr:uid="{00000000-0004-0000-0000-0000B9000000}"/>
    <hyperlink ref="M188" r:id="rId187" xr:uid="{00000000-0004-0000-0000-0000BA000000}"/>
    <hyperlink ref="M189" r:id="rId188" xr:uid="{00000000-0004-0000-0000-0000BB000000}"/>
    <hyperlink ref="M190" r:id="rId189" xr:uid="{00000000-0004-0000-0000-0000BC000000}"/>
    <hyperlink ref="M191" r:id="rId190" xr:uid="{00000000-0004-0000-0000-0000BD000000}"/>
    <hyperlink ref="M192" r:id="rId191" xr:uid="{00000000-0004-0000-0000-0000BE000000}"/>
    <hyperlink ref="M193" r:id="rId192" xr:uid="{00000000-0004-0000-0000-0000BF000000}"/>
    <hyperlink ref="M194" r:id="rId193" xr:uid="{00000000-0004-0000-0000-0000C0000000}"/>
    <hyperlink ref="M195" r:id="rId194" xr:uid="{00000000-0004-0000-0000-0000C1000000}"/>
    <hyperlink ref="M196" r:id="rId195" xr:uid="{00000000-0004-0000-0000-0000C2000000}"/>
    <hyperlink ref="M197" r:id="rId196" xr:uid="{00000000-0004-0000-0000-0000C3000000}"/>
    <hyperlink ref="M198" r:id="rId197" xr:uid="{00000000-0004-0000-0000-0000C4000000}"/>
    <hyperlink ref="M199" r:id="rId198" xr:uid="{00000000-0004-0000-0000-0000C5000000}"/>
    <hyperlink ref="M200" r:id="rId199" xr:uid="{00000000-0004-0000-0000-0000C6000000}"/>
    <hyperlink ref="M201" r:id="rId200" xr:uid="{00000000-0004-0000-0000-0000C7000000}"/>
    <hyperlink ref="M202" r:id="rId201" xr:uid="{00000000-0004-0000-0000-0000C8000000}"/>
    <hyperlink ref="M203" r:id="rId202" xr:uid="{00000000-0004-0000-0000-0000C9000000}"/>
    <hyperlink ref="M204" r:id="rId203" xr:uid="{00000000-0004-0000-0000-0000CA000000}"/>
    <hyperlink ref="M205" r:id="rId204" xr:uid="{00000000-0004-0000-0000-0000CB000000}"/>
    <hyperlink ref="M206" r:id="rId205" xr:uid="{00000000-0004-0000-0000-0000CC000000}"/>
    <hyperlink ref="M207" r:id="rId206" xr:uid="{00000000-0004-0000-0000-0000CD000000}"/>
    <hyperlink ref="M208" r:id="rId207" xr:uid="{00000000-0004-0000-0000-0000CE000000}"/>
    <hyperlink ref="M209" r:id="rId208" xr:uid="{00000000-0004-0000-0000-0000CF000000}"/>
    <hyperlink ref="M210" r:id="rId209" xr:uid="{00000000-0004-0000-0000-0000D0000000}"/>
    <hyperlink ref="M211" r:id="rId210" xr:uid="{00000000-0004-0000-0000-0000D1000000}"/>
    <hyperlink ref="M212" r:id="rId211" xr:uid="{00000000-0004-0000-0000-0000D2000000}"/>
    <hyperlink ref="M213" r:id="rId212" xr:uid="{00000000-0004-0000-0000-0000D3000000}"/>
    <hyperlink ref="M214" r:id="rId213" xr:uid="{00000000-0004-0000-0000-0000D4000000}"/>
    <hyperlink ref="M215" r:id="rId214" xr:uid="{00000000-0004-0000-0000-0000D5000000}"/>
    <hyperlink ref="M216" r:id="rId215" xr:uid="{00000000-0004-0000-0000-0000D6000000}"/>
    <hyperlink ref="M217" r:id="rId216" xr:uid="{00000000-0004-0000-0000-0000D7000000}"/>
    <hyperlink ref="M218" r:id="rId217" xr:uid="{00000000-0004-0000-0000-0000D8000000}"/>
    <hyperlink ref="M219" r:id="rId218" xr:uid="{00000000-0004-0000-0000-0000D9000000}"/>
    <hyperlink ref="M220" r:id="rId219" xr:uid="{00000000-0004-0000-0000-0000DA000000}"/>
    <hyperlink ref="M221" r:id="rId220" xr:uid="{00000000-0004-0000-0000-0000DB000000}"/>
    <hyperlink ref="M222" r:id="rId221" xr:uid="{00000000-0004-0000-0000-0000DC000000}"/>
    <hyperlink ref="M223" r:id="rId222" xr:uid="{00000000-0004-0000-0000-0000DD000000}"/>
    <hyperlink ref="M224" r:id="rId223" xr:uid="{00000000-0004-0000-0000-0000DE000000}"/>
    <hyperlink ref="M225" r:id="rId224" xr:uid="{00000000-0004-0000-0000-0000DF000000}"/>
    <hyperlink ref="M226" r:id="rId225" xr:uid="{00000000-0004-0000-0000-0000E0000000}"/>
    <hyperlink ref="M227" r:id="rId226" xr:uid="{00000000-0004-0000-0000-0000E1000000}"/>
    <hyperlink ref="M228" r:id="rId227" xr:uid="{00000000-0004-0000-0000-0000E2000000}"/>
    <hyperlink ref="M229" r:id="rId228" xr:uid="{00000000-0004-0000-0000-0000E3000000}"/>
    <hyperlink ref="M230" r:id="rId229" xr:uid="{00000000-0004-0000-0000-0000E4000000}"/>
    <hyperlink ref="M231" r:id="rId230" xr:uid="{00000000-0004-0000-0000-0000E5000000}"/>
    <hyperlink ref="M232" r:id="rId231" xr:uid="{00000000-0004-0000-0000-0000E6000000}"/>
    <hyperlink ref="M233" r:id="rId232" xr:uid="{00000000-0004-0000-0000-0000E7000000}"/>
    <hyperlink ref="M234" r:id="rId233" xr:uid="{00000000-0004-0000-0000-0000E8000000}"/>
    <hyperlink ref="M235" r:id="rId234" xr:uid="{00000000-0004-0000-0000-0000E9000000}"/>
    <hyperlink ref="M236" r:id="rId235" xr:uid="{00000000-0004-0000-0000-0000EA000000}"/>
    <hyperlink ref="M237" r:id="rId236" xr:uid="{00000000-0004-0000-0000-0000EB000000}"/>
    <hyperlink ref="M238" r:id="rId237" xr:uid="{00000000-0004-0000-0000-0000EC000000}"/>
    <hyperlink ref="M239" r:id="rId238" xr:uid="{00000000-0004-0000-0000-0000ED000000}"/>
    <hyperlink ref="M240" r:id="rId239" xr:uid="{00000000-0004-0000-0000-0000EE000000}"/>
    <hyperlink ref="M241" r:id="rId240" xr:uid="{00000000-0004-0000-0000-0000EF000000}"/>
    <hyperlink ref="M242" r:id="rId241" xr:uid="{00000000-0004-0000-0000-0000F0000000}"/>
    <hyperlink ref="M243" r:id="rId242" xr:uid="{00000000-0004-0000-0000-0000F1000000}"/>
    <hyperlink ref="M244" r:id="rId243" xr:uid="{00000000-0004-0000-0000-0000F2000000}"/>
    <hyperlink ref="M245" r:id="rId244" xr:uid="{00000000-0004-0000-0000-0000F3000000}"/>
    <hyperlink ref="M246" r:id="rId245" xr:uid="{00000000-0004-0000-0000-0000F4000000}"/>
    <hyperlink ref="M247" r:id="rId246" xr:uid="{00000000-0004-0000-0000-0000F5000000}"/>
    <hyperlink ref="M248" r:id="rId247" xr:uid="{00000000-0004-0000-0000-0000F6000000}"/>
    <hyperlink ref="M249" r:id="rId248" xr:uid="{00000000-0004-0000-0000-0000F7000000}"/>
    <hyperlink ref="M250" r:id="rId249" xr:uid="{00000000-0004-0000-0000-0000F8000000}"/>
    <hyperlink ref="M251" r:id="rId250" xr:uid="{00000000-0004-0000-0000-0000F9000000}"/>
    <hyperlink ref="M252" r:id="rId251" xr:uid="{00000000-0004-0000-0000-0000FA000000}"/>
    <hyperlink ref="M253" r:id="rId252" xr:uid="{00000000-0004-0000-0000-0000FB000000}"/>
    <hyperlink ref="M254" r:id="rId253" xr:uid="{00000000-0004-0000-0000-0000FC000000}"/>
    <hyperlink ref="M255" r:id="rId254" xr:uid="{00000000-0004-0000-0000-0000FD000000}"/>
    <hyperlink ref="M256" r:id="rId255" xr:uid="{00000000-0004-0000-0000-0000FE000000}"/>
    <hyperlink ref="M257" r:id="rId256" xr:uid="{00000000-0004-0000-0000-0000FF000000}"/>
    <hyperlink ref="M258" r:id="rId257" xr:uid="{00000000-0004-0000-0000-000000010000}"/>
    <hyperlink ref="M259" r:id="rId258" xr:uid="{00000000-0004-0000-0000-000001010000}"/>
    <hyperlink ref="M260" r:id="rId259" xr:uid="{00000000-0004-0000-0000-000002010000}"/>
    <hyperlink ref="M261" r:id="rId260" xr:uid="{00000000-0004-0000-0000-000003010000}"/>
    <hyperlink ref="M262" r:id="rId261" xr:uid="{00000000-0004-0000-0000-000004010000}"/>
    <hyperlink ref="M263" r:id="rId262" xr:uid="{00000000-0004-0000-0000-000005010000}"/>
    <hyperlink ref="M264" r:id="rId263" xr:uid="{00000000-0004-0000-0000-000006010000}"/>
    <hyperlink ref="M265" r:id="rId264" xr:uid="{00000000-0004-0000-0000-000007010000}"/>
    <hyperlink ref="M266" r:id="rId265" xr:uid="{00000000-0004-0000-0000-000008010000}"/>
    <hyperlink ref="M267" r:id="rId266" xr:uid="{00000000-0004-0000-0000-000009010000}"/>
    <hyperlink ref="M268" r:id="rId267" xr:uid="{00000000-0004-0000-0000-00000A010000}"/>
    <hyperlink ref="M269" r:id="rId268" xr:uid="{00000000-0004-0000-0000-00000B010000}"/>
    <hyperlink ref="M270" r:id="rId269" xr:uid="{00000000-0004-0000-0000-00000C010000}"/>
    <hyperlink ref="M271" r:id="rId270" xr:uid="{00000000-0004-0000-0000-00000D010000}"/>
    <hyperlink ref="M272" r:id="rId271" xr:uid="{00000000-0004-0000-0000-00000E010000}"/>
    <hyperlink ref="M273" r:id="rId272" xr:uid="{00000000-0004-0000-0000-00000F010000}"/>
    <hyperlink ref="M274" r:id="rId273" xr:uid="{00000000-0004-0000-0000-000010010000}"/>
    <hyperlink ref="M275" r:id="rId274" xr:uid="{00000000-0004-0000-0000-000011010000}"/>
    <hyperlink ref="M276" r:id="rId275" xr:uid="{00000000-0004-0000-0000-000012010000}"/>
    <hyperlink ref="M277" r:id="rId276" xr:uid="{00000000-0004-0000-0000-000013010000}"/>
    <hyperlink ref="M278" r:id="rId277" xr:uid="{00000000-0004-0000-0000-000014010000}"/>
    <hyperlink ref="M279" r:id="rId278" xr:uid="{00000000-0004-0000-0000-000015010000}"/>
    <hyperlink ref="M280" r:id="rId279" xr:uid="{00000000-0004-0000-0000-000016010000}"/>
    <hyperlink ref="M281" r:id="rId280" xr:uid="{00000000-0004-0000-0000-000017010000}"/>
    <hyperlink ref="M282" r:id="rId281" xr:uid="{00000000-0004-0000-0000-000018010000}"/>
    <hyperlink ref="M283" r:id="rId282" xr:uid="{00000000-0004-0000-0000-000019010000}"/>
    <hyperlink ref="M284" r:id="rId283" xr:uid="{00000000-0004-0000-0000-00001A010000}"/>
    <hyperlink ref="M285" r:id="rId284" xr:uid="{00000000-0004-0000-0000-00001B010000}"/>
    <hyperlink ref="M286" r:id="rId285" xr:uid="{00000000-0004-0000-0000-00001C010000}"/>
    <hyperlink ref="M287" r:id="rId286" xr:uid="{00000000-0004-0000-0000-00001D010000}"/>
    <hyperlink ref="M288" r:id="rId287" xr:uid="{00000000-0004-0000-0000-00001E010000}"/>
    <hyperlink ref="M289" r:id="rId288" xr:uid="{00000000-0004-0000-0000-00001F010000}"/>
    <hyperlink ref="M290" r:id="rId289" xr:uid="{00000000-0004-0000-0000-000020010000}"/>
    <hyperlink ref="M291" r:id="rId290" xr:uid="{00000000-0004-0000-0000-000021010000}"/>
    <hyperlink ref="M292" r:id="rId291" xr:uid="{00000000-0004-0000-0000-000022010000}"/>
    <hyperlink ref="M293" r:id="rId292" xr:uid="{00000000-0004-0000-0000-000023010000}"/>
    <hyperlink ref="M294" r:id="rId293" xr:uid="{00000000-0004-0000-0000-000024010000}"/>
    <hyperlink ref="M295" r:id="rId294" xr:uid="{00000000-0004-0000-0000-000025010000}"/>
    <hyperlink ref="M296" r:id="rId295" xr:uid="{00000000-0004-0000-0000-000026010000}"/>
    <hyperlink ref="M297" r:id="rId296" xr:uid="{00000000-0004-0000-0000-000027010000}"/>
    <hyperlink ref="M298" r:id="rId297" xr:uid="{00000000-0004-0000-0000-000028010000}"/>
    <hyperlink ref="M299" r:id="rId298" xr:uid="{00000000-0004-0000-0000-000029010000}"/>
    <hyperlink ref="M300" r:id="rId299" xr:uid="{00000000-0004-0000-0000-00002A010000}"/>
    <hyperlink ref="M301" r:id="rId300" xr:uid="{00000000-0004-0000-0000-00002B010000}"/>
    <hyperlink ref="M302" r:id="rId301" xr:uid="{00000000-0004-0000-0000-00002C010000}"/>
    <hyperlink ref="M303" r:id="rId302" xr:uid="{00000000-0004-0000-0000-00002D010000}"/>
    <hyperlink ref="M304" r:id="rId303" xr:uid="{00000000-0004-0000-0000-00002E010000}"/>
    <hyperlink ref="M305" r:id="rId304" xr:uid="{00000000-0004-0000-0000-00002F010000}"/>
    <hyperlink ref="M306" r:id="rId305" xr:uid="{00000000-0004-0000-0000-000030010000}"/>
    <hyperlink ref="M307" r:id="rId306" xr:uid="{00000000-0004-0000-0000-000031010000}"/>
    <hyperlink ref="M308" r:id="rId307" xr:uid="{00000000-0004-0000-0000-000032010000}"/>
    <hyperlink ref="M309" r:id="rId308" xr:uid="{00000000-0004-0000-0000-000033010000}"/>
    <hyperlink ref="M310" r:id="rId309" xr:uid="{00000000-0004-0000-0000-000034010000}"/>
    <hyperlink ref="M311" r:id="rId310" xr:uid="{00000000-0004-0000-0000-000035010000}"/>
    <hyperlink ref="M312" r:id="rId311" xr:uid="{00000000-0004-0000-0000-000036010000}"/>
    <hyperlink ref="M313" r:id="rId312" xr:uid="{00000000-0004-0000-0000-000037010000}"/>
    <hyperlink ref="M314" r:id="rId313" xr:uid="{00000000-0004-0000-0000-000038010000}"/>
    <hyperlink ref="M315" r:id="rId314" xr:uid="{00000000-0004-0000-0000-000039010000}"/>
    <hyperlink ref="M316" r:id="rId315" xr:uid="{00000000-0004-0000-0000-00003A010000}"/>
    <hyperlink ref="M317" r:id="rId316" xr:uid="{00000000-0004-0000-0000-00003B010000}"/>
    <hyperlink ref="M318" r:id="rId317" xr:uid="{00000000-0004-0000-0000-00003C010000}"/>
    <hyperlink ref="M319" r:id="rId318" xr:uid="{00000000-0004-0000-0000-00003D010000}"/>
    <hyperlink ref="M320" r:id="rId319" xr:uid="{00000000-0004-0000-0000-00003E010000}"/>
    <hyperlink ref="M321" r:id="rId320" xr:uid="{00000000-0004-0000-0000-00003F010000}"/>
    <hyperlink ref="M322" r:id="rId321" xr:uid="{00000000-0004-0000-0000-000040010000}"/>
    <hyperlink ref="M323" r:id="rId322" xr:uid="{00000000-0004-0000-0000-000041010000}"/>
    <hyperlink ref="M324" r:id="rId323" xr:uid="{00000000-0004-0000-0000-000042010000}"/>
    <hyperlink ref="M325" r:id="rId324" xr:uid="{00000000-0004-0000-0000-000043010000}"/>
    <hyperlink ref="M326" r:id="rId325" xr:uid="{00000000-0004-0000-0000-000044010000}"/>
    <hyperlink ref="M327" r:id="rId326" xr:uid="{00000000-0004-0000-0000-000045010000}"/>
    <hyperlink ref="M328" r:id="rId327" xr:uid="{00000000-0004-0000-0000-000046010000}"/>
    <hyperlink ref="M329" r:id="rId328" xr:uid="{00000000-0004-0000-0000-000047010000}"/>
    <hyperlink ref="M330" r:id="rId329" xr:uid="{00000000-0004-0000-0000-000048010000}"/>
    <hyperlink ref="M331" r:id="rId330" xr:uid="{00000000-0004-0000-0000-000049010000}"/>
    <hyperlink ref="M332" r:id="rId331" xr:uid="{00000000-0004-0000-0000-00004A010000}"/>
    <hyperlink ref="M333" r:id="rId332" xr:uid="{00000000-0004-0000-0000-00004B010000}"/>
    <hyperlink ref="M334" r:id="rId333" xr:uid="{00000000-0004-0000-0000-00004C010000}"/>
    <hyperlink ref="M335" r:id="rId334" xr:uid="{00000000-0004-0000-0000-00004D010000}"/>
    <hyperlink ref="M336" r:id="rId335" xr:uid="{00000000-0004-0000-0000-00004E010000}"/>
    <hyperlink ref="M337" r:id="rId336" xr:uid="{00000000-0004-0000-0000-00004F010000}"/>
    <hyperlink ref="M338" r:id="rId337" xr:uid="{00000000-0004-0000-0000-000050010000}"/>
    <hyperlink ref="M339" r:id="rId338" xr:uid="{00000000-0004-0000-0000-000051010000}"/>
    <hyperlink ref="M340" r:id="rId339" xr:uid="{00000000-0004-0000-0000-000052010000}"/>
    <hyperlink ref="M341" r:id="rId340" xr:uid="{00000000-0004-0000-0000-000053010000}"/>
    <hyperlink ref="M342" r:id="rId341" xr:uid="{00000000-0004-0000-0000-000054010000}"/>
    <hyperlink ref="M343" r:id="rId342" xr:uid="{00000000-0004-0000-0000-000055010000}"/>
    <hyperlink ref="M344" r:id="rId343" xr:uid="{00000000-0004-0000-0000-000056010000}"/>
    <hyperlink ref="M345" r:id="rId344" xr:uid="{00000000-0004-0000-0000-000057010000}"/>
    <hyperlink ref="M346" r:id="rId345" xr:uid="{00000000-0004-0000-0000-000058010000}"/>
    <hyperlink ref="M347" r:id="rId346" xr:uid="{00000000-0004-0000-0000-000059010000}"/>
    <hyperlink ref="M348" r:id="rId347" xr:uid="{00000000-0004-0000-0000-00005A010000}"/>
    <hyperlink ref="M349" r:id="rId348" xr:uid="{00000000-0004-0000-0000-00005B010000}"/>
    <hyperlink ref="M350" r:id="rId349" xr:uid="{00000000-0004-0000-0000-00005C010000}"/>
    <hyperlink ref="M351" r:id="rId350" xr:uid="{00000000-0004-0000-0000-00005D010000}"/>
    <hyperlink ref="M352" r:id="rId351" xr:uid="{00000000-0004-0000-0000-00005E010000}"/>
    <hyperlink ref="M353" r:id="rId352" xr:uid="{00000000-0004-0000-0000-00005F010000}"/>
    <hyperlink ref="M354" r:id="rId353" xr:uid="{00000000-0004-0000-0000-000060010000}"/>
    <hyperlink ref="M355" r:id="rId354" xr:uid="{00000000-0004-0000-0000-000061010000}"/>
    <hyperlink ref="M356" r:id="rId355" xr:uid="{00000000-0004-0000-0000-000062010000}"/>
    <hyperlink ref="M357" r:id="rId356" xr:uid="{00000000-0004-0000-0000-000063010000}"/>
    <hyperlink ref="M358" r:id="rId357" xr:uid="{00000000-0004-0000-0000-000064010000}"/>
    <hyperlink ref="M359" r:id="rId358" xr:uid="{00000000-0004-0000-0000-000065010000}"/>
    <hyperlink ref="M360" r:id="rId359" xr:uid="{00000000-0004-0000-0000-000066010000}"/>
    <hyperlink ref="M361" r:id="rId360" xr:uid="{00000000-0004-0000-0000-000067010000}"/>
    <hyperlink ref="M362" r:id="rId361" xr:uid="{00000000-0004-0000-0000-000068010000}"/>
    <hyperlink ref="M363" r:id="rId362" xr:uid="{00000000-0004-0000-0000-000069010000}"/>
    <hyperlink ref="M364" r:id="rId363" xr:uid="{00000000-0004-0000-0000-00006A010000}"/>
    <hyperlink ref="M365" r:id="rId364" xr:uid="{00000000-0004-0000-0000-00006B010000}"/>
    <hyperlink ref="M366" r:id="rId365" xr:uid="{00000000-0004-0000-0000-00006C010000}"/>
    <hyperlink ref="M367" r:id="rId366" xr:uid="{00000000-0004-0000-0000-00006D010000}"/>
    <hyperlink ref="M368" r:id="rId367" xr:uid="{00000000-0004-0000-0000-00006E010000}"/>
    <hyperlink ref="M369" r:id="rId368" xr:uid="{00000000-0004-0000-0000-00006F010000}"/>
    <hyperlink ref="M370" r:id="rId369" xr:uid="{00000000-0004-0000-0000-000070010000}"/>
    <hyperlink ref="M371" r:id="rId370" xr:uid="{00000000-0004-0000-0000-000071010000}"/>
    <hyperlink ref="M372" r:id="rId371" xr:uid="{00000000-0004-0000-0000-000072010000}"/>
    <hyperlink ref="M373" r:id="rId372" xr:uid="{00000000-0004-0000-0000-000073010000}"/>
    <hyperlink ref="M374" r:id="rId373" xr:uid="{00000000-0004-0000-0000-000074010000}"/>
    <hyperlink ref="M375" r:id="rId374" xr:uid="{00000000-0004-0000-0000-000075010000}"/>
    <hyperlink ref="M376" r:id="rId375" xr:uid="{00000000-0004-0000-0000-000076010000}"/>
    <hyperlink ref="M377" r:id="rId376" xr:uid="{00000000-0004-0000-0000-000077010000}"/>
    <hyperlink ref="M378" r:id="rId377" xr:uid="{00000000-0004-0000-0000-000078010000}"/>
    <hyperlink ref="M379" r:id="rId378" xr:uid="{00000000-0004-0000-0000-000079010000}"/>
    <hyperlink ref="M380" r:id="rId379" xr:uid="{00000000-0004-0000-0000-00007A010000}"/>
    <hyperlink ref="M381" r:id="rId380" xr:uid="{00000000-0004-0000-0000-00007B010000}"/>
    <hyperlink ref="M382" r:id="rId381" xr:uid="{00000000-0004-0000-0000-00007C010000}"/>
    <hyperlink ref="M383" r:id="rId382" xr:uid="{00000000-0004-0000-0000-00007D010000}"/>
    <hyperlink ref="M384" r:id="rId383" xr:uid="{00000000-0004-0000-0000-00007E010000}"/>
    <hyperlink ref="M385" r:id="rId384" xr:uid="{00000000-0004-0000-0000-00007F010000}"/>
    <hyperlink ref="M386" r:id="rId385" xr:uid="{00000000-0004-0000-0000-000080010000}"/>
    <hyperlink ref="M387" r:id="rId386" xr:uid="{00000000-0004-0000-0000-000081010000}"/>
    <hyperlink ref="M388" r:id="rId387" xr:uid="{00000000-0004-0000-0000-000082010000}"/>
    <hyperlink ref="M389" r:id="rId388" xr:uid="{00000000-0004-0000-0000-000083010000}"/>
    <hyperlink ref="M390" r:id="rId389" xr:uid="{00000000-0004-0000-0000-000084010000}"/>
    <hyperlink ref="M391" r:id="rId390" xr:uid="{00000000-0004-0000-0000-000085010000}"/>
    <hyperlink ref="M392" r:id="rId391" xr:uid="{00000000-0004-0000-0000-000086010000}"/>
    <hyperlink ref="M393" r:id="rId392" xr:uid="{00000000-0004-0000-0000-000087010000}"/>
    <hyperlink ref="M394" r:id="rId393" xr:uid="{00000000-0004-0000-0000-000088010000}"/>
    <hyperlink ref="M395" r:id="rId394" xr:uid="{00000000-0004-0000-0000-000089010000}"/>
    <hyperlink ref="M396" r:id="rId395" xr:uid="{00000000-0004-0000-0000-00008A010000}"/>
    <hyperlink ref="M397" r:id="rId396" xr:uid="{00000000-0004-0000-0000-00008B010000}"/>
    <hyperlink ref="M398" r:id="rId397" xr:uid="{00000000-0004-0000-0000-00008C010000}"/>
    <hyperlink ref="M399" r:id="rId398" xr:uid="{00000000-0004-0000-0000-00008D010000}"/>
    <hyperlink ref="M400" r:id="rId399" xr:uid="{00000000-0004-0000-0000-00008E010000}"/>
    <hyperlink ref="M401" r:id="rId400" xr:uid="{00000000-0004-0000-0000-00008F010000}"/>
    <hyperlink ref="M402" r:id="rId401" xr:uid="{00000000-0004-0000-0000-000090010000}"/>
    <hyperlink ref="M403" r:id="rId402" xr:uid="{00000000-0004-0000-0000-000091010000}"/>
    <hyperlink ref="M404" r:id="rId403" xr:uid="{00000000-0004-0000-0000-000092010000}"/>
    <hyperlink ref="M405" r:id="rId404" xr:uid="{00000000-0004-0000-0000-000093010000}"/>
    <hyperlink ref="M406" r:id="rId405" xr:uid="{00000000-0004-0000-0000-000094010000}"/>
    <hyperlink ref="M407" r:id="rId406" xr:uid="{00000000-0004-0000-0000-000095010000}"/>
    <hyperlink ref="M408" r:id="rId407" xr:uid="{00000000-0004-0000-0000-000096010000}"/>
    <hyperlink ref="M409" r:id="rId408" xr:uid="{00000000-0004-0000-0000-000097010000}"/>
    <hyperlink ref="M410" r:id="rId409" xr:uid="{00000000-0004-0000-0000-000098010000}"/>
    <hyperlink ref="M411" r:id="rId410" xr:uid="{00000000-0004-0000-0000-000099010000}"/>
    <hyperlink ref="M412" r:id="rId411" xr:uid="{00000000-0004-0000-0000-00009A010000}"/>
    <hyperlink ref="M413" r:id="rId412" xr:uid="{00000000-0004-0000-0000-00009B010000}"/>
    <hyperlink ref="M414" r:id="rId413" xr:uid="{00000000-0004-0000-0000-00009C010000}"/>
    <hyperlink ref="M415" r:id="rId414" xr:uid="{00000000-0004-0000-0000-00009D010000}"/>
    <hyperlink ref="M416" r:id="rId415" xr:uid="{00000000-0004-0000-0000-00009E010000}"/>
    <hyperlink ref="M417" r:id="rId416" xr:uid="{00000000-0004-0000-0000-00009F010000}"/>
    <hyperlink ref="M418" r:id="rId417" xr:uid="{00000000-0004-0000-0000-0000A0010000}"/>
    <hyperlink ref="M419" r:id="rId418" xr:uid="{00000000-0004-0000-0000-0000A1010000}"/>
    <hyperlink ref="M420" r:id="rId419" xr:uid="{00000000-0004-0000-0000-0000A2010000}"/>
    <hyperlink ref="M421" r:id="rId420" xr:uid="{00000000-0004-0000-0000-0000A3010000}"/>
    <hyperlink ref="M422" r:id="rId421" xr:uid="{00000000-0004-0000-0000-0000A4010000}"/>
    <hyperlink ref="M423" r:id="rId422" xr:uid="{00000000-0004-0000-0000-0000A5010000}"/>
    <hyperlink ref="M424" r:id="rId423" xr:uid="{00000000-0004-0000-0000-0000A6010000}"/>
    <hyperlink ref="M425" r:id="rId424" xr:uid="{00000000-0004-0000-0000-0000A7010000}"/>
    <hyperlink ref="M426" r:id="rId425" xr:uid="{00000000-0004-0000-0000-0000A8010000}"/>
    <hyperlink ref="M427" r:id="rId426" xr:uid="{00000000-0004-0000-0000-0000A9010000}"/>
    <hyperlink ref="M428" r:id="rId427" xr:uid="{00000000-0004-0000-0000-0000AA010000}"/>
    <hyperlink ref="M429" r:id="rId428" xr:uid="{00000000-0004-0000-0000-0000AB010000}"/>
    <hyperlink ref="M430" r:id="rId429" xr:uid="{00000000-0004-0000-0000-0000AC010000}"/>
    <hyperlink ref="M431" r:id="rId430" xr:uid="{00000000-0004-0000-0000-0000AD010000}"/>
    <hyperlink ref="M432" r:id="rId431" xr:uid="{00000000-0004-0000-0000-0000AE010000}"/>
    <hyperlink ref="M433" r:id="rId432" xr:uid="{00000000-0004-0000-0000-0000AF010000}"/>
    <hyperlink ref="M434" r:id="rId433" xr:uid="{00000000-0004-0000-0000-0000B0010000}"/>
    <hyperlink ref="M435" r:id="rId434" xr:uid="{00000000-0004-0000-0000-0000B1010000}"/>
    <hyperlink ref="M436" r:id="rId435" xr:uid="{00000000-0004-0000-0000-0000B2010000}"/>
    <hyperlink ref="M437" r:id="rId436" xr:uid="{00000000-0004-0000-0000-0000B3010000}"/>
    <hyperlink ref="M438" r:id="rId437" xr:uid="{00000000-0004-0000-0000-0000B4010000}"/>
    <hyperlink ref="M439" r:id="rId438" xr:uid="{00000000-0004-0000-0000-0000B5010000}"/>
    <hyperlink ref="M440" r:id="rId439" xr:uid="{00000000-0004-0000-0000-0000B6010000}"/>
    <hyperlink ref="M441" r:id="rId440" xr:uid="{00000000-0004-0000-0000-0000B7010000}"/>
    <hyperlink ref="M442" r:id="rId441" xr:uid="{00000000-0004-0000-0000-0000B8010000}"/>
    <hyperlink ref="M443" r:id="rId442" xr:uid="{00000000-0004-0000-0000-0000B9010000}"/>
    <hyperlink ref="M444" r:id="rId443" xr:uid="{00000000-0004-0000-0000-0000BA010000}"/>
    <hyperlink ref="M445" r:id="rId444" xr:uid="{00000000-0004-0000-0000-0000BB010000}"/>
    <hyperlink ref="M446" r:id="rId445" xr:uid="{00000000-0004-0000-0000-0000BC010000}"/>
    <hyperlink ref="M447" r:id="rId446" xr:uid="{00000000-0004-0000-0000-0000BD010000}"/>
    <hyperlink ref="M448" r:id="rId447" xr:uid="{00000000-0004-0000-0000-0000BE010000}"/>
    <hyperlink ref="M449" r:id="rId448" xr:uid="{00000000-0004-0000-0000-0000BF010000}"/>
    <hyperlink ref="M450" r:id="rId449" xr:uid="{00000000-0004-0000-0000-0000C0010000}"/>
    <hyperlink ref="M451" r:id="rId450" xr:uid="{00000000-0004-0000-0000-0000C1010000}"/>
    <hyperlink ref="M452" r:id="rId451" xr:uid="{00000000-0004-0000-0000-0000C2010000}"/>
    <hyperlink ref="M453" r:id="rId452" xr:uid="{00000000-0004-0000-0000-0000C3010000}"/>
    <hyperlink ref="M454" r:id="rId453" xr:uid="{00000000-0004-0000-0000-0000C4010000}"/>
    <hyperlink ref="M455" r:id="rId454" xr:uid="{00000000-0004-0000-0000-0000C5010000}"/>
    <hyperlink ref="M456" r:id="rId455" xr:uid="{00000000-0004-0000-0000-0000C6010000}"/>
    <hyperlink ref="M457" r:id="rId456" xr:uid="{00000000-0004-0000-0000-0000C7010000}"/>
    <hyperlink ref="M458" r:id="rId457" xr:uid="{00000000-0004-0000-0000-0000C8010000}"/>
    <hyperlink ref="M459" r:id="rId458" xr:uid="{00000000-0004-0000-0000-0000C9010000}"/>
    <hyperlink ref="M460" r:id="rId459" xr:uid="{00000000-0004-0000-0000-0000CA010000}"/>
    <hyperlink ref="M461" r:id="rId460" xr:uid="{00000000-0004-0000-0000-0000CB010000}"/>
    <hyperlink ref="M462" r:id="rId461" xr:uid="{00000000-0004-0000-0000-0000CC010000}"/>
    <hyperlink ref="M463" r:id="rId462" xr:uid="{00000000-0004-0000-0000-0000CD010000}"/>
    <hyperlink ref="M464" r:id="rId463" xr:uid="{00000000-0004-0000-0000-0000CE010000}"/>
    <hyperlink ref="M465" r:id="rId464" xr:uid="{00000000-0004-0000-0000-0000CF010000}"/>
    <hyperlink ref="M466" r:id="rId465" xr:uid="{00000000-0004-0000-0000-0000D0010000}"/>
    <hyperlink ref="M467" r:id="rId466" xr:uid="{00000000-0004-0000-0000-0000D1010000}"/>
    <hyperlink ref="M468" r:id="rId467" xr:uid="{00000000-0004-0000-0000-0000D2010000}"/>
    <hyperlink ref="M469" r:id="rId468" xr:uid="{00000000-0004-0000-0000-0000D3010000}"/>
    <hyperlink ref="M470" r:id="rId469" xr:uid="{00000000-0004-0000-0000-0000D4010000}"/>
    <hyperlink ref="M471" r:id="rId470" xr:uid="{00000000-0004-0000-0000-0000D5010000}"/>
    <hyperlink ref="M472" r:id="rId471" xr:uid="{00000000-0004-0000-0000-0000D6010000}"/>
    <hyperlink ref="M473" r:id="rId472" xr:uid="{00000000-0004-0000-0000-0000D7010000}"/>
    <hyperlink ref="M474" r:id="rId473" xr:uid="{00000000-0004-0000-0000-0000D8010000}"/>
    <hyperlink ref="M475" r:id="rId474" xr:uid="{00000000-0004-0000-0000-0000D9010000}"/>
    <hyperlink ref="M476" r:id="rId475" xr:uid="{00000000-0004-0000-0000-0000DA010000}"/>
    <hyperlink ref="M477" r:id="rId476" xr:uid="{00000000-0004-0000-0000-0000DB010000}"/>
    <hyperlink ref="M478" r:id="rId477" xr:uid="{00000000-0004-0000-0000-0000DC010000}"/>
    <hyperlink ref="M479" r:id="rId478" xr:uid="{00000000-0004-0000-0000-0000DD010000}"/>
    <hyperlink ref="M480" r:id="rId479" xr:uid="{00000000-0004-0000-0000-0000DE010000}"/>
    <hyperlink ref="M481" r:id="rId480" xr:uid="{00000000-0004-0000-0000-0000DF010000}"/>
    <hyperlink ref="M482" r:id="rId481" xr:uid="{00000000-0004-0000-0000-0000E0010000}"/>
    <hyperlink ref="M483" r:id="rId482" xr:uid="{00000000-0004-0000-0000-0000E1010000}"/>
    <hyperlink ref="M484" r:id="rId483" xr:uid="{00000000-0004-0000-0000-0000E2010000}"/>
    <hyperlink ref="M485" r:id="rId484" xr:uid="{00000000-0004-0000-0000-0000E3010000}"/>
    <hyperlink ref="M486" r:id="rId485" xr:uid="{00000000-0004-0000-0000-0000E4010000}"/>
    <hyperlink ref="M487" r:id="rId486" xr:uid="{00000000-0004-0000-0000-0000E5010000}"/>
    <hyperlink ref="M488" r:id="rId487" xr:uid="{00000000-0004-0000-0000-0000E6010000}"/>
    <hyperlink ref="M489" r:id="rId488" xr:uid="{00000000-0004-0000-0000-0000E7010000}"/>
    <hyperlink ref="M490" r:id="rId489" xr:uid="{00000000-0004-0000-0000-0000E8010000}"/>
    <hyperlink ref="M491" r:id="rId490" xr:uid="{00000000-0004-0000-0000-0000E9010000}"/>
    <hyperlink ref="M492" r:id="rId491" xr:uid="{00000000-0004-0000-0000-0000EA010000}"/>
    <hyperlink ref="M493" r:id="rId492" xr:uid="{00000000-0004-0000-0000-0000EB010000}"/>
    <hyperlink ref="M494" r:id="rId493" xr:uid="{00000000-0004-0000-0000-0000EC010000}"/>
    <hyperlink ref="M495" r:id="rId494" xr:uid="{00000000-0004-0000-0000-0000ED010000}"/>
    <hyperlink ref="M496" r:id="rId495" xr:uid="{00000000-0004-0000-0000-0000EE010000}"/>
    <hyperlink ref="M497" r:id="rId496" xr:uid="{00000000-0004-0000-0000-0000EF010000}"/>
    <hyperlink ref="M498" r:id="rId497" xr:uid="{00000000-0004-0000-0000-0000F0010000}"/>
    <hyperlink ref="M499" r:id="rId498" xr:uid="{00000000-0004-0000-0000-0000F1010000}"/>
    <hyperlink ref="M500" r:id="rId499" xr:uid="{00000000-0004-0000-0000-0000F2010000}"/>
    <hyperlink ref="M501" r:id="rId500" xr:uid="{00000000-0004-0000-0000-0000F3010000}"/>
    <hyperlink ref="M502" r:id="rId501" xr:uid="{00000000-0004-0000-0000-0000F4010000}"/>
    <hyperlink ref="M503" r:id="rId502" xr:uid="{00000000-0004-0000-0000-0000F5010000}"/>
    <hyperlink ref="M504" r:id="rId503" xr:uid="{00000000-0004-0000-0000-0000F6010000}"/>
    <hyperlink ref="M505" r:id="rId504" xr:uid="{00000000-0004-0000-0000-0000F7010000}"/>
    <hyperlink ref="M506" r:id="rId505" xr:uid="{00000000-0004-0000-0000-0000F8010000}"/>
    <hyperlink ref="M507" r:id="rId506" xr:uid="{00000000-0004-0000-0000-0000F9010000}"/>
    <hyperlink ref="M508" r:id="rId507" xr:uid="{00000000-0004-0000-0000-0000FA010000}"/>
    <hyperlink ref="M509" r:id="rId508" xr:uid="{00000000-0004-0000-0000-0000FB010000}"/>
    <hyperlink ref="M510" r:id="rId509" xr:uid="{00000000-0004-0000-0000-0000FC010000}"/>
    <hyperlink ref="M511" r:id="rId510" xr:uid="{00000000-0004-0000-0000-0000FD010000}"/>
    <hyperlink ref="M512" r:id="rId511" xr:uid="{00000000-0004-0000-0000-0000FE010000}"/>
    <hyperlink ref="M513" r:id="rId512" xr:uid="{00000000-0004-0000-0000-0000FF010000}"/>
    <hyperlink ref="M514" r:id="rId513" xr:uid="{00000000-0004-0000-0000-000000020000}"/>
    <hyperlink ref="M515" r:id="rId514" xr:uid="{00000000-0004-0000-0000-000001020000}"/>
    <hyperlink ref="M516" r:id="rId515" xr:uid="{00000000-0004-0000-0000-000002020000}"/>
    <hyperlink ref="M517" r:id="rId516" xr:uid="{00000000-0004-0000-0000-000003020000}"/>
    <hyperlink ref="M518" r:id="rId517" xr:uid="{00000000-0004-0000-0000-000004020000}"/>
    <hyperlink ref="M519" r:id="rId518" xr:uid="{00000000-0004-0000-0000-000005020000}"/>
    <hyperlink ref="M520" r:id="rId519" xr:uid="{00000000-0004-0000-0000-000006020000}"/>
    <hyperlink ref="M521" r:id="rId520" xr:uid="{00000000-0004-0000-0000-000007020000}"/>
    <hyperlink ref="M522" r:id="rId521" xr:uid="{00000000-0004-0000-0000-000008020000}"/>
    <hyperlink ref="M523" r:id="rId522" xr:uid="{00000000-0004-0000-0000-000009020000}"/>
    <hyperlink ref="M524" r:id="rId523" xr:uid="{00000000-0004-0000-0000-00000A020000}"/>
    <hyperlink ref="M525" r:id="rId524" xr:uid="{00000000-0004-0000-0000-00000B020000}"/>
    <hyperlink ref="M526" r:id="rId525" xr:uid="{00000000-0004-0000-0000-00000C020000}"/>
    <hyperlink ref="M527" r:id="rId526" xr:uid="{00000000-0004-0000-0000-00000D020000}"/>
    <hyperlink ref="M528" r:id="rId527" xr:uid="{00000000-0004-0000-0000-00000E020000}"/>
    <hyperlink ref="M529" r:id="rId528" xr:uid="{00000000-0004-0000-0000-00000F020000}"/>
    <hyperlink ref="M530" r:id="rId529" xr:uid="{00000000-0004-0000-0000-000010020000}"/>
    <hyperlink ref="M531" r:id="rId530" xr:uid="{00000000-0004-0000-0000-000011020000}"/>
    <hyperlink ref="M532" r:id="rId531" xr:uid="{00000000-0004-0000-0000-000012020000}"/>
    <hyperlink ref="M533" r:id="rId532" xr:uid="{00000000-0004-0000-0000-000013020000}"/>
    <hyperlink ref="M534" r:id="rId533" xr:uid="{00000000-0004-0000-0000-000014020000}"/>
    <hyperlink ref="M535" r:id="rId534" xr:uid="{00000000-0004-0000-0000-000015020000}"/>
    <hyperlink ref="M536" r:id="rId535" xr:uid="{00000000-0004-0000-0000-000016020000}"/>
    <hyperlink ref="M537" r:id="rId536" xr:uid="{00000000-0004-0000-0000-000017020000}"/>
    <hyperlink ref="M538" r:id="rId537" xr:uid="{00000000-0004-0000-0000-000018020000}"/>
    <hyperlink ref="M539" r:id="rId538" xr:uid="{00000000-0004-0000-0000-000019020000}"/>
    <hyperlink ref="M540" r:id="rId539" xr:uid="{00000000-0004-0000-0000-00001A020000}"/>
    <hyperlink ref="M541" r:id="rId540" xr:uid="{00000000-0004-0000-0000-00001B020000}"/>
    <hyperlink ref="M542" r:id="rId541" xr:uid="{00000000-0004-0000-0000-00001C020000}"/>
    <hyperlink ref="M543" r:id="rId542" xr:uid="{00000000-0004-0000-0000-00001D020000}"/>
    <hyperlink ref="M544" r:id="rId543" xr:uid="{00000000-0004-0000-0000-00001E020000}"/>
    <hyperlink ref="M545" r:id="rId544" xr:uid="{00000000-0004-0000-0000-00001F020000}"/>
    <hyperlink ref="M546" r:id="rId545" xr:uid="{00000000-0004-0000-0000-000020020000}"/>
    <hyperlink ref="M547" r:id="rId546" xr:uid="{00000000-0004-0000-0000-000021020000}"/>
    <hyperlink ref="M548" r:id="rId547" xr:uid="{00000000-0004-0000-0000-000022020000}"/>
    <hyperlink ref="M549" r:id="rId548" xr:uid="{00000000-0004-0000-0000-000023020000}"/>
    <hyperlink ref="M550" r:id="rId549" xr:uid="{00000000-0004-0000-0000-000024020000}"/>
    <hyperlink ref="M551" r:id="rId550" xr:uid="{00000000-0004-0000-0000-000025020000}"/>
    <hyperlink ref="M552" r:id="rId551" xr:uid="{00000000-0004-0000-0000-000026020000}"/>
    <hyperlink ref="M553" r:id="rId552" xr:uid="{00000000-0004-0000-0000-000027020000}"/>
    <hyperlink ref="M554" r:id="rId553" xr:uid="{00000000-0004-0000-0000-000028020000}"/>
    <hyperlink ref="M555" r:id="rId554" xr:uid="{00000000-0004-0000-0000-000029020000}"/>
    <hyperlink ref="M556" r:id="rId555" xr:uid="{00000000-0004-0000-0000-00002A020000}"/>
    <hyperlink ref="M557" r:id="rId556" xr:uid="{00000000-0004-0000-0000-00002B020000}"/>
    <hyperlink ref="M558" r:id="rId557" xr:uid="{00000000-0004-0000-0000-00002C020000}"/>
    <hyperlink ref="M559" r:id="rId558" xr:uid="{00000000-0004-0000-0000-00002D020000}"/>
    <hyperlink ref="M560" r:id="rId559" xr:uid="{00000000-0004-0000-0000-00002E020000}"/>
    <hyperlink ref="M561" r:id="rId560" xr:uid="{00000000-0004-0000-0000-00002F020000}"/>
    <hyperlink ref="M562" r:id="rId561" xr:uid="{00000000-0004-0000-0000-000030020000}"/>
    <hyperlink ref="M563" r:id="rId562" xr:uid="{00000000-0004-0000-0000-000031020000}"/>
    <hyperlink ref="M564" r:id="rId563" xr:uid="{00000000-0004-0000-0000-000032020000}"/>
    <hyperlink ref="L565" r:id="rId564" xr:uid="{00000000-0004-0000-0000-000033020000}"/>
    <hyperlink ref="M565" r:id="rId565" xr:uid="{00000000-0004-0000-0000-000034020000}"/>
    <hyperlink ref="M566" r:id="rId566" xr:uid="{00000000-0004-0000-0000-000035020000}"/>
    <hyperlink ref="M567" r:id="rId567" xr:uid="{00000000-0004-0000-0000-000036020000}"/>
    <hyperlink ref="M568" r:id="rId568" xr:uid="{00000000-0004-0000-0000-000037020000}"/>
    <hyperlink ref="M569" r:id="rId569" xr:uid="{00000000-0004-0000-0000-000038020000}"/>
    <hyperlink ref="M570" r:id="rId570" xr:uid="{00000000-0004-0000-0000-000039020000}"/>
    <hyperlink ref="M571" r:id="rId571" xr:uid="{00000000-0004-0000-0000-00003A020000}"/>
    <hyperlink ref="M572" r:id="rId572" xr:uid="{00000000-0004-0000-0000-00003B020000}"/>
    <hyperlink ref="M573" r:id="rId573" xr:uid="{00000000-0004-0000-0000-00003C020000}"/>
    <hyperlink ref="M574" r:id="rId574" xr:uid="{00000000-0004-0000-0000-00003D020000}"/>
    <hyperlink ref="M575" r:id="rId575" xr:uid="{00000000-0004-0000-0000-00003E020000}"/>
    <hyperlink ref="M576" r:id="rId576" xr:uid="{00000000-0004-0000-0000-00003F020000}"/>
    <hyperlink ref="M577" r:id="rId577" xr:uid="{00000000-0004-0000-0000-000040020000}"/>
    <hyperlink ref="M578" r:id="rId578" xr:uid="{00000000-0004-0000-0000-000041020000}"/>
    <hyperlink ref="M579" r:id="rId579" xr:uid="{00000000-0004-0000-0000-000042020000}"/>
    <hyperlink ref="M580" r:id="rId580" xr:uid="{00000000-0004-0000-0000-000043020000}"/>
    <hyperlink ref="M581" r:id="rId581" xr:uid="{00000000-0004-0000-0000-000044020000}"/>
    <hyperlink ref="M582" r:id="rId582" xr:uid="{00000000-0004-0000-0000-000045020000}"/>
    <hyperlink ref="M583" r:id="rId583" xr:uid="{00000000-0004-0000-0000-000046020000}"/>
    <hyperlink ref="M584" r:id="rId584" xr:uid="{00000000-0004-0000-0000-000047020000}"/>
    <hyperlink ref="M585" r:id="rId585" xr:uid="{00000000-0004-0000-0000-000048020000}"/>
    <hyperlink ref="M586" r:id="rId586" xr:uid="{00000000-0004-0000-0000-000049020000}"/>
    <hyperlink ref="M587" r:id="rId587" xr:uid="{00000000-0004-0000-0000-00004A020000}"/>
    <hyperlink ref="M588" r:id="rId588" xr:uid="{00000000-0004-0000-0000-00004B020000}"/>
    <hyperlink ref="M589" r:id="rId589" xr:uid="{00000000-0004-0000-0000-00004C020000}"/>
    <hyperlink ref="M590" r:id="rId590" xr:uid="{00000000-0004-0000-0000-00004D020000}"/>
    <hyperlink ref="M591" r:id="rId591" xr:uid="{00000000-0004-0000-0000-00004E020000}"/>
    <hyperlink ref="M592" r:id="rId592" xr:uid="{00000000-0004-0000-0000-00004F020000}"/>
    <hyperlink ref="M593" r:id="rId593" xr:uid="{00000000-0004-0000-0000-000050020000}"/>
    <hyperlink ref="M594" r:id="rId594" xr:uid="{00000000-0004-0000-0000-000051020000}"/>
    <hyperlink ref="M595" r:id="rId595" xr:uid="{00000000-0004-0000-0000-000052020000}"/>
    <hyperlink ref="M596" r:id="rId596" xr:uid="{00000000-0004-0000-0000-000053020000}"/>
    <hyperlink ref="M597" r:id="rId597" xr:uid="{00000000-0004-0000-0000-000054020000}"/>
    <hyperlink ref="M598" r:id="rId598" xr:uid="{00000000-0004-0000-0000-000055020000}"/>
    <hyperlink ref="M599" r:id="rId599" xr:uid="{00000000-0004-0000-0000-000056020000}"/>
    <hyperlink ref="M600" r:id="rId600" xr:uid="{00000000-0004-0000-0000-000057020000}"/>
    <hyperlink ref="M601" r:id="rId601" xr:uid="{00000000-0004-0000-0000-000058020000}"/>
    <hyperlink ref="M602" r:id="rId602" xr:uid="{00000000-0004-0000-0000-000059020000}"/>
    <hyperlink ref="M603" r:id="rId603" xr:uid="{00000000-0004-0000-0000-00005A020000}"/>
    <hyperlink ref="M604" r:id="rId604" xr:uid="{00000000-0004-0000-0000-00005B020000}"/>
    <hyperlink ref="M605" r:id="rId605" xr:uid="{00000000-0004-0000-0000-00005C020000}"/>
    <hyperlink ref="M606" r:id="rId606" xr:uid="{00000000-0004-0000-0000-00005D020000}"/>
    <hyperlink ref="M607" r:id="rId607" xr:uid="{00000000-0004-0000-0000-00005E020000}"/>
    <hyperlink ref="M608" r:id="rId608" xr:uid="{00000000-0004-0000-0000-00005F020000}"/>
    <hyperlink ref="M609" r:id="rId609" xr:uid="{00000000-0004-0000-0000-000060020000}"/>
    <hyperlink ref="M610" r:id="rId610" xr:uid="{00000000-0004-0000-0000-000061020000}"/>
    <hyperlink ref="M611" r:id="rId611" xr:uid="{00000000-0004-0000-0000-000062020000}"/>
    <hyperlink ref="M612" r:id="rId612" xr:uid="{00000000-0004-0000-0000-000063020000}"/>
    <hyperlink ref="M613" r:id="rId613" xr:uid="{00000000-0004-0000-0000-000064020000}"/>
    <hyperlink ref="M614" r:id="rId614" xr:uid="{00000000-0004-0000-0000-000065020000}"/>
    <hyperlink ref="M615" r:id="rId615" xr:uid="{00000000-0004-0000-0000-000066020000}"/>
    <hyperlink ref="M616" r:id="rId616" xr:uid="{00000000-0004-0000-0000-000067020000}"/>
    <hyperlink ref="M617" r:id="rId617" xr:uid="{00000000-0004-0000-0000-000068020000}"/>
    <hyperlink ref="M618" r:id="rId618" xr:uid="{00000000-0004-0000-0000-000069020000}"/>
    <hyperlink ref="M619" r:id="rId619" xr:uid="{00000000-0004-0000-0000-00006A020000}"/>
    <hyperlink ref="M620" r:id="rId620" xr:uid="{00000000-0004-0000-0000-00006B020000}"/>
    <hyperlink ref="M621" r:id="rId621" xr:uid="{00000000-0004-0000-0000-00006C020000}"/>
    <hyperlink ref="M622" r:id="rId622" xr:uid="{00000000-0004-0000-0000-00006D020000}"/>
    <hyperlink ref="M623" r:id="rId623" xr:uid="{00000000-0004-0000-0000-00006E020000}"/>
    <hyperlink ref="M624" r:id="rId624" xr:uid="{00000000-0004-0000-0000-00006F020000}"/>
    <hyperlink ref="M625" r:id="rId625" xr:uid="{00000000-0004-0000-0000-000070020000}"/>
    <hyperlink ref="M626" r:id="rId626" xr:uid="{00000000-0004-0000-0000-000071020000}"/>
    <hyperlink ref="M627" r:id="rId627" xr:uid="{00000000-0004-0000-0000-000072020000}"/>
    <hyperlink ref="M628" r:id="rId628" xr:uid="{00000000-0004-0000-0000-000073020000}"/>
    <hyperlink ref="M629" r:id="rId629" xr:uid="{00000000-0004-0000-0000-000074020000}"/>
    <hyperlink ref="M630" r:id="rId630" xr:uid="{00000000-0004-0000-0000-000075020000}"/>
    <hyperlink ref="M631" r:id="rId631" xr:uid="{00000000-0004-0000-0000-000076020000}"/>
    <hyperlink ref="M632" r:id="rId632" xr:uid="{00000000-0004-0000-0000-000077020000}"/>
    <hyperlink ref="M633" r:id="rId633" xr:uid="{00000000-0004-0000-0000-000078020000}"/>
    <hyperlink ref="M634" r:id="rId634" xr:uid="{00000000-0004-0000-0000-000079020000}"/>
    <hyperlink ref="M635" r:id="rId635" xr:uid="{00000000-0004-0000-0000-00007A020000}"/>
    <hyperlink ref="M636" r:id="rId636" xr:uid="{00000000-0004-0000-0000-00007B020000}"/>
    <hyperlink ref="M637" r:id="rId637" xr:uid="{00000000-0004-0000-0000-00007C020000}"/>
    <hyperlink ref="M638" r:id="rId638" xr:uid="{00000000-0004-0000-0000-00007D020000}"/>
    <hyperlink ref="D639" r:id="rId639" xr:uid="{00000000-0004-0000-0000-00007E020000}"/>
    <hyperlink ref="L639" r:id="rId640" xr:uid="{00000000-0004-0000-0000-00007F020000}"/>
    <hyperlink ref="M639" r:id="rId641" xr:uid="{00000000-0004-0000-0000-000080020000}"/>
    <hyperlink ref="M640" r:id="rId642" xr:uid="{00000000-0004-0000-0000-000081020000}"/>
    <hyperlink ref="M641" r:id="rId643" xr:uid="{00000000-0004-0000-0000-000082020000}"/>
    <hyperlink ref="M642" r:id="rId644" xr:uid="{00000000-0004-0000-0000-000083020000}"/>
    <hyperlink ref="M643" r:id="rId645" xr:uid="{00000000-0004-0000-0000-000084020000}"/>
    <hyperlink ref="M644" r:id="rId646" xr:uid="{00000000-0004-0000-0000-000085020000}"/>
    <hyperlink ref="M645" r:id="rId647" xr:uid="{00000000-0004-0000-0000-000086020000}"/>
    <hyperlink ref="M646" r:id="rId648" xr:uid="{00000000-0004-0000-0000-000087020000}"/>
    <hyperlink ref="M647" r:id="rId649" xr:uid="{00000000-0004-0000-0000-000088020000}"/>
    <hyperlink ref="M648" r:id="rId650" xr:uid="{00000000-0004-0000-0000-000089020000}"/>
    <hyperlink ref="M649" r:id="rId651" xr:uid="{00000000-0004-0000-0000-00008A020000}"/>
    <hyperlink ref="M650" r:id="rId652" xr:uid="{00000000-0004-0000-0000-00008B020000}"/>
    <hyperlink ref="M651" r:id="rId653" xr:uid="{00000000-0004-0000-0000-00008C020000}"/>
    <hyperlink ref="M652" r:id="rId654" xr:uid="{00000000-0004-0000-0000-00008D020000}"/>
    <hyperlink ref="M653" r:id="rId655" xr:uid="{00000000-0004-0000-0000-00008E020000}"/>
    <hyperlink ref="M654" r:id="rId656" xr:uid="{00000000-0004-0000-0000-00008F020000}"/>
    <hyperlink ref="M655" r:id="rId657" xr:uid="{00000000-0004-0000-0000-000090020000}"/>
    <hyperlink ref="M656" r:id="rId658" xr:uid="{00000000-0004-0000-0000-000091020000}"/>
    <hyperlink ref="M657" r:id="rId659" xr:uid="{00000000-0004-0000-0000-000092020000}"/>
    <hyperlink ref="M658" r:id="rId660" xr:uid="{00000000-0004-0000-0000-000093020000}"/>
    <hyperlink ref="M659" r:id="rId661" xr:uid="{00000000-0004-0000-0000-000094020000}"/>
    <hyperlink ref="M660" r:id="rId662" xr:uid="{00000000-0004-0000-0000-000095020000}"/>
    <hyperlink ref="M661" r:id="rId663" xr:uid="{00000000-0004-0000-0000-000096020000}"/>
    <hyperlink ref="M662" r:id="rId664" xr:uid="{00000000-0004-0000-0000-000097020000}"/>
    <hyperlink ref="M663" r:id="rId665" xr:uid="{00000000-0004-0000-0000-000098020000}"/>
    <hyperlink ref="M664" r:id="rId666" xr:uid="{00000000-0004-0000-0000-000099020000}"/>
    <hyperlink ref="M665" r:id="rId667" xr:uid="{00000000-0004-0000-0000-00009A020000}"/>
    <hyperlink ref="M666" r:id="rId668" xr:uid="{00000000-0004-0000-0000-00009B020000}"/>
    <hyperlink ref="M667" r:id="rId669" xr:uid="{00000000-0004-0000-0000-00009C020000}"/>
    <hyperlink ref="M668" r:id="rId670" xr:uid="{00000000-0004-0000-0000-00009D020000}"/>
    <hyperlink ref="M669" r:id="rId671" xr:uid="{00000000-0004-0000-0000-00009E020000}"/>
    <hyperlink ref="M670" r:id="rId672" xr:uid="{00000000-0004-0000-0000-00009F020000}"/>
    <hyperlink ref="M671" r:id="rId673" xr:uid="{00000000-0004-0000-0000-0000A0020000}"/>
    <hyperlink ref="M672" r:id="rId674" xr:uid="{00000000-0004-0000-0000-0000A1020000}"/>
    <hyperlink ref="M673" r:id="rId675" xr:uid="{00000000-0004-0000-0000-0000A2020000}"/>
    <hyperlink ref="M674" r:id="rId676" xr:uid="{00000000-0004-0000-0000-0000A3020000}"/>
    <hyperlink ref="M675" r:id="rId677" xr:uid="{00000000-0004-0000-0000-0000A4020000}"/>
    <hyperlink ref="M676" r:id="rId678" xr:uid="{00000000-0004-0000-0000-0000A5020000}"/>
    <hyperlink ref="M677" r:id="rId679" xr:uid="{00000000-0004-0000-0000-0000A6020000}"/>
    <hyperlink ref="M678" r:id="rId680" xr:uid="{00000000-0004-0000-0000-0000A7020000}"/>
    <hyperlink ref="M679" r:id="rId681" xr:uid="{00000000-0004-0000-0000-0000A8020000}"/>
    <hyperlink ref="M680" r:id="rId682" xr:uid="{00000000-0004-0000-0000-0000A9020000}"/>
    <hyperlink ref="M681" r:id="rId683" xr:uid="{00000000-0004-0000-0000-0000AA020000}"/>
    <hyperlink ref="M682" r:id="rId684" xr:uid="{00000000-0004-0000-0000-0000AB020000}"/>
    <hyperlink ref="M683" r:id="rId685" xr:uid="{00000000-0004-0000-0000-0000AC020000}"/>
    <hyperlink ref="M684" r:id="rId686" xr:uid="{00000000-0004-0000-0000-0000AD020000}"/>
    <hyperlink ref="M685" r:id="rId687" xr:uid="{00000000-0004-0000-0000-0000AE020000}"/>
    <hyperlink ref="M686" r:id="rId688" xr:uid="{00000000-0004-0000-0000-0000AF020000}"/>
    <hyperlink ref="M687" r:id="rId689" xr:uid="{00000000-0004-0000-0000-0000B0020000}"/>
    <hyperlink ref="M688" r:id="rId690" xr:uid="{00000000-0004-0000-0000-0000B1020000}"/>
    <hyperlink ref="M689" r:id="rId691" xr:uid="{00000000-0004-0000-0000-0000B2020000}"/>
    <hyperlink ref="M690" r:id="rId692" xr:uid="{00000000-0004-0000-0000-0000B3020000}"/>
    <hyperlink ref="M691" r:id="rId693" xr:uid="{00000000-0004-0000-0000-0000B4020000}"/>
    <hyperlink ref="M692" r:id="rId694" xr:uid="{00000000-0004-0000-0000-0000B5020000}"/>
    <hyperlink ref="M693" r:id="rId695" xr:uid="{00000000-0004-0000-0000-0000B6020000}"/>
    <hyperlink ref="M694" r:id="rId696" xr:uid="{00000000-0004-0000-0000-0000B7020000}"/>
    <hyperlink ref="M695" r:id="rId697" xr:uid="{00000000-0004-0000-0000-0000B8020000}"/>
    <hyperlink ref="M696" r:id="rId698" xr:uid="{00000000-0004-0000-0000-0000B9020000}"/>
    <hyperlink ref="M697" r:id="rId699" xr:uid="{00000000-0004-0000-0000-0000BA020000}"/>
    <hyperlink ref="M698" r:id="rId700" xr:uid="{00000000-0004-0000-0000-0000BB020000}"/>
    <hyperlink ref="M699" r:id="rId701" xr:uid="{00000000-0004-0000-0000-0000BC020000}"/>
    <hyperlink ref="M700" r:id="rId702" xr:uid="{00000000-0004-0000-0000-0000BD020000}"/>
    <hyperlink ref="M701" r:id="rId703" xr:uid="{00000000-0004-0000-0000-0000BE020000}"/>
    <hyperlink ref="M702" r:id="rId704" xr:uid="{00000000-0004-0000-0000-0000BF020000}"/>
    <hyperlink ref="M703" r:id="rId705" xr:uid="{00000000-0004-0000-0000-0000C0020000}"/>
    <hyperlink ref="M704" r:id="rId706" xr:uid="{00000000-0004-0000-0000-0000C1020000}"/>
    <hyperlink ref="M705" r:id="rId707" xr:uid="{00000000-0004-0000-0000-0000C2020000}"/>
    <hyperlink ref="M706" r:id="rId708" xr:uid="{00000000-0004-0000-0000-0000C3020000}"/>
    <hyperlink ref="M707" r:id="rId709" xr:uid="{00000000-0004-0000-0000-0000C4020000}"/>
    <hyperlink ref="M708" r:id="rId710" xr:uid="{00000000-0004-0000-0000-0000C5020000}"/>
    <hyperlink ref="M709" r:id="rId711" xr:uid="{00000000-0004-0000-0000-0000C6020000}"/>
    <hyperlink ref="M710" r:id="rId712" xr:uid="{00000000-0004-0000-0000-0000C7020000}"/>
    <hyperlink ref="M711" r:id="rId713" xr:uid="{00000000-0004-0000-0000-0000C8020000}"/>
    <hyperlink ref="M712" r:id="rId714" xr:uid="{00000000-0004-0000-0000-0000C9020000}"/>
    <hyperlink ref="M713" r:id="rId715" xr:uid="{00000000-0004-0000-0000-0000CA020000}"/>
    <hyperlink ref="M714" r:id="rId716" xr:uid="{00000000-0004-0000-0000-0000CB020000}"/>
    <hyperlink ref="M715" r:id="rId717" xr:uid="{00000000-0004-0000-0000-0000CC020000}"/>
    <hyperlink ref="M716" r:id="rId718" xr:uid="{00000000-0004-0000-0000-0000CD020000}"/>
    <hyperlink ref="M717" r:id="rId719" xr:uid="{00000000-0004-0000-0000-0000CE020000}"/>
    <hyperlink ref="M718" r:id="rId720" xr:uid="{00000000-0004-0000-0000-0000CF020000}"/>
    <hyperlink ref="M719" r:id="rId721" xr:uid="{00000000-0004-0000-0000-0000D0020000}"/>
    <hyperlink ref="M720" r:id="rId722" xr:uid="{00000000-0004-0000-0000-0000D1020000}"/>
    <hyperlink ref="M721" r:id="rId723" xr:uid="{00000000-0004-0000-0000-0000D2020000}"/>
    <hyperlink ref="M722" r:id="rId724" xr:uid="{00000000-0004-0000-0000-0000D3020000}"/>
  </hyperlinks>
  <pageMargins left="0.7" right="0.7" top="0.75" bottom="0.75" header="0.3" footer="0.3"/>
  <legacyDrawing r:id="rId7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1000"/>
  <sheetViews>
    <sheetView workbookViewId="0"/>
  </sheetViews>
  <sheetFormatPr defaultColWidth="12.5703125" defaultRowHeight="15.75" customHeight="1"/>
  <cols>
    <col min="6" max="6" width="14.42578125" customWidth="1"/>
    <col min="7" max="7" width="9.42578125" customWidth="1"/>
    <col min="10" max="10" width="18.42578125" customWidth="1"/>
    <col min="11" max="11" width="16.42578125" customWidth="1"/>
  </cols>
  <sheetData>
    <row r="1" spans="1:9">
      <c r="A1" s="21" t="s">
        <v>2367</v>
      </c>
      <c r="B1" s="21" t="s">
        <v>2368</v>
      </c>
      <c r="C1" s="21" t="s">
        <v>326</v>
      </c>
      <c r="D1" s="21" t="s">
        <v>11</v>
      </c>
      <c r="E1" s="21" t="s">
        <v>2369</v>
      </c>
      <c r="F1" s="21" t="s">
        <v>2652</v>
      </c>
      <c r="G1" s="21" t="s">
        <v>2370</v>
      </c>
      <c r="H1" s="21" t="s">
        <v>2371</v>
      </c>
      <c r="I1" s="21" t="s">
        <v>2372</v>
      </c>
    </row>
    <row r="2" spans="1:9">
      <c r="A2" s="22" t="s">
        <v>2582</v>
      </c>
      <c r="B2" s="23" t="s">
        <v>1370</v>
      </c>
      <c r="C2" s="23">
        <v>36</v>
      </c>
      <c r="D2" s="23" t="s">
        <v>359</v>
      </c>
      <c r="E2" s="24">
        <v>45554</v>
      </c>
      <c r="F2" s="23" t="s">
        <v>2653</v>
      </c>
      <c r="G2" s="23" t="s">
        <v>2654</v>
      </c>
      <c r="H2" s="23">
        <v>0</v>
      </c>
      <c r="I2" s="9">
        <f>COUNTIF(Data1_Clean!$I$2:I1000,A2)</f>
        <v>0</v>
      </c>
    </row>
    <row r="3" spans="1:9">
      <c r="A3" s="22" t="s">
        <v>1671</v>
      </c>
      <c r="B3" s="23" t="s">
        <v>1370</v>
      </c>
      <c r="C3" s="23">
        <v>38</v>
      </c>
      <c r="D3" s="23" t="s">
        <v>359</v>
      </c>
      <c r="E3" s="24">
        <v>45595</v>
      </c>
      <c r="F3" s="23" t="s">
        <v>2655</v>
      </c>
      <c r="G3" s="23" t="s">
        <v>2656</v>
      </c>
      <c r="H3" s="23">
        <v>3</v>
      </c>
      <c r="I3" s="9">
        <f>COUNTIF(Data1_Clean!$I$2:I1000,A3)</f>
        <v>1</v>
      </c>
    </row>
    <row r="4" spans="1:9">
      <c r="A4" s="22" t="s">
        <v>1609</v>
      </c>
      <c r="B4" s="23" t="s">
        <v>1370</v>
      </c>
      <c r="C4" s="23">
        <v>44</v>
      </c>
      <c r="D4" s="23" t="s">
        <v>359</v>
      </c>
      <c r="E4" s="24">
        <v>45600</v>
      </c>
      <c r="F4" s="23" t="s">
        <v>2653</v>
      </c>
      <c r="G4" s="23" t="s">
        <v>2654</v>
      </c>
      <c r="H4" s="23">
        <v>0</v>
      </c>
      <c r="I4" s="9">
        <f>COUNTIF(Data1_Clean!$I$2:I1000,A4)</f>
        <v>1</v>
      </c>
    </row>
    <row r="5" spans="1:9">
      <c r="A5" s="22" t="s">
        <v>1357</v>
      </c>
      <c r="B5" s="23" t="s">
        <v>1176</v>
      </c>
      <c r="C5" s="23">
        <v>40</v>
      </c>
      <c r="D5" s="23" t="s">
        <v>359</v>
      </c>
      <c r="E5" s="24">
        <v>45627</v>
      </c>
      <c r="F5" s="23" t="s">
        <v>2653</v>
      </c>
      <c r="G5" s="23" t="s">
        <v>2654</v>
      </c>
      <c r="H5" s="23">
        <v>0</v>
      </c>
      <c r="I5" s="9">
        <f>COUNTIF(Data1_Clean!$I$2:I1000,A5)</f>
        <v>1</v>
      </c>
    </row>
    <row r="6" spans="1:9">
      <c r="A6" s="22" t="s">
        <v>2564</v>
      </c>
      <c r="B6" s="23" t="s">
        <v>1176</v>
      </c>
      <c r="C6" s="23">
        <v>31</v>
      </c>
      <c r="D6" s="23" t="s">
        <v>359</v>
      </c>
      <c r="E6" s="24">
        <v>45627</v>
      </c>
      <c r="F6" s="23" t="s">
        <v>2655</v>
      </c>
      <c r="G6" s="23" t="s">
        <v>2656</v>
      </c>
      <c r="H6" s="23">
        <v>1</v>
      </c>
      <c r="I6" s="9">
        <f>COUNTIF(Data1_Clean!$I$2:I1000,A6)</f>
        <v>0</v>
      </c>
    </row>
    <row r="7" spans="1:9">
      <c r="A7" s="22" t="s">
        <v>1191</v>
      </c>
      <c r="B7" s="23" t="s">
        <v>1176</v>
      </c>
      <c r="C7" s="23">
        <v>61</v>
      </c>
      <c r="D7" s="23" t="s">
        <v>359</v>
      </c>
      <c r="E7" s="24">
        <v>45631</v>
      </c>
      <c r="F7" s="23" t="s">
        <v>2653</v>
      </c>
      <c r="G7" s="23" t="s">
        <v>2654</v>
      </c>
      <c r="H7" s="23">
        <v>0</v>
      </c>
      <c r="I7" s="9">
        <f>COUNTIF(Data1_Clean!$I$2:I1000,A7)</f>
        <v>4</v>
      </c>
    </row>
    <row r="8" spans="1:9">
      <c r="A8" s="22" t="s">
        <v>645</v>
      </c>
      <c r="B8" s="23" t="s">
        <v>1176</v>
      </c>
      <c r="C8" s="23">
        <v>56</v>
      </c>
      <c r="D8" s="23" t="s">
        <v>359</v>
      </c>
      <c r="E8" s="24">
        <v>45645</v>
      </c>
      <c r="F8" s="23" t="s">
        <v>2655</v>
      </c>
      <c r="G8" s="23" t="s">
        <v>2654</v>
      </c>
      <c r="H8" s="23">
        <v>0</v>
      </c>
      <c r="I8" s="9">
        <f>COUNTIF(Data1_Clean!$I$2:I1000,A8)</f>
        <v>3</v>
      </c>
    </row>
    <row r="9" spans="1:9">
      <c r="A9" s="22" t="s">
        <v>2547</v>
      </c>
      <c r="B9" s="23" t="s">
        <v>1176</v>
      </c>
      <c r="C9" s="23">
        <v>41</v>
      </c>
      <c r="D9" s="23" t="s">
        <v>359</v>
      </c>
      <c r="E9" s="24">
        <v>45661</v>
      </c>
      <c r="F9" s="23" t="s">
        <v>2655</v>
      </c>
      <c r="G9" s="23" t="s">
        <v>2654</v>
      </c>
      <c r="H9" s="23">
        <v>0</v>
      </c>
      <c r="I9" s="9">
        <f>COUNTIF(Data1_Clean!$I$2:I1000,A9)</f>
        <v>0</v>
      </c>
    </row>
    <row r="10" spans="1:9">
      <c r="A10" s="22" t="s">
        <v>2155</v>
      </c>
      <c r="B10" s="23" t="s">
        <v>1370</v>
      </c>
      <c r="C10" s="23">
        <v>37</v>
      </c>
      <c r="D10" s="23" t="s">
        <v>359</v>
      </c>
      <c r="E10" s="24">
        <v>45663</v>
      </c>
      <c r="F10" s="23" t="s">
        <v>2655</v>
      </c>
      <c r="G10" s="23" t="s">
        <v>2654</v>
      </c>
      <c r="H10" s="23">
        <v>0</v>
      </c>
      <c r="I10" s="9">
        <f>COUNTIF(Data1_Clean!$I$2:I1000,A10)</f>
        <v>1</v>
      </c>
    </row>
    <row r="11" spans="1:9">
      <c r="A11" s="22" t="s">
        <v>2566</v>
      </c>
      <c r="B11" s="23" t="s">
        <v>1176</v>
      </c>
      <c r="C11" s="23">
        <v>32</v>
      </c>
      <c r="D11" s="23" t="s">
        <v>359</v>
      </c>
      <c r="E11" s="24">
        <v>45694</v>
      </c>
      <c r="F11" s="23" t="s">
        <v>2653</v>
      </c>
      <c r="G11" s="23" t="s">
        <v>2656</v>
      </c>
      <c r="H11" s="23">
        <v>2</v>
      </c>
      <c r="I11" s="9">
        <f>COUNTIF(Data1_Clean!$I$2:I1000,A11)</f>
        <v>0</v>
      </c>
    </row>
    <row r="12" spans="1:9">
      <c r="A12" s="22" t="s">
        <v>1573</v>
      </c>
      <c r="B12" s="23" t="s">
        <v>1176</v>
      </c>
      <c r="C12" s="23">
        <v>55</v>
      </c>
      <c r="D12" s="23" t="s">
        <v>359</v>
      </c>
      <c r="E12" s="24">
        <v>45704</v>
      </c>
      <c r="F12" s="23" t="s">
        <v>2655</v>
      </c>
      <c r="G12" s="23" t="s">
        <v>2656</v>
      </c>
      <c r="H12" s="23">
        <v>1</v>
      </c>
      <c r="I12" s="9">
        <f>COUNTIF(Data1_Clean!$I$2:I1000,A12)</f>
        <v>1</v>
      </c>
    </row>
    <row r="13" spans="1:9">
      <c r="A13" s="22" t="s">
        <v>952</v>
      </c>
      <c r="B13" s="23" t="s">
        <v>1176</v>
      </c>
      <c r="C13" s="23">
        <v>50</v>
      </c>
      <c r="D13" s="23" t="s">
        <v>359</v>
      </c>
      <c r="E13" s="24">
        <v>45706</v>
      </c>
      <c r="F13" s="23" t="s">
        <v>2653</v>
      </c>
      <c r="G13" s="23" t="s">
        <v>2654</v>
      </c>
      <c r="H13" s="23">
        <v>0</v>
      </c>
      <c r="I13" s="9">
        <f>COUNTIF(Data1_Clean!$I$2:I1000,A13)</f>
        <v>2</v>
      </c>
    </row>
    <row r="14" spans="1:9">
      <c r="A14" s="22" t="s">
        <v>740</v>
      </c>
      <c r="B14" s="23" t="s">
        <v>1176</v>
      </c>
      <c r="C14" s="23">
        <v>18</v>
      </c>
      <c r="D14" s="23" t="s">
        <v>359</v>
      </c>
      <c r="E14" s="24">
        <v>45729</v>
      </c>
      <c r="F14" s="23" t="s">
        <v>2653</v>
      </c>
      <c r="G14" s="23" t="s">
        <v>2654</v>
      </c>
      <c r="H14" s="23">
        <v>0</v>
      </c>
      <c r="I14" s="9">
        <f>COUNTIF(Data1_Clean!$I$2:I1000,A14)</f>
        <v>1</v>
      </c>
    </row>
    <row r="15" spans="1:9">
      <c r="A15" s="22" t="s">
        <v>2579</v>
      </c>
      <c r="B15" s="23" t="s">
        <v>1370</v>
      </c>
      <c r="C15" s="23">
        <v>57</v>
      </c>
      <c r="D15" s="23" t="s">
        <v>359</v>
      </c>
      <c r="E15" s="24">
        <v>45735</v>
      </c>
      <c r="F15" s="23" t="s">
        <v>2655</v>
      </c>
      <c r="G15" s="23" t="s">
        <v>2654</v>
      </c>
      <c r="H15" s="23">
        <v>0</v>
      </c>
      <c r="I15" s="9">
        <f>COUNTIF(Data1_Clean!$I$2:I1000,A15)</f>
        <v>0</v>
      </c>
    </row>
    <row r="16" spans="1:9">
      <c r="A16" s="22" t="s">
        <v>2521</v>
      </c>
      <c r="B16" s="23" t="s">
        <v>1176</v>
      </c>
      <c r="C16" s="23">
        <v>57</v>
      </c>
      <c r="D16" s="23" t="s">
        <v>359</v>
      </c>
      <c r="E16" s="24">
        <v>45736</v>
      </c>
      <c r="F16" s="23" t="s">
        <v>2655</v>
      </c>
      <c r="G16" s="23" t="s">
        <v>2656</v>
      </c>
      <c r="H16" s="23">
        <v>4</v>
      </c>
      <c r="I16" s="9">
        <f>COUNTIF(Data1_Clean!$I$2:I1000,A16)</f>
        <v>0</v>
      </c>
    </row>
    <row r="17" spans="1:9">
      <c r="A17" s="22" t="s">
        <v>2498</v>
      </c>
      <c r="B17" s="23" t="s">
        <v>1370</v>
      </c>
      <c r="C17" s="23">
        <v>26</v>
      </c>
      <c r="D17" s="23" t="s">
        <v>2657</v>
      </c>
      <c r="E17" s="24">
        <v>45543</v>
      </c>
      <c r="F17" s="23" t="s">
        <v>2655</v>
      </c>
      <c r="G17" s="23" t="s">
        <v>2654</v>
      </c>
      <c r="H17" s="23">
        <v>0</v>
      </c>
      <c r="I17" s="9">
        <f>COUNTIF(Data1_Clean!$I$2:I1000,A17)</f>
        <v>0</v>
      </c>
    </row>
    <row r="18" spans="1:9">
      <c r="A18" s="22" t="s">
        <v>2484</v>
      </c>
      <c r="B18" s="23" t="s">
        <v>1370</v>
      </c>
      <c r="C18" s="23">
        <v>19</v>
      </c>
      <c r="D18" s="23" t="s">
        <v>2657</v>
      </c>
      <c r="E18" s="24">
        <v>45574</v>
      </c>
      <c r="F18" s="23" t="s">
        <v>2653</v>
      </c>
      <c r="G18" s="23" t="s">
        <v>2654</v>
      </c>
      <c r="H18" s="23">
        <v>0</v>
      </c>
      <c r="I18" s="9">
        <f>COUNTIF(Data1_Clean!$I$2:I1000,A18)</f>
        <v>0</v>
      </c>
    </row>
    <row r="19" spans="1:9">
      <c r="A19" s="22" t="s">
        <v>2141</v>
      </c>
      <c r="B19" s="23" t="s">
        <v>1176</v>
      </c>
      <c r="C19" s="23">
        <v>50</v>
      </c>
      <c r="D19" s="23" t="s">
        <v>2657</v>
      </c>
      <c r="E19" s="24">
        <v>45598</v>
      </c>
      <c r="F19" s="23" t="s">
        <v>2653</v>
      </c>
      <c r="G19" s="23" t="s">
        <v>2654</v>
      </c>
      <c r="H19" s="23">
        <v>0</v>
      </c>
      <c r="I19" s="9">
        <f>COUNTIF(Data1_Clean!$I$2:I1000,A19)</f>
        <v>1</v>
      </c>
    </row>
    <row r="20" spans="1:9">
      <c r="A20" s="22" t="s">
        <v>2444</v>
      </c>
      <c r="B20" s="23" t="s">
        <v>1370</v>
      </c>
      <c r="C20" s="23">
        <v>48</v>
      </c>
      <c r="D20" s="23" t="s">
        <v>2657</v>
      </c>
      <c r="E20" s="24">
        <v>45611</v>
      </c>
      <c r="F20" s="23" t="s">
        <v>2653</v>
      </c>
      <c r="G20" s="23" t="s">
        <v>2654</v>
      </c>
      <c r="H20" s="23">
        <v>0</v>
      </c>
      <c r="I20" s="9">
        <f>COUNTIF(Data1_Clean!$I$2:I1000,A20)</f>
        <v>0</v>
      </c>
    </row>
    <row r="21" spans="1:9">
      <c r="A21" s="22" t="s">
        <v>2488</v>
      </c>
      <c r="B21" s="23" t="s">
        <v>1176</v>
      </c>
      <c r="C21" s="23">
        <v>25</v>
      </c>
      <c r="D21" s="23" t="s">
        <v>2657</v>
      </c>
      <c r="E21" s="24">
        <v>45616</v>
      </c>
      <c r="F21" s="23" t="s">
        <v>2655</v>
      </c>
      <c r="G21" s="23" t="s">
        <v>2656</v>
      </c>
      <c r="H21" s="23">
        <v>2</v>
      </c>
      <c r="I21" s="9">
        <f>COUNTIF(Data1_Clean!$I$2:I1000,A21)</f>
        <v>0</v>
      </c>
    </row>
    <row r="22" spans="1:9">
      <c r="A22" s="22" t="s">
        <v>2649</v>
      </c>
      <c r="B22" s="23" t="s">
        <v>1176</v>
      </c>
      <c r="C22" s="23">
        <v>30</v>
      </c>
      <c r="D22" s="23" t="s">
        <v>2657</v>
      </c>
      <c r="E22" s="24">
        <v>45630</v>
      </c>
      <c r="F22" s="23" t="s">
        <v>2653</v>
      </c>
      <c r="G22" s="23" t="s">
        <v>2656</v>
      </c>
      <c r="H22" s="23">
        <v>4</v>
      </c>
      <c r="I22" s="9">
        <f>COUNTIF(Data1_Clean!$I$2:I1000,A22)</f>
        <v>0</v>
      </c>
    </row>
    <row r="23" spans="1:9">
      <c r="A23" s="22" t="s">
        <v>2658</v>
      </c>
      <c r="B23" s="23" t="s">
        <v>1370</v>
      </c>
      <c r="C23" s="23">
        <v>56</v>
      </c>
      <c r="D23" s="23" t="s">
        <v>2657</v>
      </c>
      <c r="E23" s="24">
        <v>45663</v>
      </c>
      <c r="F23" s="23" t="s">
        <v>2653</v>
      </c>
      <c r="G23" s="23" t="s">
        <v>2656</v>
      </c>
      <c r="H23" s="23">
        <v>1</v>
      </c>
      <c r="I23" s="9">
        <f>COUNTIF(Data1_Clean!$I$2:I1000,A23)</f>
        <v>0</v>
      </c>
    </row>
    <row r="24" spans="1:9">
      <c r="A24" s="22" t="s">
        <v>999</v>
      </c>
      <c r="B24" s="23" t="s">
        <v>1176</v>
      </c>
      <c r="C24" s="23">
        <v>54</v>
      </c>
      <c r="D24" s="23" t="s">
        <v>2657</v>
      </c>
      <c r="E24" s="24">
        <v>45683</v>
      </c>
      <c r="F24" s="23" t="s">
        <v>2655</v>
      </c>
      <c r="G24" s="23" t="s">
        <v>2656</v>
      </c>
      <c r="H24" s="23">
        <v>3</v>
      </c>
      <c r="I24" s="9">
        <f>COUNTIF(Data1_Clean!$I$2:I1000,A24)</f>
        <v>4</v>
      </c>
    </row>
    <row r="25" spans="1:9">
      <c r="A25" s="22" t="s">
        <v>2611</v>
      </c>
      <c r="B25" s="23" t="s">
        <v>1176</v>
      </c>
      <c r="C25" s="23">
        <v>51</v>
      </c>
      <c r="D25" s="23" t="s">
        <v>2657</v>
      </c>
      <c r="E25" s="24">
        <v>45687</v>
      </c>
      <c r="F25" s="23" t="s">
        <v>2653</v>
      </c>
      <c r="G25" s="23" t="s">
        <v>2656</v>
      </c>
      <c r="H25" s="23">
        <v>3</v>
      </c>
      <c r="I25" s="9">
        <f>COUNTIF(Data1_Clean!$I$2:I1000,A25)</f>
        <v>0</v>
      </c>
    </row>
    <row r="26" spans="1:9">
      <c r="A26" s="22" t="s">
        <v>578</v>
      </c>
      <c r="B26" s="23" t="s">
        <v>1370</v>
      </c>
      <c r="C26" s="23">
        <v>19</v>
      </c>
      <c r="D26" s="23" t="s">
        <v>2657</v>
      </c>
      <c r="E26" s="24">
        <v>45717</v>
      </c>
      <c r="F26" s="23" t="s">
        <v>2653</v>
      </c>
      <c r="G26" s="23" t="s">
        <v>2654</v>
      </c>
      <c r="H26" s="23">
        <v>0</v>
      </c>
      <c r="I26" s="9">
        <f>COUNTIF(Data1_Clean!$I$2:I1000,A26)</f>
        <v>1</v>
      </c>
    </row>
    <row r="27" spans="1:9">
      <c r="A27" s="22" t="s">
        <v>2212</v>
      </c>
      <c r="B27" s="23" t="s">
        <v>1370</v>
      </c>
      <c r="C27" s="23">
        <v>31</v>
      </c>
      <c r="D27" s="23" t="s">
        <v>2657</v>
      </c>
      <c r="E27" s="24">
        <v>45727</v>
      </c>
      <c r="F27" s="23" t="s">
        <v>2655</v>
      </c>
      <c r="G27" s="23" t="s">
        <v>2654</v>
      </c>
      <c r="H27" s="23">
        <v>0</v>
      </c>
      <c r="I27" s="9">
        <f>COUNTIF(Data1_Clean!$I$2:I1000,A27)</f>
        <v>1</v>
      </c>
    </row>
    <row r="28" spans="1:9">
      <c r="A28" s="22" t="s">
        <v>2053</v>
      </c>
      <c r="B28" s="23" t="s">
        <v>1176</v>
      </c>
      <c r="C28" s="23">
        <v>18</v>
      </c>
      <c r="D28" s="23" t="s">
        <v>2657</v>
      </c>
      <c r="E28" s="24">
        <v>45745</v>
      </c>
      <c r="F28" s="23" t="s">
        <v>2655</v>
      </c>
      <c r="G28" s="23" t="s">
        <v>2656</v>
      </c>
      <c r="H28" s="23">
        <v>3</v>
      </c>
      <c r="I28" s="9">
        <f>COUNTIF(Data1_Clean!$I$2:I1000,A28)</f>
        <v>1</v>
      </c>
    </row>
    <row r="29" spans="1:9">
      <c r="A29" s="22" t="s">
        <v>1512</v>
      </c>
      <c r="B29" s="23" t="s">
        <v>1370</v>
      </c>
      <c r="C29" s="23">
        <v>60</v>
      </c>
      <c r="D29" s="23" t="s">
        <v>2659</v>
      </c>
      <c r="E29" s="24">
        <v>45540</v>
      </c>
      <c r="F29" s="23" t="s">
        <v>2655</v>
      </c>
      <c r="G29" s="23" t="s">
        <v>2654</v>
      </c>
      <c r="H29" s="23">
        <v>0</v>
      </c>
      <c r="I29" s="9">
        <f>COUNTIF(Data1_Clean!$I$2:I1000,A29)</f>
        <v>1</v>
      </c>
    </row>
    <row r="30" spans="1:9">
      <c r="A30" s="22" t="s">
        <v>1617</v>
      </c>
      <c r="B30" s="23" t="s">
        <v>1176</v>
      </c>
      <c r="C30" s="23">
        <v>58</v>
      </c>
      <c r="D30" s="23" t="s">
        <v>2659</v>
      </c>
      <c r="E30" s="24">
        <v>45579</v>
      </c>
      <c r="F30" s="23" t="s">
        <v>2653</v>
      </c>
      <c r="G30" s="23" t="s">
        <v>2656</v>
      </c>
      <c r="H30" s="23">
        <v>1</v>
      </c>
      <c r="I30" s="9">
        <f>COUNTIF(Data1_Clean!$I$2:I1000,A30)</f>
        <v>1</v>
      </c>
    </row>
    <row r="31" spans="1:9">
      <c r="A31" s="22" t="s">
        <v>1547</v>
      </c>
      <c r="B31" s="23" t="s">
        <v>1370</v>
      </c>
      <c r="C31" s="23">
        <v>18</v>
      </c>
      <c r="D31" s="23" t="s">
        <v>2659</v>
      </c>
      <c r="E31" s="24">
        <v>45585</v>
      </c>
      <c r="F31" s="23" t="s">
        <v>2653</v>
      </c>
      <c r="G31" s="23" t="s">
        <v>2654</v>
      </c>
      <c r="H31" s="23">
        <v>0</v>
      </c>
      <c r="I31" s="9">
        <f>COUNTIF(Data1_Clean!$I$2:I1000,A31)</f>
        <v>1</v>
      </c>
    </row>
    <row r="32" spans="1:9">
      <c r="A32" s="22" t="s">
        <v>2461</v>
      </c>
      <c r="B32" s="23" t="s">
        <v>1176</v>
      </c>
      <c r="C32" s="23">
        <v>49</v>
      </c>
      <c r="D32" s="23" t="s">
        <v>2659</v>
      </c>
      <c r="E32" s="24">
        <v>45586</v>
      </c>
      <c r="F32" s="23" t="s">
        <v>2655</v>
      </c>
      <c r="G32" s="23" t="s">
        <v>2654</v>
      </c>
      <c r="H32" s="23">
        <v>0</v>
      </c>
      <c r="I32" s="9">
        <f>COUNTIF(Data1_Clean!$I$2:I1000,A32)</f>
        <v>0</v>
      </c>
    </row>
    <row r="33" spans="1:9">
      <c r="A33" s="22" t="s">
        <v>2644</v>
      </c>
      <c r="B33" s="23" t="s">
        <v>1176</v>
      </c>
      <c r="C33" s="23">
        <v>46</v>
      </c>
      <c r="D33" s="23" t="s">
        <v>2659</v>
      </c>
      <c r="E33" s="24">
        <v>45590</v>
      </c>
      <c r="F33" s="23" t="s">
        <v>2653</v>
      </c>
      <c r="G33" s="23" t="s">
        <v>2656</v>
      </c>
      <c r="H33" s="23">
        <v>1</v>
      </c>
      <c r="I33" s="9">
        <f>COUNTIF(Data1_Clean!$I$2:I1000,A33)</f>
        <v>0</v>
      </c>
    </row>
    <row r="34" spans="1:9">
      <c r="A34" s="22" t="s">
        <v>2419</v>
      </c>
      <c r="B34" s="23" t="s">
        <v>1176</v>
      </c>
      <c r="C34" s="23">
        <v>36</v>
      </c>
      <c r="D34" s="23" t="s">
        <v>2659</v>
      </c>
      <c r="E34" s="24">
        <v>45593</v>
      </c>
      <c r="F34" s="23" t="s">
        <v>2653</v>
      </c>
      <c r="G34" s="23" t="s">
        <v>2654</v>
      </c>
      <c r="H34" s="23">
        <v>0</v>
      </c>
      <c r="I34" s="9">
        <f>COUNTIF(Data1_Clean!$I$2:I1000,A34)</f>
        <v>0</v>
      </c>
    </row>
    <row r="35" spans="1:9">
      <c r="A35" s="22" t="s">
        <v>2496</v>
      </c>
      <c r="B35" s="23" t="s">
        <v>1370</v>
      </c>
      <c r="C35" s="23">
        <v>50</v>
      </c>
      <c r="D35" s="23" t="s">
        <v>2659</v>
      </c>
      <c r="E35" s="24">
        <v>45631</v>
      </c>
      <c r="F35" s="23" t="s">
        <v>2655</v>
      </c>
      <c r="G35" s="23" t="s">
        <v>2656</v>
      </c>
      <c r="H35" s="23">
        <v>1</v>
      </c>
      <c r="I35" s="9">
        <f>COUNTIF(Data1_Clean!$I$2:I1000,A35)</f>
        <v>0</v>
      </c>
    </row>
    <row r="36" spans="1:9">
      <c r="A36" s="22" t="s">
        <v>2614</v>
      </c>
      <c r="B36" s="23" t="s">
        <v>1176</v>
      </c>
      <c r="C36" s="23">
        <v>47</v>
      </c>
      <c r="D36" s="23" t="s">
        <v>2659</v>
      </c>
      <c r="E36" s="24">
        <v>45640</v>
      </c>
      <c r="F36" s="23" t="s">
        <v>2653</v>
      </c>
      <c r="G36" s="23" t="s">
        <v>2656</v>
      </c>
      <c r="H36" s="23">
        <v>4</v>
      </c>
      <c r="I36" s="9">
        <f>COUNTIF(Data1_Clean!$I$2:I1000,A36)</f>
        <v>0</v>
      </c>
    </row>
    <row r="37" spans="1:9">
      <c r="A37" s="22" t="s">
        <v>2593</v>
      </c>
      <c r="B37" s="23" t="s">
        <v>1370</v>
      </c>
      <c r="C37" s="23">
        <v>36</v>
      </c>
      <c r="D37" s="23" t="s">
        <v>2659</v>
      </c>
      <c r="E37" s="24">
        <v>45656</v>
      </c>
      <c r="F37" s="23" t="s">
        <v>2653</v>
      </c>
      <c r="G37" s="23" t="s">
        <v>2656</v>
      </c>
      <c r="H37" s="23">
        <v>3</v>
      </c>
      <c r="I37" s="9">
        <f>COUNTIF(Data1_Clean!$I$2:I1000,A37)</f>
        <v>0</v>
      </c>
    </row>
    <row r="38" spans="1:9">
      <c r="A38" s="22" t="s">
        <v>1758</v>
      </c>
      <c r="B38" s="23" t="s">
        <v>1370</v>
      </c>
      <c r="C38" s="23">
        <v>33</v>
      </c>
      <c r="D38" s="23" t="s">
        <v>2659</v>
      </c>
      <c r="E38" s="24">
        <v>45681</v>
      </c>
      <c r="F38" s="23" t="s">
        <v>2653</v>
      </c>
      <c r="G38" s="23" t="s">
        <v>2654</v>
      </c>
      <c r="H38" s="23">
        <v>0</v>
      </c>
      <c r="I38" s="9">
        <f>COUNTIF(Data1_Clean!$I$2:I1000,A38)</f>
        <v>1</v>
      </c>
    </row>
    <row r="39" spans="1:9">
      <c r="A39" s="22" t="s">
        <v>1139</v>
      </c>
      <c r="B39" s="23" t="s">
        <v>1176</v>
      </c>
      <c r="C39" s="23">
        <v>56</v>
      </c>
      <c r="D39" s="23" t="s">
        <v>2659</v>
      </c>
      <c r="E39" s="24">
        <v>45685</v>
      </c>
      <c r="F39" s="23" t="s">
        <v>2655</v>
      </c>
      <c r="G39" s="23" t="s">
        <v>2654</v>
      </c>
      <c r="H39" s="23">
        <v>0</v>
      </c>
      <c r="I39" s="9">
        <f>COUNTIF(Data1_Clean!$I$2:I1000,A39)</f>
        <v>2</v>
      </c>
    </row>
    <row r="40" spans="1:9">
      <c r="A40" s="22" t="s">
        <v>2526</v>
      </c>
      <c r="B40" s="23" t="s">
        <v>1370</v>
      </c>
      <c r="C40" s="23">
        <v>35</v>
      </c>
      <c r="D40" s="23" t="s">
        <v>2659</v>
      </c>
      <c r="E40" s="24">
        <v>45691</v>
      </c>
      <c r="F40" s="23" t="s">
        <v>2653</v>
      </c>
      <c r="G40" s="23" t="s">
        <v>2656</v>
      </c>
      <c r="H40" s="23">
        <v>4</v>
      </c>
      <c r="I40" s="9">
        <f>COUNTIF(Data1_Clean!$I$2:I1000,A40)</f>
        <v>0</v>
      </c>
    </row>
    <row r="41" spans="1:9">
      <c r="A41" s="22" t="s">
        <v>1009</v>
      </c>
      <c r="B41" s="23" t="s">
        <v>1176</v>
      </c>
      <c r="C41" s="23">
        <v>59</v>
      </c>
      <c r="D41" s="23" t="s">
        <v>2659</v>
      </c>
      <c r="E41" s="24">
        <v>45703</v>
      </c>
      <c r="F41" s="23" t="s">
        <v>2655</v>
      </c>
      <c r="G41" s="23" t="s">
        <v>2656</v>
      </c>
      <c r="H41" s="23">
        <v>4</v>
      </c>
      <c r="I41" s="9">
        <f>COUNTIF(Data1_Clean!$I$2:I1000,A41)</f>
        <v>1</v>
      </c>
    </row>
    <row r="42" spans="1:9">
      <c r="A42" s="22" t="s">
        <v>2508</v>
      </c>
      <c r="B42" s="23" t="s">
        <v>1370</v>
      </c>
      <c r="C42" s="23">
        <v>62</v>
      </c>
      <c r="D42" s="23" t="s">
        <v>2659</v>
      </c>
      <c r="E42" s="24">
        <v>45741</v>
      </c>
      <c r="F42" s="23" t="s">
        <v>2655</v>
      </c>
      <c r="G42" s="23" t="s">
        <v>2654</v>
      </c>
      <c r="H42" s="23">
        <v>0</v>
      </c>
      <c r="I42" s="9">
        <f>COUNTIF(Data1_Clean!$I$2:I1000,A42)</f>
        <v>0</v>
      </c>
    </row>
    <row r="43" spans="1:9">
      <c r="A43" s="22" t="s">
        <v>141</v>
      </c>
      <c r="B43" s="23" t="s">
        <v>1176</v>
      </c>
      <c r="C43" s="23">
        <v>31</v>
      </c>
      <c r="D43" s="23" t="s">
        <v>1203</v>
      </c>
      <c r="E43" s="24">
        <v>45537</v>
      </c>
      <c r="F43" s="23" t="s">
        <v>2655</v>
      </c>
      <c r="G43" s="23" t="s">
        <v>2656</v>
      </c>
      <c r="H43" s="23">
        <v>3</v>
      </c>
      <c r="I43" s="9">
        <f>COUNTIF(Data1_Clean!$I$2:I1000,A43)</f>
        <v>1</v>
      </c>
    </row>
    <row r="44" spans="1:9">
      <c r="A44" s="22" t="s">
        <v>2415</v>
      </c>
      <c r="B44" s="23" t="s">
        <v>1370</v>
      </c>
      <c r="C44" s="23">
        <v>46</v>
      </c>
      <c r="D44" s="23" t="s">
        <v>1203</v>
      </c>
      <c r="E44" s="24">
        <v>45554</v>
      </c>
      <c r="F44" s="23" t="s">
        <v>2653</v>
      </c>
      <c r="G44" s="23" t="s">
        <v>2654</v>
      </c>
      <c r="H44" s="23">
        <v>0</v>
      </c>
      <c r="I44" s="9">
        <f>COUNTIF(Data1_Clean!$I$2:I1000,A44)</f>
        <v>0</v>
      </c>
    </row>
    <row r="45" spans="1:9">
      <c r="A45" s="22" t="s">
        <v>1600</v>
      </c>
      <c r="B45" s="23" t="s">
        <v>1370</v>
      </c>
      <c r="C45" s="23">
        <v>49</v>
      </c>
      <c r="D45" s="23" t="s">
        <v>1203</v>
      </c>
      <c r="E45" s="24">
        <v>45562</v>
      </c>
      <c r="F45" s="23" t="s">
        <v>2653</v>
      </c>
      <c r="G45" s="23" t="s">
        <v>2654</v>
      </c>
      <c r="H45" s="23">
        <v>0</v>
      </c>
      <c r="I45" s="9">
        <f>COUNTIF(Data1_Clean!$I$2:I1000,A45)</f>
        <v>3</v>
      </c>
    </row>
    <row r="46" spans="1:9">
      <c r="A46" s="22" t="s">
        <v>692</v>
      </c>
      <c r="B46" s="23" t="s">
        <v>1370</v>
      </c>
      <c r="C46" s="23">
        <v>27</v>
      </c>
      <c r="D46" s="23" t="s">
        <v>1203</v>
      </c>
      <c r="E46" s="24">
        <v>45565</v>
      </c>
      <c r="F46" s="23" t="s">
        <v>2655</v>
      </c>
      <c r="G46" s="23" t="s">
        <v>2654</v>
      </c>
      <c r="H46" s="23">
        <v>0</v>
      </c>
      <c r="I46" s="9">
        <f>COUNTIF(Data1_Clean!$I$2:I1000,A46)</f>
        <v>1</v>
      </c>
    </row>
    <row r="47" spans="1:9">
      <c r="A47" s="22" t="s">
        <v>1660</v>
      </c>
      <c r="B47" s="23" t="s">
        <v>1176</v>
      </c>
      <c r="C47" s="23">
        <v>63</v>
      </c>
      <c r="D47" s="23" t="s">
        <v>1203</v>
      </c>
      <c r="E47" s="24">
        <v>45589</v>
      </c>
      <c r="F47" s="23" t="s">
        <v>2655</v>
      </c>
      <c r="G47" s="23" t="s">
        <v>2654</v>
      </c>
      <c r="H47" s="23">
        <v>0</v>
      </c>
      <c r="I47" s="9">
        <f>COUNTIF(Data1_Clean!$I$2:I1000,A47)</f>
        <v>1</v>
      </c>
    </row>
    <row r="48" spans="1:9">
      <c r="A48" s="22" t="s">
        <v>1471</v>
      </c>
      <c r="B48" s="23" t="s">
        <v>1370</v>
      </c>
      <c r="C48" s="23">
        <v>57</v>
      </c>
      <c r="D48" s="23" t="s">
        <v>1203</v>
      </c>
      <c r="E48" s="24">
        <v>45607</v>
      </c>
      <c r="F48" s="23" t="s">
        <v>2653</v>
      </c>
      <c r="G48" s="23" t="s">
        <v>2656</v>
      </c>
      <c r="H48" s="23">
        <v>4</v>
      </c>
      <c r="I48" s="9">
        <f>COUNTIF(Data1_Clean!$I$2:I1000,A48)</f>
        <v>1</v>
      </c>
    </row>
    <row r="49" spans="1:9">
      <c r="A49" s="22" t="s">
        <v>1115</v>
      </c>
      <c r="B49" s="23" t="s">
        <v>1370</v>
      </c>
      <c r="C49" s="23">
        <v>26</v>
      </c>
      <c r="D49" s="23" t="s">
        <v>1203</v>
      </c>
      <c r="E49" s="24">
        <v>45630</v>
      </c>
      <c r="F49" s="23" t="s">
        <v>2655</v>
      </c>
      <c r="G49" s="23" t="s">
        <v>2654</v>
      </c>
      <c r="H49" s="23">
        <v>0</v>
      </c>
      <c r="I49" s="9">
        <f>COUNTIF(Data1_Clean!$I$2:I1000,A49)</f>
        <v>1</v>
      </c>
    </row>
    <row r="50" spans="1:9">
      <c r="A50" s="22" t="s">
        <v>2561</v>
      </c>
      <c r="B50" s="23" t="s">
        <v>1370</v>
      </c>
      <c r="C50" s="23">
        <v>46</v>
      </c>
      <c r="D50" s="23" t="s">
        <v>1203</v>
      </c>
      <c r="E50" s="24">
        <v>45707</v>
      </c>
      <c r="F50" s="23" t="s">
        <v>2655</v>
      </c>
      <c r="G50" s="23" t="s">
        <v>2656</v>
      </c>
      <c r="H50" s="23">
        <v>1</v>
      </c>
      <c r="I50" s="9">
        <f>COUNTIF(Data1_Clean!$I$2:I1000,A50)</f>
        <v>0</v>
      </c>
    </row>
    <row r="51" spans="1:9">
      <c r="A51" s="22" t="s">
        <v>1613</v>
      </c>
      <c r="B51" s="23" t="s">
        <v>1370</v>
      </c>
      <c r="C51" s="23">
        <v>55</v>
      </c>
      <c r="D51" s="23" t="s">
        <v>1203</v>
      </c>
      <c r="E51" s="24">
        <v>45726</v>
      </c>
      <c r="F51" s="23" t="s">
        <v>2655</v>
      </c>
      <c r="G51" s="23" t="s">
        <v>2656</v>
      </c>
      <c r="H51" s="23">
        <v>1</v>
      </c>
      <c r="I51" s="9">
        <f>COUNTIF(Data1_Clean!$I$2:I1000,A51)</f>
        <v>1</v>
      </c>
    </row>
    <row r="52" spans="1:9">
      <c r="A52" s="22" t="s">
        <v>1158</v>
      </c>
      <c r="B52" s="23" t="s">
        <v>1370</v>
      </c>
      <c r="C52" s="23">
        <v>52</v>
      </c>
      <c r="D52" s="23" t="s">
        <v>89</v>
      </c>
      <c r="E52" s="24">
        <v>45540</v>
      </c>
      <c r="F52" s="23" t="s">
        <v>2653</v>
      </c>
      <c r="G52" s="23" t="s">
        <v>2654</v>
      </c>
      <c r="H52" s="23">
        <v>0</v>
      </c>
      <c r="I52" s="9">
        <f>COUNTIF(Data1_Clean!$I$2:I1000,A52)</f>
        <v>1</v>
      </c>
    </row>
    <row r="53" spans="1:9">
      <c r="A53" s="22" t="s">
        <v>1278</v>
      </c>
      <c r="B53" s="23" t="s">
        <v>1370</v>
      </c>
      <c r="C53" s="23">
        <v>51</v>
      </c>
      <c r="D53" s="23" t="s">
        <v>89</v>
      </c>
      <c r="E53" s="24">
        <v>45544</v>
      </c>
      <c r="F53" s="23" t="s">
        <v>2653</v>
      </c>
      <c r="G53" s="23" t="s">
        <v>2654</v>
      </c>
      <c r="H53" s="23">
        <v>0</v>
      </c>
      <c r="I53" s="9">
        <f>COUNTIF(Data1_Clean!$I$2:I1000,A53)</f>
        <v>1</v>
      </c>
    </row>
    <row r="54" spans="1:9">
      <c r="A54" s="22" t="s">
        <v>2388</v>
      </c>
      <c r="B54" s="23" t="s">
        <v>1370</v>
      </c>
      <c r="C54" s="23">
        <v>53</v>
      </c>
      <c r="D54" s="23" t="s">
        <v>89</v>
      </c>
      <c r="E54" s="24">
        <v>45549</v>
      </c>
      <c r="F54" s="23" t="s">
        <v>2653</v>
      </c>
      <c r="G54" s="23" t="s">
        <v>2656</v>
      </c>
      <c r="H54" s="23">
        <v>4</v>
      </c>
      <c r="I54" s="9">
        <f>COUNTIF(Data1_Clean!$I$2:I1000,A54)</f>
        <v>0</v>
      </c>
    </row>
    <row r="55" spans="1:9">
      <c r="A55" s="22" t="s">
        <v>685</v>
      </c>
      <c r="B55" s="23" t="s">
        <v>1176</v>
      </c>
      <c r="C55" s="23">
        <v>61</v>
      </c>
      <c r="D55" s="23" t="s">
        <v>89</v>
      </c>
      <c r="E55" s="24">
        <v>45574</v>
      </c>
      <c r="F55" s="23" t="s">
        <v>2655</v>
      </c>
      <c r="G55" s="23" t="s">
        <v>2654</v>
      </c>
      <c r="H55" s="23">
        <v>0</v>
      </c>
      <c r="I55" s="9">
        <f>COUNTIF(Data1_Clean!$I$2:I1000,A55)</f>
        <v>2</v>
      </c>
    </row>
    <row r="56" spans="1:9">
      <c r="A56" s="22" t="s">
        <v>510</v>
      </c>
      <c r="B56" s="23" t="s">
        <v>1176</v>
      </c>
      <c r="C56" s="23">
        <v>45</v>
      </c>
      <c r="D56" s="23" t="s">
        <v>89</v>
      </c>
      <c r="E56" s="24">
        <v>45576</v>
      </c>
      <c r="F56" s="23" t="s">
        <v>2653</v>
      </c>
      <c r="G56" s="23" t="s">
        <v>2656</v>
      </c>
      <c r="H56" s="23">
        <v>2</v>
      </c>
      <c r="I56" s="9">
        <f>COUNTIF(Data1_Clean!$I$2:I1000,A56)</f>
        <v>3</v>
      </c>
    </row>
    <row r="57" spans="1:9">
      <c r="A57" s="22" t="s">
        <v>1303</v>
      </c>
      <c r="B57" s="23" t="s">
        <v>1176</v>
      </c>
      <c r="C57" s="23">
        <v>45</v>
      </c>
      <c r="D57" s="23" t="s">
        <v>89</v>
      </c>
      <c r="E57" s="24">
        <v>45582</v>
      </c>
      <c r="F57" s="23" t="s">
        <v>2655</v>
      </c>
      <c r="G57" s="23" t="s">
        <v>2656</v>
      </c>
      <c r="H57" s="23">
        <v>2</v>
      </c>
      <c r="I57" s="9">
        <f>COUNTIF(Data1_Clean!$I$2:I1000,A57)</f>
        <v>2</v>
      </c>
    </row>
    <row r="58" spans="1:9">
      <c r="A58" s="22" t="s">
        <v>2558</v>
      </c>
      <c r="B58" s="23" t="s">
        <v>1176</v>
      </c>
      <c r="C58" s="23">
        <v>32</v>
      </c>
      <c r="D58" s="23" t="s">
        <v>89</v>
      </c>
      <c r="E58" s="24">
        <v>45594</v>
      </c>
      <c r="F58" s="23" t="s">
        <v>2653</v>
      </c>
      <c r="G58" s="23" t="s">
        <v>2654</v>
      </c>
      <c r="H58" s="23">
        <v>0</v>
      </c>
      <c r="I58" s="9">
        <f>COUNTIF(Data1_Clean!$I$2:I1000,A58)</f>
        <v>0</v>
      </c>
    </row>
    <row r="59" spans="1:9">
      <c r="A59" s="22" t="s">
        <v>1728</v>
      </c>
      <c r="B59" s="23" t="s">
        <v>1370</v>
      </c>
      <c r="C59" s="23">
        <v>45</v>
      </c>
      <c r="D59" s="23" t="s">
        <v>89</v>
      </c>
      <c r="E59" s="24">
        <v>45632</v>
      </c>
      <c r="F59" s="23" t="s">
        <v>2653</v>
      </c>
      <c r="G59" s="23" t="s">
        <v>2656</v>
      </c>
      <c r="H59" s="23">
        <v>2</v>
      </c>
      <c r="I59" s="9">
        <f>COUNTIF(Data1_Clean!$I$2:I1000,A59)</f>
        <v>2</v>
      </c>
    </row>
    <row r="60" spans="1:9">
      <c r="A60" s="22" t="s">
        <v>2639</v>
      </c>
      <c r="B60" s="23" t="s">
        <v>1370</v>
      </c>
      <c r="C60" s="23">
        <v>30</v>
      </c>
      <c r="D60" s="23" t="s">
        <v>89</v>
      </c>
      <c r="E60" s="24">
        <v>45655</v>
      </c>
      <c r="F60" s="23" t="s">
        <v>2653</v>
      </c>
      <c r="G60" s="23" t="s">
        <v>2654</v>
      </c>
      <c r="H60" s="23">
        <v>0</v>
      </c>
      <c r="I60" s="9">
        <f>COUNTIF(Data1_Clean!$I$2:I1000,A60)</f>
        <v>0</v>
      </c>
    </row>
    <row r="61" spans="1:9">
      <c r="A61" s="22" t="s">
        <v>1049</v>
      </c>
      <c r="B61" s="23" t="s">
        <v>1176</v>
      </c>
      <c r="C61" s="23">
        <v>36</v>
      </c>
      <c r="D61" s="23" t="s">
        <v>89</v>
      </c>
      <c r="E61" s="24">
        <v>45662</v>
      </c>
      <c r="F61" s="23" t="s">
        <v>2655</v>
      </c>
      <c r="G61" s="23" t="s">
        <v>2654</v>
      </c>
      <c r="H61" s="23">
        <v>0</v>
      </c>
      <c r="I61" s="9">
        <f>COUNTIF(Data1_Clean!$I$2:I1000,A61)</f>
        <v>3</v>
      </c>
    </row>
    <row r="62" spans="1:9">
      <c r="A62" s="22" t="s">
        <v>1164</v>
      </c>
      <c r="B62" s="23" t="s">
        <v>1176</v>
      </c>
      <c r="C62" s="23">
        <v>22</v>
      </c>
      <c r="D62" s="23" t="s">
        <v>89</v>
      </c>
      <c r="E62" s="24">
        <v>45669</v>
      </c>
      <c r="F62" s="23" t="s">
        <v>2655</v>
      </c>
      <c r="G62" s="23" t="s">
        <v>2654</v>
      </c>
      <c r="H62" s="23">
        <v>0</v>
      </c>
      <c r="I62" s="9">
        <f>COUNTIF(Data1_Clean!$I$2:I1000,A62)</f>
        <v>1</v>
      </c>
    </row>
    <row r="63" spans="1:9">
      <c r="A63" s="22" t="s">
        <v>2590</v>
      </c>
      <c r="B63" s="23" t="s">
        <v>1176</v>
      </c>
      <c r="C63" s="23">
        <v>28</v>
      </c>
      <c r="D63" s="23" t="s">
        <v>89</v>
      </c>
      <c r="E63" s="24">
        <v>45693</v>
      </c>
      <c r="F63" s="23" t="s">
        <v>2655</v>
      </c>
      <c r="G63" s="23" t="s">
        <v>2656</v>
      </c>
      <c r="H63" s="23">
        <v>4</v>
      </c>
      <c r="I63" s="9">
        <f>COUNTIF(Data1_Clean!$I$2:I1000,A63)</f>
        <v>0</v>
      </c>
    </row>
    <row r="64" spans="1:9">
      <c r="A64" s="22" t="s">
        <v>2436</v>
      </c>
      <c r="B64" s="23" t="s">
        <v>1176</v>
      </c>
      <c r="C64" s="23">
        <v>64</v>
      </c>
      <c r="D64" s="23" t="s">
        <v>89</v>
      </c>
      <c r="E64" s="24">
        <v>45734</v>
      </c>
      <c r="F64" s="23" t="s">
        <v>2653</v>
      </c>
      <c r="G64" s="23" t="s">
        <v>2654</v>
      </c>
      <c r="H64" s="23">
        <v>0</v>
      </c>
      <c r="I64" s="9">
        <f>COUNTIF(Data1_Clean!$I$2:I1000,A64)</f>
        <v>0</v>
      </c>
    </row>
    <row r="65" spans="1:9">
      <c r="A65" s="22" t="s">
        <v>2327</v>
      </c>
      <c r="B65" s="23" t="s">
        <v>1176</v>
      </c>
      <c r="C65" s="23">
        <v>22</v>
      </c>
      <c r="D65" s="23" t="s">
        <v>89</v>
      </c>
      <c r="E65" s="24">
        <v>45743</v>
      </c>
      <c r="F65" s="23" t="s">
        <v>2653</v>
      </c>
      <c r="G65" s="23" t="s">
        <v>2654</v>
      </c>
      <c r="H65" s="23">
        <v>0</v>
      </c>
      <c r="I65" s="9">
        <f>COUNTIF(Data1_Clean!$I$2:I1000,A65)</f>
        <v>1</v>
      </c>
    </row>
    <row r="66" spans="1:9">
      <c r="A66" s="22" t="s">
        <v>2468</v>
      </c>
      <c r="B66" s="23" t="s">
        <v>1370</v>
      </c>
      <c r="C66" s="23">
        <v>58</v>
      </c>
      <c r="D66" s="23" t="s">
        <v>2660</v>
      </c>
      <c r="E66" s="24">
        <v>45543</v>
      </c>
      <c r="F66" s="23" t="s">
        <v>2653</v>
      </c>
      <c r="G66" s="23" t="s">
        <v>2654</v>
      </c>
      <c r="H66" s="23">
        <v>0</v>
      </c>
      <c r="I66" s="9">
        <f>COUNTIF(Data1_Clean!$I$2:I1000,A66)</f>
        <v>0</v>
      </c>
    </row>
    <row r="67" spans="1:9">
      <c r="A67" s="22" t="s">
        <v>2385</v>
      </c>
      <c r="B67" s="23" t="s">
        <v>1370</v>
      </c>
      <c r="C67" s="23">
        <v>59</v>
      </c>
      <c r="D67" s="23" t="s">
        <v>2660</v>
      </c>
      <c r="E67" s="24">
        <v>45550</v>
      </c>
      <c r="F67" s="23" t="s">
        <v>2655</v>
      </c>
      <c r="G67" s="23" t="s">
        <v>2656</v>
      </c>
      <c r="H67" s="23">
        <v>3</v>
      </c>
      <c r="I67" s="9">
        <f>COUNTIF(Data1_Clean!$I$2:I1000,A67)</f>
        <v>0</v>
      </c>
    </row>
    <row r="68" spans="1:9">
      <c r="A68" s="22" t="s">
        <v>1592</v>
      </c>
      <c r="B68" s="23" t="s">
        <v>1176</v>
      </c>
      <c r="C68" s="23">
        <v>58</v>
      </c>
      <c r="D68" s="23" t="s">
        <v>2660</v>
      </c>
      <c r="E68" s="24">
        <v>45566</v>
      </c>
      <c r="F68" s="23" t="s">
        <v>2653</v>
      </c>
      <c r="G68" s="23" t="s">
        <v>2656</v>
      </c>
      <c r="H68" s="23">
        <v>1</v>
      </c>
      <c r="I68" s="9">
        <f>COUNTIF(Data1_Clean!$I$2:I1000,A68)</f>
        <v>2</v>
      </c>
    </row>
    <row r="69" spans="1:9">
      <c r="A69" s="22" t="s">
        <v>2531</v>
      </c>
      <c r="B69" s="23" t="s">
        <v>1176</v>
      </c>
      <c r="C69" s="23">
        <v>61</v>
      </c>
      <c r="D69" s="23" t="s">
        <v>2660</v>
      </c>
      <c r="E69" s="24">
        <v>45620</v>
      </c>
      <c r="F69" s="23" t="s">
        <v>2653</v>
      </c>
      <c r="G69" s="23" t="s">
        <v>2654</v>
      </c>
      <c r="H69" s="23">
        <v>0</v>
      </c>
      <c r="I69" s="9">
        <f>COUNTIF(Data1_Clean!$I$2:I1000,A69)</f>
        <v>0</v>
      </c>
    </row>
    <row r="70" spans="1:9">
      <c r="A70" s="22" t="s">
        <v>2540</v>
      </c>
      <c r="B70" s="23" t="s">
        <v>1370</v>
      </c>
      <c r="C70" s="23">
        <v>41</v>
      </c>
      <c r="D70" s="23" t="s">
        <v>2660</v>
      </c>
      <c r="E70" s="24">
        <v>45634</v>
      </c>
      <c r="F70" s="23" t="s">
        <v>2653</v>
      </c>
      <c r="G70" s="23" t="s">
        <v>2656</v>
      </c>
      <c r="H70" s="23">
        <v>2</v>
      </c>
      <c r="I70" s="9">
        <f>COUNTIF(Data1_Clean!$I$2:I1000,A70)</f>
        <v>0</v>
      </c>
    </row>
    <row r="71" spans="1:9">
      <c r="A71" s="22" t="s">
        <v>2413</v>
      </c>
      <c r="B71" s="23" t="s">
        <v>1370</v>
      </c>
      <c r="C71" s="23">
        <v>40</v>
      </c>
      <c r="D71" s="23" t="s">
        <v>2660</v>
      </c>
      <c r="E71" s="24">
        <v>45639</v>
      </c>
      <c r="F71" s="23" t="s">
        <v>2655</v>
      </c>
      <c r="G71" s="23" t="s">
        <v>2654</v>
      </c>
      <c r="H71" s="23">
        <v>0</v>
      </c>
      <c r="I71" s="9">
        <f>COUNTIF(Data1_Clean!$I$2:I1000,A71)</f>
        <v>0</v>
      </c>
    </row>
    <row r="72" spans="1:9">
      <c r="A72" s="22" t="s">
        <v>1187</v>
      </c>
      <c r="B72" s="23" t="s">
        <v>1176</v>
      </c>
      <c r="C72" s="23">
        <v>21</v>
      </c>
      <c r="D72" s="23" t="s">
        <v>2660</v>
      </c>
      <c r="E72" s="24">
        <v>45641</v>
      </c>
      <c r="F72" s="23" t="s">
        <v>2653</v>
      </c>
      <c r="G72" s="23" t="s">
        <v>2656</v>
      </c>
      <c r="H72" s="23">
        <v>2</v>
      </c>
      <c r="I72" s="9">
        <f>COUNTIF(Data1_Clean!$I$2:I1000,A72)</f>
        <v>2</v>
      </c>
    </row>
    <row r="73" spans="1:9">
      <c r="A73" s="22" t="s">
        <v>1306</v>
      </c>
      <c r="B73" s="23" t="s">
        <v>1176</v>
      </c>
      <c r="C73" s="23">
        <v>64</v>
      </c>
      <c r="D73" s="23" t="s">
        <v>2660</v>
      </c>
      <c r="E73" s="24">
        <v>45643</v>
      </c>
      <c r="F73" s="23" t="s">
        <v>2655</v>
      </c>
      <c r="G73" s="23" t="s">
        <v>2656</v>
      </c>
      <c r="H73" s="23">
        <v>1</v>
      </c>
      <c r="I73" s="9">
        <f>COUNTIF(Data1_Clean!$I$2:I1000,A73)</f>
        <v>1</v>
      </c>
    </row>
    <row r="74" spans="1:9">
      <c r="A74" s="22" t="s">
        <v>235</v>
      </c>
      <c r="B74" s="23" t="s">
        <v>1176</v>
      </c>
      <c r="C74" s="23">
        <v>22</v>
      </c>
      <c r="D74" s="23" t="s">
        <v>2660</v>
      </c>
      <c r="E74" s="24">
        <v>45655</v>
      </c>
      <c r="F74" s="23" t="s">
        <v>2653</v>
      </c>
      <c r="G74" s="23" t="s">
        <v>2656</v>
      </c>
      <c r="H74" s="23">
        <v>4</v>
      </c>
      <c r="I74" s="9">
        <f>COUNTIF(Data1_Clean!$I$2:I1000,A74)</f>
        <v>2</v>
      </c>
    </row>
    <row r="75" spans="1:9">
      <c r="A75" s="22" t="s">
        <v>221</v>
      </c>
      <c r="B75" s="23" t="s">
        <v>1370</v>
      </c>
      <c r="C75" s="23">
        <v>31</v>
      </c>
      <c r="D75" s="23" t="s">
        <v>2660</v>
      </c>
      <c r="E75" s="24">
        <v>45680</v>
      </c>
      <c r="F75" s="23" t="s">
        <v>2653</v>
      </c>
      <c r="G75" s="23" t="s">
        <v>2654</v>
      </c>
      <c r="H75" s="23">
        <v>0</v>
      </c>
      <c r="I75" s="9">
        <f>COUNTIF(Data1_Clean!$I$2:I1000,A75)</f>
        <v>2</v>
      </c>
    </row>
    <row r="76" spans="1:9">
      <c r="A76" s="22" t="s">
        <v>1680</v>
      </c>
      <c r="B76" s="23" t="s">
        <v>1370</v>
      </c>
      <c r="C76" s="23">
        <v>36</v>
      </c>
      <c r="D76" s="23" t="s">
        <v>2660</v>
      </c>
      <c r="E76" s="24">
        <v>45710</v>
      </c>
      <c r="F76" s="23" t="s">
        <v>2655</v>
      </c>
      <c r="G76" s="23" t="s">
        <v>2656</v>
      </c>
      <c r="H76" s="23">
        <v>3</v>
      </c>
      <c r="I76" s="9">
        <f>COUNTIF(Data1_Clean!$I$2:I1000,A76)</f>
        <v>3</v>
      </c>
    </row>
    <row r="77" spans="1:9">
      <c r="A77" s="22" t="s">
        <v>1181</v>
      </c>
      <c r="B77" s="23" t="s">
        <v>1370</v>
      </c>
      <c r="C77" s="23">
        <v>61</v>
      </c>
      <c r="D77" s="23" t="s">
        <v>2660</v>
      </c>
      <c r="E77" s="24">
        <v>45732</v>
      </c>
      <c r="F77" s="23" t="s">
        <v>2653</v>
      </c>
      <c r="G77" s="23" t="s">
        <v>2654</v>
      </c>
      <c r="H77" s="23">
        <v>0</v>
      </c>
      <c r="I77" s="9">
        <f>COUNTIF(Data1_Clean!$I$2:I1000,A77)</f>
        <v>1</v>
      </c>
    </row>
    <row r="78" spans="1:9">
      <c r="A78" s="22" t="s">
        <v>111</v>
      </c>
      <c r="B78" s="23" t="s">
        <v>1176</v>
      </c>
      <c r="C78" s="23">
        <v>35</v>
      </c>
      <c r="D78" s="23" t="s">
        <v>2661</v>
      </c>
      <c r="E78" s="24">
        <v>45560</v>
      </c>
      <c r="F78" s="23" t="s">
        <v>2655</v>
      </c>
      <c r="G78" s="23" t="s">
        <v>2656</v>
      </c>
      <c r="H78" s="23">
        <v>1</v>
      </c>
      <c r="I78" s="9">
        <f>COUNTIF(Data1_Clean!$I$2:I1000,A78)</f>
        <v>4</v>
      </c>
    </row>
    <row r="79" spans="1:9">
      <c r="A79" s="22" t="s">
        <v>638</v>
      </c>
      <c r="B79" s="23" t="s">
        <v>1370</v>
      </c>
      <c r="C79" s="23">
        <v>48</v>
      </c>
      <c r="D79" s="23" t="s">
        <v>2661</v>
      </c>
      <c r="E79" s="24">
        <v>45562</v>
      </c>
      <c r="F79" s="23" t="s">
        <v>2655</v>
      </c>
      <c r="G79" s="23" t="s">
        <v>2656</v>
      </c>
      <c r="H79" s="23">
        <v>3</v>
      </c>
      <c r="I79" s="9">
        <f>COUNTIF(Data1_Clean!$I$2:I1000,A79)</f>
        <v>1</v>
      </c>
    </row>
    <row r="80" spans="1:9">
      <c r="A80" s="22" t="s">
        <v>843</v>
      </c>
      <c r="B80" s="23" t="s">
        <v>1370</v>
      </c>
      <c r="C80" s="23">
        <v>24</v>
      </c>
      <c r="D80" s="23" t="s">
        <v>2661</v>
      </c>
      <c r="E80" s="24">
        <v>45564</v>
      </c>
      <c r="F80" s="23" t="s">
        <v>2655</v>
      </c>
      <c r="G80" s="23" t="s">
        <v>2656</v>
      </c>
      <c r="H80" s="23">
        <v>2</v>
      </c>
      <c r="I80" s="9">
        <f>COUNTIF(Data1_Clean!$I$2:I1000,A80)</f>
        <v>1</v>
      </c>
    </row>
    <row r="81" spans="1:9">
      <c r="A81" s="22" t="s">
        <v>2470</v>
      </c>
      <c r="B81" s="23" t="s">
        <v>1176</v>
      </c>
      <c r="C81" s="23">
        <v>63</v>
      </c>
      <c r="D81" s="23" t="s">
        <v>2661</v>
      </c>
      <c r="E81" s="24">
        <v>45576</v>
      </c>
      <c r="F81" s="23" t="s">
        <v>2653</v>
      </c>
      <c r="G81" s="23" t="s">
        <v>2656</v>
      </c>
      <c r="H81" s="23">
        <v>4</v>
      </c>
      <c r="I81" s="9">
        <f>COUNTIF(Data1_Clean!$I$2:I1000,A81)</f>
        <v>0</v>
      </c>
    </row>
    <row r="82" spans="1:9">
      <c r="A82" s="22" t="s">
        <v>1699</v>
      </c>
      <c r="B82" s="23" t="s">
        <v>1176</v>
      </c>
      <c r="C82" s="23">
        <v>45</v>
      </c>
      <c r="D82" s="23" t="s">
        <v>2661</v>
      </c>
      <c r="E82" s="24">
        <v>45582</v>
      </c>
      <c r="F82" s="23" t="s">
        <v>2653</v>
      </c>
      <c r="G82" s="23" t="s">
        <v>2656</v>
      </c>
      <c r="H82" s="23">
        <v>3</v>
      </c>
      <c r="I82" s="9">
        <f>COUNTIF(Data1_Clean!$I$2:I1000,A82)</f>
        <v>3</v>
      </c>
    </row>
    <row r="83" spans="1:9">
      <c r="A83" s="22" t="s">
        <v>2497</v>
      </c>
      <c r="B83" s="23" t="s">
        <v>1370</v>
      </c>
      <c r="C83" s="23">
        <v>41</v>
      </c>
      <c r="D83" s="23" t="s">
        <v>2661</v>
      </c>
      <c r="E83" s="24">
        <v>45595</v>
      </c>
      <c r="F83" s="23" t="s">
        <v>2653</v>
      </c>
      <c r="G83" s="23" t="s">
        <v>2654</v>
      </c>
      <c r="H83" s="23">
        <v>0</v>
      </c>
      <c r="I83" s="9">
        <f>COUNTIF(Data1_Clean!$I$2:I1000,A83)</f>
        <v>0</v>
      </c>
    </row>
    <row r="84" spans="1:9">
      <c r="A84" s="22" t="s">
        <v>33</v>
      </c>
      <c r="B84" s="23" t="s">
        <v>1176</v>
      </c>
      <c r="C84" s="23">
        <v>65</v>
      </c>
      <c r="D84" s="23" t="s">
        <v>2661</v>
      </c>
      <c r="E84" s="24">
        <v>45629</v>
      </c>
      <c r="F84" s="23" t="s">
        <v>2653</v>
      </c>
      <c r="G84" s="23" t="s">
        <v>2656</v>
      </c>
      <c r="H84" s="23">
        <v>1</v>
      </c>
      <c r="I84" s="9">
        <f>COUNTIF(Data1_Clean!$I$2:I1000,A84)</f>
        <v>2</v>
      </c>
    </row>
    <row r="85" spans="1:9">
      <c r="A85" s="22" t="s">
        <v>2523</v>
      </c>
      <c r="B85" s="23" t="s">
        <v>1176</v>
      </c>
      <c r="C85" s="23">
        <v>62</v>
      </c>
      <c r="D85" s="23" t="s">
        <v>2661</v>
      </c>
      <c r="E85" s="24">
        <v>45646</v>
      </c>
      <c r="F85" s="23" t="s">
        <v>2653</v>
      </c>
      <c r="G85" s="23" t="s">
        <v>2656</v>
      </c>
      <c r="H85" s="23">
        <v>3</v>
      </c>
      <c r="I85" s="9">
        <f>COUNTIF(Data1_Clean!$I$2:I1000,A85)</f>
        <v>0</v>
      </c>
    </row>
    <row r="86" spans="1:9">
      <c r="A86" s="22" t="s">
        <v>1556</v>
      </c>
      <c r="B86" s="23" t="s">
        <v>1176</v>
      </c>
      <c r="C86" s="23">
        <v>63</v>
      </c>
      <c r="D86" s="23" t="s">
        <v>2661</v>
      </c>
      <c r="E86" s="24">
        <v>45649</v>
      </c>
      <c r="F86" s="23" t="s">
        <v>2653</v>
      </c>
      <c r="G86" s="23" t="s">
        <v>2656</v>
      </c>
      <c r="H86" s="23">
        <v>1</v>
      </c>
      <c r="I86" s="9">
        <f>COUNTIF(Data1_Clean!$I$2:I1000,A86)</f>
        <v>1</v>
      </c>
    </row>
    <row r="87" spans="1:9">
      <c r="A87" s="22" t="s">
        <v>2401</v>
      </c>
      <c r="B87" s="23" t="s">
        <v>1370</v>
      </c>
      <c r="C87" s="23">
        <v>41</v>
      </c>
      <c r="D87" s="23" t="s">
        <v>2661</v>
      </c>
      <c r="E87" s="24">
        <v>45656</v>
      </c>
      <c r="F87" s="23" t="s">
        <v>2655</v>
      </c>
      <c r="G87" s="23" t="s">
        <v>2656</v>
      </c>
      <c r="H87" s="23">
        <v>3</v>
      </c>
      <c r="I87" s="9">
        <f>COUNTIF(Data1_Clean!$I$2:I1000,A87)</f>
        <v>0</v>
      </c>
    </row>
    <row r="88" spans="1:9">
      <c r="A88" s="22" t="s">
        <v>2559</v>
      </c>
      <c r="B88" s="23" t="s">
        <v>1370</v>
      </c>
      <c r="C88" s="23">
        <v>23</v>
      </c>
      <c r="D88" s="23" t="s">
        <v>2661</v>
      </c>
      <c r="E88" s="24">
        <v>45663</v>
      </c>
      <c r="F88" s="23" t="s">
        <v>2653</v>
      </c>
      <c r="G88" s="23" t="s">
        <v>2654</v>
      </c>
      <c r="H88" s="23">
        <v>0</v>
      </c>
      <c r="I88" s="9">
        <f>COUNTIF(Data1_Clean!$I$2:I1000,A88)</f>
        <v>0</v>
      </c>
    </row>
    <row r="89" spans="1:9">
      <c r="A89" s="22" t="s">
        <v>1725</v>
      </c>
      <c r="B89" s="23" t="s">
        <v>1176</v>
      </c>
      <c r="C89" s="23">
        <v>25</v>
      </c>
      <c r="D89" s="23" t="s">
        <v>2661</v>
      </c>
      <c r="E89" s="24">
        <v>45684</v>
      </c>
      <c r="F89" s="23" t="s">
        <v>2655</v>
      </c>
      <c r="G89" s="23" t="s">
        <v>2656</v>
      </c>
      <c r="H89" s="23">
        <v>2</v>
      </c>
      <c r="I89" s="9">
        <f>COUNTIF(Data1_Clean!$I$2:I1000,A89)</f>
        <v>1</v>
      </c>
    </row>
    <row r="90" spans="1:9">
      <c r="A90" s="22" t="s">
        <v>1455</v>
      </c>
      <c r="B90" s="23" t="s">
        <v>1176</v>
      </c>
      <c r="C90" s="23">
        <v>42</v>
      </c>
      <c r="D90" s="23" t="s">
        <v>2661</v>
      </c>
      <c r="E90" s="24">
        <v>45690</v>
      </c>
      <c r="F90" s="23" t="s">
        <v>2653</v>
      </c>
      <c r="G90" s="23" t="s">
        <v>2656</v>
      </c>
      <c r="H90" s="23">
        <v>4</v>
      </c>
      <c r="I90" s="9">
        <f>COUNTIF(Data1_Clean!$I$2:I1000,A90)</f>
        <v>1</v>
      </c>
    </row>
    <row r="91" spans="1:9">
      <c r="A91" s="22" t="s">
        <v>2512</v>
      </c>
      <c r="B91" s="23" t="s">
        <v>1370</v>
      </c>
      <c r="C91" s="23">
        <v>19</v>
      </c>
      <c r="D91" s="23" t="s">
        <v>2661</v>
      </c>
      <c r="E91" s="24">
        <v>45698</v>
      </c>
      <c r="F91" s="23" t="s">
        <v>2655</v>
      </c>
      <c r="G91" s="23" t="s">
        <v>2656</v>
      </c>
      <c r="H91" s="23">
        <v>2</v>
      </c>
      <c r="I91" s="9">
        <f>COUNTIF(Data1_Clean!$I$2:I1000,A91)</f>
        <v>0</v>
      </c>
    </row>
    <row r="92" spans="1:9">
      <c r="A92" s="22" t="s">
        <v>2573</v>
      </c>
      <c r="B92" s="23" t="s">
        <v>1176</v>
      </c>
      <c r="C92" s="23">
        <v>41</v>
      </c>
      <c r="D92" s="23" t="s">
        <v>2661</v>
      </c>
      <c r="E92" s="24">
        <v>45713</v>
      </c>
      <c r="F92" s="23" t="s">
        <v>2653</v>
      </c>
      <c r="G92" s="23" t="s">
        <v>2656</v>
      </c>
      <c r="H92" s="23">
        <v>1</v>
      </c>
      <c r="I92" s="9">
        <f>COUNTIF(Data1_Clean!$I$2:I1000,A92)</f>
        <v>0</v>
      </c>
    </row>
    <row r="93" spans="1:9">
      <c r="A93" s="22" t="s">
        <v>1714</v>
      </c>
      <c r="B93" s="23" t="s">
        <v>1370</v>
      </c>
      <c r="C93" s="23">
        <v>56</v>
      </c>
      <c r="D93" s="23" t="s">
        <v>2661</v>
      </c>
      <c r="E93" s="24">
        <v>45731</v>
      </c>
      <c r="F93" s="23" t="s">
        <v>2653</v>
      </c>
      <c r="G93" s="23" t="s">
        <v>2654</v>
      </c>
      <c r="H93" s="23">
        <v>0</v>
      </c>
      <c r="I93" s="9">
        <f>COUNTIF(Data1_Clean!$I$2:I1000,A93)</f>
        <v>1</v>
      </c>
    </row>
    <row r="94" spans="1:9">
      <c r="A94" s="22" t="s">
        <v>2635</v>
      </c>
      <c r="B94" s="23" t="s">
        <v>1370</v>
      </c>
      <c r="C94" s="23">
        <v>65</v>
      </c>
      <c r="D94" s="23" t="s">
        <v>2662</v>
      </c>
      <c r="E94" s="24">
        <v>45551</v>
      </c>
      <c r="F94" s="23" t="s">
        <v>2653</v>
      </c>
      <c r="G94" s="23" t="s">
        <v>2654</v>
      </c>
      <c r="H94" s="23">
        <v>0</v>
      </c>
      <c r="I94" s="9">
        <f>COUNTIF(Data1_Clean!$I$2:I1000,A94)</f>
        <v>0</v>
      </c>
    </row>
    <row r="95" spans="1:9">
      <c r="A95" s="22" t="s">
        <v>748</v>
      </c>
      <c r="B95" s="23" t="s">
        <v>1176</v>
      </c>
      <c r="C95" s="23">
        <v>60</v>
      </c>
      <c r="D95" s="23" t="s">
        <v>2662</v>
      </c>
      <c r="E95" s="24">
        <v>45574</v>
      </c>
      <c r="F95" s="23" t="s">
        <v>2655</v>
      </c>
      <c r="G95" s="23" t="s">
        <v>2656</v>
      </c>
      <c r="H95" s="23">
        <v>3</v>
      </c>
      <c r="I95" s="9">
        <f>COUNTIF(Data1_Clean!$I$2:I1000,A95)</f>
        <v>3</v>
      </c>
    </row>
    <row r="96" spans="1:9">
      <c r="A96" s="22" t="s">
        <v>101</v>
      </c>
      <c r="B96" s="23" t="s">
        <v>1176</v>
      </c>
      <c r="C96" s="23">
        <v>38</v>
      </c>
      <c r="D96" s="23" t="s">
        <v>2662</v>
      </c>
      <c r="E96" s="24">
        <v>45597</v>
      </c>
      <c r="F96" s="23" t="s">
        <v>2653</v>
      </c>
      <c r="G96" s="23" t="s">
        <v>2656</v>
      </c>
      <c r="H96" s="23">
        <v>1</v>
      </c>
      <c r="I96" s="9">
        <f>COUNTIF(Data1_Clean!$I$2:I1000,A96)</f>
        <v>1</v>
      </c>
    </row>
    <row r="97" spans="1:9">
      <c r="A97" s="22" t="s">
        <v>2577</v>
      </c>
      <c r="B97" s="23" t="s">
        <v>1370</v>
      </c>
      <c r="C97" s="23">
        <v>32</v>
      </c>
      <c r="D97" s="23" t="s">
        <v>2662</v>
      </c>
      <c r="E97" s="24">
        <v>45598</v>
      </c>
      <c r="F97" s="23" t="s">
        <v>2653</v>
      </c>
      <c r="G97" s="23" t="s">
        <v>2654</v>
      </c>
      <c r="H97" s="23">
        <v>0</v>
      </c>
      <c r="I97" s="9">
        <f>COUNTIF(Data1_Clean!$I$2:I1000,A97)</f>
        <v>0</v>
      </c>
    </row>
    <row r="98" spans="1:9">
      <c r="A98" s="22" t="s">
        <v>2434</v>
      </c>
      <c r="B98" s="23" t="s">
        <v>1176</v>
      </c>
      <c r="C98" s="23">
        <v>24</v>
      </c>
      <c r="D98" s="23" t="s">
        <v>2662</v>
      </c>
      <c r="E98" s="24">
        <v>45617</v>
      </c>
      <c r="F98" s="23" t="s">
        <v>2655</v>
      </c>
      <c r="G98" s="23" t="s">
        <v>2654</v>
      </c>
      <c r="H98" s="23">
        <v>0</v>
      </c>
      <c r="I98" s="9">
        <f>COUNTIF(Data1_Clean!$I$2:I1000,A98)</f>
        <v>0</v>
      </c>
    </row>
    <row r="99" spans="1:9">
      <c r="A99" s="22" t="s">
        <v>2517</v>
      </c>
      <c r="B99" s="23" t="s">
        <v>1370</v>
      </c>
      <c r="C99" s="23">
        <v>46</v>
      </c>
      <c r="D99" s="23" t="s">
        <v>2662</v>
      </c>
      <c r="E99" s="24">
        <v>45632</v>
      </c>
      <c r="F99" s="23" t="s">
        <v>2655</v>
      </c>
      <c r="G99" s="23" t="s">
        <v>2654</v>
      </c>
      <c r="H99" s="23">
        <v>0</v>
      </c>
      <c r="I99" s="9">
        <f>COUNTIF(Data1_Clean!$I$2:I1000,A99)</f>
        <v>0</v>
      </c>
    </row>
    <row r="100" spans="1:9">
      <c r="A100" s="22" t="s">
        <v>2238</v>
      </c>
      <c r="B100" s="23" t="s">
        <v>1176</v>
      </c>
      <c r="C100" s="23">
        <v>33</v>
      </c>
      <c r="D100" s="23" t="s">
        <v>2662</v>
      </c>
      <c r="E100" s="24">
        <v>45634</v>
      </c>
      <c r="F100" s="23" t="s">
        <v>2653</v>
      </c>
      <c r="G100" s="23" t="s">
        <v>2654</v>
      </c>
      <c r="H100" s="23">
        <v>0</v>
      </c>
      <c r="I100" s="9">
        <f>COUNTIF(Data1_Clean!$I$2:I1000,A100)</f>
        <v>2</v>
      </c>
    </row>
    <row r="101" spans="1:9">
      <c r="A101" s="22" t="s">
        <v>2459</v>
      </c>
      <c r="B101" s="23" t="s">
        <v>1370</v>
      </c>
      <c r="C101" s="23">
        <v>57</v>
      </c>
      <c r="D101" s="23" t="s">
        <v>2662</v>
      </c>
      <c r="E101" s="24">
        <v>45674</v>
      </c>
      <c r="F101" s="23" t="s">
        <v>2655</v>
      </c>
      <c r="G101" s="23" t="s">
        <v>2654</v>
      </c>
      <c r="H101" s="23">
        <v>0</v>
      </c>
      <c r="I101" s="9">
        <f>COUNTIF(Data1_Clean!$I$2:I1000,A101)</f>
        <v>0</v>
      </c>
    </row>
    <row r="102" spans="1:9">
      <c r="A102" s="22" t="s">
        <v>671</v>
      </c>
      <c r="B102" s="23" t="s">
        <v>1176</v>
      </c>
      <c r="C102" s="23">
        <v>20</v>
      </c>
      <c r="D102" s="23" t="s">
        <v>2662</v>
      </c>
      <c r="E102" s="24">
        <v>45679</v>
      </c>
      <c r="F102" s="23" t="s">
        <v>2653</v>
      </c>
      <c r="G102" s="23" t="s">
        <v>2656</v>
      </c>
      <c r="H102" s="23">
        <v>4</v>
      </c>
      <c r="I102" s="9">
        <f>COUNTIF(Data1_Clean!$I$2:I1000,A102)</f>
        <v>1</v>
      </c>
    </row>
    <row r="103" spans="1:9">
      <c r="A103" s="22" t="s">
        <v>1751</v>
      </c>
      <c r="B103" s="23" t="s">
        <v>1176</v>
      </c>
      <c r="C103" s="23">
        <v>31</v>
      </c>
      <c r="D103" s="23" t="s">
        <v>2662</v>
      </c>
      <c r="E103" s="24">
        <v>45683</v>
      </c>
      <c r="F103" s="23" t="s">
        <v>2655</v>
      </c>
      <c r="G103" s="23" t="s">
        <v>2654</v>
      </c>
      <c r="H103" s="23">
        <v>0</v>
      </c>
      <c r="I103" s="9">
        <f>COUNTIF(Data1_Clean!$I$2:I1000,A103)</f>
        <v>2</v>
      </c>
    </row>
    <row r="104" spans="1:9">
      <c r="A104" s="22" t="s">
        <v>993</v>
      </c>
      <c r="B104" s="23" t="s">
        <v>1370</v>
      </c>
      <c r="C104" s="23">
        <v>65</v>
      </c>
      <c r="D104" s="23" t="s">
        <v>2662</v>
      </c>
      <c r="E104" s="24">
        <v>45689</v>
      </c>
      <c r="F104" s="23" t="s">
        <v>2653</v>
      </c>
      <c r="G104" s="23" t="s">
        <v>2654</v>
      </c>
      <c r="H104" s="23">
        <v>0</v>
      </c>
      <c r="I104" s="9">
        <f>COUNTIF(Data1_Clean!$I$2:I1000,A104)</f>
        <v>1</v>
      </c>
    </row>
    <row r="105" spans="1:9">
      <c r="A105" s="22" t="s">
        <v>1064</v>
      </c>
      <c r="B105" s="23" t="s">
        <v>1176</v>
      </c>
      <c r="C105" s="23">
        <v>57</v>
      </c>
      <c r="D105" s="23" t="s">
        <v>2662</v>
      </c>
      <c r="E105" s="24">
        <v>45692</v>
      </c>
      <c r="F105" s="23" t="s">
        <v>2653</v>
      </c>
      <c r="G105" s="23" t="s">
        <v>2656</v>
      </c>
      <c r="H105" s="23">
        <v>4</v>
      </c>
      <c r="I105" s="9">
        <f>COUNTIF(Data1_Clean!$I$2:I1000,A105)</f>
        <v>1</v>
      </c>
    </row>
    <row r="106" spans="1:9">
      <c r="A106" s="22" t="s">
        <v>2193</v>
      </c>
      <c r="B106" s="23" t="s">
        <v>1176</v>
      </c>
      <c r="C106" s="23">
        <v>41</v>
      </c>
      <c r="D106" s="23" t="s">
        <v>2662</v>
      </c>
      <c r="E106" s="24">
        <v>45693</v>
      </c>
      <c r="F106" s="23" t="s">
        <v>2655</v>
      </c>
      <c r="G106" s="23" t="s">
        <v>2656</v>
      </c>
      <c r="H106" s="23">
        <v>3</v>
      </c>
      <c r="I106" s="9">
        <f>COUNTIF(Data1_Clean!$I$2:I1000,A106)</f>
        <v>1</v>
      </c>
    </row>
    <row r="107" spans="1:9">
      <c r="A107" s="22" t="s">
        <v>2638</v>
      </c>
      <c r="B107" s="23" t="s">
        <v>1370</v>
      </c>
      <c r="C107" s="23">
        <v>59</v>
      </c>
      <c r="D107" s="23" t="s">
        <v>2662</v>
      </c>
      <c r="E107" s="24">
        <v>45715</v>
      </c>
      <c r="F107" s="23" t="s">
        <v>2653</v>
      </c>
      <c r="G107" s="23" t="s">
        <v>2654</v>
      </c>
      <c r="H107" s="23">
        <v>0</v>
      </c>
      <c r="I107" s="9">
        <f>COUNTIF(Data1_Clean!$I$2:I1000,A107)</f>
        <v>0</v>
      </c>
    </row>
    <row r="108" spans="1:9">
      <c r="A108" s="22" t="s">
        <v>2574</v>
      </c>
      <c r="B108" s="23" t="s">
        <v>1370</v>
      </c>
      <c r="C108" s="23">
        <v>37</v>
      </c>
      <c r="D108" s="23" t="s">
        <v>2662</v>
      </c>
      <c r="E108" s="24">
        <v>45728</v>
      </c>
      <c r="F108" s="23" t="s">
        <v>2655</v>
      </c>
      <c r="G108" s="23" t="s">
        <v>2656</v>
      </c>
      <c r="H108" s="23">
        <v>2</v>
      </c>
      <c r="I108" s="9">
        <f>COUNTIF(Data1_Clean!$I$2:I1000,A108)</f>
        <v>0</v>
      </c>
    </row>
    <row r="109" spans="1:9">
      <c r="A109" s="22" t="s">
        <v>2119</v>
      </c>
      <c r="B109" s="23" t="s">
        <v>1370</v>
      </c>
      <c r="C109" s="23">
        <v>63</v>
      </c>
      <c r="D109" s="23" t="s">
        <v>2662</v>
      </c>
      <c r="E109" s="24">
        <v>45731</v>
      </c>
      <c r="F109" s="23" t="s">
        <v>2655</v>
      </c>
      <c r="G109" s="23" t="s">
        <v>2654</v>
      </c>
      <c r="H109" s="23">
        <v>0</v>
      </c>
      <c r="I109" s="9">
        <f>COUNTIF(Data1_Clean!$I$2:I1000,A109)</f>
        <v>1</v>
      </c>
    </row>
    <row r="110" spans="1:9">
      <c r="A110" s="22" t="s">
        <v>1899</v>
      </c>
      <c r="B110" s="23" t="s">
        <v>1176</v>
      </c>
      <c r="C110" s="23">
        <v>25</v>
      </c>
      <c r="D110" s="23" t="s">
        <v>2662</v>
      </c>
      <c r="E110" s="24">
        <v>45745</v>
      </c>
      <c r="F110" s="23" t="s">
        <v>2655</v>
      </c>
      <c r="G110" s="23" t="s">
        <v>2656</v>
      </c>
      <c r="H110" s="23">
        <v>4</v>
      </c>
      <c r="I110" s="9">
        <f>COUNTIF(Data1_Clean!$I$2:I1000,A110)</f>
        <v>2</v>
      </c>
    </row>
    <row r="111" spans="1:9">
      <c r="A111" s="22" t="s">
        <v>1285</v>
      </c>
      <c r="B111" s="23" t="s">
        <v>1370</v>
      </c>
      <c r="C111" s="23">
        <v>25</v>
      </c>
      <c r="D111" s="23" t="s">
        <v>72</v>
      </c>
      <c r="E111" s="24">
        <v>45539</v>
      </c>
      <c r="F111" s="23" t="s">
        <v>2653</v>
      </c>
      <c r="G111" s="23" t="s">
        <v>2654</v>
      </c>
      <c r="H111" s="23">
        <v>0</v>
      </c>
      <c r="I111" s="9">
        <f>COUNTIF(Data1_Clean!$I$2:I1000,A111)</f>
        <v>2</v>
      </c>
    </row>
    <row r="112" spans="1:9">
      <c r="A112" s="22" t="s">
        <v>923</v>
      </c>
      <c r="B112" s="23" t="s">
        <v>1176</v>
      </c>
      <c r="C112" s="23">
        <v>58</v>
      </c>
      <c r="D112" s="23" t="s">
        <v>72</v>
      </c>
      <c r="E112" s="24">
        <v>45540</v>
      </c>
      <c r="F112" s="23" t="s">
        <v>2655</v>
      </c>
      <c r="G112" s="23" t="s">
        <v>2656</v>
      </c>
      <c r="H112" s="23">
        <v>4</v>
      </c>
      <c r="I112" s="9">
        <f>COUNTIF(Data1_Clean!$I$2:I1000,A112)</f>
        <v>3</v>
      </c>
    </row>
    <row r="113" spans="1:9">
      <c r="A113" s="22" t="s">
        <v>2586</v>
      </c>
      <c r="B113" s="23" t="s">
        <v>1176</v>
      </c>
      <c r="C113" s="23">
        <v>64</v>
      </c>
      <c r="D113" s="23" t="s">
        <v>72</v>
      </c>
      <c r="E113" s="24">
        <v>45547</v>
      </c>
      <c r="F113" s="23" t="s">
        <v>2655</v>
      </c>
      <c r="G113" s="23" t="s">
        <v>2656</v>
      </c>
      <c r="H113" s="23">
        <v>4</v>
      </c>
      <c r="I113" s="9">
        <f>COUNTIF(Data1_Clean!$I$2:I1000,A113)</f>
        <v>0</v>
      </c>
    </row>
    <row r="114" spans="1:9">
      <c r="A114" s="22" t="s">
        <v>763</v>
      </c>
      <c r="B114" s="23" t="s">
        <v>1176</v>
      </c>
      <c r="C114" s="23">
        <v>42</v>
      </c>
      <c r="D114" s="23" t="s">
        <v>72</v>
      </c>
      <c r="E114" s="24">
        <v>45562</v>
      </c>
      <c r="F114" s="23" t="s">
        <v>2655</v>
      </c>
      <c r="G114" s="23" t="s">
        <v>2656</v>
      </c>
      <c r="H114" s="23">
        <v>3</v>
      </c>
      <c r="I114" s="9">
        <f>COUNTIF(Data1_Clean!$I$2:I1000,A114)</f>
        <v>1</v>
      </c>
    </row>
    <row r="115" spans="1:9">
      <c r="A115" s="22" t="s">
        <v>1887</v>
      </c>
      <c r="B115" s="23" t="s">
        <v>1176</v>
      </c>
      <c r="C115" s="23">
        <v>40</v>
      </c>
      <c r="D115" s="23" t="s">
        <v>72</v>
      </c>
      <c r="E115" s="24">
        <v>45584</v>
      </c>
      <c r="F115" s="23" t="s">
        <v>2655</v>
      </c>
      <c r="G115" s="23" t="s">
        <v>2656</v>
      </c>
      <c r="H115" s="23">
        <v>2</v>
      </c>
      <c r="I115" s="9">
        <f>COUNTIF(Data1_Clean!$I$2:I1000,A115)</f>
        <v>1</v>
      </c>
    </row>
    <row r="116" spans="1:9">
      <c r="A116" s="22" t="s">
        <v>2618</v>
      </c>
      <c r="B116" s="23" t="s">
        <v>1370</v>
      </c>
      <c r="C116" s="23">
        <v>30</v>
      </c>
      <c r="D116" s="23" t="s">
        <v>72</v>
      </c>
      <c r="E116" s="24">
        <v>45597</v>
      </c>
      <c r="F116" s="23" t="s">
        <v>2653</v>
      </c>
      <c r="G116" s="23" t="s">
        <v>2654</v>
      </c>
      <c r="H116" s="23">
        <v>0</v>
      </c>
      <c r="I116" s="9">
        <f>COUNTIF(Data1_Clean!$I$2:I1000,A116)</f>
        <v>0</v>
      </c>
    </row>
    <row r="117" spans="1:9">
      <c r="A117" s="22" t="s">
        <v>2536</v>
      </c>
      <c r="B117" s="23" t="s">
        <v>1176</v>
      </c>
      <c r="C117" s="23">
        <v>39</v>
      </c>
      <c r="D117" s="23" t="s">
        <v>72</v>
      </c>
      <c r="E117" s="24">
        <v>45609</v>
      </c>
      <c r="F117" s="23" t="s">
        <v>2653</v>
      </c>
      <c r="G117" s="23" t="s">
        <v>2656</v>
      </c>
      <c r="H117" s="23">
        <v>3</v>
      </c>
      <c r="I117" s="9">
        <f>COUNTIF(Data1_Clean!$I$2:I1000,A117)</f>
        <v>0</v>
      </c>
    </row>
    <row r="118" spans="1:9">
      <c r="A118" s="22" t="s">
        <v>1832</v>
      </c>
      <c r="B118" s="23" t="s">
        <v>1370</v>
      </c>
      <c r="C118" s="23">
        <v>50</v>
      </c>
      <c r="D118" s="23" t="s">
        <v>72</v>
      </c>
      <c r="E118" s="24">
        <v>45616</v>
      </c>
      <c r="F118" s="23" t="s">
        <v>2653</v>
      </c>
      <c r="G118" s="23" t="s">
        <v>2654</v>
      </c>
      <c r="H118" s="23">
        <v>0</v>
      </c>
      <c r="I118" s="9">
        <f>COUNTIF(Data1_Clean!$I$2:I1000,A118)</f>
        <v>1</v>
      </c>
    </row>
    <row r="119" spans="1:9">
      <c r="A119" s="22" t="s">
        <v>2518</v>
      </c>
      <c r="B119" s="23" t="s">
        <v>1370</v>
      </c>
      <c r="C119" s="23">
        <v>22</v>
      </c>
      <c r="D119" s="23" t="s">
        <v>72</v>
      </c>
      <c r="E119" s="24">
        <v>45622</v>
      </c>
      <c r="F119" s="23" t="s">
        <v>2653</v>
      </c>
      <c r="G119" s="23" t="s">
        <v>2654</v>
      </c>
      <c r="H119" s="23">
        <v>0</v>
      </c>
      <c r="I119" s="9">
        <f>COUNTIF(Data1_Clean!$I$2:I1000,A119)</f>
        <v>0</v>
      </c>
    </row>
    <row r="120" spans="1:9">
      <c r="A120" s="22" t="s">
        <v>1320</v>
      </c>
      <c r="B120" s="23" t="s">
        <v>1370</v>
      </c>
      <c r="C120" s="23">
        <v>57</v>
      </c>
      <c r="D120" s="23" t="s">
        <v>72</v>
      </c>
      <c r="E120" s="24">
        <v>45633</v>
      </c>
      <c r="F120" s="23" t="s">
        <v>2653</v>
      </c>
      <c r="G120" s="23" t="s">
        <v>2654</v>
      </c>
      <c r="H120" s="23">
        <v>0</v>
      </c>
      <c r="I120" s="9">
        <f>COUNTIF(Data1_Clean!$I$2:I1000,A120)</f>
        <v>2</v>
      </c>
    </row>
    <row r="121" spans="1:9">
      <c r="A121" s="22" t="s">
        <v>758</v>
      </c>
      <c r="B121" s="23" t="s">
        <v>1370</v>
      </c>
      <c r="C121" s="23">
        <v>59</v>
      </c>
      <c r="D121" s="23" t="s">
        <v>72</v>
      </c>
      <c r="E121" s="24">
        <v>45644</v>
      </c>
      <c r="F121" s="23" t="s">
        <v>2653</v>
      </c>
      <c r="G121" s="23" t="s">
        <v>2656</v>
      </c>
      <c r="H121" s="23">
        <v>1</v>
      </c>
      <c r="I121" s="9">
        <f>COUNTIF(Data1_Clean!$I$2:I1000,A121)</f>
        <v>1</v>
      </c>
    </row>
    <row r="122" spans="1:9">
      <c r="A122" s="22" t="s">
        <v>2620</v>
      </c>
      <c r="B122" s="23" t="s">
        <v>1370</v>
      </c>
      <c r="C122" s="23">
        <v>61</v>
      </c>
      <c r="D122" s="23" t="s">
        <v>72</v>
      </c>
      <c r="E122" s="24">
        <v>45655</v>
      </c>
      <c r="F122" s="23" t="s">
        <v>2653</v>
      </c>
      <c r="G122" s="23" t="s">
        <v>2654</v>
      </c>
      <c r="H122" s="23">
        <v>0</v>
      </c>
      <c r="I122" s="9">
        <f>COUNTIF(Data1_Clean!$I$2:I1000,A122)</f>
        <v>0</v>
      </c>
    </row>
    <row r="123" spans="1:9">
      <c r="A123" s="22" t="s">
        <v>536</v>
      </c>
      <c r="B123" s="23" t="s">
        <v>1370</v>
      </c>
      <c r="C123" s="23">
        <v>46</v>
      </c>
      <c r="D123" s="23" t="s">
        <v>72</v>
      </c>
      <c r="E123" s="24">
        <v>45667</v>
      </c>
      <c r="F123" s="23" t="s">
        <v>2655</v>
      </c>
      <c r="G123" s="23" t="s">
        <v>2656</v>
      </c>
      <c r="H123" s="23">
        <v>1</v>
      </c>
      <c r="I123" s="9">
        <f>COUNTIF(Data1_Clean!$I$2:I1000,A123)</f>
        <v>1</v>
      </c>
    </row>
    <row r="124" spans="1:9">
      <c r="A124" s="22" t="s">
        <v>79</v>
      </c>
      <c r="B124" s="23" t="s">
        <v>1176</v>
      </c>
      <c r="C124" s="23">
        <v>33</v>
      </c>
      <c r="D124" s="23" t="s">
        <v>72</v>
      </c>
      <c r="E124" s="24">
        <v>45674</v>
      </c>
      <c r="F124" s="23" t="s">
        <v>2653</v>
      </c>
      <c r="G124" s="23" t="s">
        <v>2654</v>
      </c>
      <c r="H124" s="23">
        <v>0</v>
      </c>
      <c r="I124" s="9">
        <f>COUNTIF(Data1_Clean!$I$2:I1000,A124)</f>
        <v>2</v>
      </c>
    </row>
    <row r="125" spans="1:9">
      <c r="A125" s="22" t="s">
        <v>2516</v>
      </c>
      <c r="B125" s="23" t="s">
        <v>1176</v>
      </c>
      <c r="C125" s="23">
        <v>46</v>
      </c>
      <c r="D125" s="23" t="s">
        <v>72</v>
      </c>
      <c r="E125" s="24">
        <v>45695</v>
      </c>
      <c r="F125" s="23" t="s">
        <v>2653</v>
      </c>
      <c r="G125" s="23" t="s">
        <v>2656</v>
      </c>
      <c r="H125" s="23">
        <v>1</v>
      </c>
      <c r="I125" s="9">
        <f>COUNTIF(Data1_Clean!$I$2:I1000,A125)</f>
        <v>0</v>
      </c>
    </row>
    <row r="126" spans="1:9">
      <c r="A126" s="22" t="s">
        <v>2391</v>
      </c>
      <c r="B126" s="23" t="s">
        <v>1176</v>
      </c>
      <c r="C126" s="23">
        <v>57</v>
      </c>
      <c r="D126" s="23" t="s">
        <v>72</v>
      </c>
      <c r="E126" s="24">
        <v>45705</v>
      </c>
      <c r="F126" s="23" t="s">
        <v>2653</v>
      </c>
      <c r="G126" s="23" t="s">
        <v>2654</v>
      </c>
      <c r="H126" s="23">
        <v>0</v>
      </c>
      <c r="I126" s="9">
        <f>COUNTIF(Data1_Clean!$I$2:I1000,A126)</f>
        <v>0</v>
      </c>
    </row>
    <row r="127" spans="1:9">
      <c r="A127" s="22" t="s">
        <v>2414</v>
      </c>
      <c r="B127" s="23" t="s">
        <v>1370</v>
      </c>
      <c r="C127" s="23">
        <v>24</v>
      </c>
      <c r="D127" s="23" t="s">
        <v>72</v>
      </c>
      <c r="E127" s="24">
        <v>45718</v>
      </c>
      <c r="F127" s="23" t="s">
        <v>2655</v>
      </c>
      <c r="G127" s="23" t="s">
        <v>2654</v>
      </c>
      <c r="H127" s="23">
        <v>0</v>
      </c>
      <c r="I127" s="9">
        <f>COUNTIF(Data1_Clean!$I$2:I1000,A127)</f>
        <v>0</v>
      </c>
    </row>
    <row r="128" spans="1:9">
      <c r="A128" s="22" t="s">
        <v>1396</v>
      </c>
      <c r="B128" s="23" t="s">
        <v>1370</v>
      </c>
      <c r="C128" s="23">
        <v>35</v>
      </c>
      <c r="D128" s="23" t="s">
        <v>242</v>
      </c>
      <c r="E128" s="24">
        <v>45541</v>
      </c>
      <c r="F128" s="23" t="s">
        <v>2655</v>
      </c>
      <c r="G128" s="23" t="s">
        <v>2654</v>
      </c>
      <c r="H128" s="23">
        <v>0</v>
      </c>
      <c r="I128" s="9">
        <f>COUNTIF(Data1_Clean!$I$2:I1000,A128)</f>
        <v>1</v>
      </c>
    </row>
    <row r="129" spans="1:9">
      <c r="A129" s="22" t="s">
        <v>2499</v>
      </c>
      <c r="B129" s="23" t="s">
        <v>1370</v>
      </c>
      <c r="C129" s="23">
        <v>37</v>
      </c>
      <c r="D129" s="23" t="s">
        <v>242</v>
      </c>
      <c r="E129" s="24">
        <v>45557</v>
      </c>
      <c r="F129" s="23" t="s">
        <v>2653</v>
      </c>
      <c r="G129" s="23" t="s">
        <v>2656</v>
      </c>
      <c r="H129" s="23">
        <v>2</v>
      </c>
      <c r="I129" s="9">
        <f>COUNTIF(Data1_Clean!$I$2:I1000,A129)</f>
        <v>0</v>
      </c>
    </row>
    <row r="130" spans="1:9">
      <c r="A130" s="22" t="s">
        <v>877</v>
      </c>
      <c r="B130" s="23" t="s">
        <v>1370</v>
      </c>
      <c r="C130" s="23">
        <v>38</v>
      </c>
      <c r="D130" s="23" t="s">
        <v>242</v>
      </c>
      <c r="E130" s="24">
        <v>45578</v>
      </c>
      <c r="F130" s="23" t="s">
        <v>2653</v>
      </c>
      <c r="G130" s="23" t="s">
        <v>2654</v>
      </c>
      <c r="H130" s="23">
        <v>0</v>
      </c>
      <c r="I130" s="9">
        <f>COUNTIF(Data1_Clean!$I$2:I1000,A130)</f>
        <v>2</v>
      </c>
    </row>
    <row r="131" spans="1:9">
      <c r="A131" s="22" t="s">
        <v>1086</v>
      </c>
      <c r="B131" s="23" t="s">
        <v>1370</v>
      </c>
      <c r="C131" s="23">
        <v>57</v>
      </c>
      <c r="D131" s="23" t="s">
        <v>242</v>
      </c>
      <c r="E131" s="24">
        <v>45629</v>
      </c>
      <c r="F131" s="23" t="s">
        <v>2655</v>
      </c>
      <c r="G131" s="23" t="s">
        <v>2656</v>
      </c>
      <c r="H131" s="23">
        <v>3</v>
      </c>
      <c r="I131" s="9">
        <f>COUNTIF(Data1_Clean!$I$2:I1000,A131)</f>
        <v>3</v>
      </c>
    </row>
    <row r="132" spans="1:9">
      <c r="A132" s="22" t="s">
        <v>1551</v>
      </c>
      <c r="B132" s="23" t="s">
        <v>1176</v>
      </c>
      <c r="C132" s="23">
        <v>20</v>
      </c>
      <c r="D132" s="23" t="s">
        <v>242</v>
      </c>
      <c r="E132" s="24">
        <v>45643</v>
      </c>
      <c r="F132" s="23" t="s">
        <v>2653</v>
      </c>
      <c r="G132" s="23" t="s">
        <v>2656</v>
      </c>
      <c r="H132" s="23">
        <v>3</v>
      </c>
      <c r="I132" s="9">
        <f>COUNTIF(Data1_Clean!$I$2:I1000,A132)</f>
        <v>1</v>
      </c>
    </row>
    <row r="133" spans="1:9">
      <c r="A133" s="22" t="s">
        <v>2481</v>
      </c>
      <c r="B133" s="23" t="s">
        <v>1370</v>
      </c>
      <c r="C133" s="23">
        <v>58</v>
      </c>
      <c r="D133" s="23" t="s">
        <v>242</v>
      </c>
      <c r="E133" s="24">
        <v>45643</v>
      </c>
      <c r="F133" s="23" t="s">
        <v>2655</v>
      </c>
      <c r="G133" s="23" t="s">
        <v>2656</v>
      </c>
      <c r="H133" s="23">
        <v>1</v>
      </c>
      <c r="I133" s="9">
        <f>COUNTIF(Data1_Clean!$I$2:I1000,A133)</f>
        <v>0</v>
      </c>
    </row>
    <row r="134" spans="1:9">
      <c r="A134" s="22" t="s">
        <v>1407</v>
      </c>
      <c r="B134" s="23" t="s">
        <v>1176</v>
      </c>
      <c r="C134" s="23">
        <v>51</v>
      </c>
      <c r="D134" s="23" t="s">
        <v>242</v>
      </c>
      <c r="E134" s="24">
        <v>45667</v>
      </c>
      <c r="F134" s="23" t="s">
        <v>2655</v>
      </c>
      <c r="G134" s="23" t="s">
        <v>2654</v>
      </c>
      <c r="H134" s="23">
        <v>0</v>
      </c>
      <c r="I134" s="9">
        <f>COUNTIF(Data1_Clean!$I$2:I1000,A134)</f>
        <v>1</v>
      </c>
    </row>
    <row r="135" spans="1:9">
      <c r="A135" s="22" t="s">
        <v>1251</v>
      </c>
      <c r="B135" s="23" t="s">
        <v>1370</v>
      </c>
      <c r="C135" s="23">
        <v>51</v>
      </c>
      <c r="D135" s="23" t="s">
        <v>242</v>
      </c>
      <c r="E135" s="24">
        <v>45691</v>
      </c>
      <c r="F135" s="23" t="s">
        <v>2653</v>
      </c>
      <c r="G135" s="23" t="s">
        <v>2654</v>
      </c>
      <c r="H135" s="23">
        <v>0</v>
      </c>
      <c r="I135" s="9">
        <f>COUNTIF(Data1_Clean!$I$2:I1000,A135)</f>
        <v>1</v>
      </c>
    </row>
    <row r="136" spans="1:9">
      <c r="A136" s="22" t="s">
        <v>1075</v>
      </c>
      <c r="B136" s="23" t="s">
        <v>1176</v>
      </c>
      <c r="C136" s="23">
        <v>51</v>
      </c>
      <c r="D136" s="23" t="s">
        <v>242</v>
      </c>
      <c r="E136" s="24">
        <v>45704</v>
      </c>
      <c r="F136" s="23" t="s">
        <v>2655</v>
      </c>
      <c r="G136" s="23" t="s">
        <v>2656</v>
      </c>
      <c r="H136" s="23">
        <v>3</v>
      </c>
      <c r="I136" s="9">
        <f>COUNTIF(Data1_Clean!$I$2:I1000,A136)</f>
        <v>1</v>
      </c>
    </row>
    <row r="137" spans="1:9">
      <c r="A137" s="22" t="s">
        <v>287</v>
      </c>
      <c r="B137" s="23" t="s">
        <v>1176</v>
      </c>
      <c r="C137" s="23">
        <v>23</v>
      </c>
      <c r="D137" s="23" t="s">
        <v>242</v>
      </c>
      <c r="E137" s="24">
        <v>45718</v>
      </c>
      <c r="F137" s="23" t="s">
        <v>2653</v>
      </c>
      <c r="G137" s="23" t="s">
        <v>2654</v>
      </c>
      <c r="H137" s="23">
        <v>0</v>
      </c>
      <c r="I137" s="9">
        <f>COUNTIF(Data1_Clean!$I$2:I1000,A137)</f>
        <v>1</v>
      </c>
    </row>
    <row r="138" spans="1:9">
      <c r="A138" s="22" t="s">
        <v>1275</v>
      </c>
      <c r="B138" s="23" t="s">
        <v>1370</v>
      </c>
      <c r="C138" s="23">
        <v>48</v>
      </c>
      <c r="D138" s="23" t="s">
        <v>242</v>
      </c>
      <c r="E138" s="24">
        <v>45727</v>
      </c>
      <c r="F138" s="23" t="s">
        <v>2653</v>
      </c>
      <c r="G138" s="23" t="s">
        <v>2654</v>
      </c>
      <c r="H138" s="23">
        <v>0</v>
      </c>
      <c r="I138" s="9">
        <f>COUNTIF(Data1_Clean!$I$2:I1000,A138)</f>
        <v>1</v>
      </c>
    </row>
    <row r="139" spans="1:9">
      <c r="A139" s="22" t="s">
        <v>894</v>
      </c>
      <c r="B139" s="23" t="s">
        <v>1370</v>
      </c>
      <c r="C139" s="23">
        <v>58</v>
      </c>
      <c r="D139" s="23" t="s">
        <v>242</v>
      </c>
      <c r="E139" s="24">
        <v>45728</v>
      </c>
      <c r="F139" s="23" t="s">
        <v>2655</v>
      </c>
      <c r="G139" s="23" t="s">
        <v>2656</v>
      </c>
      <c r="H139" s="23">
        <v>1</v>
      </c>
      <c r="I139" s="9">
        <f>COUNTIF(Data1_Clean!$I$2:I1000,A139)</f>
        <v>1</v>
      </c>
    </row>
    <row r="140" spans="1:9">
      <c r="A140" s="22" t="s">
        <v>116</v>
      </c>
      <c r="B140" s="23" t="s">
        <v>1176</v>
      </c>
      <c r="C140" s="23">
        <v>19</v>
      </c>
      <c r="D140" s="23" t="s">
        <v>242</v>
      </c>
      <c r="E140" s="24">
        <v>45731</v>
      </c>
      <c r="F140" s="23" t="s">
        <v>2655</v>
      </c>
      <c r="G140" s="23" t="s">
        <v>2656</v>
      </c>
      <c r="H140" s="23">
        <v>1</v>
      </c>
      <c r="I140" s="9">
        <f>COUNTIF(Data1_Clean!$I$2:I1000,A140)</f>
        <v>2</v>
      </c>
    </row>
    <row r="141" spans="1:9">
      <c r="A141" s="22" t="s">
        <v>1560</v>
      </c>
      <c r="B141" s="23" t="s">
        <v>1370</v>
      </c>
      <c r="C141" s="23">
        <v>24</v>
      </c>
      <c r="D141" s="23" t="s">
        <v>2663</v>
      </c>
      <c r="E141" s="24">
        <v>45550</v>
      </c>
      <c r="F141" s="23" t="s">
        <v>2655</v>
      </c>
      <c r="G141" s="23" t="s">
        <v>2656</v>
      </c>
      <c r="H141" s="23">
        <v>3</v>
      </c>
      <c r="I141" s="9">
        <f>COUNTIF(Data1_Clean!$I$2:I1000,A141)</f>
        <v>2</v>
      </c>
    </row>
    <row r="142" spans="1:9">
      <c r="A142" s="22" t="s">
        <v>1981</v>
      </c>
      <c r="B142" s="23" t="s">
        <v>1370</v>
      </c>
      <c r="C142" s="23">
        <v>43</v>
      </c>
      <c r="D142" s="23" t="s">
        <v>2663</v>
      </c>
      <c r="E142" s="24">
        <v>45557</v>
      </c>
      <c r="F142" s="23" t="s">
        <v>2655</v>
      </c>
      <c r="G142" s="23" t="s">
        <v>2656</v>
      </c>
      <c r="H142" s="23">
        <v>1</v>
      </c>
      <c r="I142" s="9">
        <f>COUNTIF(Data1_Clean!$I$2:I1000,A142)</f>
        <v>1</v>
      </c>
    </row>
    <row r="143" spans="1:9">
      <c r="A143" s="22" t="s">
        <v>1093</v>
      </c>
      <c r="B143" s="23" t="s">
        <v>1176</v>
      </c>
      <c r="C143" s="23">
        <v>65</v>
      </c>
      <c r="D143" s="23" t="s">
        <v>2663</v>
      </c>
      <c r="E143" s="24">
        <v>45560</v>
      </c>
      <c r="F143" s="23" t="s">
        <v>2655</v>
      </c>
      <c r="G143" s="23" t="s">
        <v>2654</v>
      </c>
      <c r="H143" s="23">
        <v>0</v>
      </c>
      <c r="I143" s="9">
        <f>COUNTIF(Data1_Clean!$I$2:I1000,A143)</f>
        <v>3</v>
      </c>
    </row>
    <row r="144" spans="1:9">
      <c r="A144" s="22" t="s">
        <v>2560</v>
      </c>
      <c r="B144" s="23" t="s">
        <v>1370</v>
      </c>
      <c r="C144" s="23">
        <v>37</v>
      </c>
      <c r="D144" s="23" t="s">
        <v>2663</v>
      </c>
      <c r="E144" s="24">
        <v>45567</v>
      </c>
      <c r="F144" s="23" t="s">
        <v>2653</v>
      </c>
      <c r="G144" s="23" t="s">
        <v>2654</v>
      </c>
      <c r="H144" s="23">
        <v>0</v>
      </c>
      <c r="I144" s="9">
        <f>COUNTIF(Data1_Clean!$I$2:I1000,A144)</f>
        <v>0</v>
      </c>
    </row>
    <row r="145" spans="1:9">
      <c r="A145" s="22" t="s">
        <v>409</v>
      </c>
      <c r="B145" s="23" t="s">
        <v>1370</v>
      </c>
      <c r="C145" s="23">
        <v>57</v>
      </c>
      <c r="D145" s="23" t="s">
        <v>2663</v>
      </c>
      <c r="E145" s="24">
        <v>45567</v>
      </c>
      <c r="F145" s="23" t="s">
        <v>2653</v>
      </c>
      <c r="G145" s="23" t="s">
        <v>2656</v>
      </c>
      <c r="H145" s="23">
        <v>2</v>
      </c>
      <c r="I145" s="9">
        <f>COUNTIF(Data1_Clean!$I$2:I1000,A145)</f>
        <v>2</v>
      </c>
    </row>
    <row r="146" spans="1:9">
      <c r="A146" s="22" t="s">
        <v>861</v>
      </c>
      <c r="B146" s="23" t="s">
        <v>1370</v>
      </c>
      <c r="C146" s="23">
        <v>60</v>
      </c>
      <c r="D146" s="23" t="s">
        <v>2663</v>
      </c>
      <c r="E146" s="24">
        <v>45589</v>
      </c>
      <c r="F146" s="23" t="s">
        <v>2655</v>
      </c>
      <c r="G146" s="23" t="s">
        <v>2654</v>
      </c>
      <c r="H146" s="23">
        <v>0</v>
      </c>
      <c r="I146" s="9">
        <f>COUNTIF(Data1_Clean!$I$2:I1000,A146)</f>
        <v>1</v>
      </c>
    </row>
    <row r="147" spans="1:9">
      <c r="A147" s="22" t="s">
        <v>2546</v>
      </c>
      <c r="B147" s="23" t="s">
        <v>1370</v>
      </c>
      <c r="C147" s="23">
        <v>20</v>
      </c>
      <c r="D147" s="23" t="s">
        <v>2663</v>
      </c>
      <c r="E147" s="24">
        <v>45590</v>
      </c>
      <c r="F147" s="23" t="s">
        <v>2653</v>
      </c>
      <c r="G147" s="23" t="s">
        <v>2654</v>
      </c>
      <c r="H147" s="23">
        <v>0</v>
      </c>
      <c r="I147" s="9">
        <f>COUNTIF(Data1_Clean!$I$2:I1000,A147)</f>
        <v>0</v>
      </c>
    </row>
    <row r="148" spans="1:9">
      <c r="A148" s="22" t="s">
        <v>1894</v>
      </c>
      <c r="B148" s="23" t="s">
        <v>1176</v>
      </c>
      <c r="C148" s="23">
        <v>22</v>
      </c>
      <c r="D148" s="23" t="s">
        <v>2663</v>
      </c>
      <c r="E148" s="24">
        <v>45610</v>
      </c>
      <c r="F148" s="23" t="s">
        <v>2653</v>
      </c>
      <c r="G148" s="23" t="s">
        <v>2654</v>
      </c>
      <c r="H148" s="23">
        <v>0</v>
      </c>
      <c r="I148" s="9">
        <f>COUNTIF(Data1_Clean!$I$2:I1000,A148)</f>
        <v>1</v>
      </c>
    </row>
    <row r="149" spans="1:9">
      <c r="A149" s="22" t="s">
        <v>528</v>
      </c>
      <c r="B149" s="23" t="s">
        <v>1370</v>
      </c>
      <c r="C149" s="23">
        <v>65</v>
      </c>
      <c r="D149" s="23" t="s">
        <v>2663</v>
      </c>
      <c r="E149" s="24">
        <v>45633</v>
      </c>
      <c r="F149" s="23" t="s">
        <v>2655</v>
      </c>
      <c r="G149" s="23" t="s">
        <v>2654</v>
      </c>
      <c r="H149" s="23">
        <v>0</v>
      </c>
      <c r="I149" s="9">
        <f>COUNTIF(Data1_Clean!$I$2:I1000,A149)</f>
        <v>2</v>
      </c>
    </row>
    <row r="150" spans="1:9">
      <c r="A150" s="22" t="s">
        <v>256</v>
      </c>
      <c r="B150" s="23" t="s">
        <v>1176</v>
      </c>
      <c r="C150" s="23">
        <v>41</v>
      </c>
      <c r="D150" s="23" t="s">
        <v>2663</v>
      </c>
      <c r="E150" s="24">
        <v>45656</v>
      </c>
      <c r="F150" s="23" t="s">
        <v>2655</v>
      </c>
      <c r="G150" s="23" t="s">
        <v>2656</v>
      </c>
      <c r="H150" s="23">
        <v>1</v>
      </c>
      <c r="I150" s="9">
        <f>COUNTIF(Data1_Clean!$I$2:I1000,A150)</f>
        <v>2</v>
      </c>
    </row>
    <row r="151" spans="1:9">
      <c r="A151" s="22" t="s">
        <v>2390</v>
      </c>
      <c r="B151" s="23" t="s">
        <v>1370</v>
      </c>
      <c r="C151" s="23">
        <v>54</v>
      </c>
      <c r="D151" s="23" t="s">
        <v>2663</v>
      </c>
      <c r="E151" s="24">
        <v>45660</v>
      </c>
      <c r="F151" s="23" t="s">
        <v>2653</v>
      </c>
      <c r="G151" s="23" t="s">
        <v>2654</v>
      </c>
      <c r="H151" s="23">
        <v>0</v>
      </c>
      <c r="I151" s="9">
        <f>COUNTIF(Data1_Clean!$I$2:I1000,A151)</f>
        <v>0</v>
      </c>
    </row>
    <row r="152" spans="1:9">
      <c r="A152" s="22" t="s">
        <v>1271</v>
      </c>
      <c r="B152" s="23" t="s">
        <v>1176</v>
      </c>
      <c r="C152" s="23">
        <v>41</v>
      </c>
      <c r="D152" s="23" t="s">
        <v>2663</v>
      </c>
      <c r="E152" s="24">
        <v>45661</v>
      </c>
      <c r="F152" s="23" t="s">
        <v>2653</v>
      </c>
      <c r="G152" s="23" t="s">
        <v>2654</v>
      </c>
      <c r="H152" s="23">
        <v>0</v>
      </c>
      <c r="I152" s="9">
        <f>COUNTIF(Data1_Clean!$I$2:I1000,A152)</f>
        <v>4</v>
      </c>
    </row>
    <row r="153" spans="1:9">
      <c r="A153" s="22" t="s">
        <v>2610</v>
      </c>
      <c r="B153" s="23" t="s">
        <v>1370</v>
      </c>
      <c r="C153" s="23">
        <v>49</v>
      </c>
      <c r="D153" s="23" t="s">
        <v>2663</v>
      </c>
      <c r="E153" s="24">
        <v>45686</v>
      </c>
      <c r="F153" s="23" t="s">
        <v>2655</v>
      </c>
      <c r="G153" s="23" t="s">
        <v>2656</v>
      </c>
      <c r="H153" s="23">
        <v>2</v>
      </c>
      <c r="I153" s="9">
        <f>COUNTIF(Data1_Clean!$I$2:I1000,A153)</f>
        <v>0</v>
      </c>
    </row>
    <row r="154" spans="1:9">
      <c r="A154" s="22" t="s">
        <v>2588</v>
      </c>
      <c r="B154" s="23" t="s">
        <v>1370</v>
      </c>
      <c r="C154" s="23">
        <v>46</v>
      </c>
      <c r="D154" s="23" t="s">
        <v>2663</v>
      </c>
      <c r="E154" s="24">
        <v>45690</v>
      </c>
      <c r="F154" s="23" t="s">
        <v>2655</v>
      </c>
      <c r="G154" s="23" t="s">
        <v>2656</v>
      </c>
      <c r="H154" s="23">
        <v>4</v>
      </c>
      <c r="I154" s="9">
        <f>COUNTIF(Data1_Clean!$I$2:I1000,A154)</f>
        <v>0</v>
      </c>
    </row>
    <row r="155" spans="1:9">
      <c r="A155" s="22" t="s">
        <v>701</v>
      </c>
      <c r="B155" s="23" t="s">
        <v>1370</v>
      </c>
      <c r="C155" s="23">
        <v>53</v>
      </c>
      <c r="D155" s="23" t="s">
        <v>2663</v>
      </c>
      <c r="E155" s="24">
        <v>45703</v>
      </c>
      <c r="F155" s="23" t="s">
        <v>2653</v>
      </c>
      <c r="G155" s="23" t="s">
        <v>2656</v>
      </c>
      <c r="H155" s="23">
        <v>3</v>
      </c>
      <c r="I155" s="9">
        <f>COUNTIF(Data1_Clean!$I$2:I1000,A155)</f>
        <v>1</v>
      </c>
    </row>
    <row r="156" spans="1:9">
      <c r="A156" s="22" t="s">
        <v>882</v>
      </c>
      <c r="B156" s="23" t="s">
        <v>1176</v>
      </c>
      <c r="C156" s="23">
        <v>57</v>
      </c>
      <c r="D156" s="23" t="s">
        <v>2663</v>
      </c>
      <c r="E156" s="24">
        <v>45708</v>
      </c>
      <c r="F156" s="23" t="s">
        <v>2655</v>
      </c>
      <c r="G156" s="23" t="s">
        <v>2656</v>
      </c>
      <c r="H156" s="23">
        <v>2</v>
      </c>
      <c r="I156" s="9">
        <f>COUNTIF(Data1_Clean!$I$2:I1000,A156)</f>
        <v>1</v>
      </c>
    </row>
    <row r="157" spans="1:9">
      <c r="A157" s="22" t="s">
        <v>2534</v>
      </c>
      <c r="B157" s="23" t="s">
        <v>1370</v>
      </c>
      <c r="C157" s="23">
        <v>36</v>
      </c>
      <c r="D157" s="23" t="s">
        <v>2663</v>
      </c>
      <c r="E157" s="24">
        <v>45713</v>
      </c>
      <c r="F157" s="23" t="s">
        <v>2655</v>
      </c>
      <c r="G157" s="23" t="s">
        <v>2654</v>
      </c>
      <c r="H157" s="23">
        <v>0</v>
      </c>
      <c r="I157" s="9">
        <f>COUNTIF(Data1_Clean!$I$2:I1000,A157)</f>
        <v>0</v>
      </c>
    </row>
    <row r="158" spans="1:9">
      <c r="A158" s="22" t="s">
        <v>858</v>
      </c>
      <c r="B158" s="23" t="s">
        <v>1370</v>
      </c>
      <c r="C158" s="23">
        <v>65</v>
      </c>
      <c r="D158" s="23" t="s">
        <v>2663</v>
      </c>
      <c r="E158" s="24">
        <v>45729</v>
      </c>
      <c r="F158" s="23" t="s">
        <v>2653</v>
      </c>
      <c r="G158" s="23" t="s">
        <v>2654</v>
      </c>
      <c r="H158" s="23">
        <v>0</v>
      </c>
      <c r="I158" s="9">
        <f>COUNTIF(Data1_Clean!$I$2:I1000,A158)</f>
        <v>1</v>
      </c>
    </row>
    <row r="159" spans="1:9">
      <c r="A159" s="22" t="s">
        <v>1707</v>
      </c>
      <c r="B159" s="23" t="s">
        <v>1176</v>
      </c>
      <c r="C159" s="23">
        <v>35</v>
      </c>
      <c r="D159" s="23" t="s">
        <v>2663</v>
      </c>
      <c r="E159" s="24">
        <v>45740</v>
      </c>
      <c r="F159" s="23" t="s">
        <v>2655</v>
      </c>
      <c r="G159" s="23" t="s">
        <v>2656</v>
      </c>
      <c r="H159" s="23">
        <v>1</v>
      </c>
      <c r="I159" s="9">
        <f>COUNTIF(Data1_Clean!$I$2:I1000,A159)</f>
        <v>1</v>
      </c>
    </row>
    <row r="160" spans="1:9">
      <c r="A160" s="22" t="s">
        <v>2493</v>
      </c>
      <c r="B160" s="23" t="s">
        <v>1176</v>
      </c>
      <c r="C160" s="23">
        <v>39</v>
      </c>
      <c r="D160" s="23" t="s">
        <v>2664</v>
      </c>
      <c r="E160" s="24">
        <v>45541</v>
      </c>
      <c r="F160" s="23" t="s">
        <v>2655</v>
      </c>
      <c r="G160" s="23" t="s">
        <v>2656</v>
      </c>
      <c r="H160" s="23">
        <v>3</v>
      </c>
      <c r="I160" s="9">
        <f>COUNTIF(Data1_Clean!$I$2:I1000,A160)</f>
        <v>0</v>
      </c>
    </row>
    <row r="161" spans="1:9">
      <c r="A161" s="22" t="s">
        <v>2535</v>
      </c>
      <c r="B161" s="23" t="s">
        <v>1176</v>
      </c>
      <c r="C161" s="23">
        <v>52</v>
      </c>
      <c r="D161" s="23" t="s">
        <v>2664</v>
      </c>
      <c r="E161" s="24">
        <v>45552</v>
      </c>
      <c r="F161" s="23" t="s">
        <v>2653</v>
      </c>
      <c r="G161" s="23" t="s">
        <v>2656</v>
      </c>
      <c r="H161" s="23">
        <v>4</v>
      </c>
      <c r="I161" s="9">
        <f>COUNTIF(Data1_Clean!$I$2:I1000,A161)</f>
        <v>0</v>
      </c>
    </row>
    <row r="162" spans="1:9">
      <c r="A162" s="22" t="s">
        <v>721</v>
      </c>
      <c r="B162" s="23" t="s">
        <v>1176</v>
      </c>
      <c r="C162" s="23">
        <v>55</v>
      </c>
      <c r="D162" s="23" t="s">
        <v>2664</v>
      </c>
      <c r="E162" s="24">
        <v>45572</v>
      </c>
      <c r="F162" s="23" t="s">
        <v>2653</v>
      </c>
      <c r="G162" s="23" t="s">
        <v>2656</v>
      </c>
      <c r="H162" s="23">
        <v>1</v>
      </c>
      <c r="I162" s="9">
        <f>COUNTIF(Data1_Clean!$I$2:I1000,A162)</f>
        <v>2</v>
      </c>
    </row>
    <row r="163" spans="1:9">
      <c r="A163" s="22" t="s">
        <v>302</v>
      </c>
      <c r="B163" s="23" t="s">
        <v>1176</v>
      </c>
      <c r="C163" s="23">
        <v>63</v>
      </c>
      <c r="D163" s="23" t="s">
        <v>2664</v>
      </c>
      <c r="E163" s="24">
        <v>45612</v>
      </c>
      <c r="F163" s="23" t="s">
        <v>2655</v>
      </c>
      <c r="G163" s="23" t="s">
        <v>2654</v>
      </c>
      <c r="H163" s="23">
        <v>0</v>
      </c>
      <c r="I163" s="9">
        <f>COUNTIF(Data1_Clean!$I$2:I1000,A163)</f>
        <v>3</v>
      </c>
    </row>
    <row r="164" spans="1:9">
      <c r="A164" s="22" t="s">
        <v>2626</v>
      </c>
      <c r="B164" s="23" t="s">
        <v>1176</v>
      </c>
      <c r="C164" s="23">
        <v>43</v>
      </c>
      <c r="D164" s="23" t="s">
        <v>2664</v>
      </c>
      <c r="E164" s="24">
        <v>45636</v>
      </c>
      <c r="F164" s="23" t="s">
        <v>2653</v>
      </c>
      <c r="G164" s="23" t="s">
        <v>2656</v>
      </c>
      <c r="H164" s="23">
        <v>2</v>
      </c>
      <c r="I164" s="9">
        <f>COUNTIF(Data1_Clean!$I$2:I1000,A164)</f>
        <v>0</v>
      </c>
    </row>
    <row r="165" spans="1:9">
      <c r="A165" s="22" t="s">
        <v>2545</v>
      </c>
      <c r="B165" s="23" t="s">
        <v>1370</v>
      </c>
      <c r="C165" s="23">
        <v>55</v>
      </c>
      <c r="D165" s="23" t="s">
        <v>2664</v>
      </c>
      <c r="E165" s="24">
        <v>45648</v>
      </c>
      <c r="F165" s="23" t="s">
        <v>2653</v>
      </c>
      <c r="G165" s="23" t="s">
        <v>2656</v>
      </c>
      <c r="H165" s="23">
        <v>2</v>
      </c>
      <c r="I165" s="9">
        <f>COUNTIF(Data1_Clean!$I$2:I1000,A165)</f>
        <v>0</v>
      </c>
    </row>
    <row r="166" spans="1:9">
      <c r="A166" s="22" t="s">
        <v>2480</v>
      </c>
      <c r="B166" s="23" t="s">
        <v>1370</v>
      </c>
      <c r="C166" s="23">
        <v>57</v>
      </c>
      <c r="D166" s="23" t="s">
        <v>2664</v>
      </c>
      <c r="E166" s="24">
        <v>45654</v>
      </c>
      <c r="F166" s="23" t="s">
        <v>2655</v>
      </c>
      <c r="G166" s="23" t="s">
        <v>2656</v>
      </c>
      <c r="H166" s="23">
        <v>2</v>
      </c>
      <c r="I166" s="9">
        <f>COUNTIF(Data1_Clean!$I$2:I1000,A166)</f>
        <v>0</v>
      </c>
    </row>
    <row r="167" spans="1:9">
      <c r="A167" s="22" t="s">
        <v>2380</v>
      </c>
      <c r="B167" s="23" t="s">
        <v>1370</v>
      </c>
      <c r="C167" s="23">
        <v>55</v>
      </c>
      <c r="D167" s="23" t="s">
        <v>2664</v>
      </c>
      <c r="E167" s="24">
        <v>45656</v>
      </c>
      <c r="F167" s="23" t="s">
        <v>2655</v>
      </c>
      <c r="G167" s="23" t="s">
        <v>2656</v>
      </c>
      <c r="H167" s="23">
        <v>2</v>
      </c>
      <c r="I167" s="9">
        <f>COUNTIF(Data1_Clean!$I$2:I1000,A167)</f>
        <v>0</v>
      </c>
    </row>
    <row r="168" spans="1:9">
      <c r="A168" s="22" t="s">
        <v>2448</v>
      </c>
      <c r="B168" s="23" t="s">
        <v>1176</v>
      </c>
      <c r="C168" s="23">
        <v>32</v>
      </c>
      <c r="D168" s="23" t="s">
        <v>2664</v>
      </c>
      <c r="E168" s="24">
        <v>45700</v>
      </c>
      <c r="F168" s="23" t="s">
        <v>2653</v>
      </c>
      <c r="G168" s="23" t="s">
        <v>2656</v>
      </c>
      <c r="H168" s="23">
        <v>4</v>
      </c>
      <c r="I168" s="9">
        <f>COUNTIF(Data1_Clean!$I$2:I1000,A168)</f>
        <v>0</v>
      </c>
    </row>
    <row r="169" spans="1:9">
      <c r="A169" s="22" t="s">
        <v>201</v>
      </c>
      <c r="B169" s="23" t="s">
        <v>1370</v>
      </c>
      <c r="C169" s="23">
        <v>27</v>
      </c>
      <c r="D169" s="23" t="s">
        <v>2664</v>
      </c>
      <c r="E169" s="24">
        <v>45705</v>
      </c>
      <c r="F169" s="23" t="s">
        <v>2653</v>
      </c>
      <c r="G169" s="23" t="s">
        <v>2654</v>
      </c>
      <c r="H169" s="23">
        <v>0</v>
      </c>
      <c r="I169" s="9">
        <f>COUNTIF(Data1_Clean!$I$2:I1000,A169)</f>
        <v>1</v>
      </c>
    </row>
    <row r="170" spans="1:9">
      <c r="A170" s="22" t="s">
        <v>2473</v>
      </c>
      <c r="B170" s="23" t="s">
        <v>1370</v>
      </c>
      <c r="C170" s="23">
        <v>51</v>
      </c>
      <c r="D170" s="23" t="s">
        <v>2664</v>
      </c>
      <c r="E170" s="24">
        <v>45717</v>
      </c>
      <c r="F170" s="23" t="s">
        <v>2653</v>
      </c>
      <c r="G170" s="23" t="s">
        <v>2656</v>
      </c>
      <c r="H170" s="23">
        <v>2</v>
      </c>
      <c r="I170" s="9">
        <f>COUNTIF(Data1_Clean!$I$2:I1000,A170)</f>
        <v>0</v>
      </c>
    </row>
    <row r="171" spans="1:9">
      <c r="A171" s="22" t="s">
        <v>1992</v>
      </c>
      <c r="B171" s="23" t="s">
        <v>1176</v>
      </c>
      <c r="C171" s="23">
        <v>36</v>
      </c>
      <c r="D171" s="23" t="s">
        <v>2664</v>
      </c>
      <c r="E171" s="24">
        <v>45718</v>
      </c>
      <c r="F171" s="23" t="s">
        <v>2653</v>
      </c>
      <c r="G171" s="23" t="s">
        <v>2654</v>
      </c>
      <c r="H171" s="23">
        <v>0</v>
      </c>
      <c r="I171" s="9">
        <f>COUNTIF(Data1_Clean!$I$2:I1000,A171)</f>
        <v>1</v>
      </c>
    </row>
    <row r="172" spans="1:9">
      <c r="A172" s="22" t="s">
        <v>1132</v>
      </c>
      <c r="B172" s="23" t="s">
        <v>1370</v>
      </c>
      <c r="C172" s="23">
        <v>55</v>
      </c>
      <c r="D172" s="23" t="s">
        <v>2664</v>
      </c>
      <c r="E172" s="24">
        <v>45728</v>
      </c>
      <c r="F172" s="23" t="s">
        <v>2655</v>
      </c>
      <c r="G172" s="23" t="s">
        <v>2654</v>
      </c>
      <c r="H172" s="23">
        <v>0</v>
      </c>
      <c r="I172" s="9">
        <f>COUNTIF(Data1_Clean!$I$2:I1000,A172)</f>
        <v>1</v>
      </c>
    </row>
    <row r="173" spans="1:9">
      <c r="A173" s="22" t="s">
        <v>232</v>
      </c>
      <c r="B173" s="23" t="s">
        <v>1370</v>
      </c>
      <c r="C173" s="23">
        <v>60</v>
      </c>
      <c r="D173" s="23" t="s">
        <v>2664</v>
      </c>
      <c r="E173" s="24">
        <v>45732</v>
      </c>
      <c r="F173" s="23" t="s">
        <v>2653</v>
      </c>
      <c r="G173" s="23" t="s">
        <v>2654</v>
      </c>
      <c r="H173" s="23">
        <v>0</v>
      </c>
      <c r="I173" s="9">
        <f>COUNTIF(Data1_Clean!$I$2:I1000,A173)</f>
        <v>3</v>
      </c>
    </row>
    <row r="174" spans="1:9">
      <c r="A174" s="22" t="s">
        <v>1006</v>
      </c>
      <c r="B174" s="23" t="s">
        <v>1176</v>
      </c>
      <c r="C174" s="23">
        <v>52</v>
      </c>
      <c r="D174" s="23" t="s">
        <v>82</v>
      </c>
      <c r="E174" s="24">
        <v>45545</v>
      </c>
      <c r="F174" s="23" t="s">
        <v>2655</v>
      </c>
      <c r="G174" s="23" t="s">
        <v>2656</v>
      </c>
      <c r="H174" s="23">
        <v>4</v>
      </c>
      <c r="I174" s="9">
        <f>COUNTIF(Data1_Clean!$I$2:I1000,A174)</f>
        <v>1</v>
      </c>
    </row>
    <row r="175" spans="1:9">
      <c r="A175" s="22" t="s">
        <v>2338</v>
      </c>
      <c r="B175" s="23" t="s">
        <v>1176</v>
      </c>
      <c r="C175" s="23">
        <v>35</v>
      </c>
      <c r="D175" s="23" t="s">
        <v>82</v>
      </c>
      <c r="E175" s="24">
        <v>45547</v>
      </c>
      <c r="F175" s="23" t="s">
        <v>2655</v>
      </c>
      <c r="G175" s="23" t="s">
        <v>2656</v>
      </c>
      <c r="H175" s="23">
        <v>1</v>
      </c>
      <c r="I175" s="9">
        <f>COUNTIF(Data1_Clean!$I$2:I1000,A175)</f>
        <v>2</v>
      </c>
    </row>
    <row r="176" spans="1:9">
      <c r="A176" s="22" t="s">
        <v>565</v>
      </c>
      <c r="B176" s="23" t="s">
        <v>1176</v>
      </c>
      <c r="C176" s="23">
        <v>65</v>
      </c>
      <c r="D176" s="23" t="s">
        <v>82</v>
      </c>
      <c r="E176" s="24">
        <v>45560</v>
      </c>
      <c r="F176" s="23" t="s">
        <v>2655</v>
      </c>
      <c r="G176" s="23" t="s">
        <v>2656</v>
      </c>
      <c r="H176" s="23">
        <v>3</v>
      </c>
      <c r="I176" s="9">
        <f>COUNTIF(Data1_Clean!$I$2:I1000,A176)</f>
        <v>2</v>
      </c>
    </row>
    <row r="177" spans="1:9">
      <c r="A177" s="22" t="s">
        <v>1336</v>
      </c>
      <c r="B177" s="23" t="s">
        <v>1370</v>
      </c>
      <c r="C177" s="23">
        <v>38</v>
      </c>
      <c r="D177" s="23" t="s">
        <v>82</v>
      </c>
      <c r="E177" s="24">
        <v>45576</v>
      </c>
      <c r="F177" s="23" t="s">
        <v>2653</v>
      </c>
      <c r="G177" s="23" t="s">
        <v>2654</v>
      </c>
      <c r="H177" s="23">
        <v>0</v>
      </c>
      <c r="I177" s="9">
        <f>COUNTIF(Data1_Clean!$I$2:I1000,A177)</f>
        <v>1</v>
      </c>
    </row>
    <row r="178" spans="1:9">
      <c r="A178" s="22" t="s">
        <v>2602</v>
      </c>
      <c r="B178" s="23" t="s">
        <v>1176</v>
      </c>
      <c r="C178" s="23">
        <v>39</v>
      </c>
      <c r="D178" s="23" t="s">
        <v>82</v>
      </c>
      <c r="E178" s="24">
        <v>45588</v>
      </c>
      <c r="F178" s="23" t="s">
        <v>2655</v>
      </c>
      <c r="G178" s="23" t="s">
        <v>2656</v>
      </c>
      <c r="H178" s="23">
        <v>4</v>
      </c>
      <c r="I178" s="9">
        <f>COUNTIF(Data1_Clean!$I$2:I1000,A178)</f>
        <v>0</v>
      </c>
    </row>
    <row r="179" spans="1:9">
      <c r="A179" s="22" t="s">
        <v>2416</v>
      </c>
      <c r="B179" s="23" t="s">
        <v>1176</v>
      </c>
      <c r="C179" s="23">
        <v>44</v>
      </c>
      <c r="D179" s="23" t="s">
        <v>82</v>
      </c>
      <c r="E179" s="24">
        <v>45621</v>
      </c>
      <c r="F179" s="23" t="s">
        <v>2653</v>
      </c>
      <c r="G179" s="23" t="s">
        <v>2656</v>
      </c>
      <c r="H179" s="23">
        <v>1</v>
      </c>
      <c r="I179" s="9">
        <f>COUNTIF(Data1_Clean!$I$2:I1000,A179)</f>
        <v>0</v>
      </c>
    </row>
    <row r="180" spans="1:9">
      <c r="A180" s="22" t="s">
        <v>2395</v>
      </c>
      <c r="B180" s="23" t="s">
        <v>1370</v>
      </c>
      <c r="C180" s="23">
        <v>43</v>
      </c>
      <c r="D180" s="23" t="s">
        <v>82</v>
      </c>
      <c r="E180" s="24">
        <v>45661</v>
      </c>
      <c r="F180" s="23" t="s">
        <v>2655</v>
      </c>
      <c r="G180" s="23" t="s">
        <v>2654</v>
      </c>
      <c r="H180" s="23">
        <v>0</v>
      </c>
      <c r="I180" s="9">
        <f>COUNTIF(Data1_Clean!$I$2:I1000,A180)</f>
        <v>0</v>
      </c>
    </row>
    <row r="181" spans="1:9">
      <c r="A181" s="22" t="s">
        <v>2027</v>
      </c>
      <c r="B181" s="23" t="s">
        <v>1370</v>
      </c>
      <c r="C181" s="23">
        <v>20</v>
      </c>
      <c r="D181" s="23" t="s">
        <v>82</v>
      </c>
      <c r="E181" s="24">
        <v>45686</v>
      </c>
      <c r="F181" s="23" t="s">
        <v>2653</v>
      </c>
      <c r="G181" s="23" t="s">
        <v>2656</v>
      </c>
      <c r="H181" s="23">
        <v>1</v>
      </c>
      <c r="I181" s="9">
        <f>COUNTIF(Data1_Clean!$I$2:I1000,A181)</f>
        <v>2</v>
      </c>
    </row>
    <row r="182" spans="1:9">
      <c r="A182" s="22" t="s">
        <v>659</v>
      </c>
      <c r="B182" s="23" t="s">
        <v>1176</v>
      </c>
      <c r="C182" s="23">
        <v>59</v>
      </c>
      <c r="D182" s="23" t="s">
        <v>82</v>
      </c>
      <c r="E182" s="24">
        <v>45701</v>
      </c>
      <c r="F182" s="23" t="s">
        <v>2655</v>
      </c>
      <c r="G182" s="23" t="s">
        <v>2656</v>
      </c>
      <c r="H182" s="23">
        <v>4</v>
      </c>
      <c r="I182" s="9">
        <f>COUNTIF(Data1_Clean!$I$2:I1000,A182)</f>
        <v>1</v>
      </c>
    </row>
    <row r="183" spans="1:9">
      <c r="A183" s="22" t="s">
        <v>1419</v>
      </c>
      <c r="B183" s="23" t="s">
        <v>1370</v>
      </c>
      <c r="C183" s="23">
        <v>57</v>
      </c>
      <c r="D183" s="23" t="s">
        <v>82</v>
      </c>
      <c r="E183" s="24">
        <v>45711</v>
      </c>
      <c r="F183" s="23" t="s">
        <v>2653</v>
      </c>
      <c r="G183" s="23" t="s">
        <v>2654</v>
      </c>
      <c r="H183" s="23">
        <v>0</v>
      </c>
      <c r="I183" s="9">
        <f>COUNTIF(Data1_Clean!$I$2:I1000,A183)</f>
        <v>1</v>
      </c>
    </row>
    <row r="184" spans="1:9">
      <c r="A184" s="22" t="s">
        <v>558</v>
      </c>
      <c r="B184" s="23" t="s">
        <v>1370</v>
      </c>
      <c r="C184" s="23">
        <v>43</v>
      </c>
      <c r="D184" s="23" t="s">
        <v>82</v>
      </c>
      <c r="E184" s="24">
        <v>45718</v>
      </c>
      <c r="F184" s="23" t="s">
        <v>2653</v>
      </c>
      <c r="G184" s="23" t="s">
        <v>2656</v>
      </c>
      <c r="H184" s="23">
        <v>3</v>
      </c>
      <c r="I184" s="9">
        <f>COUNTIF(Data1_Clean!$I$2:I1000,A184)</f>
        <v>2</v>
      </c>
    </row>
    <row r="185" spans="1:9">
      <c r="A185" s="22" t="s">
        <v>2450</v>
      </c>
      <c r="B185" s="23" t="s">
        <v>1370</v>
      </c>
      <c r="C185" s="23">
        <v>22</v>
      </c>
      <c r="D185" s="23" t="s">
        <v>82</v>
      </c>
      <c r="E185" s="24">
        <v>45721</v>
      </c>
      <c r="F185" s="23" t="s">
        <v>2655</v>
      </c>
      <c r="G185" s="23" t="s">
        <v>2656</v>
      </c>
      <c r="H185" s="23">
        <v>4</v>
      </c>
      <c r="I185" s="9">
        <f>COUNTIF(Data1_Clean!$I$2:I1000,A185)</f>
        <v>0</v>
      </c>
    </row>
    <row r="186" spans="1:9">
      <c r="A186" s="22" t="s">
        <v>283</v>
      </c>
      <c r="B186" s="23" t="s">
        <v>1176</v>
      </c>
      <c r="C186" s="23">
        <v>24</v>
      </c>
      <c r="D186" s="23" t="s">
        <v>82</v>
      </c>
      <c r="E186" s="24">
        <v>45724</v>
      </c>
      <c r="F186" s="23" t="s">
        <v>2653</v>
      </c>
      <c r="G186" s="23" t="s">
        <v>2656</v>
      </c>
      <c r="H186" s="23">
        <v>3</v>
      </c>
      <c r="I186" s="9">
        <f>COUNTIF(Data1_Clean!$I$2:I1000,A186)</f>
        <v>2</v>
      </c>
    </row>
    <row r="187" spans="1:9">
      <c r="A187" s="22" t="s">
        <v>766</v>
      </c>
      <c r="B187" s="23" t="s">
        <v>1370</v>
      </c>
      <c r="C187" s="23">
        <v>28</v>
      </c>
      <c r="D187" s="23" t="s">
        <v>82</v>
      </c>
      <c r="E187" s="24">
        <v>45726</v>
      </c>
      <c r="F187" s="23" t="s">
        <v>2653</v>
      </c>
      <c r="G187" s="23" t="s">
        <v>2656</v>
      </c>
      <c r="H187" s="23">
        <v>3</v>
      </c>
      <c r="I187" s="9">
        <f>COUNTIF(Data1_Clean!$I$2:I1000,A187)</f>
        <v>3</v>
      </c>
    </row>
    <row r="188" spans="1:9">
      <c r="A188" s="22" t="s">
        <v>2503</v>
      </c>
      <c r="B188" s="23" t="s">
        <v>1370</v>
      </c>
      <c r="C188" s="23">
        <v>65</v>
      </c>
      <c r="D188" s="23" t="s">
        <v>82</v>
      </c>
      <c r="E188" s="24">
        <v>45744</v>
      </c>
      <c r="F188" s="23" t="s">
        <v>2655</v>
      </c>
      <c r="G188" s="23" t="s">
        <v>2654</v>
      </c>
      <c r="H188" s="23">
        <v>0</v>
      </c>
      <c r="I188" s="9">
        <f>COUNTIF(Data1_Clean!$I$2:I1000,A188)</f>
        <v>0</v>
      </c>
    </row>
    <row r="189" spans="1:9">
      <c r="A189" s="22" t="s">
        <v>322</v>
      </c>
      <c r="B189" s="23" t="s">
        <v>1176</v>
      </c>
      <c r="C189" s="23">
        <v>59</v>
      </c>
      <c r="D189" s="23" t="s">
        <v>265</v>
      </c>
      <c r="E189" s="24">
        <v>45553</v>
      </c>
      <c r="F189" s="23" t="s">
        <v>2653</v>
      </c>
      <c r="G189" s="23" t="s">
        <v>2656</v>
      </c>
      <c r="H189" s="23">
        <v>4</v>
      </c>
      <c r="I189" s="9">
        <f>COUNTIF(Data1_Clean!$I$2:I1000,A189)</f>
        <v>1</v>
      </c>
    </row>
    <row r="190" spans="1:9">
      <c r="A190" s="22" t="s">
        <v>2565</v>
      </c>
      <c r="B190" s="23" t="s">
        <v>1370</v>
      </c>
      <c r="C190" s="23">
        <v>49</v>
      </c>
      <c r="D190" s="23" t="s">
        <v>265</v>
      </c>
      <c r="E190" s="24">
        <v>45569</v>
      </c>
      <c r="F190" s="23" t="s">
        <v>2655</v>
      </c>
      <c r="G190" s="23" t="s">
        <v>2656</v>
      </c>
      <c r="H190" s="23">
        <v>3</v>
      </c>
      <c r="I190" s="9">
        <f>COUNTIF(Data1_Clean!$I$2:I1000,A190)</f>
        <v>0</v>
      </c>
    </row>
    <row r="191" spans="1:9">
      <c r="A191" s="22" t="s">
        <v>2410</v>
      </c>
      <c r="B191" s="23" t="s">
        <v>1370</v>
      </c>
      <c r="C191" s="23">
        <v>61</v>
      </c>
      <c r="D191" s="23" t="s">
        <v>265</v>
      </c>
      <c r="E191" s="24">
        <v>45585</v>
      </c>
      <c r="F191" s="23" t="s">
        <v>2653</v>
      </c>
      <c r="G191" s="23" t="s">
        <v>2654</v>
      </c>
      <c r="H191" s="23">
        <v>0</v>
      </c>
      <c r="I191" s="9">
        <f>COUNTIF(Data1_Clean!$I$2:I1000,A191)</f>
        <v>0</v>
      </c>
    </row>
    <row r="192" spans="1:9">
      <c r="A192" s="22" t="s">
        <v>2438</v>
      </c>
      <c r="B192" s="23" t="s">
        <v>1370</v>
      </c>
      <c r="C192" s="23">
        <v>54</v>
      </c>
      <c r="D192" s="23" t="s">
        <v>265</v>
      </c>
      <c r="E192" s="24">
        <v>45596</v>
      </c>
      <c r="F192" s="23" t="s">
        <v>2653</v>
      </c>
      <c r="G192" s="23" t="s">
        <v>2654</v>
      </c>
      <c r="H192" s="23">
        <v>0</v>
      </c>
      <c r="I192" s="9">
        <f>COUNTIF(Data1_Clean!$I$2:I1000,A192)</f>
        <v>0</v>
      </c>
    </row>
    <row r="193" spans="1:9">
      <c r="A193" s="22" t="s">
        <v>483</v>
      </c>
      <c r="B193" s="23" t="s">
        <v>1370</v>
      </c>
      <c r="C193" s="23">
        <v>24</v>
      </c>
      <c r="D193" s="23" t="s">
        <v>265</v>
      </c>
      <c r="E193" s="24">
        <v>45613</v>
      </c>
      <c r="F193" s="23" t="s">
        <v>2655</v>
      </c>
      <c r="G193" s="23" t="s">
        <v>2656</v>
      </c>
      <c r="H193" s="23">
        <v>2</v>
      </c>
      <c r="I193" s="9">
        <f>COUNTIF(Data1_Clean!$I$2:I1000,A193)</f>
        <v>3</v>
      </c>
    </row>
    <row r="194" spans="1:9">
      <c r="A194" s="22" t="s">
        <v>2074</v>
      </c>
      <c r="B194" s="23" t="s">
        <v>1370</v>
      </c>
      <c r="C194" s="23">
        <v>49</v>
      </c>
      <c r="D194" s="23" t="s">
        <v>265</v>
      </c>
      <c r="E194" s="24">
        <v>45622</v>
      </c>
      <c r="F194" s="23" t="s">
        <v>2653</v>
      </c>
      <c r="G194" s="23" t="s">
        <v>2654</v>
      </c>
      <c r="H194" s="23">
        <v>0</v>
      </c>
      <c r="I194" s="9">
        <f>COUNTIF(Data1_Clean!$I$2:I1000,A194)</f>
        <v>1</v>
      </c>
    </row>
    <row r="195" spans="1:9">
      <c r="A195" s="22" t="s">
        <v>2487</v>
      </c>
      <c r="B195" s="23" t="s">
        <v>1176</v>
      </c>
      <c r="C195" s="23">
        <v>31</v>
      </c>
      <c r="D195" s="23" t="s">
        <v>265</v>
      </c>
      <c r="E195" s="24">
        <v>45625</v>
      </c>
      <c r="F195" s="23" t="s">
        <v>2655</v>
      </c>
      <c r="G195" s="23" t="s">
        <v>2654</v>
      </c>
      <c r="H195" s="23">
        <v>0</v>
      </c>
      <c r="I195" s="9">
        <f>COUNTIF(Data1_Clean!$I$2:I1000,A195)</f>
        <v>0</v>
      </c>
    </row>
    <row r="196" spans="1:9">
      <c r="A196" s="22" t="s">
        <v>2507</v>
      </c>
      <c r="B196" s="23" t="s">
        <v>1176</v>
      </c>
      <c r="C196" s="23">
        <v>19</v>
      </c>
      <c r="D196" s="23" t="s">
        <v>265</v>
      </c>
      <c r="E196" s="24">
        <v>45644</v>
      </c>
      <c r="F196" s="23" t="s">
        <v>2653</v>
      </c>
      <c r="G196" s="23" t="s">
        <v>2656</v>
      </c>
      <c r="H196" s="23">
        <v>2</v>
      </c>
      <c r="I196" s="9">
        <f>COUNTIF(Data1_Clean!$I$2:I1000,A196)</f>
        <v>0</v>
      </c>
    </row>
    <row r="197" spans="1:9">
      <c r="A197" s="22" t="s">
        <v>1038</v>
      </c>
      <c r="B197" s="23" t="s">
        <v>1370</v>
      </c>
      <c r="C197" s="23">
        <v>58</v>
      </c>
      <c r="D197" s="23" t="s">
        <v>265</v>
      </c>
      <c r="E197" s="24">
        <v>45660</v>
      </c>
      <c r="F197" s="23" t="s">
        <v>2655</v>
      </c>
      <c r="G197" s="23" t="s">
        <v>2654</v>
      </c>
      <c r="H197" s="23">
        <v>0</v>
      </c>
      <c r="I197" s="9">
        <f>COUNTIF(Data1_Clean!$I$2:I1000,A197)</f>
        <v>2</v>
      </c>
    </row>
    <row r="198" spans="1:9">
      <c r="A198" s="22" t="s">
        <v>1485</v>
      </c>
      <c r="B198" s="23" t="s">
        <v>1370</v>
      </c>
      <c r="C198" s="23">
        <v>46</v>
      </c>
      <c r="D198" s="23" t="s">
        <v>265</v>
      </c>
      <c r="E198" s="24">
        <v>45674</v>
      </c>
      <c r="F198" s="23" t="s">
        <v>2653</v>
      </c>
      <c r="G198" s="23" t="s">
        <v>2654</v>
      </c>
      <c r="H198" s="23">
        <v>0</v>
      </c>
      <c r="I198" s="9">
        <f>COUNTIF(Data1_Clean!$I$2:I1000,A198)</f>
        <v>1</v>
      </c>
    </row>
    <row r="199" spans="1:9">
      <c r="A199" s="22" t="s">
        <v>920</v>
      </c>
      <c r="B199" s="23" t="s">
        <v>1370</v>
      </c>
      <c r="C199" s="23">
        <v>19</v>
      </c>
      <c r="D199" s="23" t="s">
        <v>265</v>
      </c>
      <c r="E199" s="24">
        <v>45682</v>
      </c>
      <c r="F199" s="23" t="s">
        <v>2655</v>
      </c>
      <c r="G199" s="23" t="s">
        <v>2656</v>
      </c>
      <c r="H199" s="23">
        <v>4</v>
      </c>
      <c r="I199" s="9">
        <f>COUNTIF(Data1_Clean!$I$2:I1000,A199)</f>
        <v>1</v>
      </c>
    </row>
    <row r="200" spans="1:9">
      <c r="A200" s="22" t="s">
        <v>2632</v>
      </c>
      <c r="B200" s="23" t="s">
        <v>1176</v>
      </c>
      <c r="C200" s="23">
        <v>61</v>
      </c>
      <c r="D200" s="23" t="s">
        <v>265</v>
      </c>
      <c r="E200" s="24">
        <v>45693</v>
      </c>
      <c r="F200" s="23" t="s">
        <v>2655</v>
      </c>
      <c r="G200" s="23" t="s">
        <v>2654</v>
      </c>
      <c r="H200" s="23">
        <v>0</v>
      </c>
      <c r="I200" s="9">
        <f>COUNTIF(Data1_Clean!$I$2:I1000,A200)</f>
        <v>0</v>
      </c>
    </row>
    <row r="201" spans="1:9">
      <c r="A201" s="22" t="s">
        <v>2554</v>
      </c>
      <c r="B201" s="23" t="s">
        <v>1370</v>
      </c>
      <c r="C201" s="23">
        <v>35</v>
      </c>
      <c r="D201" s="23" t="s">
        <v>265</v>
      </c>
      <c r="E201" s="24">
        <v>45724</v>
      </c>
      <c r="F201" s="23" t="s">
        <v>2653</v>
      </c>
      <c r="G201" s="23" t="s">
        <v>2656</v>
      </c>
      <c r="H201" s="23">
        <v>4</v>
      </c>
      <c r="I201" s="9">
        <f>COUNTIF(Data1_Clean!$I$2:I1000,A201)</f>
        <v>0</v>
      </c>
    </row>
    <row r="202" spans="1:9">
      <c r="A202" s="22" t="s">
        <v>1339</v>
      </c>
      <c r="B202" s="23" t="s">
        <v>1370</v>
      </c>
      <c r="C202" s="23">
        <v>59</v>
      </c>
      <c r="D202" s="23" t="s">
        <v>2665</v>
      </c>
      <c r="E202" s="24">
        <v>45544</v>
      </c>
      <c r="F202" s="23" t="s">
        <v>2653</v>
      </c>
      <c r="G202" s="23" t="s">
        <v>2654</v>
      </c>
      <c r="H202" s="23">
        <v>0</v>
      </c>
      <c r="I202" s="9">
        <f>COUNTIF(Data1_Clean!$I$2:I1000,A202)</f>
        <v>1</v>
      </c>
    </row>
    <row r="203" spans="1:9">
      <c r="A203" s="22" t="s">
        <v>2387</v>
      </c>
      <c r="B203" s="23" t="s">
        <v>1370</v>
      </c>
      <c r="C203" s="23">
        <v>59</v>
      </c>
      <c r="D203" s="23" t="s">
        <v>2665</v>
      </c>
      <c r="E203" s="24">
        <v>45578</v>
      </c>
      <c r="F203" s="23" t="s">
        <v>2655</v>
      </c>
      <c r="G203" s="23" t="s">
        <v>2656</v>
      </c>
      <c r="H203" s="23">
        <v>1</v>
      </c>
      <c r="I203" s="9">
        <f>COUNTIF(Data1_Clean!$I$2:I1000,A203)</f>
        <v>0</v>
      </c>
    </row>
    <row r="204" spans="1:9">
      <c r="A204" s="22" t="s">
        <v>1564</v>
      </c>
      <c r="B204" s="23" t="s">
        <v>1370</v>
      </c>
      <c r="C204" s="23">
        <v>18</v>
      </c>
      <c r="D204" s="23" t="s">
        <v>2665</v>
      </c>
      <c r="E204" s="24">
        <v>45578</v>
      </c>
      <c r="F204" s="23" t="s">
        <v>2653</v>
      </c>
      <c r="G204" s="23" t="s">
        <v>2654</v>
      </c>
      <c r="H204" s="23">
        <v>0</v>
      </c>
      <c r="I204" s="9">
        <f>COUNTIF(Data1_Clean!$I$2:I1000,A204)</f>
        <v>1</v>
      </c>
    </row>
    <row r="205" spans="1:9">
      <c r="A205" s="22" t="s">
        <v>1026</v>
      </c>
      <c r="B205" s="23" t="s">
        <v>1370</v>
      </c>
      <c r="C205" s="23">
        <v>34</v>
      </c>
      <c r="D205" s="23" t="s">
        <v>2665</v>
      </c>
      <c r="E205" s="24">
        <v>45596</v>
      </c>
      <c r="F205" s="23" t="s">
        <v>2655</v>
      </c>
      <c r="G205" s="23" t="s">
        <v>2656</v>
      </c>
      <c r="H205" s="23">
        <v>4</v>
      </c>
      <c r="I205" s="9">
        <f>COUNTIF(Data1_Clean!$I$2:I1000,A205)</f>
        <v>1</v>
      </c>
    </row>
    <row r="206" spans="1:9">
      <c r="A206" s="22" t="s">
        <v>967</v>
      </c>
      <c r="B206" s="23" t="s">
        <v>1176</v>
      </c>
      <c r="C206" s="23">
        <v>48</v>
      </c>
      <c r="D206" s="23" t="s">
        <v>2665</v>
      </c>
      <c r="E206" s="24">
        <v>45604</v>
      </c>
      <c r="F206" s="23" t="s">
        <v>2655</v>
      </c>
      <c r="G206" s="23" t="s">
        <v>2654</v>
      </c>
      <c r="H206" s="23">
        <v>0</v>
      </c>
      <c r="I206" s="9">
        <f>COUNTIF(Data1_Clean!$I$2:I1000,A206)</f>
        <v>1</v>
      </c>
    </row>
    <row r="207" spans="1:9">
      <c r="A207" s="22" t="s">
        <v>2527</v>
      </c>
      <c r="B207" s="23" t="s">
        <v>1370</v>
      </c>
      <c r="C207" s="23">
        <v>47</v>
      </c>
      <c r="D207" s="23" t="s">
        <v>2665</v>
      </c>
      <c r="E207" s="24">
        <v>45606</v>
      </c>
      <c r="F207" s="23" t="s">
        <v>2653</v>
      </c>
      <c r="G207" s="23" t="s">
        <v>2656</v>
      </c>
      <c r="H207" s="23">
        <v>1</v>
      </c>
      <c r="I207" s="9">
        <f>COUNTIF(Data1_Clean!$I$2:I1000,A207)</f>
        <v>0</v>
      </c>
    </row>
    <row r="208" spans="1:9">
      <c r="A208" s="22" t="s">
        <v>1498</v>
      </c>
      <c r="B208" s="23" t="s">
        <v>1176</v>
      </c>
      <c r="C208" s="23">
        <v>59</v>
      </c>
      <c r="D208" s="23" t="s">
        <v>2665</v>
      </c>
      <c r="E208" s="24">
        <v>45637</v>
      </c>
      <c r="F208" s="23" t="s">
        <v>2655</v>
      </c>
      <c r="G208" s="23" t="s">
        <v>2656</v>
      </c>
      <c r="H208" s="23">
        <v>1</v>
      </c>
      <c r="I208" s="9">
        <f>COUNTIF(Data1_Clean!$I$2:I1000,A208)</f>
        <v>1</v>
      </c>
    </row>
    <row r="209" spans="1:9">
      <c r="A209" s="22" t="s">
        <v>2394</v>
      </c>
      <c r="B209" s="23" t="s">
        <v>1370</v>
      </c>
      <c r="C209" s="23">
        <v>30</v>
      </c>
      <c r="D209" s="23" t="s">
        <v>2665</v>
      </c>
      <c r="E209" s="24">
        <v>45641</v>
      </c>
      <c r="F209" s="23" t="s">
        <v>2653</v>
      </c>
      <c r="G209" s="23" t="s">
        <v>2654</v>
      </c>
      <c r="H209" s="23">
        <v>0</v>
      </c>
      <c r="I209" s="9">
        <f>COUNTIF(Data1_Clean!$I$2:I1000,A209)</f>
        <v>0</v>
      </c>
    </row>
    <row r="210" spans="1:9">
      <c r="A210" s="22" t="s">
        <v>2261</v>
      </c>
      <c r="B210" s="23" t="s">
        <v>1176</v>
      </c>
      <c r="C210" s="23">
        <v>23</v>
      </c>
      <c r="D210" s="23" t="s">
        <v>2665</v>
      </c>
      <c r="E210" s="24">
        <v>45644</v>
      </c>
      <c r="F210" s="23" t="s">
        <v>2655</v>
      </c>
      <c r="G210" s="23" t="s">
        <v>2654</v>
      </c>
      <c r="H210" s="23">
        <v>0</v>
      </c>
      <c r="I210" s="9">
        <f>COUNTIF(Data1_Clean!$I$2:I1000,A210)</f>
        <v>1</v>
      </c>
    </row>
    <row r="211" spans="1:9">
      <c r="A211" s="22" t="s">
        <v>1515</v>
      </c>
      <c r="B211" s="23" t="s">
        <v>1176</v>
      </c>
      <c r="C211" s="23">
        <v>61</v>
      </c>
      <c r="D211" s="23" t="s">
        <v>2665</v>
      </c>
      <c r="E211" s="24">
        <v>45652</v>
      </c>
      <c r="F211" s="23" t="s">
        <v>2655</v>
      </c>
      <c r="G211" s="23" t="s">
        <v>2656</v>
      </c>
      <c r="H211" s="23">
        <v>3</v>
      </c>
      <c r="I211" s="9">
        <f>COUNTIF(Data1_Clean!$I$2:I1000,A211)</f>
        <v>1</v>
      </c>
    </row>
    <row r="212" spans="1:9">
      <c r="A212" s="22" t="s">
        <v>2433</v>
      </c>
      <c r="B212" s="23" t="s">
        <v>1176</v>
      </c>
      <c r="C212" s="23">
        <v>51</v>
      </c>
      <c r="D212" s="23" t="s">
        <v>2665</v>
      </c>
      <c r="E212" s="24">
        <v>45671</v>
      </c>
      <c r="F212" s="23" t="s">
        <v>2655</v>
      </c>
      <c r="G212" s="23" t="s">
        <v>2654</v>
      </c>
      <c r="H212" s="23">
        <v>0</v>
      </c>
      <c r="I212" s="9">
        <f>COUNTIF(Data1_Clean!$I$2:I1000,A212)</f>
        <v>0</v>
      </c>
    </row>
    <row r="213" spans="1:9">
      <c r="A213" s="22" t="s">
        <v>505</v>
      </c>
      <c r="B213" s="23" t="s">
        <v>1176</v>
      </c>
      <c r="C213" s="23">
        <v>30</v>
      </c>
      <c r="D213" s="23" t="s">
        <v>2665</v>
      </c>
      <c r="E213" s="24">
        <v>45678</v>
      </c>
      <c r="F213" s="23" t="s">
        <v>2653</v>
      </c>
      <c r="G213" s="23" t="s">
        <v>2656</v>
      </c>
      <c r="H213" s="23">
        <v>2</v>
      </c>
      <c r="I213" s="9">
        <f>COUNTIF(Data1_Clean!$I$2:I1000,A213)</f>
        <v>1</v>
      </c>
    </row>
    <row r="214" spans="1:9">
      <c r="A214" s="22" t="s">
        <v>2226</v>
      </c>
      <c r="B214" s="23" t="s">
        <v>1176</v>
      </c>
      <c r="C214" s="23">
        <v>65</v>
      </c>
      <c r="D214" s="23" t="s">
        <v>2665</v>
      </c>
      <c r="E214" s="24">
        <v>45702</v>
      </c>
      <c r="F214" s="23" t="s">
        <v>2653</v>
      </c>
      <c r="G214" s="23" t="s">
        <v>2654</v>
      </c>
      <c r="H214" s="23">
        <v>0</v>
      </c>
      <c r="I214" s="9">
        <f>COUNTIF(Data1_Clean!$I$2:I1000,A214)</f>
        <v>1</v>
      </c>
    </row>
    <row r="215" spans="1:9">
      <c r="A215" s="22" t="s">
        <v>2232</v>
      </c>
      <c r="B215" s="23" t="s">
        <v>1370</v>
      </c>
      <c r="C215" s="23">
        <v>50</v>
      </c>
      <c r="D215" s="23" t="s">
        <v>2665</v>
      </c>
      <c r="E215" s="24">
        <v>45708</v>
      </c>
      <c r="F215" s="23" t="s">
        <v>2653</v>
      </c>
      <c r="G215" s="23" t="s">
        <v>2656</v>
      </c>
      <c r="H215" s="23">
        <v>2</v>
      </c>
      <c r="I215" s="9">
        <f>COUNTIF(Data1_Clean!$I$2:I1000,A215)</f>
        <v>2</v>
      </c>
    </row>
    <row r="216" spans="1:9">
      <c r="A216" s="22" t="s">
        <v>2469</v>
      </c>
      <c r="B216" s="23" t="s">
        <v>1370</v>
      </c>
      <c r="C216" s="23">
        <v>34</v>
      </c>
      <c r="D216" s="23" t="s">
        <v>2665</v>
      </c>
      <c r="E216" s="24">
        <v>45709</v>
      </c>
      <c r="F216" s="23" t="s">
        <v>2655</v>
      </c>
      <c r="G216" s="23" t="s">
        <v>2656</v>
      </c>
      <c r="H216" s="23">
        <v>3</v>
      </c>
      <c r="I216" s="9">
        <f>COUNTIF(Data1_Clean!$I$2:I1000,A216)</f>
        <v>0</v>
      </c>
    </row>
    <row r="217" spans="1:9">
      <c r="A217" s="22" t="s">
        <v>2186</v>
      </c>
      <c r="B217" s="23" t="s">
        <v>1370</v>
      </c>
      <c r="C217" s="23">
        <v>25</v>
      </c>
      <c r="D217" s="23" t="s">
        <v>2665</v>
      </c>
      <c r="E217" s="24">
        <v>45712</v>
      </c>
      <c r="F217" s="23" t="s">
        <v>2655</v>
      </c>
      <c r="G217" s="23" t="s">
        <v>2656</v>
      </c>
      <c r="H217" s="23">
        <v>4</v>
      </c>
      <c r="I217" s="9">
        <f>COUNTIF(Data1_Clean!$I$2:I1000,A217)</f>
        <v>1</v>
      </c>
    </row>
    <row r="218" spans="1:9">
      <c r="A218" s="22" t="s">
        <v>2485</v>
      </c>
      <c r="B218" s="23" t="s">
        <v>1176</v>
      </c>
      <c r="C218" s="23">
        <v>50</v>
      </c>
      <c r="D218" s="23" t="s">
        <v>2665</v>
      </c>
      <c r="E218" s="24">
        <v>45725</v>
      </c>
      <c r="F218" s="23" t="s">
        <v>2655</v>
      </c>
      <c r="G218" s="23" t="s">
        <v>2656</v>
      </c>
      <c r="H218" s="23">
        <v>1</v>
      </c>
      <c r="I218" s="9">
        <f>COUNTIF(Data1_Clean!$I$2:I1000,A218)</f>
        <v>0</v>
      </c>
    </row>
    <row r="219" spans="1:9">
      <c r="A219" s="22" t="s">
        <v>70</v>
      </c>
      <c r="B219" s="23" t="s">
        <v>1176</v>
      </c>
      <c r="C219" s="23">
        <v>59</v>
      </c>
      <c r="D219" s="23" t="s">
        <v>2665</v>
      </c>
      <c r="E219" s="24">
        <v>45747</v>
      </c>
      <c r="F219" s="23" t="s">
        <v>2653</v>
      </c>
      <c r="G219" s="23" t="s">
        <v>2656</v>
      </c>
      <c r="H219" s="23">
        <v>2</v>
      </c>
      <c r="I219" s="9">
        <f>COUNTIF(Data1_Clean!$I$2:I1000,A219)</f>
        <v>1</v>
      </c>
    </row>
    <row r="220" spans="1:9">
      <c r="A220" s="22" t="s">
        <v>589</v>
      </c>
      <c r="B220" s="23" t="s">
        <v>1370</v>
      </c>
      <c r="C220" s="23">
        <v>41</v>
      </c>
      <c r="D220" s="23" t="s">
        <v>2666</v>
      </c>
      <c r="E220" s="24">
        <v>45547</v>
      </c>
      <c r="F220" s="23" t="s">
        <v>2653</v>
      </c>
      <c r="G220" s="23" t="s">
        <v>2656</v>
      </c>
      <c r="H220" s="23">
        <v>2</v>
      </c>
      <c r="I220" s="9">
        <f>COUNTIF(Data1_Clean!$I$2:I1000,A220)</f>
        <v>1</v>
      </c>
    </row>
    <row r="221" spans="1:9">
      <c r="A221" s="22" t="s">
        <v>2463</v>
      </c>
      <c r="B221" s="23" t="s">
        <v>1176</v>
      </c>
      <c r="C221" s="23">
        <v>48</v>
      </c>
      <c r="D221" s="23" t="s">
        <v>2666</v>
      </c>
      <c r="E221" s="24">
        <v>45561</v>
      </c>
      <c r="F221" s="23" t="s">
        <v>2653</v>
      </c>
      <c r="G221" s="23" t="s">
        <v>2656</v>
      </c>
      <c r="H221" s="23">
        <v>2</v>
      </c>
      <c r="I221" s="9">
        <f>COUNTIF(Data1_Clean!$I$2:I1000,A221)</f>
        <v>0</v>
      </c>
    </row>
    <row r="222" spans="1:9">
      <c r="A222" s="22" t="s">
        <v>1444</v>
      </c>
      <c r="B222" s="23" t="s">
        <v>1176</v>
      </c>
      <c r="C222" s="23">
        <v>63</v>
      </c>
      <c r="D222" s="23" t="s">
        <v>2666</v>
      </c>
      <c r="E222" s="24">
        <v>45561</v>
      </c>
      <c r="F222" s="23" t="s">
        <v>2653</v>
      </c>
      <c r="G222" s="23" t="s">
        <v>2654</v>
      </c>
      <c r="H222" s="23">
        <v>0</v>
      </c>
      <c r="I222" s="9">
        <f>COUNTIF(Data1_Clean!$I$2:I1000,A222)</f>
        <v>3</v>
      </c>
    </row>
    <row r="223" spans="1:9">
      <c r="A223" s="22" t="s">
        <v>2642</v>
      </c>
      <c r="B223" s="23" t="s">
        <v>1370</v>
      </c>
      <c r="C223" s="23">
        <v>53</v>
      </c>
      <c r="D223" s="23" t="s">
        <v>2666</v>
      </c>
      <c r="E223" s="24">
        <v>45563</v>
      </c>
      <c r="F223" s="23" t="s">
        <v>2653</v>
      </c>
      <c r="G223" s="23" t="s">
        <v>2656</v>
      </c>
      <c r="H223" s="23">
        <v>2</v>
      </c>
      <c r="I223" s="9">
        <f>COUNTIF(Data1_Clean!$I$2:I1000,A223)</f>
        <v>0</v>
      </c>
    </row>
    <row r="224" spans="1:9">
      <c r="A224" s="22" t="s">
        <v>1365</v>
      </c>
      <c r="B224" s="23" t="s">
        <v>1370</v>
      </c>
      <c r="C224" s="23">
        <v>36</v>
      </c>
      <c r="D224" s="23" t="s">
        <v>2666</v>
      </c>
      <c r="E224" s="24">
        <v>45576</v>
      </c>
      <c r="F224" s="23" t="s">
        <v>2655</v>
      </c>
      <c r="G224" s="23" t="s">
        <v>2656</v>
      </c>
      <c r="H224" s="23">
        <v>4</v>
      </c>
      <c r="I224" s="9">
        <f>COUNTIF(Data1_Clean!$I$2:I1000,A224)</f>
        <v>2</v>
      </c>
    </row>
    <row r="225" spans="1:9">
      <c r="A225" s="22" t="s">
        <v>1621</v>
      </c>
      <c r="B225" s="23" t="s">
        <v>1176</v>
      </c>
      <c r="C225" s="23">
        <v>29</v>
      </c>
      <c r="D225" s="23" t="s">
        <v>2666</v>
      </c>
      <c r="E225" s="24">
        <v>45584</v>
      </c>
      <c r="F225" s="23" t="s">
        <v>2655</v>
      </c>
      <c r="G225" s="23" t="s">
        <v>2654</v>
      </c>
      <c r="H225" s="23">
        <v>0</v>
      </c>
      <c r="I225" s="9">
        <f>COUNTIF(Data1_Clean!$I$2:I1000,A225)</f>
        <v>2</v>
      </c>
    </row>
    <row r="226" spans="1:9">
      <c r="A226" s="22" t="s">
        <v>1745</v>
      </c>
      <c r="B226" s="23" t="s">
        <v>1176</v>
      </c>
      <c r="C226" s="23">
        <v>58</v>
      </c>
      <c r="D226" s="23" t="s">
        <v>2666</v>
      </c>
      <c r="E226" s="24">
        <v>45595</v>
      </c>
      <c r="F226" s="23" t="s">
        <v>2655</v>
      </c>
      <c r="G226" s="23" t="s">
        <v>2654</v>
      </c>
      <c r="H226" s="23">
        <v>0</v>
      </c>
      <c r="I226" s="9">
        <f>COUNTIF(Data1_Clean!$I$2:I1000,A226)</f>
        <v>1</v>
      </c>
    </row>
    <row r="227" spans="1:9">
      <c r="A227" s="22" t="s">
        <v>2605</v>
      </c>
      <c r="B227" s="23" t="s">
        <v>1370</v>
      </c>
      <c r="C227" s="23">
        <v>62</v>
      </c>
      <c r="D227" s="23" t="s">
        <v>2666</v>
      </c>
      <c r="E227" s="24">
        <v>45600</v>
      </c>
      <c r="F227" s="23" t="s">
        <v>2655</v>
      </c>
      <c r="G227" s="23" t="s">
        <v>2654</v>
      </c>
      <c r="H227" s="23">
        <v>0</v>
      </c>
      <c r="I227" s="9">
        <f>COUNTIF(Data1_Clean!$I$2:I1000,A227)</f>
        <v>0</v>
      </c>
    </row>
    <row r="228" spans="1:9">
      <c r="A228" s="22" t="s">
        <v>1288</v>
      </c>
      <c r="B228" s="23" t="s">
        <v>1176</v>
      </c>
      <c r="C228" s="23">
        <v>33</v>
      </c>
      <c r="D228" s="23" t="s">
        <v>2666</v>
      </c>
      <c r="E228" s="24">
        <v>45602</v>
      </c>
      <c r="F228" s="23" t="s">
        <v>2655</v>
      </c>
      <c r="G228" s="23" t="s">
        <v>2656</v>
      </c>
      <c r="H228" s="23">
        <v>2</v>
      </c>
      <c r="I228" s="9">
        <f>COUNTIF(Data1_Clean!$I$2:I1000,A228)</f>
        <v>1</v>
      </c>
    </row>
    <row r="229" spans="1:9">
      <c r="A229" s="22" t="s">
        <v>503</v>
      </c>
      <c r="B229" s="23" t="s">
        <v>1370</v>
      </c>
      <c r="C229" s="23">
        <v>55</v>
      </c>
      <c r="D229" s="23" t="s">
        <v>2666</v>
      </c>
      <c r="E229" s="24">
        <v>45603</v>
      </c>
      <c r="F229" s="23" t="s">
        <v>2655</v>
      </c>
      <c r="G229" s="23" t="s">
        <v>2654</v>
      </c>
      <c r="H229" s="23">
        <v>0</v>
      </c>
      <c r="I229" s="9">
        <f>COUNTIF(Data1_Clean!$I$2:I1000,A229)</f>
        <v>1</v>
      </c>
    </row>
    <row r="230" spans="1:9">
      <c r="A230" s="22" t="s">
        <v>663</v>
      </c>
      <c r="B230" s="23" t="s">
        <v>1370</v>
      </c>
      <c r="C230" s="23">
        <v>20</v>
      </c>
      <c r="D230" s="23" t="s">
        <v>2666</v>
      </c>
      <c r="E230" s="24">
        <v>45605</v>
      </c>
      <c r="F230" s="23" t="s">
        <v>2655</v>
      </c>
      <c r="G230" s="23" t="s">
        <v>2654</v>
      </c>
      <c r="H230" s="23">
        <v>0</v>
      </c>
      <c r="I230" s="9">
        <f>COUNTIF(Data1_Clean!$I$2:I1000,A230)</f>
        <v>2</v>
      </c>
    </row>
    <row r="231" spans="1:9">
      <c r="A231" s="22" t="s">
        <v>622</v>
      </c>
      <c r="B231" s="23" t="s">
        <v>1176</v>
      </c>
      <c r="C231" s="23">
        <v>23</v>
      </c>
      <c r="D231" s="23" t="s">
        <v>2666</v>
      </c>
      <c r="E231" s="24">
        <v>45613</v>
      </c>
      <c r="F231" s="23" t="s">
        <v>2653</v>
      </c>
      <c r="G231" s="23" t="s">
        <v>2654</v>
      </c>
      <c r="H231" s="23">
        <v>0</v>
      </c>
      <c r="I231" s="9">
        <f>COUNTIF(Data1_Clean!$I$2:I1000,A231)</f>
        <v>1</v>
      </c>
    </row>
    <row r="232" spans="1:9">
      <c r="A232" s="22" t="s">
        <v>1627</v>
      </c>
      <c r="B232" s="23" t="s">
        <v>1176</v>
      </c>
      <c r="C232" s="23">
        <v>28</v>
      </c>
      <c r="D232" s="23" t="s">
        <v>2666</v>
      </c>
      <c r="E232" s="24">
        <v>45619</v>
      </c>
      <c r="F232" s="23" t="s">
        <v>2653</v>
      </c>
      <c r="G232" s="23" t="s">
        <v>2654</v>
      </c>
      <c r="H232" s="23">
        <v>0</v>
      </c>
      <c r="I232" s="9">
        <f>COUNTIF(Data1_Clean!$I$2:I1000,A232)</f>
        <v>2</v>
      </c>
    </row>
    <row r="233" spans="1:9">
      <c r="A233" s="22" t="s">
        <v>2604</v>
      </c>
      <c r="B233" s="23" t="s">
        <v>1370</v>
      </c>
      <c r="C233" s="23">
        <v>36</v>
      </c>
      <c r="D233" s="23" t="s">
        <v>2666</v>
      </c>
      <c r="E233" s="24">
        <v>45622</v>
      </c>
      <c r="F233" s="23" t="s">
        <v>2653</v>
      </c>
      <c r="G233" s="23" t="s">
        <v>2656</v>
      </c>
      <c r="H233" s="23">
        <v>3</v>
      </c>
      <c r="I233" s="9">
        <f>COUNTIF(Data1_Clean!$I$2:I1000,A233)</f>
        <v>0</v>
      </c>
    </row>
    <row r="234" spans="1:9">
      <c r="A234" s="22" t="s">
        <v>805</v>
      </c>
      <c r="B234" s="23" t="s">
        <v>1176</v>
      </c>
      <c r="C234" s="23">
        <v>54</v>
      </c>
      <c r="D234" s="23" t="s">
        <v>2666</v>
      </c>
      <c r="E234" s="24">
        <v>45627</v>
      </c>
      <c r="F234" s="23" t="s">
        <v>2653</v>
      </c>
      <c r="G234" s="23" t="s">
        <v>2656</v>
      </c>
      <c r="H234" s="23">
        <v>2</v>
      </c>
      <c r="I234" s="9">
        <f>COUNTIF(Data1_Clean!$I$2:I1000,A234)</f>
        <v>1</v>
      </c>
    </row>
    <row r="235" spans="1:9">
      <c r="A235" s="22" t="s">
        <v>598</v>
      </c>
      <c r="B235" s="23" t="s">
        <v>1176</v>
      </c>
      <c r="C235" s="23">
        <v>22</v>
      </c>
      <c r="D235" s="23" t="s">
        <v>2666</v>
      </c>
      <c r="E235" s="24">
        <v>45638</v>
      </c>
      <c r="F235" s="23" t="s">
        <v>2653</v>
      </c>
      <c r="G235" s="23" t="s">
        <v>2656</v>
      </c>
      <c r="H235" s="23">
        <v>4</v>
      </c>
      <c r="I235" s="9">
        <f>COUNTIF(Data1_Clean!$I$2:I1000,A235)</f>
        <v>3</v>
      </c>
    </row>
    <row r="236" spans="1:9">
      <c r="A236" s="22" t="s">
        <v>1019</v>
      </c>
      <c r="B236" s="23" t="s">
        <v>1370</v>
      </c>
      <c r="C236" s="23">
        <v>50</v>
      </c>
      <c r="D236" s="23" t="s">
        <v>2666</v>
      </c>
      <c r="E236" s="24">
        <v>45648</v>
      </c>
      <c r="F236" s="23" t="s">
        <v>2653</v>
      </c>
      <c r="G236" s="23" t="s">
        <v>2656</v>
      </c>
      <c r="H236" s="23">
        <v>4</v>
      </c>
      <c r="I236" s="9">
        <f>COUNTIF(Data1_Clean!$I$2:I1000,A236)</f>
        <v>1</v>
      </c>
    </row>
    <row r="237" spans="1:9">
      <c r="A237" s="22" t="s">
        <v>159</v>
      </c>
      <c r="B237" s="23" t="s">
        <v>1176</v>
      </c>
      <c r="C237" s="23">
        <v>34</v>
      </c>
      <c r="D237" s="23" t="s">
        <v>2666</v>
      </c>
      <c r="E237" s="24">
        <v>45661</v>
      </c>
      <c r="F237" s="23" t="s">
        <v>2653</v>
      </c>
      <c r="G237" s="23" t="s">
        <v>2656</v>
      </c>
      <c r="H237" s="23">
        <v>4</v>
      </c>
      <c r="I237" s="9">
        <f>COUNTIF(Data1_Clean!$I$2:I1000,A237)</f>
        <v>1</v>
      </c>
    </row>
    <row r="238" spans="1:9">
      <c r="A238" s="22" t="s">
        <v>2617</v>
      </c>
      <c r="B238" s="23" t="s">
        <v>1176</v>
      </c>
      <c r="C238" s="23">
        <v>53</v>
      </c>
      <c r="D238" s="23" t="s">
        <v>2666</v>
      </c>
      <c r="E238" s="24">
        <v>45665</v>
      </c>
      <c r="F238" s="23" t="s">
        <v>2653</v>
      </c>
      <c r="G238" s="23" t="s">
        <v>2654</v>
      </c>
      <c r="H238" s="23">
        <v>0</v>
      </c>
      <c r="I238" s="9">
        <f>COUNTIF(Data1_Clean!$I$2:I1000,A238)</f>
        <v>0</v>
      </c>
    </row>
    <row r="239" spans="1:9">
      <c r="A239" s="22" t="s">
        <v>2530</v>
      </c>
      <c r="B239" s="23" t="s">
        <v>1370</v>
      </c>
      <c r="C239" s="23">
        <v>52</v>
      </c>
      <c r="D239" s="23" t="s">
        <v>2666</v>
      </c>
      <c r="E239" s="24">
        <v>45666</v>
      </c>
      <c r="F239" s="23" t="s">
        <v>2655</v>
      </c>
      <c r="G239" s="23" t="s">
        <v>2654</v>
      </c>
      <c r="H239" s="23">
        <v>0</v>
      </c>
      <c r="I239" s="9">
        <f>COUNTIF(Data1_Clean!$I$2:I1000,A239)</f>
        <v>0</v>
      </c>
    </row>
    <row r="240" spans="1:9">
      <c r="A240" s="22" t="s">
        <v>2076</v>
      </c>
      <c r="B240" s="23" t="s">
        <v>1176</v>
      </c>
      <c r="C240" s="23">
        <v>41</v>
      </c>
      <c r="D240" s="23" t="s">
        <v>2666</v>
      </c>
      <c r="E240" s="24">
        <v>45668</v>
      </c>
      <c r="F240" s="23" t="s">
        <v>2655</v>
      </c>
      <c r="G240" s="23" t="s">
        <v>2654</v>
      </c>
      <c r="H240" s="23">
        <v>0</v>
      </c>
      <c r="I240" s="9">
        <f>COUNTIF(Data1_Clean!$I$2:I1000,A240)</f>
        <v>2</v>
      </c>
    </row>
    <row r="241" spans="1:9">
      <c r="A241" s="22" t="s">
        <v>2403</v>
      </c>
      <c r="B241" s="23" t="s">
        <v>1176</v>
      </c>
      <c r="C241" s="23">
        <v>43</v>
      </c>
      <c r="D241" s="23" t="s">
        <v>2666</v>
      </c>
      <c r="E241" s="24">
        <v>45718</v>
      </c>
      <c r="F241" s="23" t="s">
        <v>2655</v>
      </c>
      <c r="G241" s="23" t="s">
        <v>2654</v>
      </c>
      <c r="H241" s="23">
        <v>0</v>
      </c>
      <c r="I241" s="9">
        <f>COUNTIF(Data1_Clean!$I$2:I1000,A241)</f>
        <v>0</v>
      </c>
    </row>
    <row r="242" spans="1:9">
      <c r="A242" s="22" t="s">
        <v>278</v>
      </c>
      <c r="B242" s="23" t="s">
        <v>1176</v>
      </c>
      <c r="C242" s="23">
        <v>45</v>
      </c>
      <c r="D242" s="23" t="s">
        <v>2666</v>
      </c>
      <c r="E242" s="24">
        <v>45739</v>
      </c>
      <c r="F242" s="23" t="s">
        <v>2653</v>
      </c>
      <c r="G242" s="23" t="s">
        <v>2656</v>
      </c>
      <c r="H242" s="23">
        <v>1</v>
      </c>
      <c r="I242" s="9">
        <f>COUNTIF(Data1_Clean!$I$2:I1000,A242)</f>
        <v>1</v>
      </c>
    </row>
    <row r="243" spans="1:9">
      <c r="A243" s="22" t="s">
        <v>2440</v>
      </c>
      <c r="B243" s="23" t="s">
        <v>1370</v>
      </c>
      <c r="C243" s="23">
        <v>50</v>
      </c>
      <c r="D243" s="23" t="s">
        <v>2666</v>
      </c>
      <c r="E243" s="24">
        <v>45743</v>
      </c>
      <c r="F243" s="23" t="s">
        <v>2655</v>
      </c>
      <c r="G243" s="23" t="s">
        <v>2654</v>
      </c>
      <c r="H243" s="23">
        <v>0</v>
      </c>
      <c r="I243" s="9">
        <f>COUNTIF(Data1_Clean!$I$2:I1000,A243)</f>
        <v>0</v>
      </c>
    </row>
    <row r="244" spans="1:9">
      <c r="A244" s="22" t="s">
        <v>1127</v>
      </c>
      <c r="B244" s="23" t="s">
        <v>1176</v>
      </c>
      <c r="C244" s="23">
        <v>23</v>
      </c>
      <c r="D244" s="23" t="s">
        <v>2332</v>
      </c>
      <c r="E244" s="24">
        <v>45579</v>
      </c>
      <c r="F244" s="23" t="s">
        <v>2655</v>
      </c>
      <c r="G244" s="23" t="s">
        <v>2656</v>
      </c>
      <c r="H244" s="23">
        <v>2</v>
      </c>
      <c r="I244" s="9">
        <f>COUNTIF(Data1_Clean!$I$2:I1000,A244)</f>
        <v>1</v>
      </c>
    </row>
    <row r="245" spans="1:9">
      <c r="A245" s="22" t="s">
        <v>1838</v>
      </c>
      <c r="B245" s="23" t="s">
        <v>1370</v>
      </c>
      <c r="C245" s="23">
        <v>43</v>
      </c>
      <c r="D245" s="23" t="s">
        <v>2332</v>
      </c>
      <c r="E245" s="24">
        <v>45590</v>
      </c>
      <c r="F245" s="23" t="s">
        <v>2653</v>
      </c>
      <c r="G245" s="23" t="s">
        <v>2656</v>
      </c>
      <c r="H245" s="23">
        <v>1</v>
      </c>
      <c r="I245" s="9">
        <f>COUNTIF(Data1_Clean!$I$2:I1000,A245)</f>
        <v>1</v>
      </c>
    </row>
    <row r="246" spans="1:9">
      <c r="A246" s="22" t="s">
        <v>1034</v>
      </c>
      <c r="B246" s="23" t="s">
        <v>1176</v>
      </c>
      <c r="C246" s="23">
        <v>55</v>
      </c>
      <c r="D246" s="23" t="s">
        <v>2332</v>
      </c>
      <c r="E246" s="24">
        <v>45605</v>
      </c>
      <c r="F246" s="23" t="s">
        <v>2655</v>
      </c>
      <c r="G246" s="23" t="s">
        <v>2654</v>
      </c>
      <c r="H246" s="23">
        <v>0</v>
      </c>
      <c r="I246" s="9">
        <f>COUNTIF(Data1_Clean!$I$2:I1000,A246)</f>
        <v>2</v>
      </c>
    </row>
    <row r="247" spans="1:9">
      <c r="A247" s="22" t="s">
        <v>626</v>
      </c>
      <c r="B247" s="23" t="s">
        <v>1370</v>
      </c>
      <c r="C247" s="23">
        <v>38</v>
      </c>
      <c r="D247" s="23" t="s">
        <v>2332</v>
      </c>
      <c r="E247" s="24">
        <v>45607</v>
      </c>
      <c r="F247" s="23" t="s">
        <v>2655</v>
      </c>
      <c r="G247" s="23" t="s">
        <v>2654</v>
      </c>
      <c r="H247" s="23">
        <v>0</v>
      </c>
      <c r="I247" s="9">
        <f>COUNTIF(Data1_Clean!$I$2:I1000,A247)</f>
        <v>2</v>
      </c>
    </row>
    <row r="248" spans="1:9">
      <c r="A248" s="22" t="s">
        <v>331</v>
      </c>
      <c r="B248" s="23" t="s">
        <v>1370</v>
      </c>
      <c r="C248" s="23">
        <v>53</v>
      </c>
      <c r="D248" s="23" t="s">
        <v>2332</v>
      </c>
      <c r="E248" s="24">
        <v>45614</v>
      </c>
      <c r="F248" s="23" t="s">
        <v>2653</v>
      </c>
      <c r="G248" s="23" t="s">
        <v>2656</v>
      </c>
      <c r="H248" s="23">
        <v>2</v>
      </c>
      <c r="I248" s="9">
        <f>COUNTIF(Data1_Clean!$I$2:I1000,A248)</f>
        <v>2</v>
      </c>
    </row>
    <row r="249" spans="1:9">
      <c r="A249" s="22" t="s">
        <v>515</v>
      </c>
      <c r="B249" s="23" t="s">
        <v>1176</v>
      </c>
      <c r="C249" s="23">
        <v>51</v>
      </c>
      <c r="D249" s="23" t="s">
        <v>2332</v>
      </c>
      <c r="E249" s="24">
        <v>45626</v>
      </c>
      <c r="F249" s="23" t="s">
        <v>2655</v>
      </c>
      <c r="G249" s="23" t="s">
        <v>2654</v>
      </c>
      <c r="H249" s="23">
        <v>0</v>
      </c>
      <c r="I249" s="9">
        <f>COUNTIF(Data1_Clean!$I$2:I1000,A249)</f>
        <v>1</v>
      </c>
    </row>
    <row r="250" spans="1:9">
      <c r="A250" s="22" t="s">
        <v>500</v>
      </c>
      <c r="B250" s="23" t="s">
        <v>1370</v>
      </c>
      <c r="C250" s="23">
        <v>63</v>
      </c>
      <c r="D250" s="23" t="s">
        <v>2332</v>
      </c>
      <c r="E250" s="24">
        <v>45650</v>
      </c>
      <c r="F250" s="23" t="s">
        <v>2655</v>
      </c>
      <c r="G250" s="23" t="s">
        <v>2654</v>
      </c>
      <c r="H250" s="23">
        <v>0</v>
      </c>
      <c r="I250" s="9">
        <f>COUNTIF(Data1_Clean!$I$2:I1000,A250)</f>
        <v>1</v>
      </c>
    </row>
    <row r="251" spans="1:9">
      <c r="A251" s="22" t="s">
        <v>1907</v>
      </c>
      <c r="B251" s="23" t="s">
        <v>1370</v>
      </c>
      <c r="C251" s="23">
        <v>61</v>
      </c>
      <c r="D251" s="23" t="s">
        <v>2332</v>
      </c>
      <c r="E251" s="24">
        <v>45691</v>
      </c>
      <c r="F251" s="23" t="s">
        <v>2653</v>
      </c>
      <c r="G251" s="23" t="s">
        <v>2654</v>
      </c>
      <c r="H251" s="23">
        <v>0</v>
      </c>
      <c r="I251" s="9">
        <f>COUNTIF(Data1_Clean!$I$2:I1000,A251)</f>
        <v>1</v>
      </c>
    </row>
    <row r="252" spans="1:9">
      <c r="A252" s="22" t="s">
        <v>2538</v>
      </c>
      <c r="B252" s="23" t="s">
        <v>1176</v>
      </c>
      <c r="C252" s="23">
        <v>34</v>
      </c>
      <c r="D252" s="23" t="s">
        <v>2332</v>
      </c>
      <c r="E252" s="24">
        <v>45693</v>
      </c>
      <c r="F252" s="23" t="s">
        <v>2653</v>
      </c>
      <c r="G252" s="23" t="s">
        <v>2656</v>
      </c>
      <c r="H252" s="23">
        <v>2</v>
      </c>
      <c r="I252" s="9">
        <f>COUNTIF(Data1_Clean!$I$2:I1000,A252)</f>
        <v>0</v>
      </c>
    </row>
    <row r="253" spans="1:9">
      <c r="A253" s="22" t="s">
        <v>2386</v>
      </c>
      <c r="B253" s="23" t="s">
        <v>1370</v>
      </c>
      <c r="C253" s="23">
        <v>31</v>
      </c>
      <c r="D253" s="23" t="s">
        <v>2332</v>
      </c>
      <c r="E253" s="24">
        <v>45698</v>
      </c>
      <c r="F253" s="23" t="s">
        <v>2655</v>
      </c>
      <c r="G253" s="23" t="s">
        <v>2656</v>
      </c>
      <c r="H253" s="23">
        <v>1</v>
      </c>
      <c r="I253" s="9">
        <f>COUNTIF(Data1_Clean!$I$2:I1000,A253)</f>
        <v>0</v>
      </c>
    </row>
    <row r="254" spans="1:9">
      <c r="A254" s="22" t="s">
        <v>1058</v>
      </c>
      <c r="B254" s="23" t="s">
        <v>1370</v>
      </c>
      <c r="C254" s="23">
        <v>63</v>
      </c>
      <c r="D254" s="23" t="s">
        <v>2332</v>
      </c>
      <c r="E254" s="24">
        <v>45713</v>
      </c>
      <c r="F254" s="23" t="s">
        <v>2653</v>
      </c>
      <c r="G254" s="23" t="s">
        <v>2656</v>
      </c>
      <c r="H254" s="23">
        <v>4</v>
      </c>
      <c r="I254" s="9">
        <f>COUNTIF(Data1_Clean!$I$2:I1000,A254)</f>
        <v>1</v>
      </c>
    </row>
    <row r="255" spans="1:9">
      <c r="A255" s="22" t="s">
        <v>2265</v>
      </c>
      <c r="B255" s="23" t="s">
        <v>1370</v>
      </c>
      <c r="C255" s="23">
        <v>33</v>
      </c>
      <c r="D255" s="23" t="s">
        <v>2332</v>
      </c>
      <c r="E255" s="24">
        <v>45722</v>
      </c>
      <c r="F255" s="23" t="s">
        <v>2653</v>
      </c>
      <c r="G255" s="23" t="s">
        <v>2654</v>
      </c>
      <c r="H255" s="23">
        <v>0</v>
      </c>
      <c r="I255" s="9">
        <f>COUNTIF(Data1_Clean!$I$2:I1000,A255)</f>
        <v>1</v>
      </c>
    </row>
    <row r="256" spans="1:9">
      <c r="A256" s="22" t="s">
        <v>1461</v>
      </c>
      <c r="B256" s="23" t="s">
        <v>1370</v>
      </c>
      <c r="C256" s="23">
        <v>49</v>
      </c>
      <c r="D256" s="23" t="s">
        <v>2332</v>
      </c>
      <c r="E256" s="24">
        <v>45723</v>
      </c>
      <c r="F256" s="23" t="s">
        <v>2653</v>
      </c>
      <c r="G256" s="23" t="s">
        <v>2654</v>
      </c>
      <c r="H256" s="23">
        <v>0</v>
      </c>
      <c r="I256" s="9">
        <f>COUNTIF(Data1_Clean!$I$2:I1000,A256)</f>
        <v>1</v>
      </c>
    </row>
    <row r="257" spans="1:9">
      <c r="A257" s="22" t="s">
        <v>2475</v>
      </c>
      <c r="B257" s="23" t="s">
        <v>1370</v>
      </c>
      <c r="C257" s="23">
        <v>22</v>
      </c>
      <c r="D257" s="23" t="s">
        <v>2332</v>
      </c>
      <c r="E257" s="24">
        <v>45743</v>
      </c>
      <c r="F257" s="23" t="s">
        <v>2655</v>
      </c>
      <c r="G257" s="23" t="s">
        <v>2654</v>
      </c>
      <c r="H257" s="23">
        <v>0</v>
      </c>
      <c r="I257" s="9">
        <f>COUNTIF(Data1_Clean!$I$2:I1000,A257)</f>
        <v>0</v>
      </c>
    </row>
    <row r="258" spans="1:9">
      <c r="A258" s="22" t="s">
        <v>2196</v>
      </c>
      <c r="B258" s="23" t="s">
        <v>1370</v>
      </c>
      <c r="C258" s="23">
        <v>54</v>
      </c>
      <c r="D258" s="23" t="s">
        <v>392</v>
      </c>
      <c r="E258" s="24">
        <v>45547</v>
      </c>
      <c r="F258" s="23" t="s">
        <v>2653</v>
      </c>
      <c r="G258" s="23" t="s">
        <v>2656</v>
      </c>
      <c r="H258" s="23">
        <v>3</v>
      </c>
      <c r="I258" s="9">
        <f>COUNTIF(Data1_Clean!$I$2:I1000,A258)</f>
        <v>1</v>
      </c>
    </row>
    <row r="259" spans="1:9">
      <c r="A259" s="22" t="s">
        <v>1268</v>
      </c>
      <c r="B259" s="23" t="s">
        <v>1370</v>
      </c>
      <c r="C259" s="23">
        <v>42</v>
      </c>
      <c r="D259" s="23" t="s">
        <v>392</v>
      </c>
      <c r="E259" s="24">
        <v>45571</v>
      </c>
      <c r="F259" s="23" t="s">
        <v>2653</v>
      </c>
      <c r="G259" s="23" t="s">
        <v>2656</v>
      </c>
      <c r="H259" s="23">
        <v>1</v>
      </c>
      <c r="I259" s="9">
        <f>COUNTIF(Data1_Clean!$I$2:I1000,A259)</f>
        <v>1</v>
      </c>
    </row>
    <row r="260" spans="1:9">
      <c r="A260" s="22" t="s">
        <v>2409</v>
      </c>
      <c r="B260" s="23" t="s">
        <v>1370</v>
      </c>
      <c r="C260" s="23">
        <v>34</v>
      </c>
      <c r="D260" s="23" t="s">
        <v>392</v>
      </c>
      <c r="E260" s="24">
        <v>45575</v>
      </c>
      <c r="F260" s="23" t="s">
        <v>2655</v>
      </c>
      <c r="G260" s="23" t="s">
        <v>2656</v>
      </c>
      <c r="H260" s="23">
        <v>1</v>
      </c>
      <c r="I260" s="9">
        <f>COUNTIF(Data1_Clean!$I$2:I1000,A260)</f>
        <v>0</v>
      </c>
    </row>
    <row r="261" spans="1:9">
      <c r="A261" s="22" t="s">
        <v>885</v>
      </c>
      <c r="B261" s="23" t="s">
        <v>1370</v>
      </c>
      <c r="C261" s="23">
        <v>62</v>
      </c>
      <c r="D261" s="23" t="s">
        <v>392</v>
      </c>
      <c r="E261" s="24">
        <v>45578</v>
      </c>
      <c r="F261" s="23" t="s">
        <v>2653</v>
      </c>
      <c r="G261" s="23" t="s">
        <v>2656</v>
      </c>
      <c r="H261" s="23">
        <v>3</v>
      </c>
      <c r="I261" s="9">
        <f>COUNTIF(Data1_Clean!$I$2:I1000,A261)</f>
        <v>3</v>
      </c>
    </row>
    <row r="262" spans="1:9">
      <c r="A262" s="22" t="s">
        <v>1404</v>
      </c>
      <c r="B262" s="23" t="s">
        <v>1176</v>
      </c>
      <c r="C262" s="23">
        <v>23</v>
      </c>
      <c r="D262" s="23" t="s">
        <v>392</v>
      </c>
      <c r="E262" s="24">
        <v>45618</v>
      </c>
      <c r="F262" s="23" t="s">
        <v>2653</v>
      </c>
      <c r="G262" s="23" t="s">
        <v>2654</v>
      </c>
      <c r="H262" s="23">
        <v>0</v>
      </c>
      <c r="I262" s="9">
        <f>COUNTIF(Data1_Clean!$I$2:I1000,A262)</f>
        <v>1</v>
      </c>
    </row>
    <row r="263" spans="1:9">
      <c r="A263" s="22" t="s">
        <v>2293</v>
      </c>
      <c r="B263" s="23" t="s">
        <v>1370</v>
      </c>
      <c r="C263" s="23">
        <v>32</v>
      </c>
      <c r="D263" s="23" t="s">
        <v>392</v>
      </c>
      <c r="E263" s="24">
        <v>45619</v>
      </c>
      <c r="F263" s="23" t="s">
        <v>2655</v>
      </c>
      <c r="G263" s="23" t="s">
        <v>2654</v>
      </c>
      <c r="H263" s="23">
        <v>0</v>
      </c>
      <c r="I263" s="9">
        <f>COUNTIF(Data1_Clean!$I$2:I1000,A263)</f>
        <v>1</v>
      </c>
    </row>
    <row r="264" spans="1:9">
      <c r="A264" s="22" t="s">
        <v>2646</v>
      </c>
      <c r="B264" s="23" t="s">
        <v>1370</v>
      </c>
      <c r="C264" s="23">
        <v>50</v>
      </c>
      <c r="D264" s="23" t="s">
        <v>392</v>
      </c>
      <c r="E264" s="24">
        <v>45621</v>
      </c>
      <c r="F264" s="23" t="s">
        <v>2655</v>
      </c>
      <c r="G264" s="23" t="s">
        <v>2656</v>
      </c>
      <c r="H264" s="23">
        <v>4</v>
      </c>
      <c r="I264" s="9">
        <f>COUNTIF(Data1_Clean!$I$2:I1000,A264)</f>
        <v>0</v>
      </c>
    </row>
    <row r="265" spans="1:9">
      <c r="A265" s="22" t="s">
        <v>2068</v>
      </c>
      <c r="B265" s="23" t="s">
        <v>1370</v>
      </c>
      <c r="C265" s="23">
        <v>32</v>
      </c>
      <c r="D265" s="23" t="s">
        <v>392</v>
      </c>
      <c r="E265" s="24">
        <v>45634</v>
      </c>
      <c r="F265" s="23" t="s">
        <v>2655</v>
      </c>
      <c r="G265" s="23" t="s">
        <v>2656</v>
      </c>
      <c r="H265" s="23">
        <v>1</v>
      </c>
      <c r="I265" s="9">
        <f>COUNTIF(Data1_Clean!$I$2:I1000,A265)</f>
        <v>1</v>
      </c>
    </row>
    <row r="266" spans="1:9">
      <c r="A266" s="22" t="s">
        <v>240</v>
      </c>
      <c r="B266" s="23" t="s">
        <v>1370</v>
      </c>
      <c r="C266" s="23">
        <v>51</v>
      </c>
      <c r="D266" s="23" t="s">
        <v>392</v>
      </c>
      <c r="E266" s="24">
        <v>45674</v>
      </c>
      <c r="F266" s="23" t="s">
        <v>2653</v>
      </c>
      <c r="G266" s="23" t="s">
        <v>2654</v>
      </c>
      <c r="H266" s="23">
        <v>0</v>
      </c>
      <c r="I266" s="9">
        <f>COUNTIF(Data1_Clean!$I$2:I1000,A266)</f>
        <v>2</v>
      </c>
    </row>
    <row r="267" spans="1:9">
      <c r="A267" s="22" t="s">
        <v>1588</v>
      </c>
      <c r="B267" s="23" t="s">
        <v>1370</v>
      </c>
      <c r="C267" s="23">
        <v>63</v>
      </c>
      <c r="D267" s="23" t="s">
        <v>392</v>
      </c>
      <c r="E267" s="24">
        <v>45694</v>
      </c>
      <c r="F267" s="23" t="s">
        <v>2655</v>
      </c>
      <c r="G267" s="23" t="s">
        <v>2656</v>
      </c>
      <c r="H267" s="23">
        <v>1</v>
      </c>
      <c r="I267" s="9">
        <f>COUNTIF(Data1_Clean!$I$2:I1000,A267)</f>
        <v>2</v>
      </c>
    </row>
    <row r="268" spans="1:9">
      <c r="A268" s="22" t="s">
        <v>371</v>
      </c>
      <c r="B268" s="23" t="s">
        <v>1370</v>
      </c>
      <c r="C268" s="23">
        <v>48</v>
      </c>
      <c r="D268" s="23" t="s">
        <v>392</v>
      </c>
      <c r="E268" s="24">
        <v>45722</v>
      </c>
      <c r="F268" s="23" t="s">
        <v>2655</v>
      </c>
      <c r="G268" s="23" t="s">
        <v>2656</v>
      </c>
      <c r="H268" s="23">
        <v>4</v>
      </c>
      <c r="I268" s="9">
        <f>COUNTIF(Data1_Clean!$I$2:I1000,A268)</f>
        <v>1</v>
      </c>
    </row>
    <row r="269" spans="1:9">
      <c r="A269" s="22" t="s">
        <v>1673</v>
      </c>
      <c r="B269" s="23" t="s">
        <v>1176</v>
      </c>
      <c r="C269" s="23">
        <v>57</v>
      </c>
      <c r="D269" s="23" t="s">
        <v>2667</v>
      </c>
      <c r="E269" s="24">
        <v>45555</v>
      </c>
      <c r="F269" s="23" t="s">
        <v>2655</v>
      </c>
      <c r="G269" s="23" t="s">
        <v>2656</v>
      </c>
      <c r="H269" s="23">
        <v>3</v>
      </c>
      <c r="I269" s="9">
        <f>COUNTIF(Data1_Clean!$I$2:I1000,A269)</f>
        <v>3</v>
      </c>
    </row>
    <row r="270" spans="1:9">
      <c r="A270" s="22" t="s">
        <v>2600</v>
      </c>
      <c r="B270" s="23" t="s">
        <v>1176</v>
      </c>
      <c r="C270" s="23">
        <v>45</v>
      </c>
      <c r="D270" s="23" t="s">
        <v>2667</v>
      </c>
      <c r="E270" s="24">
        <v>45560</v>
      </c>
      <c r="F270" s="23" t="s">
        <v>2653</v>
      </c>
      <c r="G270" s="23" t="s">
        <v>2656</v>
      </c>
      <c r="H270" s="23">
        <v>3</v>
      </c>
      <c r="I270" s="9">
        <f>COUNTIF(Data1_Clean!$I$2:I1000,A270)</f>
        <v>0</v>
      </c>
    </row>
    <row r="271" spans="1:9">
      <c r="A271" s="22" t="s">
        <v>1167</v>
      </c>
      <c r="B271" s="23" t="s">
        <v>1370</v>
      </c>
      <c r="C271" s="23">
        <v>20</v>
      </c>
      <c r="D271" s="23" t="s">
        <v>2667</v>
      </c>
      <c r="E271" s="24">
        <v>45583</v>
      </c>
      <c r="F271" s="23" t="s">
        <v>2653</v>
      </c>
      <c r="G271" s="23" t="s">
        <v>2656</v>
      </c>
      <c r="H271" s="23">
        <v>2</v>
      </c>
      <c r="I271" s="9">
        <f>COUNTIF(Data1_Clean!$I$2:I1000,A271)</f>
        <v>3</v>
      </c>
    </row>
    <row r="272" spans="1:9">
      <c r="A272" s="22" t="s">
        <v>2502</v>
      </c>
      <c r="B272" s="23" t="s">
        <v>1176</v>
      </c>
      <c r="C272" s="23">
        <v>56</v>
      </c>
      <c r="D272" s="23" t="s">
        <v>2667</v>
      </c>
      <c r="E272" s="24">
        <v>45599</v>
      </c>
      <c r="F272" s="23" t="s">
        <v>2655</v>
      </c>
      <c r="G272" s="23" t="s">
        <v>2656</v>
      </c>
      <c r="H272" s="23">
        <v>2</v>
      </c>
      <c r="I272" s="9">
        <f>COUNTIF(Data1_Clean!$I$2:I1000,A272)</f>
        <v>0</v>
      </c>
    </row>
    <row r="273" spans="1:9">
      <c r="A273" s="22" t="s">
        <v>2462</v>
      </c>
      <c r="B273" s="23" t="s">
        <v>1370</v>
      </c>
      <c r="C273" s="23">
        <v>40</v>
      </c>
      <c r="D273" s="23" t="s">
        <v>2667</v>
      </c>
      <c r="E273" s="24">
        <v>45631</v>
      </c>
      <c r="F273" s="23" t="s">
        <v>2653</v>
      </c>
      <c r="G273" s="23" t="s">
        <v>2654</v>
      </c>
      <c r="H273" s="23">
        <v>0</v>
      </c>
      <c r="I273" s="9">
        <f>COUNTIF(Data1_Clean!$I$2:I1000,A273)</f>
        <v>0</v>
      </c>
    </row>
    <row r="274" spans="1:9">
      <c r="A274" s="22" t="s">
        <v>731</v>
      </c>
      <c r="B274" s="23" t="s">
        <v>1176</v>
      </c>
      <c r="C274" s="23">
        <v>43</v>
      </c>
      <c r="D274" s="23" t="s">
        <v>2667</v>
      </c>
      <c r="E274" s="24">
        <v>45641</v>
      </c>
      <c r="F274" s="23" t="s">
        <v>2655</v>
      </c>
      <c r="G274" s="23" t="s">
        <v>2656</v>
      </c>
      <c r="H274" s="23">
        <v>2</v>
      </c>
      <c r="I274" s="9">
        <f>COUNTIF(Data1_Clean!$I$2:I1000,A274)</f>
        <v>2</v>
      </c>
    </row>
    <row r="275" spans="1:9">
      <c r="A275" s="22" t="s">
        <v>147</v>
      </c>
      <c r="B275" s="23" t="s">
        <v>1370</v>
      </c>
      <c r="C275" s="23">
        <v>39</v>
      </c>
      <c r="D275" s="23" t="s">
        <v>2667</v>
      </c>
      <c r="E275" s="24">
        <v>45642</v>
      </c>
      <c r="F275" s="23" t="s">
        <v>2653</v>
      </c>
      <c r="G275" s="23" t="s">
        <v>2654</v>
      </c>
      <c r="H275" s="23">
        <v>0</v>
      </c>
      <c r="I275" s="9">
        <f>COUNTIF(Data1_Clean!$I$2:I1000,A275)</f>
        <v>3</v>
      </c>
    </row>
    <row r="276" spans="1:9">
      <c r="A276" s="22" t="s">
        <v>1329</v>
      </c>
      <c r="B276" s="23" t="s">
        <v>1176</v>
      </c>
      <c r="C276" s="23">
        <v>38</v>
      </c>
      <c r="D276" s="23" t="s">
        <v>2667</v>
      </c>
      <c r="E276" s="24">
        <v>45670</v>
      </c>
      <c r="F276" s="23" t="s">
        <v>2655</v>
      </c>
      <c r="G276" s="23" t="s">
        <v>2656</v>
      </c>
      <c r="H276" s="23">
        <v>3</v>
      </c>
      <c r="I276" s="9">
        <f>COUNTIF(Data1_Clean!$I$2:I1000,A276)</f>
        <v>2</v>
      </c>
    </row>
    <row r="277" spans="1:9">
      <c r="A277" s="22" t="s">
        <v>2598</v>
      </c>
      <c r="B277" s="23" t="s">
        <v>1176</v>
      </c>
      <c r="C277" s="23">
        <v>44</v>
      </c>
      <c r="D277" s="23" t="s">
        <v>2667</v>
      </c>
      <c r="E277" s="24">
        <v>45676</v>
      </c>
      <c r="F277" s="23" t="s">
        <v>2655</v>
      </c>
      <c r="G277" s="23" t="s">
        <v>2654</v>
      </c>
      <c r="H277" s="23">
        <v>0</v>
      </c>
      <c r="I277" s="9">
        <f>COUNTIF(Data1_Clean!$I$2:I1000,A277)</f>
        <v>0</v>
      </c>
    </row>
    <row r="278" spans="1:9">
      <c r="A278" s="22" t="s">
        <v>1300</v>
      </c>
      <c r="B278" s="23" t="s">
        <v>1370</v>
      </c>
      <c r="C278" s="23">
        <v>24</v>
      </c>
      <c r="D278" s="23" t="s">
        <v>2667</v>
      </c>
      <c r="E278" s="24">
        <v>45707</v>
      </c>
      <c r="F278" s="23" t="s">
        <v>2653</v>
      </c>
      <c r="G278" s="23" t="s">
        <v>2656</v>
      </c>
      <c r="H278" s="23">
        <v>1</v>
      </c>
      <c r="I278" s="9">
        <f>COUNTIF(Data1_Clean!$I$2:I1000,A278)</f>
        <v>3</v>
      </c>
    </row>
    <row r="279" spans="1:9">
      <c r="A279" s="22" t="s">
        <v>1222</v>
      </c>
      <c r="B279" s="23" t="s">
        <v>1176</v>
      </c>
      <c r="C279" s="23">
        <v>23</v>
      </c>
      <c r="D279" s="23" t="s">
        <v>2667</v>
      </c>
      <c r="E279" s="24">
        <v>45719</v>
      </c>
      <c r="F279" s="23" t="s">
        <v>2653</v>
      </c>
      <c r="G279" s="23" t="s">
        <v>2654</v>
      </c>
      <c r="H279" s="23">
        <v>0</v>
      </c>
      <c r="I279" s="9">
        <f>COUNTIF(Data1_Clean!$I$2:I1000,A279)</f>
        <v>1</v>
      </c>
    </row>
    <row r="280" spans="1:9">
      <c r="A280" s="22" t="s">
        <v>2599</v>
      </c>
      <c r="B280" s="23" t="s">
        <v>1176</v>
      </c>
      <c r="C280" s="23">
        <v>40</v>
      </c>
      <c r="D280" s="23" t="s">
        <v>2668</v>
      </c>
      <c r="E280" s="24">
        <v>45536</v>
      </c>
      <c r="F280" s="23" t="s">
        <v>2655</v>
      </c>
      <c r="G280" s="23" t="s">
        <v>2656</v>
      </c>
      <c r="H280" s="23">
        <v>3</v>
      </c>
      <c r="I280" s="9">
        <f>COUNTIF(Data1_Clean!$I$2:I1000,A280)</f>
        <v>0</v>
      </c>
    </row>
    <row r="281" spans="1:9">
      <c r="A281" s="22" t="s">
        <v>2474</v>
      </c>
      <c r="B281" s="23" t="s">
        <v>1176</v>
      </c>
      <c r="C281" s="23">
        <v>45</v>
      </c>
      <c r="D281" s="23" t="s">
        <v>2668</v>
      </c>
      <c r="E281" s="24">
        <v>45538</v>
      </c>
      <c r="F281" s="23" t="s">
        <v>2653</v>
      </c>
      <c r="G281" s="23" t="s">
        <v>2656</v>
      </c>
      <c r="H281" s="23">
        <v>1</v>
      </c>
      <c r="I281" s="9">
        <f>COUNTIF(Data1_Clean!$I$2:I1000,A281)</f>
        <v>0</v>
      </c>
    </row>
    <row r="282" spans="1:9">
      <c r="A282" s="22" t="s">
        <v>1594</v>
      </c>
      <c r="B282" s="23" t="s">
        <v>1176</v>
      </c>
      <c r="C282" s="23">
        <v>36</v>
      </c>
      <c r="D282" s="23" t="s">
        <v>2668</v>
      </c>
      <c r="E282" s="24">
        <v>45583</v>
      </c>
      <c r="F282" s="23" t="s">
        <v>2655</v>
      </c>
      <c r="G282" s="23" t="s">
        <v>2656</v>
      </c>
      <c r="H282" s="23">
        <v>2</v>
      </c>
      <c r="I282" s="9">
        <f>COUNTIF(Data1_Clean!$I$2:I1000,A282)</f>
        <v>1</v>
      </c>
    </row>
    <row r="283" spans="1:9">
      <c r="A283" s="22" t="s">
        <v>2529</v>
      </c>
      <c r="B283" s="23" t="s">
        <v>1370</v>
      </c>
      <c r="C283" s="23">
        <v>47</v>
      </c>
      <c r="D283" s="23" t="s">
        <v>2668</v>
      </c>
      <c r="E283" s="24">
        <v>45604</v>
      </c>
      <c r="F283" s="23" t="s">
        <v>2653</v>
      </c>
      <c r="G283" s="23" t="s">
        <v>2656</v>
      </c>
      <c r="H283" s="23">
        <v>3</v>
      </c>
      <c r="I283" s="9">
        <f>COUNTIF(Data1_Clean!$I$2:I1000,A283)</f>
        <v>0</v>
      </c>
    </row>
    <row r="284" spans="1:9">
      <c r="A284" s="22" t="s">
        <v>2483</v>
      </c>
      <c r="B284" s="23" t="s">
        <v>1370</v>
      </c>
      <c r="C284" s="23">
        <v>27</v>
      </c>
      <c r="D284" s="23" t="s">
        <v>2668</v>
      </c>
      <c r="E284" s="24">
        <v>45616</v>
      </c>
      <c r="F284" s="23" t="s">
        <v>2653</v>
      </c>
      <c r="G284" s="23" t="s">
        <v>2656</v>
      </c>
      <c r="H284" s="23">
        <v>4</v>
      </c>
      <c r="I284" s="9">
        <f>COUNTIF(Data1_Clean!$I$2:I1000,A284)</f>
        <v>0</v>
      </c>
    </row>
    <row r="285" spans="1:9">
      <c r="A285" s="22" t="s">
        <v>2612</v>
      </c>
      <c r="B285" s="23" t="s">
        <v>1370</v>
      </c>
      <c r="C285" s="23">
        <v>43</v>
      </c>
      <c r="D285" s="23" t="s">
        <v>2668</v>
      </c>
      <c r="E285" s="24">
        <v>45635</v>
      </c>
      <c r="F285" s="23" t="s">
        <v>2653</v>
      </c>
      <c r="G285" s="23" t="s">
        <v>2654</v>
      </c>
      <c r="H285" s="23">
        <v>0</v>
      </c>
      <c r="I285" s="9">
        <f>COUNTIF(Data1_Clean!$I$2:I1000,A285)</f>
        <v>0</v>
      </c>
    </row>
    <row r="286" spans="1:9">
      <c r="A286" s="22" t="s">
        <v>2492</v>
      </c>
      <c r="B286" s="23" t="s">
        <v>1370</v>
      </c>
      <c r="C286" s="23">
        <v>25</v>
      </c>
      <c r="D286" s="23" t="s">
        <v>2668</v>
      </c>
      <c r="E286" s="24">
        <v>45647</v>
      </c>
      <c r="F286" s="23" t="s">
        <v>2655</v>
      </c>
      <c r="G286" s="23" t="s">
        <v>2654</v>
      </c>
      <c r="H286" s="23">
        <v>0</v>
      </c>
      <c r="I286" s="9">
        <f>COUNTIF(Data1_Clean!$I$2:I1000,A286)</f>
        <v>0</v>
      </c>
    </row>
    <row r="287" spans="1:9">
      <c r="A287" s="22" t="s">
        <v>442</v>
      </c>
      <c r="B287" s="23" t="s">
        <v>1370</v>
      </c>
      <c r="C287" s="23">
        <v>54</v>
      </c>
      <c r="D287" s="23" t="s">
        <v>2668</v>
      </c>
      <c r="E287" s="24">
        <v>45670</v>
      </c>
      <c r="F287" s="23" t="s">
        <v>2655</v>
      </c>
      <c r="G287" s="23" t="s">
        <v>2654</v>
      </c>
      <c r="H287" s="23">
        <v>0</v>
      </c>
      <c r="I287" s="9">
        <f>COUNTIF(Data1_Clean!$I$2:I1000,A287)</f>
        <v>2</v>
      </c>
    </row>
    <row r="288" spans="1:9">
      <c r="A288" s="22" t="s">
        <v>273</v>
      </c>
      <c r="B288" s="23" t="s">
        <v>1176</v>
      </c>
      <c r="C288" s="23">
        <v>23</v>
      </c>
      <c r="D288" s="23" t="s">
        <v>2668</v>
      </c>
      <c r="E288" s="24">
        <v>45678</v>
      </c>
      <c r="F288" s="23" t="s">
        <v>2653</v>
      </c>
      <c r="G288" s="23" t="s">
        <v>2654</v>
      </c>
      <c r="H288" s="23">
        <v>0</v>
      </c>
      <c r="I288" s="9">
        <f>COUNTIF(Data1_Clean!$I$2:I1000,A288)</f>
        <v>2</v>
      </c>
    </row>
    <row r="289" spans="1:9">
      <c r="A289" s="22" t="s">
        <v>2625</v>
      </c>
      <c r="B289" s="23" t="s">
        <v>1370</v>
      </c>
      <c r="C289" s="23">
        <v>64</v>
      </c>
      <c r="D289" s="23" t="s">
        <v>2668</v>
      </c>
      <c r="E289" s="24">
        <v>45678</v>
      </c>
      <c r="F289" s="23" t="s">
        <v>2653</v>
      </c>
      <c r="G289" s="23" t="s">
        <v>2654</v>
      </c>
      <c r="H289" s="23">
        <v>0</v>
      </c>
      <c r="I289" s="9">
        <f>COUNTIF(Data1_Clean!$I$2:I1000,A289)</f>
        <v>0</v>
      </c>
    </row>
    <row r="290" spans="1:9">
      <c r="A290" s="22" t="s">
        <v>475</v>
      </c>
      <c r="B290" s="23" t="s">
        <v>1176</v>
      </c>
      <c r="C290" s="23">
        <v>56</v>
      </c>
      <c r="D290" s="23" t="s">
        <v>2668</v>
      </c>
      <c r="E290" s="24">
        <v>45692</v>
      </c>
      <c r="F290" s="23" t="s">
        <v>2655</v>
      </c>
      <c r="G290" s="23" t="s">
        <v>2656</v>
      </c>
      <c r="H290" s="23">
        <v>3</v>
      </c>
      <c r="I290" s="9">
        <f>COUNTIF(Data1_Clean!$I$2:I1000,A290)</f>
        <v>1</v>
      </c>
    </row>
    <row r="291" spans="1:9">
      <c r="A291" s="22" t="s">
        <v>2479</v>
      </c>
      <c r="B291" s="23" t="s">
        <v>1370</v>
      </c>
      <c r="C291" s="23">
        <v>52</v>
      </c>
      <c r="D291" s="23" t="s">
        <v>2668</v>
      </c>
      <c r="E291" s="24">
        <v>45731</v>
      </c>
      <c r="F291" s="23" t="s">
        <v>2655</v>
      </c>
      <c r="G291" s="23" t="s">
        <v>2656</v>
      </c>
      <c r="H291" s="23">
        <v>2</v>
      </c>
      <c r="I291" s="9">
        <f>COUNTIF(Data1_Clean!$I$2:I1000,A291)</f>
        <v>0</v>
      </c>
    </row>
    <row r="292" spans="1:9">
      <c r="A292" s="22" t="s">
        <v>2489</v>
      </c>
      <c r="B292" s="23" t="s">
        <v>1176</v>
      </c>
      <c r="C292" s="23">
        <v>43</v>
      </c>
      <c r="D292" s="23" t="s">
        <v>2668</v>
      </c>
      <c r="E292" s="24">
        <v>45736</v>
      </c>
      <c r="F292" s="23" t="s">
        <v>2655</v>
      </c>
      <c r="G292" s="23" t="s">
        <v>2656</v>
      </c>
      <c r="H292" s="23">
        <v>3</v>
      </c>
      <c r="I292" s="9">
        <f>COUNTIF(Data1_Clean!$I$2:I1000,A292)</f>
        <v>0</v>
      </c>
    </row>
    <row r="293" spans="1:9">
      <c r="A293" s="22" t="s">
        <v>1235</v>
      </c>
      <c r="B293" s="23" t="s">
        <v>1370</v>
      </c>
      <c r="C293" s="23">
        <v>27</v>
      </c>
      <c r="D293" s="23" t="s">
        <v>2669</v>
      </c>
      <c r="E293" s="24">
        <v>45549</v>
      </c>
      <c r="F293" s="23" t="s">
        <v>2653</v>
      </c>
      <c r="G293" s="23" t="s">
        <v>2656</v>
      </c>
      <c r="H293" s="23">
        <v>2</v>
      </c>
      <c r="I293" s="9">
        <f>COUNTIF(Data1_Clean!$I$2:I1000,A293)</f>
        <v>1</v>
      </c>
    </row>
    <row r="294" spans="1:9">
      <c r="A294" s="22" t="s">
        <v>2400</v>
      </c>
      <c r="B294" s="23" t="s">
        <v>1176</v>
      </c>
      <c r="C294" s="23">
        <v>23</v>
      </c>
      <c r="D294" s="23" t="s">
        <v>2669</v>
      </c>
      <c r="E294" s="24">
        <v>45563</v>
      </c>
      <c r="F294" s="23" t="s">
        <v>2653</v>
      </c>
      <c r="G294" s="23" t="s">
        <v>2654</v>
      </c>
      <c r="H294" s="23">
        <v>0</v>
      </c>
      <c r="I294" s="9">
        <f>COUNTIF(Data1_Clean!$I$2:I1000,A294)</f>
        <v>0</v>
      </c>
    </row>
    <row r="295" spans="1:9">
      <c r="A295" s="22" t="s">
        <v>2578</v>
      </c>
      <c r="B295" s="23" t="s">
        <v>1370</v>
      </c>
      <c r="C295" s="23">
        <v>30</v>
      </c>
      <c r="D295" s="23" t="s">
        <v>2669</v>
      </c>
      <c r="E295" s="24">
        <v>45565</v>
      </c>
      <c r="F295" s="23" t="s">
        <v>2653</v>
      </c>
      <c r="G295" s="23" t="s">
        <v>2654</v>
      </c>
      <c r="H295" s="23">
        <v>0</v>
      </c>
      <c r="I295" s="9">
        <f>COUNTIF(Data1_Clean!$I$2:I1000,A295)</f>
        <v>0</v>
      </c>
    </row>
    <row r="296" spans="1:9">
      <c r="A296" s="22" t="s">
        <v>2607</v>
      </c>
      <c r="B296" s="23" t="s">
        <v>1370</v>
      </c>
      <c r="C296" s="23">
        <v>37</v>
      </c>
      <c r="D296" s="23" t="s">
        <v>2669</v>
      </c>
      <c r="E296" s="24">
        <v>45568</v>
      </c>
      <c r="F296" s="23" t="s">
        <v>2655</v>
      </c>
      <c r="G296" s="23" t="s">
        <v>2656</v>
      </c>
      <c r="H296" s="23">
        <v>3</v>
      </c>
      <c r="I296" s="9">
        <f>COUNTIF(Data1_Clean!$I$2:I1000,A296)</f>
        <v>0</v>
      </c>
    </row>
    <row r="297" spans="1:9">
      <c r="A297" s="22" t="s">
        <v>2382</v>
      </c>
      <c r="B297" s="23" t="s">
        <v>1176</v>
      </c>
      <c r="C297" s="23">
        <v>35</v>
      </c>
      <c r="D297" s="23" t="s">
        <v>2669</v>
      </c>
      <c r="E297" s="24">
        <v>45569</v>
      </c>
      <c r="F297" s="23" t="s">
        <v>2653</v>
      </c>
      <c r="G297" s="23" t="s">
        <v>2654</v>
      </c>
      <c r="H297" s="23">
        <v>0</v>
      </c>
      <c r="I297" s="9">
        <f>COUNTIF(Data1_Clean!$I$2:I1000,A297)</f>
        <v>0</v>
      </c>
    </row>
    <row r="298" spans="1:9">
      <c r="A298" s="22" t="s">
        <v>195</v>
      </c>
      <c r="B298" s="23" t="s">
        <v>1176</v>
      </c>
      <c r="C298" s="23">
        <v>45</v>
      </c>
      <c r="D298" s="23" t="s">
        <v>2669</v>
      </c>
      <c r="E298" s="24">
        <v>45576</v>
      </c>
      <c r="F298" s="23" t="s">
        <v>2653</v>
      </c>
      <c r="G298" s="23" t="s">
        <v>2656</v>
      </c>
      <c r="H298" s="23">
        <v>4</v>
      </c>
      <c r="I298" s="9">
        <f>COUNTIF(Data1_Clean!$I$2:I1000,A298)</f>
        <v>2</v>
      </c>
    </row>
    <row r="299" spans="1:9">
      <c r="A299" s="22" t="s">
        <v>872</v>
      </c>
      <c r="B299" s="23" t="s">
        <v>1370</v>
      </c>
      <c r="C299" s="23">
        <v>38</v>
      </c>
      <c r="D299" s="23" t="s">
        <v>2669</v>
      </c>
      <c r="E299" s="24">
        <v>45579</v>
      </c>
      <c r="F299" s="23" t="s">
        <v>2653</v>
      </c>
      <c r="G299" s="23" t="s">
        <v>2654</v>
      </c>
      <c r="H299" s="23">
        <v>0</v>
      </c>
      <c r="I299" s="9">
        <f>COUNTIF(Data1_Clean!$I$2:I1000,A299)</f>
        <v>1</v>
      </c>
    </row>
    <row r="300" spans="1:9">
      <c r="A300" s="22" t="s">
        <v>817</v>
      </c>
      <c r="B300" s="23" t="s">
        <v>1370</v>
      </c>
      <c r="C300" s="23">
        <v>24</v>
      </c>
      <c r="D300" s="23" t="s">
        <v>2669</v>
      </c>
      <c r="E300" s="24">
        <v>45585</v>
      </c>
      <c r="F300" s="23" t="s">
        <v>2655</v>
      </c>
      <c r="G300" s="23" t="s">
        <v>2654</v>
      </c>
      <c r="H300" s="23">
        <v>0</v>
      </c>
      <c r="I300" s="9">
        <f>COUNTIF(Data1_Clean!$I$2:I1000,A300)</f>
        <v>3</v>
      </c>
    </row>
    <row r="301" spans="1:9">
      <c r="A301" s="22" t="s">
        <v>1940</v>
      </c>
      <c r="B301" s="23" t="s">
        <v>1176</v>
      </c>
      <c r="C301" s="23">
        <v>22</v>
      </c>
      <c r="D301" s="23" t="s">
        <v>2669</v>
      </c>
      <c r="E301" s="24">
        <v>45587</v>
      </c>
      <c r="F301" s="23" t="s">
        <v>2653</v>
      </c>
      <c r="G301" s="23" t="s">
        <v>2654</v>
      </c>
      <c r="H301" s="23">
        <v>0</v>
      </c>
      <c r="I301" s="9">
        <f>COUNTIF(Data1_Clean!$I$2:I1000,A301)</f>
        <v>1</v>
      </c>
    </row>
    <row r="302" spans="1:9">
      <c r="A302" s="22" t="s">
        <v>2537</v>
      </c>
      <c r="B302" s="23" t="s">
        <v>1176</v>
      </c>
      <c r="C302" s="23">
        <v>19</v>
      </c>
      <c r="D302" s="23" t="s">
        <v>2669</v>
      </c>
      <c r="E302" s="24">
        <v>45605</v>
      </c>
      <c r="F302" s="23" t="s">
        <v>2655</v>
      </c>
      <c r="G302" s="23" t="s">
        <v>2654</v>
      </c>
      <c r="H302" s="23">
        <v>0</v>
      </c>
      <c r="I302" s="9">
        <f>COUNTIF(Data1_Clean!$I$2:I1000,A302)</f>
        <v>0</v>
      </c>
    </row>
    <row r="303" spans="1:9">
      <c r="A303" s="22" t="s">
        <v>1434</v>
      </c>
      <c r="B303" s="23" t="s">
        <v>1370</v>
      </c>
      <c r="C303" s="23">
        <v>29</v>
      </c>
      <c r="D303" s="23" t="s">
        <v>2669</v>
      </c>
      <c r="E303" s="24">
        <v>45608</v>
      </c>
      <c r="F303" s="23" t="s">
        <v>2653</v>
      </c>
      <c r="G303" s="23" t="s">
        <v>2654</v>
      </c>
      <c r="H303" s="23">
        <v>0</v>
      </c>
      <c r="I303" s="9">
        <f>COUNTIF(Data1_Clean!$I$2:I1000,A303)</f>
        <v>1</v>
      </c>
    </row>
    <row r="304" spans="1:9">
      <c r="A304" s="22" t="s">
        <v>2129</v>
      </c>
      <c r="B304" s="23" t="s">
        <v>1176</v>
      </c>
      <c r="C304" s="23">
        <v>20</v>
      </c>
      <c r="D304" s="23" t="s">
        <v>2669</v>
      </c>
      <c r="E304" s="24">
        <v>45620</v>
      </c>
      <c r="F304" s="23" t="s">
        <v>2655</v>
      </c>
      <c r="G304" s="23" t="s">
        <v>2654</v>
      </c>
      <c r="H304" s="23">
        <v>0</v>
      </c>
      <c r="I304" s="9">
        <f>COUNTIF(Data1_Clean!$I$2:I1000,A304)</f>
        <v>1</v>
      </c>
    </row>
    <row r="305" spans="1:9">
      <c r="A305" s="22" t="s">
        <v>260</v>
      </c>
      <c r="B305" s="23" t="s">
        <v>1370</v>
      </c>
      <c r="C305" s="23">
        <v>49</v>
      </c>
      <c r="D305" s="23" t="s">
        <v>2669</v>
      </c>
      <c r="E305" s="24">
        <v>45624</v>
      </c>
      <c r="F305" s="23" t="s">
        <v>2655</v>
      </c>
      <c r="G305" s="23" t="s">
        <v>2654</v>
      </c>
      <c r="H305" s="23">
        <v>0</v>
      </c>
      <c r="I305" s="9">
        <f>COUNTIF(Data1_Clean!$I$2:I1000,A305)</f>
        <v>3</v>
      </c>
    </row>
    <row r="306" spans="1:9">
      <c r="A306" s="22" t="s">
        <v>583</v>
      </c>
      <c r="B306" s="23" t="s">
        <v>1370</v>
      </c>
      <c r="C306" s="23">
        <v>65</v>
      </c>
      <c r="D306" s="23" t="s">
        <v>2669</v>
      </c>
      <c r="E306" s="24">
        <v>45646</v>
      </c>
      <c r="F306" s="23" t="s">
        <v>2653</v>
      </c>
      <c r="G306" s="23" t="s">
        <v>2654</v>
      </c>
      <c r="H306" s="23">
        <v>0</v>
      </c>
      <c r="I306" s="9">
        <f>COUNTIF(Data1_Clean!$I$2:I1000,A306)</f>
        <v>2</v>
      </c>
    </row>
    <row r="307" spans="1:9">
      <c r="A307" s="22" t="s">
        <v>2392</v>
      </c>
      <c r="B307" s="23" t="s">
        <v>1176</v>
      </c>
      <c r="C307" s="23">
        <v>18</v>
      </c>
      <c r="D307" s="23" t="s">
        <v>2669</v>
      </c>
      <c r="E307" s="24">
        <v>45665</v>
      </c>
      <c r="F307" s="23" t="s">
        <v>2653</v>
      </c>
      <c r="G307" s="23" t="s">
        <v>2656</v>
      </c>
      <c r="H307" s="23">
        <v>4</v>
      </c>
      <c r="I307" s="9">
        <f>COUNTIF(Data1_Clean!$I$2:I1000,A307)</f>
        <v>0</v>
      </c>
    </row>
    <row r="308" spans="1:9">
      <c r="A308" s="22" t="s">
        <v>2585</v>
      </c>
      <c r="B308" s="23" t="s">
        <v>1370</v>
      </c>
      <c r="C308" s="23">
        <v>47</v>
      </c>
      <c r="D308" s="23" t="s">
        <v>2669</v>
      </c>
      <c r="E308" s="24">
        <v>45669</v>
      </c>
      <c r="F308" s="23" t="s">
        <v>2655</v>
      </c>
      <c r="G308" s="23" t="s">
        <v>2656</v>
      </c>
      <c r="H308" s="23">
        <v>3</v>
      </c>
      <c r="I308" s="9">
        <f>COUNTIF(Data1_Clean!$I$2:I1000,A308)</f>
        <v>0</v>
      </c>
    </row>
    <row r="309" spans="1:9">
      <c r="A309" s="22" t="s">
        <v>269</v>
      </c>
      <c r="B309" s="23" t="s">
        <v>1176</v>
      </c>
      <c r="C309" s="23">
        <v>21</v>
      </c>
      <c r="D309" s="23" t="s">
        <v>2669</v>
      </c>
      <c r="E309" s="24">
        <v>45688</v>
      </c>
      <c r="F309" s="23" t="s">
        <v>2653</v>
      </c>
      <c r="G309" s="23" t="s">
        <v>2654</v>
      </c>
      <c r="H309" s="23">
        <v>0</v>
      </c>
      <c r="I309" s="9">
        <f>COUNTIF(Data1_Clean!$I$2:I1000,A309)</f>
        <v>3</v>
      </c>
    </row>
    <row r="310" spans="1:9">
      <c r="A310" s="22" t="s">
        <v>772</v>
      </c>
      <c r="B310" s="23" t="s">
        <v>1370</v>
      </c>
      <c r="C310" s="23">
        <v>49</v>
      </c>
      <c r="D310" s="23" t="s">
        <v>2669</v>
      </c>
      <c r="E310" s="24">
        <v>45696</v>
      </c>
      <c r="F310" s="23" t="s">
        <v>2653</v>
      </c>
      <c r="G310" s="23" t="s">
        <v>2654</v>
      </c>
      <c r="H310" s="23">
        <v>0</v>
      </c>
      <c r="I310" s="9">
        <f>COUNTIF(Data1_Clean!$I$2:I1000,A310)</f>
        <v>1</v>
      </c>
    </row>
    <row r="311" spans="1:9">
      <c r="A311" s="22" t="s">
        <v>2320</v>
      </c>
      <c r="B311" s="23" t="s">
        <v>1370</v>
      </c>
      <c r="C311" s="23">
        <v>59</v>
      </c>
      <c r="D311" s="23" t="s">
        <v>2669</v>
      </c>
      <c r="E311" s="24">
        <v>45707</v>
      </c>
      <c r="F311" s="23" t="s">
        <v>2655</v>
      </c>
      <c r="G311" s="23" t="s">
        <v>2656</v>
      </c>
      <c r="H311" s="23">
        <v>4</v>
      </c>
      <c r="I311" s="9">
        <f>COUNTIF(Data1_Clean!$I$2:I1000,A311)</f>
        <v>1</v>
      </c>
    </row>
    <row r="312" spans="1:9">
      <c r="A312" s="22" t="s">
        <v>1229</v>
      </c>
      <c r="B312" s="23" t="s">
        <v>1176</v>
      </c>
      <c r="C312" s="23">
        <v>36</v>
      </c>
      <c r="D312" s="23" t="s">
        <v>2669</v>
      </c>
      <c r="E312" s="24">
        <v>45712</v>
      </c>
      <c r="F312" s="23" t="s">
        <v>2653</v>
      </c>
      <c r="G312" s="23" t="s">
        <v>2656</v>
      </c>
      <c r="H312" s="23">
        <v>2</v>
      </c>
      <c r="I312" s="9">
        <f>COUNTIF(Data1_Clean!$I$2:I1000,A312)</f>
        <v>2</v>
      </c>
    </row>
    <row r="313" spans="1:9">
      <c r="A313" s="22" t="s">
        <v>2515</v>
      </c>
      <c r="B313" s="23" t="s">
        <v>1176</v>
      </c>
      <c r="C313" s="23">
        <v>60</v>
      </c>
      <c r="D313" s="23" t="s">
        <v>2669</v>
      </c>
      <c r="E313" s="24">
        <v>45714</v>
      </c>
      <c r="F313" s="23" t="s">
        <v>2655</v>
      </c>
      <c r="G313" s="23" t="s">
        <v>2654</v>
      </c>
      <c r="H313" s="23">
        <v>0</v>
      </c>
      <c r="I313" s="9">
        <f>COUNTIF(Data1_Clean!$I$2:I1000,A313)</f>
        <v>0</v>
      </c>
    </row>
    <row r="314" spans="1:9">
      <c r="A314" s="22" t="s">
        <v>729</v>
      </c>
      <c r="B314" s="23" t="s">
        <v>1370</v>
      </c>
      <c r="C314" s="23">
        <v>46</v>
      </c>
      <c r="D314" s="23" t="s">
        <v>2669</v>
      </c>
      <c r="E314" s="24">
        <v>45733</v>
      </c>
      <c r="F314" s="23" t="s">
        <v>2653</v>
      </c>
      <c r="G314" s="23" t="s">
        <v>2656</v>
      </c>
      <c r="H314" s="23">
        <v>2</v>
      </c>
      <c r="I314" s="9">
        <f>COUNTIF(Data1_Clean!$I$2:I1000,A314)</f>
        <v>1</v>
      </c>
    </row>
    <row r="315" spans="1:9">
      <c r="A315" s="22" t="s">
        <v>2548</v>
      </c>
      <c r="B315" s="23" t="s">
        <v>1370</v>
      </c>
      <c r="C315" s="23">
        <v>24</v>
      </c>
      <c r="D315" s="23" t="s">
        <v>48</v>
      </c>
      <c r="E315" s="24">
        <v>45584</v>
      </c>
      <c r="F315" s="23" t="s">
        <v>2653</v>
      </c>
      <c r="G315" s="23" t="s">
        <v>2654</v>
      </c>
      <c r="H315" s="23">
        <v>0</v>
      </c>
      <c r="I315" s="9">
        <f>COUNTIF(Data1_Clean!$I$2:I1000,A315)</f>
        <v>0</v>
      </c>
    </row>
    <row r="316" spans="1:9">
      <c r="A316" s="22" t="s">
        <v>959</v>
      </c>
      <c r="B316" s="23" t="s">
        <v>1176</v>
      </c>
      <c r="C316" s="23">
        <v>32</v>
      </c>
      <c r="D316" s="23" t="s">
        <v>48</v>
      </c>
      <c r="E316" s="24">
        <v>45586</v>
      </c>
      <c r="F316" s="23" t="s">
        <v>2655</v>
      </c>
      <c r="G316" s="23" t="s">
        <v>2654</v>
      </c>
      <c r="H316" s="23">
        <v>0</v>
      </c>
      <c r="I316" s="9">
        <f>COUNTIF(Data1_Clean!$I$2:I1000,A316)</f>
        <v>1</v>
      </c>
    </row>
    <row r="317" spans="1:9">
      <c r="A317" s="22" t="s">
        <v>2430</v>
      </c>
      <c r="B317" s="23" t="s">
        <v>1370</v>
      </c>
      <c r="C317" s="23">
        <v>34</v>
      </c>
      <c r="D317" s="23" t="s">
        <v>48</v>
      </c>
      <c r="E317" s="24">
        <v>45597</v>
      </c>
      <c r="F317" s="23" t="s">
        <v>2655</v>
      </c>
      <c r="G317" s="23" t="s">
        <v>2654</v>
      </c>
      <c r="H317" s="23">
        <v>0</v>
      </c>
      <c r="I317" s="9">
        <f>COUNTIF(Data1_Clean!$I$2:I1000,A317)</f>
        <v>0</v>
      </c>
    </row>
    <row r="318" spans="1:9">
      <c r="A318" s="22" t="s">
        <v>2301</v>
      </c>
      <c r="B318" s="23" t="s">
        <v>1370</v>
      </c>
      <c r="C318" s="23">
        <v>65</v>
      </c>
      <c r="D318" s="23" t="s">
        <v>48</v>
      </c>
      <c r="E318" s="24">
        <v>45630</v>
      </c>
      <c r="F318" s="23" t="s">
        <v>2655</v>
      </c>
      <c r="G318" s="23" t="s">
        <v>2654</v>
      </c>
      <c r="H318" s="23">
        <v>0</v>
      </c>
      <c r="I318" s="9">
        <f>COUNTIF(Data1_Clean!$I$2:I1000,A318)</f>
        <v>1</v>
      </c>
    </row>
    <row r="319" spans="1:9">
      <c r="A319" s="22" t="s">
        <v>1854</v>
      </c>
      <c r="B319" s="23" t="s">
        <v>1370</v>
      </c>
      <c r="C319" s="23">
        <v>54</v>
      </c>
      <c r="D319" s="23" t="s">
        <v>48</v>
      </c>
      <c r="E319" s="24">
        <v>45636</v>
      </c>
      <c r="F319" s="23" t="s">
        <v>2653</v>
      </c>
      <c r="G319" s="23" t="s">
        <v>2656</v>
      </c>
      <c r="H319" s="23">
        <v>1</v>
      </c>
      <c r="I319" s="9">
        <f>COUNTIF(Data1_Clean!$I$2:I1000,A319)</f>
        <v>1</v>
      </c>
    </row>
    <row r="320" spans="1:9">
      <c r="A320" s="22" t="s">
        <v>2417</v>
      </c>
      <c r="B320" s="23" t="s">
        <v>1176</v>
      </c>
      <c r="C320" s="23">
        <v>47</v>
      </c>
      <c r="D320" s="23" t="s">
        <v>48</v>
      </c>
      <c r="E320" s="24">
        <v>45639</v>
      </c>
      <c r="F320" s="23" t="s">
        <v>2653</v>
      </c>
      <c r="G320" s="23" t="s">
        <v>2656</v>
      </c>
      <c r="H320" s="23">
        <v>1</v>
      </c>
      <c r="I320" s="9">
        <f>COUNTIF(Data1_Clean!$I$2:I1000,A320)</f>
        <v>0</v>
      </c>
    </row>
    <row r="321" spans="1:9">
      <c r="A321" s="22" t="s">
        <v>165</v>
      </c>
      <c r="B321" s="23" t="s">
        <v>1370</v>
      </c>
      <c r="C321" s="23">
        <v>59</v>
      </c>
      <c r="D321" s="23" t="s">
        <v>48</v>
      </c>
      <c r="E321" s="24">
        <v>45642</v>
      </c>
      <c r="F321" s="23" t="s">
        <v>2653</v>
      </c>
      <c r="G321" s="23" t="s">
        <v>2656</v>
      </c>
      <c r="H321" s="23">
        <v>2</v>
      </c>
      <c r="I321" s="9">
        <f>COUNTIF(Data1_Clean!$I$2:I1000,A321)</f>
        <v>1</v>
      </c>
    </row>
    <row r="322" spans="1:9">
      <c r="A322" s="22" t="s">
        <v>2514</v>
      </c>
      <c r="B322" s="23" t="s">
        <v>1370</v>
      </c>
      <c r="C322" s="23">
        <v>43</v>
      </c>
      <c r="D322" s="23" t="s">
        <v>48</v>
      </c>
      <c r="E322" s="24">
        <v>45659</v>
      </c>
      <c r="F322" s="23" t="s">
        <v>2653</v>
      </c>
      <c r="G322" s="23" t="s">
        <v>2654</v>
      </c>
      <c r="H322" s="23">
        <v>0</v>
      </c>
      <c r="I322" s="9">
        <f>COUNTIF(Data1_Clean!$I$2:I1000,A322)</f>
        <v>0</v>
      </c>
    </row>
    <row r="323" spans="1:9">
      <c r="A323" s="22" t="s">
        <v>2435</v>
      </c>
      <c r="B323" s="23" t="s">
        <v>1370</v>
      </c>
      <c r="C323" s="23">
        <v>37</v>
      </c>
      <c r="D323" s="23" t="s">
        <v>48</v>
      </c>
      <c r="E323" s="24">
        <v>45690</v>
      </c>
      <c r="F323" s="23" t="s">
        <v>2655</v>
      </c>
      <c r="G323" s="23" t="s">
        <v>2654</v>
      </c>
      <c r="H323" s="23">
        <v>0</v>
      </c>
      <c r="I323" s="9">
        <f>COUNTIF(Data1_Clean!$I$2:I1000,A323)</f>
        <v>0</v>
      </c>
    </row>
    <row r="324" spans="1:9">
      <c r="A324" s="22" t="s">
        <v>2569</v>
      </c>
      <c r="B324" s="23" t="s">
        <v>1370</v>
      </c>
      <c r="C324" s="23">
        <v>32</v>
      </c>
      <c r="D324" s="23" t="s">
        <v>48</v>
      </c>
      <c r="E324" s="24">
        <v>45699</v>
      </c>
      <c r="F324" s="23" t="s">
        <v>2655</v>
      </c>
      <c r="G324" s="23" t="s">
        <v>2654</v>
      </c>
      <c r="H324" s="23">
        <v>0</v>
      </c>
      <c r="I324" s="9">
        <f>COUNTIF(Data1_Clean!$I$2:I1000,A324)</f>
        <v>0</v>
      </c>
    </row>
    <row r="325" spans="1:9">
      <c r="A325" s="22" t="s">
        <v>2629</v>
      </c>
      <c r="B325" s="23" t="s">
        <v>1370</v>
      </c>
      <c r="C325" s="23">
        <v>29</v>
      </c>
      <c r="D325" s="23" t="s">
        <v>48</v>
      </c>
      <c r="E325" s="24">
        <v>45699</v>
      </c>
      <c r="F325" s="23" t="s">
        <v>2655</v>
      </c>
      <c r="G325" s="23" t="s">
        <v>2656</v>
      </c>
      <c r="H325" s="23">
        <v>2</v>
      </c>
      <c r="I325" s="9">
        <f>COUNTIF(Data1_Clean!$I$2:I1000,A325)</f>
        <v>0</v>
      </c>
    </row>
    <row r="326" spans="1:9">
      <c r="A326" s="22" t="s">
        <v>217</v>
      </c>
      <c r="B326" s="23" t="s">
        <v>1370</v>
      </c>
      <c r="C326" s="23">
        <v>46</v>
      </c>
      <c r="D326" s="23" t="s">
        <v>48</v>
      </c>
      <c r="E326" s="24">
        <v>45702</v>
      </c>
      <c r="F326" s="23" t="s">
        <v>2653</v>
      </c>
      <c r="G326" s="23" t="s">
        <v>2656</v>
      </c>
      <c r="H326" s="23">
        <v>4</v>
      </c>
      <c r="I326" s="9">
        <f>COUNTIF(Data1_Clean!$I$2:I1000,A326)</f>
        <v>3</v>
      </c>
    </row>
    <row r="327" spans="1:9">
      <c r="A327" s="22" t="s">
        <v>1061</v>
      </c>
      <c r="B327" s="23" t="s">
        <v>1176</v>
      </c>
      <c r="C327" s="23">
        <v>23</v>
      </c>
      <c r="D327" s="23" t="s">
        <v>48</v>
      </c>
      <c r="E327" s="24">
        <v>45709</v>
      </c>
      <c r="F327" s="23" t="s">
        <v>2653</v>
      </c>
      <c r="G327" s="23" t="s">
        <v>2654</v>
      </c>
      <c r="H327" s="23">
        <v>0</v>
      </c>
      <c r="I327" s="9">
        <f>COUNTIF(Data1_Clean!$I$2:I1000,A327)</f>
        <v>1</v>
      </c>
    </row>
    <row r="328" spans="1:9">
      <c r="A328" s="22" t="s">
        <v>1297</v>
      </c>
      <c r="B328" s="23" t="s">
        <v>1370</v>
      </c>
      <c r="C328" s="23">
        <v>40</v>
      </c>
      <c r="D328" s="23" t="s">
        <v>48</v>
      </c>
      <c r="E328" s="24">
        <v>45722</v>
      </c>
      <c r="F328" s="23" t="s">
        <v>2653</v>
      </c>
      <c r="G328" s="23" t="s">
        <v>2656</v>
      </c>
      <c r="H328" s="23">
        <v>1</v>
      </c>
      <c r="I328" s="9">
        <f>COUNTIF(Data1_Clean!$I$2:I1000,A328)</f>
        <v>1</v>
      </c>
    </row>
    <row r="329" spans="1:9">
      <c r="A329" s="22" t="s">
        <v>2482</v>
      </c>
      <c r="B329" s="23" t="s">
        <v>1370</v>
      </c>
      <c r="C329" s="23">
        <v>24</v>
      </c>
      <c r="D329" s="23" t="s">
        <v>48</v>
      </c>
      <c r="E329" s="24">
        <v>45732</v>
      </c>
      <c r="F329" s="23" t="s">
        <v>2653</v>
      </c>
      <c r="G329" s="23" t="s">
        <v>2654</v>
      </c>
      <c r="H329" s="23">
        <v>0</v>
      </c>
      <c r="I329" s="9">
        <f>COUNTIF(Data1_Clean!$I$2:I1000,A329)</f>
        <v>0</v>
      </c>
    </row>
    <row r="330" spans="1:9">
      <c r="A330" s="22" t="s">
        <v>1084</v>
      </c>
      <c r="B330" s="23" t="s">
        <v>1370</v>
      </c>
      <c r="C330" s="23">
        <v>33</v>
      </c>
      <c r="D330" s="23" t="s">
        <v>2670</v>
      </c>
      <c r="E330" s="24">
        <v>45545</v>
      </c>
      <c r="F330" s="23" t="s">
        <v>2653</v>
      </c>
      <c r="G330" s="23" t="s">
        <v>2656</v>
      </c>
      <c r="H330" s="23">
        <v>3</v>
      </c>
      <c r="I330" s="9">
        <f>COUNTIF(Data1_Clean!$I$2:I1000,A330)</f>
        <v>3</v>
      </c>
    </row>
    <row r="331" spans="1:9">
      <c r="A331" s="22" t="s">
        <v>2404</v>
      </c>
      <c r="B331" s="23" t="s">
        <v>1176</v>
      </c>
      <c r="C331" s="23">
        <v>24</v>
      </c>
      <c r="D331" s="23" t="s">
        <v>2670</v>
      </c>
      <c r="E331" s="24">
        <v>45554</v>
      </c>
      <c r="F331" s="23" t="s">
        <v>2653</v>
      </c>
      <c r="G331" s="23" t="s">
        <v>2654</v>
      </c>
      <c r="H331" s="23">
        <v>0</v>
      </c>
      <c r="I331" s="9">
        <f>COUNTIF(Data1_Clean!$I$2:I1000,A331)</f>
        <v>0</v>
      </c>
    </row>
    <row r="332" spans="1:9">
      <c r="A332" s="22" t="s">
        <v>175</v>
      </c>
      <c r="B332" s="23" t="s">
        <v>1370</v>
      </c>
      <c r="C332" s="23">
        <v>50</v>
      </c>
      <c r="D332" s="23" t="s">
        <v>2670</v>
      </c>
      <c r="E332" s="24">
        <v>45556</v>
      </c>
      <c r="F332" s="23" t="s">
        <v>2653</v>
      </c>
      <c r="G332" s="23" t="s">
        <v>2656</v>
      </c>
      <c r="H332" s="23">
        <v>1</v>
      </c>
      <c r="I332" s="9">
        <f>COUNTIF(Data1_Clean!$I$2:I1000,A332)</f>
        <v>1</v>
      </c>
    </row>
    <row r="333" spans="1:9">
      <c r="A333" s="22" t="s">
        <v>2378</v>
      </c>
      <c r="B333" s="23" t="s">
        <v>1370</v>
      </c>
      <c r="C333" s="23">
        <v>53</v>
      </c>
      <c r="D333" s="23" t="s">
        <v>2670</v>
      </c>
      <c r="E333" s="24">
        <v>45577</v>
      </c>
      <c r="F333" s="23" t="s">
        <v>2653</v>
      </c>
      <c r="G333" s="23" t="s">
        <v>2654</v>
      </c>
      <c r="H333" s="23">
        <v>0</v>
      </c>
      <c r="I333" s="9">
        <f>COUNTIF(Data1_Clean!$I$2:I1000,A333)</f>
        <v>0</v>
      </c>
    </row>
    <row r="334" spans="1:9">
      <c r="A334" s="22" t="s">
        <v>1999</v>
      </c>
      <c r="B334" s="23" t="s">
        <v>1370</v>
      </c>
      <c r="C334" s="23">
        <v>59</v>
      </c>
      <c r="D334" s="23" t="s">
        <v>2670</v>
      </c>
      <c r="E334" s="24">
        <v>45581</v>
      </c>
      <c r="F334" s="23" t="s">
        <v>2655</v>
      </c>
      <c r="G334" s="23" t="s">
        <v>2656</v>
      </c>
      <c r="H334" s="23">
        <v>1</v>
      </c>
      <c r="I334" s="9">
        <f>COUNTIF(Data1_Clean!$I$2:I1000,A334)</f>
        <v>2</v>
      </c>
    </row>
    <row r="335" spans="1:9">
      <c r="A335" s="22" t="s">
        <v>1310</v>
      </c>
      <c r="B335" s="23" t="s">
        <v>1370</v>
      </c>
      <c r="C335" s="23">
        <v>58</v>
      </c>
      <c r="D335" s="23" t="s">
        <v>2670</v>
      </c>
      <c r="E335" s="24">
        <v>45605</v>
      </c>
      <c r="F335" s="23" t="s">
        <v>2655</v>
      </c>
      <c r="G335" s="23" t="s">
        <v>2656</v>
      </c>
      <c r="H335" s="23">
        <v>3</v>
      </c>
      <c r="I335" s="9">
        <f>COUNTIF(Data1_Clean!$I$2:I1000,A335)</f>
        <v>1</v>
      </c>
    </row>
    <row r="336" spans="1:9">
      <c r="A336" s="22" t="s">
        <v>2522</v>
      </c>
      <c r="B336" s="23" t="s">
        <v>1176</v>
      </c>
      <c r="C336" s="23">
        <v>31</v>
      </c>
      <c r="D336" s="23" t="s">
        <v>2670</v>
      </c>
      <c r="E336" s="24">
        <v>45617</v>
      </c>
      <c r="F336" s="23" t="s">
        <v>2655</v>
      </c>
      <c r="G336" s="23" t="s">
        <v>2654</v>
      </c>
      <c r="H336" s="23">
        <v>0</v>
      </c>
      <c r="I336" s="9">
        <f>COUNTIF(Data1_Clean!$I$2:I1000,A336)</f>
        <v>0</v>
      </c>
    </row>
    <row r="337" spans="1:9">
      <c r="A337" s="22" t="s">
        <v>2596</v>
      </c>
      <c r="B337" s="23" t="s">
        <v>1176</v>
      </c>
      <c r="C337" s="23">
        <v>63</v>
      </c>
      <c r="D337" s="23" t="s">
        <v>2670</v>
      </c>
      <c r="E337" s="24">
        <v>45633</v>
      </c>
      <c r="F337" s="23" t="s">
        <v>2653</v>
      </c>
      <c r="G337" s="23" t="s">
        <v>2654</v>
      </c>
      <c r="H337" s="23">
        <v>0</v>
      </c>
      <c r="I337" s="9">
        <f>COUNTIF(Data1_Clean!$I$2:I1000,A337)</f>
        <v>0</v>
      </c>
    </row>
    <row r="338" spans="1:9">
      <c r="A338" s="22" t="s">
        <v>2631</v>
      </c>
      <c r="B338" s="23" t="s">
        <v>1176</v>
      </c>
      <c r="C338" s="23">
        <v>38</v>
      </c>
      <c r="D338" s="23" t="s">
        <v>2670</v>
      </c>
      <c r="E338" s="24">
        <v>45642</v>
      </c>
      <c r="F338" s="23" t="s">
        <v>2655</v>
      </c>
      <c r="G338" s="23" t="s">
        <v>2654</v>
      </c>
      <c r="H338" s="23">
        <v>0</v>
      </c>
      <c r="I338" s="9">
        <f>COUNTIF(Data1_Clean!$I$2:I1000,A338)</f>
        <v>0</v>
      </c>
    </row>
    <row r="339" spans="1:9">
      <c r="A339" s="22" t="s">
        <v>2424</v>
      </c>
      <c r="B339" s="23" t="s">
        <v>1176</v>
      </c>
      <c r="C339" s="23">
        <v>46</v>
      </c>
      <c r="D339" s="23" t="s">
        <v>2670</v>
      </c>
      <c r="E339" s="24">
        <v>45696</v>
      </c>
      <c r="F339" s="23" t="s">
        <v>2653</v>
      </c>
      <c r="G339" s="23" t="s">
        <v>2656</v>
      </c>
      <c r="H339" s="23">
        <v>4</v>
      </c>
      <c r="I339" s="9">
        <f>COUNTIF(Data1_Clean!$I$2:I1000,A339)</f>
        <v>0</v>
      </c>
    </row>
    <row r="340" spans="1:9">
      <c r="A340" s="22" t="s">
        <v>1161</v>
      </c>
      <c r="B340" s="23" t="s">
        <v>1370</v>
      </c>
      <c r="C340" s="23">
        <v>56</v>
      </c>
      <c r="D340" s="23" t="s">
        <v>2670</v>
      </c>
      <c r="E340" s="24">
        <v>45725</v>
      </c>
      <c r="F340" s="23" t="s">
        <v>2655</v>
      </c>
      <c r="G340" s="23" t="s">
        <v>2656</v>
      </c>
      <c r="H340" s="23">
        <v>3</v>
      </c>
      <c r="I340" s="9">
        <f>COUNTIF(Data1_Clean!$I$2:I1000,A340)</f>
        <v>2</v>
      </c>
    </row>
    <row r="341" spans="1:9">
      <c r="A341" s="22" t="s">
        <v>2571</v>
      </c>
      <c r="B341" s="23" t="s">
        <v>1370</v>
      </c>
      <c r="C341" s="23">
        <v>20</v>
      </c>
      <c r="D341" s="23" t="s">
        <v>2670</v>
      </c>
      <c r="E341" s="24">
        <v>45733</v>
      </c>
      <c r="F341" s="23" t="s">
        <v>2653</v>
      </c>
      <c r="G341" s="23" t="s">
        <v>2654</v>
      </c>
      <c r="H341" s="23">
        <v>0</v>
      </c>
      <c r="I341" s="9">
        <f>COUNTIF(Data1_Clean!$I$2:I1000,A341)</f>
        <v>0</v>
      </c>
    </row>
    <row r="342" spans="1:9">
      <c r="A342" s="22" t="s">
        <v>916</v>
      </c>
      <c r="B342" s="23" t="s">
        <v>1176</v>
      </c>
      <c r="C342" s="23">
        <v>52</v>
      </c>
      <c r="D342" s="23" t="s">
        <v>2670</v>
      </c>
      <c r="E342" s="24">
        <v>45745</v>
      </c>
      <c r="F342" s="23" t="s">
        <v>2655</v>
      </c>
      <c r="G342" s="23" t="s">
        <v>2656</v>
      </c>
      <c r="H342" s="23">
        <v>3</v>
      </c>
      <c r="I342" s="9">
        <f>COUNTIF(Data1_Clean!$I$2:I1000,A342)</f>
        <v>1</v>
      </c>
    </row>
    <row r="343" spans="1:9">
      <c r="A343" s="22" t="s">
        <v>2379</v>
      </c>
      <c r="B343" s="23" t="s">
        <v>1370</v>
      </c>
      <c r="C343" s="23">
        <v>62</v>
      </c>
      <c r="D343" s="23" t="s">
        <v>228</v>
      </c>
      <c r="E343" s="24">
        <v>45551</v>
      </c>
      <c r="F343" s="23" t="s">
        <v>2653</v>
      </c>
      <c r="G343" s="23" t="s">
        <v>2656</v>
      </c>
      <c r="H343" s="23">
        <v>4</v>
      </c>
      <c r="I343" s="9">
        <f>COUNTIF(Data1_Clean!$I$2:I1000,A343)</f>
        <v>0</v>
      </c>
    </row>
    <row r="344" spans="1:9">
      <c r="A344" s="22" t="s">
        <v>2427</v>
      </c>
      <c r="B344" s="23" t="s">
        <v>1370</v>
      </c>
      <c r="C344" s="23">
        <v>54</v>
      </c>
      <c r="D344" s="23" t="s">
        <v>228</v>
      </c>
      <c r="E344" s="24">
        <v>45576</v>
      </c>
      <c r="F344" s="23" t="s">
        <v>2655</v>
      </c>
      <c r="G344" s="23" t="s">
        <v>2656</v>
      </c>
      <c r="H344" s="23">
        <v>3</v>
      </c>
      <c r="I344" s="9">
        <f>COUNTIF(Data1_Clean!$I$2:I1000,A344)</f>
        <v>0</v>
      </c>
    </row>
    <row r="345" spans="1:9">
      <c r="A345" s="22" t="s">
        <v>2157</v>
      </c>
      <c r="B345" s="23" t="s">
        <v>1176</v>
      </c>
      <c r="C345" s="23">
        <v>63</v>
      </c>
      <c r="D345" s="23" t="s">
        <v>228</v>
      </c>
      <c r="E345" s="24">
        <v>45583</v>
      </c>
      <c r="F345" s="23" t="s">
        <v>2655</v>
      </c>
      <c r="G345" s="23" t="s">
        <v>2656</v>
      </c>
      <c r="H345" s="23">
        <v>3</v>
      </c>
      <c r="I345" s="9">
        <f>COUNTIF(Data1_Clean!$I$2:I1000,A345)</f>
        <v>2</v>
      </c>
    </row>
    <row r="346" spans="1:9">
      <c r="A346" s="22" t="s">
        <v>2491</v>
      </c>
      <c r="B346" s="23" t="s">
        <v>1176</v>
      </c>
      <c r="C346" s="23">
        <v>59</v>
      </c>
      <c r="D346" s="23" t="s">
        <v>228</v>
      </c>
      <c r="E346" s="24">
        <v>45616</v>
      </c>
      <c r="F346" s="23" t="s">
        <v>2653</v>
      </c>
      <c r="G346" s="23" t="s">
        <v>2656</v>
      </c>
      <c r="H346" s="23">
        <v>1</v>
      </c>
      <c r="I346" s="9">
        <f>COUNTIF(Data1_Clean!$I$2:I1000,A346)</f>
        <v>0</v>
      </c>
    </row>
    <row r="347" spans="1:9">
      <c r="A347" s="22" t="s">
        <v>2490</v>
      </c>
      <c r="B347" s="23" t="s">
        <v>1176</v>
      </c>
      <c r="C347" s="23">
        <v>35</v>
      </c>
      <c r="D347" s="23" t="s">
        <v>228</v>
      </c>
      <c r="E347" s="24">
        <v>45628</v>
      </c>
      <c r="F347" s="23" t="s">
        <v>2655</v>
      </c>
      <c r="G347" s="23" t="s">
        <v>2654</v>
      </c>
      <c r="H347" s="23">
        <v>0</v>
      </c>
      <c r="I347" s="9">
        <f>COUNTIF(Data1_Clean!$I$2:I1000,A347)</f>
        <v>0</v>
      </c>
    </row>
    <row r="348" spans="1:9">
      <c r="A348" s="22" t="s">
        <v>2609</v>
      </c>
      <c r="B348" s="23" t="s">
        <v>1370</v>
      </c>
      <c r="C348" s="23">
        <v>40</v>
      </c>
      <c r="D348" s="23" t="s">
        <v>228</v>
      </c>
      <c r="E348" s="24">
        <v>45660</v>
      </c>
      <c r="F348" s="23" t="s">
        <v>2655</v>
      </c>
      <c r="G348" s="23" t="s">
        <v>2656</v>
      </c>
      <c r="H348" s="23">
        <v>3</v>
      </c>
      <c r="I348" s="9">
        <f>COUNTIF(Data1_Clean!$I$2:I1000,A348)</f>
        <v>0</v>
      </c>
    </row>
    <row r="349" spans="1:9">
      <c r="A349" s="22" t="s">
        <v>943</v>
      </c>
      <c r="B349" s="23" t="s">
        <v>1370</v>
      </c>
      <c r="C349" s="23">
        <v>65</v>
      </c>
      <c r="D349" s="23" t="s">
        <v>228</v>
      </c>
      <c r="E349" s="24">
        <v>45671</v>
      </c>
      <c r="F349" s="23" t="s">
        <v>2655</v>
      </c>
      <c r="G349" s="23" t="s">
        <v>2656</v>
      </c>
      <c r="H349" s="23">
        <v>4</v>
      </c>
      <c r="I349" s="9">
        <f>COUNTIF(Data1_Clean!$I$2:I1000,A349)</f>
        <v>2</v>
      </c>
    </row>
    <row r="350" spans="1:9">
      <c r="A350" s="22" t="s">
        <v>1873</v>
      </c>
      <c r="B350" s="23" t="s">
        <v>1370</v>
      </c>
      <c r="C350" s="23">
        <v>61</v>
      </c>
      <c r="D350" s="23" t="s">
        <v>228</v>
      </c>
      <c r="E350" s="24">
        <v>45677</v>
      </c>
      <c r="F350" s="23" t="s">
        <v>2653</v>
      </c>
      <c r="G350" s="23" t="s">
        <v>2656</v>
      </c>
      <c r="H350" s="23">
        <v>2</v>
      </c>
      <c r="I350" s="9">
        <f>COUNTIF(Data1_Clean!$I$2:I1000,A350)</f>
        <v>1</v>
      </c>
    </row>
    <row r="351" spans="1:9">
      <c r="A351" s="22" t="s">
        <v>1254</v>
      </c>
      <c r="B351" s="23" t="s">
        <v>1176</v>
      </c>
      <c r="C351" s="23">
        <v>36</v>
      </c>
      <c r="D351" s="23" t="s">
        <v>228</v>
      </c>
      <c r="E351" s="24">
        <v>45683</v>
      </c>
      <c r="F351" s="23" t="s">
        <v>2655</v>
      </c>
      <c r="G351" s="23" t="s">
        <v>2656</v>
      </c>
      <c r="H351" s="23">
        <v>1</v>
      </c>
      <c r="I351" s="9">
        <f>COUNTIF(Data1_Clean!$I$2:I1000,A351)</f>
        <v>1</v>
      </c>
    </row>
    <row r="352" spans="1:9">
      <c r="A352" s="22" t="s">
        <v>675</v>
      </c>
      <c r="B352" s="23" t="s">
        <v>1370</v>
      </c>
      <c r="C352" s="23">
        <v>60</v>
      </c>
      <c r="D352" s="23" t="s">
        <v>228</v>
      </c>
      <c r="E352" s="24">
        <v>45686</v>
      </c>
      <c r="F352" s="23" t="s">
        <v>2655</v>
      </c>
      <c r="G352" s="23" t="s">
        <v>2654</v>
      </c>
      <c r="H352" s="23">
        <v>0</v>
      </c>
      <c r="I352" s="9">
        <f>COUNTIF(Data1_Clean!$I$2:I1000,A352)</f>
        <v>2</v>
      </c>
    </row>
    <row r="353" spans="1:9">
      <c r="A353" s="22" t="s">
        <v>1476</v>
      </c>
      <c r="B353" s="23" t="s">
        <v>1370</v>
      </c>
      <c r="C353" s="23">
        <v>50</v>
      </c>
      <c r="D353" s="23" t="s">
        <v>228</v>
      </c>
      <c r="E353" s="24">
        <v>45700</v>
      </c>
      <c r="F353" s="23" t="s">
        <v>2653</v>
      </c>
      <c r="G353" s="23" t="s">
        <v>2654</v>
      </c>
      <c r="H353" s="23">
        <v>0</v>
      </c>
      <c r="I353" s="9">
        <f>COUNTIF(Data1_Clean!$I$2:I1000,A353)</f>
        <v>1</v>
      </c>
    </row>
    <row r="354" spans="1:9">
      <c r="A354" s="22" t="s">
        <v>525</v>
      </c>
      <c r="B354" s="23" t="s">
        <v>1176</v>
      </c>
      <c r="C354" s="23">
        <v>33</v>
      </c>
      <c r="D354" s="23" t="s">
        <v>228</v>
      </c>
      <c r="E354" s="24">
        <v>45704</v>
      </c>
      <c r="F354" s="23" t="s">
        <v>2653</v>
      </c>
      <c r="G354" s="23" t="s">
        <v>2656</v>
      </c>
      <c r="H354" s="23">
        <v>1</v>
      </c>
      <c r="I354" s="9">
        <f>COUNTIF(Data1_Clean!$I$2:I1000,A354)</f>
        <v>1</v>
      </c>
    </row>
    <row r="355" spans="1:9">
      <c r="A355" s="22" t="s">
        <v>1111</v>
      </c>
      <c r="B355" s="23" t="s">
        <v>1370</v>
      </c>
      <c r="C355" s="23">
        <v>31</v>
      </c>
      <c r="D355" s="23" t="s">
        <v>2671</v>
      </c>
      <c r="E355" s="24">
        <v>45568</v>
      </c>
      <c r="F355" s="23" t="s">
        <v>2653</v>
      </c>
      <c r="G355" s="23" t="s">
        <v>2654</v>
      </c>
      <c r="H355" s="23">
        <v>0</v>
      </c>
      <c r="I355" s="9">
        <f>COUNTIF(Data1_Clean!$I$2:I1000,A355)</f>
        <v>1</v>
      </c>
    </row>
    <row r="356" spans="1:9">
      <c r="A356" s="22" t="s">
        <v>2594</v>
      </c>
      <c r="B356" s="23" t="s">
        <v>1370</v>
      </c>
      <c r="C356" s="23">
        <v>43</v>
      </c>
      <c r="D356" s="23" t="s">
        <v>2671</v>
      </c>
      <c r="E356" s="24">
        <v>45579</v>
      </c>
      <c r="F356" s="23" t="s">
        <v>2655</v>
      </c>
      <c r="G356" s="23" t="s">
        <v>2656</v>
      </c>
      <c r="H356" s="23">
        <v>2</v>
      </c>
      <c r="I356" s="9">
        <f>COUNTIF(Data1_Clean!$I$2:I1000,A356)</f>
        <v>0</v>
      </c>
    </row>
    <row r="357" spans="1:9">
      <c r="A357" s="22" t="s">
        <v>1041</v>
      </c>
      <c r="B357" s="23" t="s">
        <v>1370</v>
      </c>
      <c r="C357" s="23">
        <v>55</v>
      </c>
      <c r="D357" s="23" t="s">
        <v>2671</v>
      </c>
      <c r="E357" s="24">
        <v>45586</v>
      </c>
      <c r="F357" s="23" t="s">
        <v>2655</v>
      </c>
      <c r="G357" s="23" t="s">
        <v>2654</v>
      </c>
      <c r="H357" s="23">
        <v>0</v>
      </c>
      <c r="I357" s="9">
        <f>COUNTIF(Data1_Clean!$I$2:I1000,A357)</f>
        <v>2</v>
      </c>
    </row>
    <row r="358" spans="1:9">
      <c r="A358" s="22" t="s">
        <v>2422</v>
      </c>
      <c r="B358" s="23" t="s">
        <v>1370</v>
      </c>
      <c r="C358" s="23">
        <v>65</v>
      </c>
      <c r="D358" s="23" t="s">
        <v>2671</v>
      </c>
      <c r="E358" s="24">
        <v>45591</v>
      </c>
      <c r="F358" s="23" t="s">
        <v>2653</v>
      </c>
      <c r="G358" s="23" t="s">
        <v>2656</v>
      </c>
      <c r="H358" s="23">
        <v>1</v>
      </c>
      <c r="I358" s="9">
        <f>COUNTIF(Data1_Clean!$I$2:I1000,A358)</f>
        <v>0</v>
      </c>
    </row>
    <row r="359" spans="1:9">
      <c r="A359" s="22" t="s">
        <v>457</v>
      </c>
      <c r="B359" s="23" t="s">
        <v>1370</v>
      </c>
      <c r="C359" s="23">
        <v>43</v>
      </c>
      <c r="D359" s="23" t="s">
        <v>2671</v>
      </c>
      <c r="E359" s="24">
        <v>45591</v>
      </c>
      <c r="F359" s="23" t="s">
        <v>2655</v>
      </c>
      <c r="G359" s="23" t="s">
        <v>2656</v>
      </c>
      <c r="H359" s="23">
        <v>2</v>
      </c>
      <c r="I359" s="9">
        <f>COUNTIF(Data1_Clean!$I$2:I1000,A359)</f>
        <v>3</v>
      </c>
    </row>
    <row r="360" spans="1:9">
      <c r="A360" s="22" t="s">
        <v>2030</v>
      </c>
      <c r="B360" s="23" t="s">
        <v>1176</v>
      </c>
      <c r="C360" s="23">
        <v>42</v>
      </c>
      <c r="D360" s="23" t="s">
        <v>2671</v>
      </c>
      <c r="E360" s="24">
        <v>45615</v>
      </c>
      <c r="F360" s="23" t="s">
        <v>2655</v>
      </c>
      <c r="G360" s="23" t="s">
        <v>2654</v>
      </c>
      <c r="H360" s="23">
        <v>0</v>
      </c>
      <c r="I360" s="9">
        <f>COUNTIF(Data1_Clean!$I$2:I1000,A360)</f>
        <v>2</v>
      </c>
    </row>
    <row r="361" spans="1:9">
      <c r="A361" s="22" t="s">
        <v>1781</v>
      </c>
      <c r="B361" s="23" t="s">
        <v>1176</v>
      </c>
      <c r="C361" s="23">
        <v>55</v>
      </c>
      <c r="D361" s="23" t="s">
        <v>2671</v>
      </c>
      <c r="E361" s="24">
        <v>45620</v>
      </c>
      <c r="F361" s="23" t="s">
        <v>2655</v>
      </c>
      <c r="G361" s="23" t="s">
        <v>2654</v>
      </c>
      <c r="H361" s="23">
        <v>0</v>
      </c>
      <c r="I361" s="9">
        <f>COUNTIF(Data1_Clean!$I$2:I1000,A361)</f>
        <v>1</v>
      </c>
    </row>
    <row r="362" spans="1:9">
      <c r="A362" s="22" t="s">
        <v>667</v>
      </c>
      <c r="B362" s="23" t="s">
        <v>1370</v>
      </c>
      <c r="C362" s="23">
        <v>22</v>
      </c>
      <c r="D362" s="23" t="s">
        <v>2671</v>
      </c>
      <c r="E362" s="24">
        <v>45635</v>
      </c>
      <c r="F362" s="23" t="s">
        <v>2653</v>
      </c>
      <c r="G362" s="23" t="s">
        <v>2656</v>
      </c>
      <c r="H362" s="23">
        <v>2</v>
      </c>
      <c r="I362" s="9">
        <f>COUNTIF(Data1_Clean!$I$2:I1000,A362)</f>
        <v>1</v>
      </c>
    </row>
    <row r="363" spans="1:9">
      <c r="A363" s="22" t="s">
        <v>357</v>
      </c>
      <c r="B363" s="23" t="s">
        <v>1370</v>
      </c>
      <c r="C363" s="23">
        <v>60</v>
      </c>
      <c r="D363" s="23" t="s">
        <v>2671</v>
      </c>
      <c r="E363" s="24">
        <v>45638</v>
      </c>
      <c r="F363" s="23" t="s">
        <v>2655</v>
      </c>
      <c r="G363" s="23" t="s">
        <v>2654</v>
      </c>
      <c r="H363" s="23">
        <v>0</v>
      </c>
      <c r="I363" s="9">
        <f>COUNTIF(Data1_Clean!$I$2:I1000,A363)</f>
        <v>3</v>
      </c>
    </row>
    <row r="364" spans="1:9">
      <c r="A364" s="22" t="s">
        <v>2528</v>
      </c>
      <c r="B364" s="23" t="s">
        <v>1176</v>
      </c>
      <c r="C364" s="23">
        <v>30</v>
      </c>
      <c r="D364" s="23" t="s">
        <v>2671</v>
      </c>
      <c r="E364" s="24">
        <v>45649</v>
      </c>
      <c r="F364" s="23" t="s">
        <v>2653</v>
      </c>
      <c r="G364" s="23" t="s">
        <v>2656</v>
      </c>
      <c r="H364" s="23">
        <v>3</v>
      </c>
      <c r="I364" s="9">
        <f>COUNTIF(Data1_Clean!$I$2:I1000,A364)</f>
        <v>0</v>
      </c>
    </row>
    <row r="365" spans="1:9">
      <c r="A365" s="22" t="s">
        <v>2472</v>
      </c>
      <c r="B365" s="23" t="s">
        <v>1370</v>
      </c>
      <c r="C365" s="23">
        <v>32</v>
      </c>
      <c r="D365" s="23" t="s">
        <v>2671</v>
      </c>
      <c r="E365" s="24">
        <v>45650</v>
      </c>
      <c r="F365" s="23" t="s">
        <v>2653</v>
      </c>
      <c r="G365" s="23" t="s">
        <v>2654</v>
      </c>
      <c r="H365" s="23">
        <v>0</v>
      </c>
      <c r="I365" s="9">
        <f>COUNTIF(Data1_Clean!$I$2:I1000,A365)</f>
        <v>0</v>
      </c>
    </row>
    <row r="366" spans="1:9">
      <c r="A366" s="22" t="s">
        <v>2441</v>
      </c>
      <c r="B366" s="23" t="s">
        <v>1176</v>
      </c>
      <c r="C366" s="23">
        <v>34</v>
      </c>
      <c r="D366" s="23" t="s">
        <v>2671</v>
      </c>
      <c r="E366" s="24">
        <v>45658</v>
      </c>
      <c r="F366" s="23" t="s">
        <v>2653</v>
      </c>
      <c r="G366" s="23" t="s">
        <v>2656</v>
      </c>
      <c r="H366" s="23">
        <v>1</v>
      </c>
      <c r="I366" s="9">
        <f>COUNTIF(Data1_Clean!$I$2:I1000,A366)</f>
        <v>0</v>
      </c>
    </row>
    <row r="367" spans="1:9">
      <c r="A367" s="22" t="s">
        <v>586</v>
      </c>
      <c r="B367" s="23" t="s">
        <v>1370</v>
      </c>
      <c r="C367" s="23">
        <v>31</v>
      </c>
      <c r="D367" s="23" t="s">
        <v>2671</v>
      </c>
      <c r="E367" s="24">
        <v>45689</v>
      </c>
      <c r="F367" s="23" t="s">
        <v>2655</v>
      </c>
      <c r="G367" s="23" t="s">
        <v>2654</v>
      </c>
      <c r="H367" s="23">
        <v>0</v>
      </c>
      <c r="I367" s="9">
        <f>COUNTIF(Data1_Clean!$I$2:I1000,A367)</f>
        <v>2</v>
      </c>
    </row>
    <row r="368" spans="1:9">
      <c r="A368" s="22" t="s">
        <v>2627</v>
      </c>
      <c r="B368" s="23" t="s">
        <v>1370</v>
      </c>
      <c r="C368" s="23">
        <v>47</v>
      </c>
      <c r="D368" s="23" t="s">
        <v>2671</v>
      </c>
      <c r="E368" s="24">
        <v>45689</v>
      </c>
      <c r="F368" s="23" t="s">
        <v>2655</v>
      </c>
      <c r="G368" s="23" t="s">
        <v>2656</v>
      </c>
      <c r="H368" s="23">
        <v>4</v>
      </c>
      <c r="I368" s="9">
        <f>COUNTIF(Data1_Clean!$I$2:I1000,A368)</f>
        <v>0</v>
      </c>
    </row>
    <row r="369" spans="1:9">
      <c r="A369" s="22" t="s">
        <v>2555</v>
      </c>
      <c r="B369" s="23" t="s">
        <v>1370</v>
      </c>
      <c r="C369" s="23">
        <v>41</v>
      </c>
      <c r="D369" s="23" t="s">
        <v>2671</v>
      </c>
      <c r="E369" s="24">
        <v>45699</v>
      </c>
      <c r="F369" s="23" t="s">
        <v>2655</v>
      </c>
      <c r="G369" s="23" t="s">
        <v>2654</v>
      </c>
      <c r="H369" s="23">
        <v>0</v>
      </c>
      <c r="I369" s="9">
        <f>COUNTIF(Data1_Clean!$I$2:I1000,A369)</f>
        <v>0</v>
      </c>
    </row>
    <row r="370" spans="1:9">
      <c r="A370" s="22" t="s">
        <v>1978</v>
      </c>
      <c r="B370" s="23" t="s">
        <v>1370</v>
      </c>
      <c r="C370" s="23">
        <v>55</v>
      </c>
      <c r="D370" s="23" t="s">
        <v>2671</v>
      </c>
      <c r="E370" s="24">
        <v>45708</v>
      </c>
      <c r="F370" s="23" t="s">
        <v>2655</v>
      </c>
      <c r="G370" s="23" t="s">
        <v>2654</v>
      </c>
      <c r="H370" s="23">
        <v>0</v>
      </c>
      <c r="I370" s="9">
        <f>COUNTIF(Data1_Clean!$I$2:I1000,A370)</f>
        <v>1</v>
      </c>
    </row>
    <row r="371" spans="1:9">
      <c r="A371" s="22" t="s">
        <v>2208</v>
      </c>
      <c r="B371" s="23" t="s">
        <v>1176</v>
      </c>
      <c r="C371" s="23">
        <v>65</v>
      </c>
      <c r="D371" s="23" t="s">
        <v>2671</v>
      </c>
      <c r="E371" s="24">
        <v>45734</v>
      </c>
      <c r="F371" s="23" t="s">
        <v>2653</v>
      </c>
      <c r="G371" s="23" t="s">
        <v>2656</v>
      </c>
      <c r="H371" s="23">
        <v>1</v>
      </c>
      <c r="I371" s="9">
        <f>COUNTIF(Data1_Clean!$I$2:I1000,A371)</f>
        <v>1</v>
      </c>
    </row>
    <row r="372" spans="1:9">
      <c r="A372" s="22" t="s">
        <v>1449</v>
      </c>
      <c r="B372" s="23" t="s">
        <v>1176</v>
      </c>
      <c r="C372" s="23">
        <v>49</v>
      </c>
      <c r="D372" s="23" t="s">
        <v>2671</v>
      </c>
      <c r="E372" s="24">
        <v>45737</v>
      </c>
      <c r="F372" s="23" t="s">
        <v>2655</v>
      </c>
      <c r="G372" s="23" t="s">
        <v>2656</v>
      </c>
      <c r="H372" s="23">
        <v>3</v>
      </c>
      <c r="I372" s="9">
        <f>COUNTIF(Data1_Clean!$I$2:I1000,A372)</f>
        <v>1</v>
      </c>
    </row>
    <row r="373" spans="1:9">
      <c r="A373" s="22" t="s">
        <v>437</v>
      </c>
      <c r="B373" s="23" t="s">
        <v>1370</v>
      </c>
      <c r="C373" s="23">
        <v>36</v>
      </c>
      <c r="D373" s="23" t="s">
        <v>2671</v>
      </c>
      <c r="E373" s="24">
        <v>45742</v>
      </c>
      <c r="F373" s="23" t="s">
        <v>2655</v>
      </c>
      <c r="G373" s="23" t="s">
        <v>2654</v>
      </c>
      <c r="H373" s="23">
        <v>0</v>
      </c>
      <c r="I373" s="9">
        <f>COUNTIF(Data1_Clean!$I$2:I1000,A373)</f>
        <v>1</v>
      </c>
    </row>
    <row r="374" spans="1:9">
      <c r="A374" s="22" t="s">
        <v>180</v>
      </c>
      <c r="B374" s="23" t="s">
        <v>1370</v>
      </c>
      <c r="C374" s="23">
        <v>41</v>
      </c>
      <c r="D374" s="23" t="s">
        <v>2672</v>
      </c>
      <c r="E374" s="24">
        <v>45536</v>
      </c>
      <c r="F374" s="23" t="s">
        <v>2655</v>
      </c>
      <c r="G374" s="23" t="s">
        <v>2654</v>
      </c>
      <c r="H374" s="23">
        <v>0</v>
      </c>
      <c r="I374" s="9">
        <f>COUNTIF(Data1_Clean!$I$2:I1000,A374)</f>
        <v>2</v>
      </c>
    </row>
    <row r="375" spans="1:9">
      <c r="A375" s="22" t="s">
        <v>827</v>
      </c>
      <c r="B375" s="23" t="s">
        <v>1176</v>
      </c>
      <c r="C375" s="23">
        <v>61</v>
      </c>
      <c r="D375" s="23" t="s">
        <v>2672</v>
      </c>
      <c r="E375" s="24">
        <v>45560</v>
      </c>
      <c r="F375" s="23" t="s">
        <v>2655</v>
      </c>
      <c r="G375" s="23" t="s">
        <v>2654</v>
      </c>
      <c r="H375" s="23">
        <v>0</v>
      </c>
      <c r="I375" s="9">
        <f>COUNTIF(Data1_Clean!$I$2:I1000,A375)</f>
        <v>2</v>
      </c>
    </row>
    <row r="376" spans="1:9">
      <c r="A376" s="22" t="s">
        <v>1145</v>
      </c>
      <c r="B376" s="23" t="s">
        <v>1176</v>
      </c>
      <c r="C376" s="23">
        <v>28</v>
      </c>
      <c r="D376" s="23" t="s">
        <v>2672</v>
      </c>
      <c r="E376" s="24">
        <v>45561</v>
      </c>
      <c r="F376" s="23" t="s">
        <v>2655</v>
      </c>
      <c r="G376" s="23" t="s">
        <v>2656</v>
      </c>
      <c r="H376" s="23">
        <v>1</v>
      </c>
      <c r="I376" s="9">
        <f>COUNTIF(Data1_Clean!$I$2:I1000,A376)</f>
        <v>2</v>
      </c>
    </row>
    <row r="377" spans="1:9">
      <c r="A377" s="22" t="s">
        <v>793</v>
      </c>
      <c r="B377" s="23" t="s">
        <v>1176</v>
      </c>
      <c r="C377" s="23">
        <v>23</v>
      </c>
      <c r="D377" s="23" t="s">
        <v>2672</v>
      </c>
      <c r="E377" s="24">
        <v>45564</v>
      </c>
      <c r="F377" s="23" t="s">
        <v>2655</v>
      </c>
      <c r="G377" s="23" t="s">
        <v>2654</v>
      </c>
      <c r="H377" s="23">
        <v>0</v>
      </c>
      <c r="I377" s="9">
        <f>COUNTIF(Data1_Clean!$I$2:I1000,A377)</f>
        <v>4</v>
      </c>
    </row>
    <row r="378" spans="1:9">
      <c r="A378" s="22" t="s">
        <v>628</v>
      </c>
      <c r="B378" s="23" t="s">
        <v>1370</v>
      </c>
      <c r="C378" s="23">
        <v>63</v>
      </c>
      <c r="D378" s="23" t="s">
        <v>2672</v>
      </c>
      <c r="E378" s="24">
        <v>45564</v>
      </c>
      <c r="F378" s="23" t="s">
        <v>2653</v>
      </c>
      <c r="G378" s="23" t="s">
        <v>2654</v>
      </c>
      <c r="H378" s="23">
        <v>0</v>
      </c>
      <c r="I378" s="9">
        <f>COUNTIF(Data1_Clean!$I$2:I1000,A378)</f>
        <v>3</v>
      </c>
    </row>
    <row r="379" spans="1:9">
      <c r="A379" s="22" t="s">
        <v>1055</v>
      </c>
      <c r="B379" s="23" t="s">
        <v>1176</v>
      </c>
      <c r="C379" s="23">
        <v>48</v>
      </c>
      <c r="D379" s="23" t="s">
        <v>2672</v>
      </c>
      <c r="E379" s="24">
        <v>45565</v>
      </c>
      <c r="F379" s="23" t="s">
        <v>2653</v>
      </c>
      <c r="G379" s="23" t="s">
        <v>2654</v>
      </c>
      <c r="H379" s="23">
        <v>0</v>
      </c>
      <c r="I379" s="9">
        <f>COUNTIF(Data1_Clean!$I$2:I1000,A379)</f>
        <v>1</v>
      </c>
    </row>
    <row r="380" spans="1:9">
      <c r="A380" s="22" t="s">
        <v>311</v>
      </c>
      <c r="B380" s="23" t="s">
        <v>1370</v>
      </c>
      <c r="C380" s="23">
        <v>35</v>
      </c>
      <c r="D380" s="23" t="s">
        <v>2672</v>
      </c>
      <c r="E380" s="24">
        <v>45568</v>
      </c>
      <c r="F380" s="23" t="s">
        <v>2653</v>
      </c>
      <c r="G380" s="23" t="s">
        <v>2656</v>
      </c>
      <c r="H380" s="23">
        <v>4</v>
      </c>
      <c r="I380" s="9">
        <f>COUNTIF(Data1_Clean!$I$2:I1000,A380)</f>
        <v>3</v>
      </c>
    </row>
    <row r="381" spans="1:9">
      <c r="A381" s="22" t="s">
        <v>2510</v>
      </c>
      <c r="B381" s="23" t="s">
        <v>1176</v>
      </c>
      <c r="C381" s="23">
        <v>27</v>
      </c>
      <c r="D381" s="23" t="s">
        <v>2672</v>
      </c>
      <c r="E381" s="24">
        <v>45603</v>
      </c>
      <c r="F381" s="23" t="s">
        <v>2655</v>
      </c>
      <c r="G381" s="23" t="s">
        <v>2654</v>
      </c>
      <c r="H381" s="23">
        <v>0</v>
      </c>
      <c r="I381" s="9">
        <f>COUNTIF(Data1_Clean!$I$2:I1000,A381)</f>
        <v>0</v>
      </c>
    </row>
    <row r="382" spans="1:9">
      <c r="A382" s="22" t="s">
        <v>55</v>
      </c>
      <c r="B382" s="23" t="s">
        <v>1176</v>
      </c>
      <c r="C382" s="23">
        <v>51</v>
      </c>
      <c r="D382" s="23" t="s">
        <v>2672</v>
      </c>
      <c r="E382" s="24">
        <v>45619</v>
      </c>
      <c r="F382" s="23" t="s">
        <v>2653</v>
      </c>
      <c r="G382" s="23" t="s">
        <v>2654</v>
      </c>
      <c r="H382" s="23">
        <v>0</v>
      </c>
      <c r="I382" s="9">
        <f>COUNTIF(Data1_Clean!$I$2:I1000,A382)</f>
        <v>4</v>
      </c>
    </row>
    <row r="383" spans="1:9">
      <c r="A383" s="22" t="s">
        <v>612</v>
      </c>
      <c r="B383" s="23" t="s">
        <v>1176</v>
      </c>
      <c r="C383" s="23">
        <v>41</v>
      </c>
      <c r="D383" s="23" t="s">
        <v>2672</v>
      </c>
      <c r="E383" s="24">
        <v>45633</v>
      </c>
      <c r="F383" s="23" t="s">
        <v>2653</v>
      </c>
      <c r="G383" s="23" t="s">
        <v>2656</v>
      </c>
      <c r="H383" s="23">
        <v>2</v>
      </c>
      <c r="I383" s="9">
        <f>COUNTIF(Data1_Clean!$I$2:I1000,A383)</f>
        <v>1</v>
      </c>
    </row>
    <row r="384" spans="1:9">
      <c r="A384" s="22" t="s">
        <v>2616</v>
      </c>
      <c r="B384" s="23" t="s">
        <v>1370</v>
      </c>
      <c r="C384" s="23">
        <v>54</v>
      </c>
      <c r="D384" s="23" t="s">
        <v>2672</v>
      </c>
      <c r="E384" s="24">
        <v>45666</v>
      </c>
      <c r="F384" s="23" t="s">
        <v>2653</v>
      </c>
      <c r="G384" s="23" t="s">
        <v>2656</v>
      </c>
      <c r="H384" s="23">
        <v>1</v>
      </c>
      <c r="I384" s="9">
        <f>COUNTIF(Data1_Clean!$I$2:I1000,A384)</f>
        <v>0</v>
      </c>
    </row>
    <row r="385" spans="1:9">
      <c r="A385" s="22" t="s">
        <v>2524</v>
      </c>
      <c r="B385" s="23" t="s">
        <v>1176</v>
      </c>
      <c r="C385" s="23">
        <v>44</v>
      </c>
      <c r="D385" s="23" t="s">
        <v>2672</v>
      </c>
      <c r="E385" s="24">
        <v>45669</v>
      </c>
      <c r="F385" s="23" t="s">
        <v>2653</v>
      </c>
      <c r="G385" s="23" t="s">
        <v>2654</v>
      </c>
      <c r="H385" s="23">
        <v>0</v>
      </c>
      <c r="I385" s="9">
        <f>COUNTIF(Data1_Clean!$I$2:I1000,A385)</f>
        <v>0</v>
      </c>
    </row>
    <row r="386" spans="1:9">
      <c r="A386" s="22" t="s">
        <v>2589</v>
      </c>
      <c r="B386" s="23" t="s">
        <v>1370</v>
      </c>
      <c r="C386" s="23">
        <v>37</v>
      </c>
      <c r="D386" s="23" t="s">
        <v>2672</v>
      </c>
      <c r="E386" s="24">
        <v>45686</v>
      </c>
      <c r="F386" s="23" t="s">
        <v>2653</v>
      </c>
      <c r="G386" s="23" t="s">
        <v>2656</v>
      </c>
      <c r="H386" s="23">
        <v>2</v>
      </c>
      <c r="I386" s="9">
        <f>COUNTIF(Data1_Clean!$I$2:I1000,A386)</f>
        <v>0</v>
      </c>
    </row>
    <row r="387" spans="1:9">
      <c r="A387" s="22" t="s">
        <v>1769</v>
      </c>
      <c r="B387" s="23" t="s">
        <v>1176</v>
      </c>
      <c r="C387" s="23">
        <v>33</v>
      </c>
      <c r="D387" s="23" t="s">
        <v>2672</v>
      </c>
      <c r="E387" s="24">
        <v>45701</v>
      </c>
      <c r="F387" s="23" t="s">
        <v>2655</v>
      </c>
      <c r="G387" s="23" t="s">
        <v>2654</v>
      </c>
      <c r="H387" s="23">
        <v>0</v>
      </c>
      <c r="I387" s="9">
        <f>COUNTIF(Data1_Clean!$I$2:I1000,A387)</f>
        <v>2</v>
      </c>
    </row>
    <row r="388" spans="1:9">
      <c r="A388" s="22" t="s">
        <v>2442</v>
      </c>
      <c r="B388" s="23" t="s">
        <v>1370</v>
      </c>
      <c r="C388" s="23">
        <v>47</v>
      </c>
      <c r="D388" s="23" t="s">
        <v>2672</v>
      </c>
      <c r="E388" s="24">
        <v>45706</v>
      </c>
      <c r="F388" s="23" t="s">
        <v>2655</v>
      </c>
      <c r="G388" s="23" t="s">
        <v>2656</v>
      </c>
      <c r="H388" s="23">
        <v>1</v>
      </c>
      <c r="I388" s="9">
        <f>COUNTIF(Data1_Clean!$I$2:I1000,A388)</f>
        <v>0</v>
      </c>
    </row>
    <row r="389" spans="1:9">
      <c r="A389" s="22" t="s">
        <v>1388</v>
      </c>
      <c r="B389" s="23" t="s">
        <v>1370</v>
      </c>
      <c r="C389" s="23">
        <v>22</v>
      </c>
      <c r="D389" s="23" t="s">
        <v>2672</v>
      </c>
      <c r="E389" s="24">
        <v>45713</v>
      </c>
      <c r="F389" s="23" t="s">
        <v>2655</v>
      </c>
      <c r="G389" s="23" t="s">
        <v>2654</v>
      </c>
      <c r="H389" s="23">
        <v>0</v>
      </c>
      <c r="I389" s="9">
        <f>COUNTIF(Data1_Clean!$I$2:I1000,A389)</f>
        <v>1</v>
      </c>
    </row>
    <row r="390" spans="1:9">
      <c r="A390" s="22" t="s">
        <v>1603</v>
      </c>
      <c r="B390" s="23" t="s">
        <v>1176</v>
      </c>
      <c r="C390" s="23">
        <v>58</v>
      </c>
      <c r="D390" s="23" t="s">
        <v>2672</v>
      </c>
      <c r="E390" s="24">
        <v>45720</v>
      </c>
      <c r="F390" s="23" t="s">
        <v>2655</v>
      </c>
      <c r="G390" s="23" t="s">
        <v>2654</v>
      </c>
      <c r="H390" s="23">
        <v>0</v>
      </c>
      <c r="I390" s="9">
        <f>COUNTIF(Data1_Clean!$I$2:I1000,A390)</f>
        <v>1</v>
      </c>
    </row>
    <row r="391" spans="1:9">
      <c r="A391" s="22" t="s">
        <v>1197</v>
      </c>
      <c r="B391" s="23" t="s">
        <v>1176</v>
      </c>
      <c r="C391" s="23">
        <v>49</v>
      </c>
      <c r="D391" s="23" t="s">
        <v>2672</v>
      </c>
      <c r="E391" s="24">
        <v>45731</v>
      </c>
      <c r="F391" s="23" t="s">
        <v>2655</v>
      </c>
      <c r="G391" s="23" t="s">
        <v>2654</v>
      </c>
      <c r="H391" s="23">
        <v>0</v>
      </c>
      <c r="I391" s="9">
        <f>COUNTIF(Data1_Clean!$I$2:I1000,A391)</f>
        <v>2</v>
      </c>
    </row>
    <row r="392" spans="1:9">
      <c r="A392" s="22" t="s">
        <v>2608</v>
      </c>
      <c r="B392" s="23" t="s">
        <v>1370</v>
      </c>
      <c r="C392" s="23">
        <v>34</v>
      </c>
      <c r="D392" s="23" t="s">
        <v>2672</v>
      </c>
      <c r="E392" s="24">
        <v>45733</v>
      </c>
      <c r="F392" s="23" t="s">
        <v>2653</v>
      </c>
      <c r="G392" s="23" t="s">
        <v>2656</v>
      </c>
      <c r="H392" s="23">
        <v>3</v>
      </c>
      <c r="I392" s="9">
        <f>COUNTIF(Data1_Clean!$I$2:I1000,A392)</f>
        <v>0</v>
      </c>
    </row>
    <row r="393" spans="1:9">
      <c r="A393" s="22" t="s">
        <v>911</v>
      </c>
      <c r="B393" s="23" t="s">
        <v>1370</v>
      </c>
      <c r="C393" s="23">
        <v>65</v>
      </c>
      <c r="D393" s="23" t="s">
        <v>2673</v>
      </c>
      <c r="E393" s="24">
        <v>45536</v>
      </c>
      <c r="F393" s="23" t="s">
        <v>2653</v>
      </c>
      <c r="G393" s="23" t="s">
        <v>2654</v>
      </c>
      <c r="H393" s="23">
        <v>0</v>
      </c>
      <c r="I393" s="9">
        <f>COUNTIF(Data1_Clean!$I$2:I1000,A393)</f>
        <v>2</v>
      </c>
    </row>
    <row r="394" spans="1:9">
      <c r="A394" s="22" t="s">
        <v>2557</v>
      </c>
      <c r="B394" s="23" t="s">
        <v>1370</v>
      </c>
      <c r="C394" s="23">
        <v>53</v>
      </c>
      <c r="D394" s="23" t="s">
        <v>2673</v>
      </c>
      <c r="E394" s="24">
        <v>45544</v>
      </c>
      <c r="F394" s="23" t="s">
        <v>2653</v>
      </c>
      <c r="G394" s="23" t="s">
        <v>2654</v>
      </c>
      <c r="H394" s="23">
        <v>0</v>
      </c>
      <c r="I394" s="9">
        <f>COUNTIF(Data1_Clean!$I$2:I1000,A394)</f>
        <v>0</v>
      </c>
    </row>
    <row r="395" spans="1:9">
      <c r="A395" s="22" t="s">
        <v>2509</v>
      </c>
      <c r="B395" s="23" t="s">
        <v>1370</v>
      </c>
      <c r="C395" s="23">
        <v>54</v>
      </c>
      <c r="D395" s="23" t="s">
        <v>2673</v>
      </c>
      <c r="E395" s="24">
        <v>45549</v>
      </c>
      <c r="F395" s="23" t="s">
        <v>2655</v>
      </c>
      <c r="G395" s="23" t="s">
        <v>2656</v>
      </c>
      <c r="H395" s="23">
        <v>3</v>
      </c>
      <c r="I395" s="9">
        <f>COUNTIF(Data1_Clean!$I$2:I1000,A395)</f>
        <v>0</v>
      </c>
    </row>
    <row r="396" spans="1:9">
      <c r="A396" s="22" t="s">
        <v>2630</v>
      </c>
      <c r="B396" s="23" t="s">
        <v>1370</v>
      </c>
      <c r="C396" s="23">
        <v>65</v>
      </c>
      <c r="D396" s="23" t="s">
        <v>2673</v>
      </c>
      <c r="E396" s="24">
        <v>45564</v>
      </c>
      <c r="F396" s="23" t="s">
        <v>2653</v>
      </c>
      <c r="G396" s="23" t="s">
        <v>2654</v>
      </c>
      <c r="H396" s="23">
        <v>0</v>
      </c>
      <c r="I396" s="9">
        <f>COUNTIF(Data1_Clean!$I$2:I1000,A396)</f>
        <v>0</v>
      </c>
    </row>
    <row r="397" spans="1:9">
      <c r="A397" s="22" t="s">
        <v>1326</v>
      </c>
      <c r="B397" s="23" t="s">
        <v>1370</v>
      </c>
      <c r="C397" s="23">
        <v>59</v>
      </c>
      <c r="D397" s="23" t="s">
        <v>2673</v>
      </c>
      <c r="E397" s="24">
        <v>45568</v>
      </c>
      <c r="F397" s="23" t="s">
        <v>2655</v>
      </c>
      <c r="G397" s="23" t="s">
        <v>2656</v>
      </c>
      <c r="H397" s="23">
        <v>4</v>
      </c>
      <c r="I397" s="9">
        <f>COUNTIF(Data1_Clean!$I$2:I1000,A397)</f>
        <v>3</v>
      </c>
    </row>
    <row r="398" spans="1:9">
      <c r="A398" s="22" t="s">
        <v>2376</v>
      </c>
      <c r="B398" s="23" t="s">
        <v>1176</v>
      </c>
      <c r="C398" s="23">
        <v>25</v>
      </c>
      <c r="D398" s="23" t="s">
        <v>2673</v>
      </c>
      <c r="E398" s="24">
        <v>45570</v>
      </c>
      <c r="F398" s="23" t="s">
        <v>2653</v>
      </c>
      <c r="G398" s="23" t="s">
        <v>2656</v>
      </c>
      <c r="H398" s="23">
        <v>4</v>
      </c>
      <c r="I398" s="9">
        <f>COUNTIF(Data1_Clean!$I$2:I1000,A398)</f>
        <v>0</v>
      </c>
    </row>
    <row r="399" spans="1:9">
      <c r="A399" s="22" t="s">
        <v>307</v>
      </c>
      <c r="B399" s="23" t="s">
        <v>1370</v>
      </c>
      <c r="C399" s="23">
        <v>41</v>
      </c>
      <c r="D399" s="23" t="s">
        <v>2673</v>
      </c>
      <c r="E399" s="24">
        <v>45570</v>
      </c>
      <c r="F399" s="23" t="s">
        <v>2655</v>
      </c>
      <c r="G399" s="23" t="s">
        <v>2656</v>
      </c>
      <c r="H399" s="23">
        <v>1</v>
      </c>
      <c r="I399" s="9">
        <f>COUNTIF(Data1_Clean!$I$2:I1000,A399)</f>
        <v>4</v>
      </c>
    </row>
    <row r="400" spans="1:9">
      <c r="A400" s="22" t="s">
        <v>2411</v>
      </c>
      <c r="B400" s="23" t="s">
        <v>1176</v>
      </c>
      <c r="C400" s="23">
        <v>35</v>
      </c>
      <c r="D400" s="23" t="s">
        <v>2673</v>
      </c>
      <c r="E400" s="24">
        <v>45602</v>
      </c>
      <c r="F400" s="23" t="s">
        <v>2653</v>
      </c>
      <c r="G400" s="23" t="s">
        <v>2656</v>
      </c>
      <c r="H400" s="23">
        <v>1</v>
      </c>
      <c r="I400" s="9">
        <f>COUNTIF(Data1_Clean!$I$2:I1000,A400)</f>
        <v>0</v>
      </c>
    </row>
    <row r="401" spans="1:9">
      <c r="A401" s="22" t="s">
        <v>713</v>
      </c>
      <c r="B401" s="23" t="s">
        <v>1176</v>
      </c>
      <c r="C401" s="23">
        <v>62</v>
      </c>
      <c r="D401" s="23" t="s">
        <v>2673</v>
      </c>
      <c r="E401" s="24">
        <v>45606</v>
      </c>
      <c r="F401" s="23" t="s">
        <v>2655</v>
      </c>
      <c r="G401" s="23" t="s">
        <v>2656</v>
      </c>
      <c r="H401" s="23">
        <v>3</v>
      </c>
      <c r="I401" s="9">
        <f>COUNTIF(Data1_Clean!$I$2:I1000,A401)</f>
        <v>2</v>
      </c>
    </row>
    <row r="402" spans="1:9">
      <c r="A402" s="22" t="s">
        <v>347</v>
      </c>
      <c r="B402" s="23" t="s">
        <v>1176</v>
      </c>
      <c r="C402" s="23">
        <v>35</v>
      </c>
      <c r="D402" s="23" t="s">
        <v>2673</v>
      </c>
      <c r="E402" s="24">
        <v>45609</v>
      </c>
      <c r="F402" s="23" t="s">
        <v>2655</v>
      </c>
      <c r="G402" s="23" t="s">
        <v>2654</v>
      </c>
      <c r="H402" s="23">
        <v>0</v>
      </c>
      <c r="I402" s="9">
        <f>COUNTIF(Data1_Clean!$I$2:I1000,A402)</f>
        <v>2</v>
      </c>
    </row>
    <row r="403" spans="1:9">
      <c r="A403" s="22" t="s">
        <v>786</v>
      </c>
      <c r="B403" s="23" t="s">
        <v>1370</v>
      </c>
      <c r="C403" s="23">
        <v>64</v>
      </c>
      <c r="D403" s="23" t="s">
        <v>2673</v>
      </c>
      <c r="E403" s="24">
        <v>45610</v>
      </c>
      <c r="F403" s="23" t="s">
        <v>2653</v>
      </c>
      <c r="G403" s="23" t="s">
        <v>2656</v>
      </c>
      <c r="H403" s="23">
        <v>3</v>
      </c>
      <c r="I403" s="9">
        <f>COUNTIF(Data1_Clean!$I$2:I1000,A403)</f>
        <v>1</v>
      </c>
    </row>
    <row r="404" spans="1:9">
      <c r="A404" s="22" t="s">
        <v>833</v>
      </c>
      <c r="B404" s="23" t="s">
        <v>1176</v>
      </c>
      <c r="C404" s="23">
        <v>54</v>
      </c>
      <c r="D404" s="23" t="s">
        <v>2673</v>
      </c>
      <c r="E404" s="24">
        <v>45653</v>
      </c>
      <c r="F404" s="23" t="s">
        <v>2653</v>
      </c>
      <c r="G404" s="23" t="s">
        <v>2654</v>
      </c>
      <c r="H404" s="23">
        <v>0</v>
      </c>
      <c r="I404" s="9">
        <f>COUNTIF(Data1_Clean!$I$2:I1000,A404)</f>
        <v>1</v>
      </c>
    </row>
    <row r="405" spans="1:9">
      <c r="A405" s="22" t="s">
        <v>1185</v>
      </c>
      <c r="B405" s="23" t="s">
        <v>1370</v>
      </c>
      <c r="C405" s="23">
        <v>35</v>
      </c>
      <c r="D405" s="23" t="s">
        <v>2673</v>
      </c>
      <c r="E405" s="24">
        <v>45666</v>
      </c>
      <c r="F405" s="23" t="s">
        <v>2653</v>
      </c>
      <c r="G405" s="23" t="s">
        <v>2656</v>
      </c>
      <c r="H405" s="23">
        <v>4</v>
      </c>
      <c r="I405" s="9">
        <f>COUNTIF(Data1_Clean!$I$2:I1000,A405)</f>
        <v>1</v>
      </c>
    </row>
    <row r="406" spans="1:9">
      <c r="A406" s="22" t="s">
        <v>2567</v>
      </c>
      <c r="B406" s="23" t="s">
        <v>1370</v>
      </c>
      <c r="C406" s="23">
        <v>45</v>
      </c>
      <c r="D406" s="23" t="s">
        <v>2673</v>
      </c>
      <c r="E406" s="24">
        <v>45667</v>
      </c>
      <c r="F406" s="23" t="s">
        <v>2655</v>
      </c>
      <c r="G406" s="23" t="s">
        <v>2654</v>
      </c>
      <c r="H406" s="23">
        <v>0</v>
      </c>
      <c r="I406" s="9">
        <f>COUNTIF(Data1_Clean!$I$2:I1000,A406)</f>
        <v>0</v>
      </c>
    </row>
    <row r="407" spans="1:9">
      <c r="A407" s="22" t="s">
        <v>2549</v>
      </c>
      <c r="B407" s="23" t="s">
        <v>1370</v>
      </c>
      <c r="C407" s="23">
        <v>21</v>
      </c>
      <c r="D407" s="23" t="s">
        <v>2673</v>
      </c>
      <c r="E407" s="24">
        <v>45672</v>
      </c>
      <c r="F407" s="23" t="s">
        <v>2655</v>
      </c>
      <c r="G407" s="23" t="s">
        <v>2654</v>
      </c>
      <c r="H407" s="23">
        <v>0</v>
      </c>
      <c r="I407" s="9">
        <f>COUNTIF(Data1_Clean!$I$2:I1000,A407)</f>
        <v>0</v>
      </c>
    </row>
    <row r="408" spans="1:9">
      <c r="A408" s="22" t="s">
        <v>2500</v>
      </c>
      <c r="B408" s="23" t="s">
        <v>1176</v>
      </c>
      <c r="C408" s="23">
        <v>32</v>
      </c>
      <c r="D408" s="23" t="s">
        <v>2673</v>
      </c>
      <c r="E408" s="24">
        <v>45681</v>
      </c>
      <c r="F408" s="23" t="s">
        <v>2655</v>
      </c>
      <c r="G408" s="23" t="s">
        <v>2654</v>
      </c>
      <c r="H408" s="23">
        <v>0</v>
      </c>
      <c r="I408" s="9">
        <f>COUNTIF(Data1_Clean!$I$2:I1000,A408)</f>
        <v>0</v>
      </c>
    </row>
    <row r="409" spans="1:9">
      <c r="A409" s="22" t="s">
        <v>2072</v>
      </c>
      <c r="B409" s="23" t="s">
        <v>1370</v>
      </c>
      <c r="C409" s="23">
        <v>46</v>
      </c>
      <c r="D409" s="23" t="s">
        <v>2673</v>
      </c>
      <c r="E409" s="24">
        <v>45693</v>
      </c>
      <c r="F409" s="23" t="s">
        <v>2653</v>
      </c>
      <c r="G409" s="23" t="s">
        <v>2656</v>
      </c>
      <c r="H409" s="23">
        <v>2</v>
      </c>
      <c r="I409" s="9">
        <f>COUNTIF(Data1_Clean!$I$2:I1000,A409)</f>
        <v>1</v>
      </c>
    </row>
    <row r="410" spans="1:9">
      <c r="A410" s="22" t="s">
        <v>1495</v>
      </c>
      <c r="B410" s="23" t="s">
        <v>1176</v>
      </c>
      <c r="C410" s="23">
        <v>59</v>
      </c>
      <c r="D410" s="23" t="s">
        <v>2674</v>
      </c>
      <c r="E410" s="24">
        <v>45554</v>
      </c>
      <c r="F410" s="23" t="s">
        <v>2655</v>
      </c>
      <c r="G410" s="23" t="s">
        <v>2656</v>
      </c>
      <c r="H410" s="23">
        <v>4</v>
      </c>
      <c r="I410" s="9">
        <f>COUNTIF(Data1_Clean!$I$2:I1000,A410)</f>
        <v>1</v>
      </c>
    </row>
    <row r="411" spans="1:9">
      <c r="A411" s="22" t="s">
        <v>1437</v>
      </c>
      <c r="B411" s="23" t="s">
        <v>1370</v>
      </c>
      <c r="C411" s="23">
        <v>32</v>
      </c>
      <c r="D411" s="23" t="s">
        <v>2674</v>
      </c>
      <c r="E411" s="24">
        <v>45570</v>
      </c>
      <c r="F411" s="23" t="s">
        <v>2655</v>
      </c>
      <c r="G411" s="23" t="s">
        <v>2656</v>
      </c>
      <c r="H411" s="23">
        <v>4</v>
      </c>
      <c r="I411" s="9">
        <f>COUNTIF(Data1_Clean!$I$2:I1000,A411)</f>
        <v>1</v>
      </c>
    </row>
    <row r="412" spans="1:9">
      <c r="A412" s="22" t="s">
        <v>940</v>
      </c>
      <c r="B412" s="23" t="s">
        <v>1370</v>
      </c>
      <c r="C412" s="23">
        <v>30</v>
      </c>
      <c r="D412" s="23" t="s">
        <v>2674</v>
      </c>
      <c r="E412" s="24">
        <v>45574</v>
      </c>
      <c r="F412" s="23" t="s">
        <v>2653</v>
      </c>
      <c r="G412" s="23" t="s">
        <v>2654</v>
      </c>
      <c r="H412" s="23">
        <v>0</v>
      </c>
      <c r="I412" s="9">
        <f>COUNTIF(Data1_Clean!$I$2:I1000,A412)</f>
        <v>1</v>
      </c>
    </row>
    <row r="413" spans="1:9">
      <c r="A413" s="22" t="s">
        <v>849</v>
      </c>
      <c r="B413" s="23" t="s">
        <v>1176</v>
      </c>
      <c r="C413" s="23">
        <v>62</v>
      </c>
      <c r="D413" s="23" t="s">
        <v>2674</v>
      </c>
      <c r="E413" s="24">
        <v>45629</v>
      </c>
      <c r="F413" s="23" t="s">
        <v>2653</v>
      </c>
      <c r="G413" s="23" t="s">
        <v>2656</v>
      </c>
      <c r="H413" s="23">
        <v>2</v>
      </c>
      <c r="I413" s="9">
        <f>COUNTIF(Data1_Clean!$I$2:I1000,A413)</f>
        <v>1</v>
      </c>
    </row>
    <row r="414" spans="1:9">
      <c r="A414" s="22" t="s">
        <v>2570</v>
      </c>
      <c r="B414" s="23" t="s">
        <v>1176</v>
      </c>
      <c r="C414" s="23">
        <v>54</v>
      </c>
      <c r="D414" s="23" t="s">
        <v>2674</v>
      </c>
      <c r="E414" s="24">
        <v>45634</v>
      </c>
      <c r="F414" s="23" t="s">
        <v>2653</v>
      </c>
      <c r="G414" s="23" t="s">
        <v>2656</v>
      </c>
      <c r="H414" s="23">
        <v>4</v>
      </c>
      <c r="I414" s="9">
        <f>COUNTIF(Data1_Clean!$I$2:I1000,A414)</f>
        <v>0</v>
      </c>
    </row>
    <row r="415" spans="1:9">
      <c r="A415" s="22" t="s">
        <v>1067</v>
      </c>
      <c r="B415" s="23" t="s">
        <v>1370</v>
      </c>
      <c r="C415" s="23">
        <v>54</v>
      </c>
      <c r="D415" s="23" t="s">
        <v>2674</v>
      </c>
      <c r="E415" s="24">
        <v>45656</v>
      </c>
      <c r="F415" s="23" t="s">
        <v>2653</v>
      </c>
      <c r="G415" s="23" t="s">
        <v>2654</v>
      </c>
      <c r="H415" s="23">
        <v>0</v>
      </c>
      <c r="I415" s="9">
        <f>COUNTIF(Data1_Clean!$I$2:I1000,A415)</f>
        <v>2</v>
      </c>
    </row>
    <row r="416" spans="1:9">
      <c r="A416" s="22" t="s">
        <v>1584</v>
      </c>
      <c r="B416" s="23" t="s">
        <v>1176</v>
      </c>
      <c r="C416" s="23">
        <v>33</v>
      </c>
      <c r="D416" s="23" t="s">
        <v>2674</v>
      </c>
      <c r="E416" s="24">
        <v>45672</v>
      </c>
      <c r="F416" s="23" t="s">
        <v>2655</v>
      </c>
      <c r="G416" s="23" t="s">
        <v>2654</v>
      </c>
      <c r="H416" s="23">
        <v>0</v>
      </c>
      <c r="I416" s="9">
        <f>COUNTIF(Data1_Clean!$I$2:I1000,A416)</f>
        <v>1</v>
      </c>
    </row>
    <row r="417" spans="1:9">
      <c r="A417" s="22" t="s">
        <v>947</v>
      </c>
      <c r="B417" s="23" t="s">
        <v>1370</v>
      </c>
      <c r="C417" s="23">
        <v>61</v>
      </c>
      <c r="D417" s="23" t="s">
        <v>2674</v>
      </c>
      <c r="E417" s="24">
        <v>45675</v>
      </c>
      <c r="F417" s="23" t="s">
        <v>2655</v>
      </c>
      <c r="G417" s="23" t="s">
        <v>2656</v>
      </c>
      <c r="H417" s="23">
        <v>4</v>
      </c>
      <c r="I417" s="9">
        <f>COUNTIF(Data1_Clean!$I$2:I1000,A417)</f>
        <v>1</v>
      </c>
    </row>
    <row r="418" spans="1:9">
      <c r="A418" s="22" t="s">
        <v>1314</v>
      </c>
      <c r="B418" s="23" t="s">
        <v>1176</v>
      </c>
      <c r="C418" s="23">
        <v>25</v>
      </c>
      <c r="D418" s="23" t="s">
        <v>2674</v>
      </c>
      <c r="E418" s="24">
        <v>45703</v>
      </c>
      <c r="F418" s="23" t="s">
        <v>2653</v>
      </c>
      <c r="G418" s="23" t="s">
        <v>2656</v>
      </c>
      <c r="H418" s="23">
        <v>2</v>
      </c>
      <c r="I418" s="9">
        <f>COUNTIF(Data1_Clean!$I$2:I1000,A418)</f>
        <v>3</v>
      </c>
    </row>
    <row r="419" spans="1:9">
      <c r="A419" s="22" t="s">
        <v>2248</v>
      </c>
      <c r="B419" s="23" t="s">
        <v>1370</v>
      </c>
      <c r="C419" s="23">
        <v>21</v>
      </c>
      <c r="D419" s="23" t="s">
        <v>2674</v>
      </c>
      <c r="E419" s="24">
        <v>45707</v>
      </c>
      <c r="F419" s="23" t="s">
        <v>2655</v>
      </c>
      <c r="G419" s="23" t="s">
        <v>2656</v>
      </c>
      <c r="H419" s="23">
        <v>2</v>
      </c>
      <c r="I419" s="9">
        <f>COUNTIF(Data1_Clean!$I$2:I1000,A419)</f>
        <v>1</v>
      </c>
    </row>
    <row r="420" spans="1:9">
      <c r="A420" s="22" t="s">
        <v>124</v>
      </c>
      <c r="B420" s="23" t="s">
        <v>1370</v>
      </c>
      <c r="C420" s="23">
        <v>48</v>
      </c>
      <c r="D420" s="23" t="s">
        <v>2674</v>
      </c>
      <c r="E420" s="24">
        <v>45710</v>
      </c>
      <c r="F420" s="23" t="s">
        <v>2653</v>
      </c>
      <c r="G420" s="23" t="s">
        <v>2654</v>
      </c>
      <c r="H420" s="23">
        <v>0</v>
      </c>
      <c r="I420" s="9">
        <f>COUNTIF(Data1_Clean!$I$2:I1000,A420)</f>
        <v>2</v>
      </c>
    </row>
    <row r="421" spans="1:9">
      <c r="A421" s="22" t="s">
        <v>1045</v>
      </c>
      <c r="B421" s="23" t="s">
        <v>1176</v>
      </c>
      <c r="C421" s="23">
        <v>39</v>
      </c>
      <c r="D421" s="23" t="s">
        <v>2674</v>
      </c>
      <c r="E421" s="24">
        <v>45740</v>
      </c>
      <c r="F421" s="23" t="s">
        <v>2655</v>
      </c>
      <c r="G421" s="23" t="s">
        <v>2654</v>
      </c>
      <c r="H421" s="23">
        <v>0</v>
      </c>
      <c r="I421" s="9">
        <f>COUNTIF(Data1_Clean!$I$2:I1000,A421)</f>
        <v>1</v>
      </c>
    </row>
    <row r="422" spans="1:9">
      <c r="A422" s="22" t="s">
        <v>1753</v>
      </c>
      <c r="B422" s="23" t="s">
        <v>1370</v>
      </c>
      <c r="C422" s="23">
        <v>47</v>
      </c>
      <c r="D422" s="23" t="s">
        <v>2674</v>
      </c>
      <c r="E422" s="24">
        <v>45742</v>
      </c>
      <c r="F422" s="23" t="s">
        <v>2653</v>
      </c>
      <c r="G422" s="23" t="s">
        <v>2656</v>
      </c>
      <c r="H422" s="23">
        <v>2</v>
      </c>
      <c r="I422" s="9">
        <f>COUNTIF(Data1_Clean!$I$2:I1000,A422)</f>
        <v>1</v>
      </c>
    </row>
    <row r="423" spans="1:9">
      <c r="A423" s="22" t="s">
        <v>1201</v>
      </c>
      <c r="B423" s="23" t="s">
        <v>1176</v>
      </c>
      <c r="C423" s="23">
        <v>18</v>
      </c>
      <c r="D423" s="23" t="s">
        <v>2675</v>
      </c>
      <c r="E423" s="24">
        <v>45560</v>
      </c>
      <c r="F423" s="23" t="s">
        <v>2653</v>
      </c>
      <c r="G423" s="23" t="s">
        <v>2654</v>
      </c>
      <c r="H423" s="23">
        <v>0</v>
      </c>
      <c r="I423" s="9">
        <f>COUNTIF(Data1_Clean!$I$2:I1000,A423)</f>
        <v>1</v>
      </c>
    </row>
    <row r="424" spans="1:9">
      <c r="A424" s="22" t="s">
        <v>2581</v>
      </c>
      <c r="B424" s="23" t="s">
        <v>1370</v>
      </c>
      <c r="C424" s="23">
        <v>60</v>
      </c>
      <c r="D424" s="23" t="s">
        <v>2675</v>
      </c>
      <c r="E424" s="24">
        <v>45568</v>
      </c>
      <c r="F424" s="23" t="s">
        <v>2655</v>
      </c>
      <c r="G424" s="23" t="s">
        <v>2656</v>
      </c>
      <c r="H424" s="23">
        <v>4</v>
      </c>
      <c r="I424" s="9">
        <f>COUNTIF(Data1_Clean!$I$2:I1000,A424)</f>
        <v>0</v>
      </c>
    </row>
    <row r="425" spans="1:9">
      <c r="A425" s="22" t="s">
        <v>814</v>
      </c>
      <c r="B425" s="23" t="s">
        <v>1176</v>
      </c>
      <c r="C425" s="23">
        <v>65</v>
      </c>
      <c r="D425" s="23" t="s">
        <v>2675</v>
      </c>
      <c r="E425" s="24">
        <v>45575</v>
      </c>
      <c r="F425" s="23" t="s">
        <v>2655</v>
      </c>
      <c r="G425" s="23" t="s">
        <v>2656</v>
      </c>
      <c r="H425" s="23">
        <v>3</v>
      </c>
      <c r="I425" s="9">
        <f>COUNTIF(Data1_Clean!$I$2:I1000,A425)</f>
        <v>2</v>
      </c>
    </row>
    <row r="426" spans="1:9">
      <c r="A426" s="22" t="s">
        <v>2583</v>
      </c>
      <c r="B426" s="23" t="s">
        <v>1176</v>
      </c>
      <c r="C426" s="23">
        <v>38</v>
      </c>
      <c r="D426" s="23" t="s">
        <v>2675</v>
      </c>
      <c r="E426" s="24">
        <v>45601</v>
      </c>
      <c r="F426" s="23" t="s">
        <v>2653</v>
      </c>
      <c r="G426" s="23" t="s">
        <v>2654</v>
      </c>
      <c r="H426" s="23">
        <v>0</v>
      </c>
      <c r="I426" s="9">
        <f>COUNTIF(Data1_Clean!$I$2:I1000,A426)</f>
        <v>0</v>
      </c>
    </row>
    <row r="427" spans="1:9">
      <c r="A427" s="22" t="s">
        <v>294</v>
      </c>
      <c r="B427" s="23" t="s">
        <v>1176</v>
      </c>
      <c r="C427" s="23">
        <v>36</v>
      </c>
      <c r="D427" s="23" t="s">
        <v>2675</v>
      </c>
      <c r="E427" s="24">
        <v>45618</v>
      </c>
      <c r="F427" s="23" t="s">
        <v>2653</v>
      </c>
      <c r="G427" s="23" t="s">
        <v>2654</v>
      </c>
      <c r="H427" s="23">
        <v>0</v>
      </c>
      <c r="I427" s="9">
        <f>COUNTIF(Data1_Clean!$I$2:I1000,A427)</f>
        <v>1</v>
      </c>
    </row>
    <row r="428" spans="1:9">
      <c r="A428" s="22" t="s">
        <v>1748</v>
      </c>
      <c r="B428" s="23" t="s">
        <v>1370</v>
      </c>
      <c r="C428" s="23">
        <v>38</v>
      </c>
      <c r="D428" s="23" t="s">
        <v>2675</v>
      </c>
      <c r="E428" s="24">
        <v>45629</v>
      </c>
      <c r="F428" s="23" t="s">
        <v>2653</v>
      </c>
      <c r="G428" s="23" t="s">
        <v>2656</v>
      </c>
      <c r="H428" s="23">
        <v>3</v>
      </c>
      <c r="I428" s="9">
        <f>COUNTIF(Data1_Clean!$I$2:I1000,A428)</f>
        <v>2</v>
      </c>
    </row>
    <row r="429" spans="1:9">
      <c r="A429" s="22" t="s">
        <v>1261</v>
      </c>
      <c r="B429" s="23" t="s">
        <v>1370</v>
      </c>
      <c r="C429" s="23">
        <v>21</v>
      </c>
      <c r="D429" s="23" t="s">
        <v>2675</v>
      </c>
      <c r="E429" s="24">
        <v>45639</v>
      </c>
      <c r="F429" s="23" t="s">
        <v>2655</v>
      </c>
      <c r="G429" s="23" t="s">
        <v>2656</v>
      </c>
      <c r="H429" s="23">
        <v>3</v>
      </c>
      <c r="I429" s="9">
        <f>COUNTIF(Data1_Clean!$I$2:I1000,A429)</f>
        <v>1</v>
      </c>
    </row>
    <row r="430" spans="1:9">
      <c r="A430" s="22" t="s">
        <v>462</v>
      </c>
      <c r="B430" s="23" t="s">
        <v>1370</v>
      </c>
      <c r="C430" s="23">
        <v>42</v>
      </c>
      <c r="D430" s="23" t="s">
        <v>2675</v>
      </c>
      <c r="E430" s="24">
        <v>45641</v>
      </c>
      <c r="F430" s="23" t="s">
        <v>2653</v>
      </c>
      <c r="G430" s="23" t="s">
        <v>2654</v>
      </c>
      <c r="H430" s="23">
        <v>0</v>
      </c>
      <c r="I430" s="9">
        <f>COUNTIF(Data1_Clean!$I$2:I1000,A430)</f>
        <v>2</v>
      </c>
    </row>
    <row r="431" spans="1:9">
      <c r="A431" s="22" t="s">
        <v>129</v>
      </c>
      <c r="B431" s="23" t="s">
        <v>1370</v>
      </c>
      <c r="C431" s="23">
        <v>29</v>
      </c>
      <c r="D431" s="23" t="s">
        <v>2675</v>
      </c>
      <c r="E431" s="24">
        <v>45683</v>
      </c>
      <c r="F431" s="23" t="s">
        <v>2653</v>
      </c>
      <c r="G431" s="23" t="s">
        <v>2654</v>
      </c>
      <c r="H431" s="23">
        <v>0</v>
      </c>
      <c r="I431" s="9">
        <f>COUNTIF(Data1_Clean!$I$2:I1000,A431)</f>
        <v>3</v>
      </c>
    </row>
    <row r="432" spans="1:9">
      <c r="A432" s="22" t="s">
        <v>1785</v>
      </c>
      <c r="B432" s="23" t="s">
        <v>1176</v>
      </c>
      <c r="C432" s="23">
        <v>35</v>
      </c>
      <c r="D432" s="23" t="s">
        <v>2675</v>
      </c>
      <c r="E432" s="24">
        <v>45687</v>
      </c>
      <c r="F432" s="23" t="s">
        <v>2655</v>
      </c>
      <c r="G432" s="23" t="s">
        <v>2654</v>
      </c>
      <c r="H432" s="23">
        <v>0</v>
      </c>
      <c r="I432" s="9">
        <f>COUNTIF(Data1_Clean!$I$2:I1000,A432)</f>
        <v>1</v>
      </c>
    </row>
    <row r="433" spans="1:9">
      <c r="A433" s="22" t="s">
        <v>928</v>
      </c>
      <c r="B433" s="23" t="s">
        <v>1370</v>
      </c>
      <c r="C433" s="23">
        <v>62</v>
      </c>
      <c r="D433" s="23" t="s">
        <v>2675</v>
      </c>
      <c r="E433" s="24">
        <v>45718</v>
      </c>
      <c r="F433" s="23" t="s">
        <v>2653</v>
      </c>
      <c r="G433" s="23" t="s">
        <v>2654</v>
      </c>
      <c r="H433" s="23">
        <v>0</v>
      </c>
      <c r="I433" s="9">
        <f>COUNTIF(Data1_Clean!$I$2:I1000,A433)</f>
        <v>2</v>
      </c>
    </row>
    <row r="434" spans="1:9">
      <c r="A434" s="22" t="s">
        <v>2606</v>
      </c>
      <c r="B434" s="23" t="s">
        <v>1176</v>
      </c>
      <c r="C434" s="23">
        <v>64</v>
      </c>
      <c r="D434" s="23" t="s">
        <v>2675</v>
      </c>
      <c r="E434" s="24">
        <v>45723</v>
      </c>
      <c r="F434" s="23" t="s">
        <v>2653</v>
      </c>
      <c r="G434" s="23" t="s">
        <v>2654</v>
      </c>
      <c r="H434" s="23">
        <v>0</v>
      </c>
      <c r="I434" s="9">
        <f>COUNTIF(Data1_Clean!$I$2:I1000,A434)</f>
        <v>0</v>
      </c>
    </row>
    <row r="435" spans="1:9">
      <c r="A435" s="22" t="s">
        <v>2399</v>
      </c>
      <c r="B435" s="23" t="s">
        <v>1370</v>
      </c>
      <c r="C435" s="23">
        <v>59</v>
      </c>
      <c r="D435" s="23" t="s">
        <v>2676</v>
      </c>
      <c r="E435" s="24">
        <v>45542</v>
      </c>
      <c r="F435" s="23" t="s">
        <v>2655</v>
      </c>
      <c r="G435" s="23" t="s">
        <v>2656</v>
      </c>
      <c r="H435" s="23">
        <v>1</v>
      </c>
      <c r="I435" s="9">
        <f>COUNTIF(Data1_Clean!$I$2:I1000,A435)</f>
        <v>0</v>
      </c>
    </row>
    <row r="436" spans="1:9">
      <c r="A436" s="22" t="s">
        <v>855</v>
      </c>
      <c r="B436" s="23" t="s">
        <v>1370</v>
      </c>
      <c r="C436" s="23">
        <v>57</v>
      </c>
      <c r="D436" s="23" t="s">
        <v>2676</v>
      </c>
      <c r="E436" s="24">
        <v>45560</v>
      </c>
      <c r="F436" s="23" t="s">
        <v>2655</v>
      </c>
      <c r="G436" s="23" t="s">
        <v>2654</v>
      </c>
      <c r="H436" s="23">
        <v>0</v>
      </c>
      <c r="I436" s="9">
        <f>COUNTIF(Data1_Clean!$I$2:I1000,A436)</f>
        <v>2</v>
      </c>
    </row>
    <row r="437" spans="1:9">
      <c r="A437" s="22" t="s">
        <v>809</v>
      </c>
      <c r="B437" s="23" t="s">
        <v>1176</v>
      </c>
      <c r="C437" s="23">
        <v>24</v>
      </c>
      <c r="D437" s="23" t="s">
        <v>2676</v>
      </c>
      <c r="E437" s="24">
        <v>45563</v>
      </c>
      <c r="F437" s="23" t="s">
        <v>2655</v>
      </c>
      <c r="G437" s="23" t="s">
        <v>2654</v>
      </c>
      <c r="H437" s="23">
        <v>0</v>
      </c>
      <c r="I437" s="9">
        <f>COUNTIF(Data1_Clean!$I$2:I1000,A437)</f>
        <v>3</v>
      </c>
    </row>
    <row r="438" spans="1:9">
      <c r="A438" s="22" t="s">
        <v>2495</v>
      </c>
      <c r="B438" s="23" t="s">
        <v>1370</v>
      </c>
      <c r="C438" s="23">
        <v>21</v>
      </c>
      <c r="D438" s="23" t="s">
        <v>2676</v>
      </c>
      <c r="E438" s="24">
        <v>45569</v>
      </c>
      <c r="F438" s="23" t="s">
        <v>2653</v>
      </c>
      <c r="G438" s="23" t="s">
        <v>2656</v>
      </c>
      <c r="H438" s="23">
        <v>3</v>
      </c>
      <c r="I438" s="9">
        <f>COUNTIF(Data1_Clean!$I$2:I1000,A438)</f>
        <v>0</v>
      </c>
    </row>
    <row r="439" spans="1:9">
      <c r="A439" s="22" t="s">
        <v>2447</v>
      </c>
      <c r="B439" s="23" t="s">
        <v>1176</v>
      </c>
      <c r="C439" s="23">
        <v>36</v>
      </c>
      <c r="D439" s="23" t="s">
        <v>2676</v>
      </c>
      <c r="E439" s="24">
        <v>45572</v>
      </c>
      <c r="F439" s="23" t="s">
        <v>2653</v>
      </c>
      <c r="G439" s="23" t="s">
        <v>2654</v>
      </c>
      <c r="H439" s="23">
        <v>0</v>
      </c>
      <c r="I439" s="9">
        <f>COUNTIF(Data1_Clean!$I$2:I1000,A439)</f>
        <v>0</v>
      </c>
    </row>
    <row r="440" spans="1:9">
      <c r="A440" s="22" t="s">
        <v>2464</v>
      </c>
      <c r="B440" s="23" t="s">
        <v>1176</v>
      </c>
      <c r="C440" s="23">
        <v>53</v>
      </c>
      <c r="D440" s="23" t="s">
        <v>2676</v>
      </c>
      <c r="E440" s="24">
        <v>45577</v>
      </c>
      <c r="F440" s="23" t="s">
        <v>2653</v>
      </c>
      <c r="G440" s="23" t="s">
        <v>2656</v>
      </c>
      <c r="H440" s="23">
        <v>3</v>
      </c>
      <c r="I440" s="9">
        <f>COUNTIF(Data1_Clean!$I$2:I1000,A440)</f>
        <v>0</v>
      </c>
    </row>
    <row r="441" spans="1:9">
      <c r="A441" s="22" t="s">
        <v>1282</v>
      </c>
      <c r="B441" s="23" t="s">
        <v>1370</v>
      </c>
      <c r="C441" s="23">
        <v>47</v>
      </c>
      <c r="D441" s="23" t="s">
        <v>2676</v>
      </c>
      <c r="E441" s="24">
        <v>45683</v>
      </c>
      <c r="F441" s="23" t="s">
        <v>2653</v>
      </c>
      <c r="G441" s="23" t="s">
        <v>2654</v>
      </c>
      <c r="H441" s="23">
        <v>0</v>
      </c>
      <c r="I441" s="9">
        <f>COUNTIF(Data1_Clean!$I$2:I1000,A441)</f>
        <v>1</v>
      </c>
    </row>
    <row r="442" spans="1:9">
      <c r="A442" s="22" t="s">
        <v>2033</v>
      </c>
      <c r="B442" s="23" t="s">
        <v>1370</v>
      </c>
      <c r="C442" s="23">
        <v>53</v>
      </c>
      <c r="D442" s="23" t="s">
        <v>2676</v>
      </c>
      <c r="E442" s="24">
        <v>45687</v>
      </c>
      <c r="F442" s="23" t="s">
        <v>2653</v>
      </c>
      <c r="G442" s="23" t="s">
        <v>2654</v>
      </c>
      <c r="H442" s="23">
        <v>0</v>
      </c>
      <c r="I442" s="9">
        <f>COUNTIF(Data1_Clean!$I$2:I1000,A442)</f>
        <v>2</v>
      </c>
    </row>
    <row r="443" spans="1:9">
      <c r="A443" s="22" t="s">
        <v>2628</v>
      </c>
      <c r="B443" s="23" t="s">
        <v>1370</v>
      </c>
      <c r="C443" s="23">
        <v>56</v>
      </c>
      <c r="D443" s="23" t="s">
        <v>2676</v>
      </c>
      <c r="E443" s="24">
        <v>45724</v>
      </c>
      <c r="F443" s="23" t="s">
        <v>2653</v>
      </c>
      <c r="G443" s="23" t="s">
        <v>2654</v>
      </c>
      <c r="H443" s="23">
        <v>0</v>
      </c>
      <c r="I443" s="9">
        <f>COUNTIF(Data1_Clean!$I$2:I1000,A443)</f>
        <v>0</v>
      </c>
    </row>
    <row r="444" spans="1:9">
      <c r="A444" s="22" t="s">
        <v>2645</v>
      </c>
      <c r="B444" s="23" t="s">
        <v>1176</v>
      </c>
      <c r="C444" s="23">
        <v>57</v>
      </c>
      <c r="D444" s="23" t="s">
        <v>2676</v>
      </c>
      <c r="E444" s="24">
        <v>45726</v>
      </c>
      <c r="F444" s="23" t="s">
        <v>2655</v>
      </c>
      <c r="G444" s="23" t="s">
        <v>2656</v>
      </c>
      <c r="H444" s="23">
        <v>1</v>
      </c>
      <c r="I444" s="9">
        <f>COUNTIF(Data1_Clean!$I$2:I1000,A444)</f>
        <v>0</v>
      </c>
    </row>
    <row r="445" spans="1:9">
      <c r="A445" s="22" t="s">
        <v>2204</v>
      </c>
      <c r="B445" s="23" t="s">
        <v>1370</v>
      </c>
      <c r="C445" s="23">
        <v>20</v>
      </c>
      <c r="D445" s="23" t="s">
        <v>2677</v>
      </c>
      <c r="E445" s="24">
        <v>45539</v>
      </c>
      <c r="F445" s="23" t="s">
        <v>2653</v>
      </c>
      <c r="G445" s="23" t="s">
        <v>2654</v>
      </c>
      <c r="H445" s="23">
        <v>0</v>
      </c>
      <c r="I445" s="9">
        <f>COUNTIF(Data1_Clean!$I$2:I1000,A445)</f>
        <v>1</v>
      </c>
    </row>
    <row r="446" spans="1:9">
      <c r="A446" s="22" t="s">
        <v>2563</v>
      </c>
      <c r="B446" s="23" t="s">
        <v>1176</v>
      </c>
      <c r="C446" s="23">
        <v>61</v>
      </c>
      <c r="D446" s="23" t="s">
        <v>2677</v>
      </c>
      <c r="E446" s="24">
        <v>45606</v>
      </c>
      <c r="F446" s="23" t="s">
        <v>2655</v>
      </c>
      <c r="G446" s="23" t="s">
        <v>2656</v>
      </c>
      <c r="H446" s="23">
        <v>2</v>
      </c>
      <c r="I446" s="9">
        <f>COUNTIF(Data1_Clean!$I$2:I1000,A446)</f>
        <v>0</v>
      </c>
    </row>
    <row r="447" spans="1:9">
      <c r="A447" s="22" t="s">
        <v>2151</v>
      </c>
      <c r="B447" s="23" t="s">
        <v>1370</v>
      </c>
      <c r="C447" s="23">
        <v>33</v>
      </c>
      <c r="D447" s="23" t="s">
        <v>2677</v>
      </c>
      <c r="E447" s="24">
        <v>45650</v>
      </c>
      <c r="F447" s="23" t="s">
        <v>2653</v>
      </c>
      <c r="G447" s="23" t="s">
        <v>2654</v>
      </c>
      <c r="H447" s="23">
        <v>0</v>
      </c>
      <c r="I447" s="9">
        <f>COUNTIF(Data1_Clean!$I$2:I1000,A447)</f>
        <v>1</v>
      </c>
    </row>
    <row r="448" spans="1:9">
      <c r="A448" s="22" t="s">
        <v>2397</v>
      </c>
      <c r="B448" s="23" t="s">
        <v>1370</v>
      </c>
      <c r="C448" s="23">
        <v>64</v>
      </c>
      <c r="D448" s="23" t="s">
        <v>2677</v>
      </c>
      <c r="E448" s="24">
        <v>45651</v>
      </c>
      <c r="F448" s="23" t="s">
        <v>2655</v>
      </c>
      <c r="G448" s="23" t="s">
        <v>2654</v>
      </c>
      <c r="H448" s="23">
        <v>0</v>
      </c>
      <c r="I448" s="9">
        <f>COUNTIF(Data1_Clean!$I$2:I1000,A448)</f>
        <v>0</v>
      </c>
    </row>
    <row r="449" spans="1:9">
      <c r="A449" s="22" t="s">
        <v>735</v>
      </c>
      <c r="B449" s="23" t="s">
        <v>1370</v>
      </c>
      <c r="C449" s="23">
        <v>26</v>
      </c>
      <c r="D449" s="23" t="s">
        <v>2677</v>
      </c>
      <c r="E449" s="24">
        <v>45658</v>
      </c>
      <c r="F449" s="23" t="s">
        <v>2655</v>
      </c>
      <c r="G449" s="23" t="s">
        <v>2656</v>
      </c>
      <c r="H449" s="23">
        <v>2</v>
      </c>
      <c r="I449" s="9">
        <f>COUNTIF(Data1_Clean!$I$2:I1000,A449)</f>
        <v>4</v>
      </c>
    </row>
    <row r="450" spans="1:9">
      <c r="A450" s="22" t="s">
        <v>2446</v>
      </c>
      <c r="B450" s="23" t="s">
        <v>1176</v>
      </c>
      <c r="C450" s="23">
        <v>23</v>
      </c>
      <c r="D450" s="23" t="s">
        <v>2677</v>
      </c>
      <c r="E450" s="24">
        <v>45679</v>
      </c>
      <c r="F450" s="23" t="s">
        <v>2655</v>
      </c>
      <c r="G450" s="23" t="s">
        <v>2656</v>
      </c>
      <c r="H450" s="23">
        <v>4</v>
      </c>
      <c r="I450" s="9">
        <f>COUNTIF(Data1_Clean!$I$2:I1000,A450)</f>
        <v>0</v>
      </c>
    </row>
    <row r="451" spans="1:9">
      <c r="A451" s="22" t="s">
        <v>478</v>
      </c>
      <c r="B451" s="23" t="s">
        <v>1370</v>
      </c>
      <c r="C451" s="23">
        <v>25</v>
      </c>
      <c r="D451" s="23" t="s">
        <v>2677</v>
      </c>
      <c r="E451" s="24">
        <v>45683</v>
      </c>
      <c r="F451" s="23" t="s">
        <v>2653</v>
      </c>
      <c r="G451" s="23" t="s">
        <v>2656</v>
      </c>
      <c r="H451" s="23">
        <v>2</v>
      </c>
      <c r="I451" s="9">
        <f>COUNTIF(Data1_Clean!$I$2:I1000,A451)</f>
        <v>1</v>
      </c>
    </row>
    <row r="452" spans="1:9">
      <c r="A452" s="22" t="s">
        <v>2451</v>
      </c>
      <c r="B452" s="23" t="s">
        <v>1176</v>
      </c>
      <c r="C452" s="23">
        <v>47</v>
      </c>
      <c r="D452" s="23" t="s">
        <v>2677</v>
      </c>
      <c r="E452" s="24">
        <v>45690</v>
      </c>
      <c r="F452" s="23" t="s">
        <v>2653</v>
      </c>
      <c r="G452" s="23" t="s">
        <v>2656</v>
      </c>
      <c r="H452" s="23">
        <v>1</v>
      </c>
      <c r="I452" s="9">
        <f>COUNTIF(Data1_Clean!$I$2:I1000,A452)</f>
        <v>0</v>
      </c>
    </row>
    <row r="453" spans="1:9">
      <c r="A453" s="22" t="s">
        <v>1691</v>
      </c>
      <c r="B453" s="23" t="s">
        <v>1176</v>
      </c>
      <c r="C453" s="23">
        <v>33</v>
      </c>
      <c r="D453" s="23" t="s">
        <v>2677</v>
      </c>
      <c r="E453" s="24">
        <v>45691</v>
      </c>
      <c r="F453" s="23" t="s">
        <v>2653</v>
      </c>
      <c r="G453" s="23" t="s">
        <v>2656</v>
      </c>
      <c r="H453" s="23">
        <v>3</v>
      </c>
      <c r="I453" s="9">
        <f>COUNTIF(Data1_Clean!$I$2:I1000,A453)</f>
        <v>1</v>
      </c>
    </row>
    <row r="454" spans="1:9">
      <c r="A454" s="22" t="s">
        <v>977</v>
      </c>
      <c r="B454" s="23" t="s">
        <v>1176</v>
      </c>
      <c r="C454" s="23">
        <v>40</v>
      </c>
      <c r="D454" s="23" t="s">
        <v>2677</v>
      </c>
      <c r="E454" s="24">
        <v>45704</v>
      </c>
      <c r="F454" s="23" t="s">
        <v>2655</v>
      </c>
      <c r="G454" s="23" t="s">
        <v>2654</v>
      </c>
      <c r="H454" s="23">
        <v>0</v>
      </c>
      <c r="I454" s="9">
        <f>COUNTIF(Data1_Clean!$I$2:I1000,A454)</f>
        <v>3</v>
      </c>
    </row>
    <row r="455" spans="1:9">
      <c r="A455" s="22" t="s">
        <v>1194</v>
      </c>
      <c r="B455" s="23" t="s">
        <v>1370</v>
      </c>
      <c r="C455" s="23">
        <v>20</v>
      </c>
      <c r="D455" s="23" t="s">
        <v>2677</v>
      </c>
      <c r="E455" s="24">
        <v>45705</v>
      </c>
      <c r="F455" s="23" t="s">
        <v>2653</v>
      </c>
      <c r="G455" s="23" t="s">
        <v>2654</v>
      </c>
      <c r="H455" s="23">
        <v>0</v>
      </c>
      <c r="I455" s="9">
        <f>COUNTIF(Data1_Clean!$I$2:I1000,A455)</f>
        <v>1</v>
      </c>
    </row>
    <row r="456" spans="1:9">
      <c r="A456" s="22" t="s">
        <v>1823</v>
      </c>
      <c r="B456" s="23" t="s">
        <v>1176</v>
      </c>
      <c r="C456" s="23">
        <v>50</v>
      </c>
      <c r="D456" s="23" t="s">
        <v>2677</v>
      </c>
      <c r="E456" s="24">
        <v>45726</v>
      </c>
      <c r="F456" s="23" t="s">
        <v>2653</v>
      </c>
      <c r="G456" s="23" t="s">
        <v>2656</v>
      </c>
      <c r="H456" s="23">
        <v>3</v>
      </c>
      <c r="I456" s="9">
        <f>COUNTIF(Data1_Clean!$I$2:I1000,A456)</f>
        <v>2</v>
      </c>
    </row>
    <row r="457" spans="1:9">
      <c r="A457" s="22" t="s">
        <v>2478</v>
      </c>
      <c r="B457" s="23" t="s">
        <v>1176</v>
      </c>
      <c r="C457" s="23">
        <v>31</v>
      </c>
      <c r="D457" s="23" t="s">
        <v>57</v>
      </c>
      <c r="E457" s="24">
        <v>45549</v>
      </c>
      <c r="F457" s="23" t="s">
        <v>2653</v>
      </c>
      <c r="G457" s="23" t="s">
        <v>2654</v>
      </c>
      <c r="H457" s="23">
        <v>0</v>
      </c>
      <c r="I457" s="9">
        <f>COUNTIF(Data1_Clean!$I$2:I1000,A457)</f>
        <v>0</v>
      </c>
    </row>
    <row r="458" spans="1:9">
      <c r="A458" s="22" t="s">
        <v>1870</v>
      </c>
      <c r="B458" s="23" t="s">
        <v>1176</v>
      </c>
      <c r="C458" s="23">
        <v>51</v>
      </c>
      <c r="D458" s="23" t="s">
        <v>57</v>
      </c>
      <c r="E458" s="24">
        <v>45559</v>
      </c>
      <c r="F458" s="23" t="s">
        <v>2653</v>
      </c>
      <c r="G458" s="23" t="s">
        <v>2656</v>
      </c>
      <c r="H458" s="23">
        <v>3</v>
      </c>
      <c r="I458" s="9">
        <f>COUNTIF(Data1_Clean!$I$2:I1000,A458)</f>
        <v>1</v>
      </c>
    </row>
    <row r="459" spans="1:9">
      <c r="A459" s="22" t="s">
        <v>697</v>
      </c>
      <c r="B459" s="23" t="s">
        <v>1176</v>
      </c>
      <c r="C459" s="23">
        <v>63</v>
      </c>
      <c r="D459" s="23" t="s">
        <v>57</v>
      </c>
      <c r="E459" s="24">
        <v>45584</v>
      </c>
      <c r="F459" s="23" t="s">
        <v>2653</v>
      </c>
      <c r="G459" s="23" t="s">
        <v>2654</v>
      </c>
      <c r="H459" s="23">
        <v>0</v>
      </c>
      <c r="I459" s="9">
        <f>COUNTIF(Data1_Clean!$I$2:I1000,A459)</f>
        <v>1</v>
      </c>
    </row>
    <row r="460" spans="1:9">
      <c r="A460" s="22" t="s">
        <v>466</v>
      </c>
      <c r="B460" s="23" t="s">
        <v>1370</v>
      </c>
      <c r="C460" s="23">
        <v>45</v>
      </c>
      <c r="D460" s="23" t="s">
        <v>57</v>
      </c>
      <c r="E460" s="24">
        <v>45588</v>
      </c>
      <c r="F460" s="23" t="s">
        <v>2653</v>
      </c>
      <c r="G460" s="23" t="s">
        <v>2656</v>
      </c>
      <c r="H460" s="23">
        <v>1</v>
      </c>
      <c r="I460" s="9">
        <f>COUNTIF(Data1_Clean!$I$2:I1000,A460)</f>
        <v>3</v>
      </c>
    </row>
    <row r="461" spans="1:9">
      <c r="A461" s="22" t="s">
        <v>2122</v>
      </c>
      <c r="B461" s="23" t="s">
        <v>1176</v>
      </c>
      <c r="C461" s="23">
        <v>29</v>
      </c>
      <c r="D461" s="23" t="s">
        <v>57</v>
      </c>
      <c r="E461" s="24">
        <v>45612</v>
      </c>
      <c r="F461" s="23" t="s">
        <v>2655</v>
      </c>
      <c r="G461" s="23" t="s">
        <v>2656</v>
      </c>
      <c r="H461" s="23">
        <v>4</v>
      </c>
      <c r="I461" s="9">
        <f>COUNTIF(Data1_Clean!$I$2:I1000,A461)</f>
        <v>1</v>
      </c>
    </row>
    <row r="462" spans="1:9">
      <c r="A462" s="22" t="s">
        <v>1904</v>
      </c>
      <c r="B462" s="23" t="s">
        <v>1370</v>
      </c>
      <c r="C462" s="23">
        <v>34</v>
      </c>
      <c r="D462" s="23" t="s">
        <v>57</v>
      </c>
      <c r="E462" s="24">
        <v>45619</v>
      </c>
      <c r="F462" s="23" t="s">
        <v>2653</v>
      </c>
      <c r="G462" s="23" t="s">
        <v>2656</v>
      </c>
      <c r="H462" s="23">
        <v>3</v>
      </c>
      <c r="I462" s="9">
        <f>COUNTIF(Data1_Clean!$I$2:I1000,A462)</f>
        <v>2</v>
      </c>
    </row>
    <row r="463" spans="1:9">
      <c r="A463" s="22" t="s">
        <v>2506</v>
      </c>
      <c r="B463" s="23" t="s">
        <v>1370</v>
      </c>
      <c r="C463" s="23">
        <v>35</v>
      </c>
      <c r="D463" s="23" t="s">
        <v>57</v>
      </c>
      <c r="E463" s="24">
        <v>45628</v>
      </c>
      <c r="F463" s="23" t="s">
        <v>2655</v>
      </c>
      <c r="G463" s="23" t="s">
        <v>2654</v>
      </c>
      <c r="H463" s="23">
        <v>0</v>
      </c>
      <c r="I463" s="9">
        <f>COUNTIF(Data1_Clean!$I$2:I1000,A463)</f>
        <v>0</v>
      </c>
    </row>
    <row r="464" spans="1:9">
      <c r="A464" s="22" t="s">
        <v>2439</v>
      </c>
      <c r="B464" s="23" t="s">
        <v>1370</v>
      </c>
      <c r="C464" s="23">
        <v>42</v>
      </c>
      <c r="D464" s="23" t="s">
        <v>57</v>
      </c>
      <c r="E464" s="24">
        <v>45652</v>
      </c>
      <c r="F464" s="23" t="s">
        <v>2655</v>
      </c>
      <c r="G464" s="23" t="s">
        <v>2654</v>
      </c>
      <c r="H464" s="23">
        <v>0</v>
      </c>
      <c r="I464" s="9">
        <f>COUNTIF(Data1_Clean!$I$2:I1000,A464)</f>
        <v>0</v>
      </c>
    </row>
    <row r="465" spans="1:9">
      <c r="A465" s="22" t="s">
        <v>2623</v>
      </c>
      <c r="B465" s="23" t="s">
        <v>1176</v>
      </c>
      <c r="C465" s="23">
        <v>19</v>
      </c>
      <c r="D465" s="23" t="s">
        <v>57</v>
      </c>
      <c r="E465" s="24">
        <v>45670</v>
      </c>
      <c r="F465" s="23" t="s">
        <v>2655</v>
      </c>
      <c r="G465" s="23" t="s">
        <v>2656</v>
      </c>
      <c r="H465" s="23">
        <v>2</v>
      </c>
      <c r="I465" s="9">
        <f>COUNTIF(Data1_Clean!$I$2:I1000,A465)</f>
        <v>0</v>
      </c>
    </row>
    <row r="466" spans="1:9">
      <c r="A466" s="22" t="s">
        <v>2384</v>
      </c>
      <c r="B466" s="23" t="s">
        <v>1370</v>
      </c>
      <c r="C466" s="23">
        <v>25</v>
      </c>
      <c r="D466" s="23" t="s">
        <v>57</v>
      </c>
      <c r="E466" s="24">
        <v>45695</v>
      </c>
      <c r="F466" s="23" t="s">
        <v>2655</v>
      </c>
      <c r="G466" s="23" t="s">
        <v>2654</v>
      </c>
      <c r="H466" s="23">
        <v>0</v>
      </c>
      <c r="I466" s="9">
        <f>COUNTIF(Data1_Clean!$I$2:I1000,A466)</f>
        <v>0</v>
      </c>
    </row>
    <row r="467" spans="1:9">
      <c r="A467" s="22" t="s">
        <v>2643</v>
      </c>
      <c r="B467" s="23" t="s">
        <v>1370</v>
      </c>
      <c r="C467" s="23">
        <v>30</v>
      </c>
      <c r="D467" s="23" t="s">
        <v>57</v>
      </c>
      <c r="E467" s="24">
        <v>45699</v>
      </c>
      <c r="F467" s="23" t="s">
        <v>2655</v>
      </c>
      <c r="G467" s="23" t="s">
        <v>2656</v>
      </c>
      <c r="H467" s="23">
        <v>4</v>
      </c>
      <c r="I467" s="9">
        <f>COUNTIF(Data1_Clean!$I$2:I1000,A467)</f>
        <v>0</v>
      </c>
    </row>
    <row r="468" spans="1:9">
      <c r="A468" s="22" t="s">
        <v>1012</v>
      </c>
      <c r="B468" s="23" t="s">
        <v>1176</v>
      </c>
      <c r="C468" s="23">
        <v>58</v>
      </c>
      <c r="D468" s="23" t="s">
        <v>57</v>
      </c>
      <c r="E468" s="24">
        <v>45731</v>
      </c>
      <c r="F468" s="23" t="s">
        <v>2655</v>
      </c>
      <c r="G468" s="23" t="s">
        <v>2656</v>
      </c>
      <c r="H468" s="23">
        <v>1</v>
      </c>
      <c r="I468" s="9">
        <f>COUNTIF(Data1_Clean!$I$2:I1000,A468)</f>
        <v>1</v>
      </c>
    </row>
    <row r="469" spans="1:9">
      <c r="A469" s="22" t="s">
        <v>2114</v>
      </c>
      <c r="B469" s="23" t="s">
        <v>1176</v>
      </c>
      <c r="C469" s="23">
        <v>38</v>
      </c>
      <c r="D469" s="23" t="s">
        <v>57</v>
      </c>
      <c r="E469" s="24">
        <v>45744</v>
      </c>
      <c r="F469" s="23" t="s">
        <v>2653</v>
      </c>
      <c r="G469" s="23" t="s">
        <v>2654</v>
      </c>
      <c r="H469" s="23">
        <v>0</v>
      </c>
      <c r="I469" s="9">
        <f>COUNTIF(Data1_Clean!$I$2:I1000,A469)</f>
        <v>1</v>
      </c>
    </row>
    <row r="470" spans="1:9">
      <c r="A470" s="22" t="s">
        <v>1765</v>
      </c>
      <c r="B470" s="23" t="s">
        <v>1370</v>
      </c>
      <c r="C470" s="23">
        <v>22</v>
      </c>
      <c r="D470" s="23" t="s">
        <v>2678</v>
      </c>
      <c r="E470" s="24">
        <v>45544</v>
      </c>
      <c r="F470" s="23" t="s">
        <v>2653</v>
      </c>
      <c r="G470" s="23" t="s">
        <v>2656</v>
      </c>
      <c r="H470" s="23">
        <v>3</v>
      </c>
      <c r="I470" s="9">
        <f>COUNTIF(Data1_Clean!$I$2:I1000,A470)</f>
        <v>1</v>
      </c>
    </row>
    <row r="471" spans="1:9">
      <c r="A471" s="22" t="s">
        <v>2458</v>
      </c>
      <c r="B471" s="23" t="s">
        <v>1370</v>
      </c>
      <c r="C471" s="23">
        <v>62</v>
      </c>
      <c r="D471" s="23" t="s">
        <v>2678</v>
      </c>
      <c r="E471" s="24">
        <v>45604</v>
      </c>
      <c r="F471" s="23" t="s">
        <v>2655</v>
      </c>
      <c r="G471" s="23" t="s">
        <v>2654</v>
      </c>
      <c r="H471" s="23">
        <v>0</v>
      </c>
      <c r="I471" s="9">
        <f>COUNTIF(Data1_Clean!$I$2:I1000,A471)</f>
        <v>0</v>
      </c>
    </row>
    <row r="472" spans="1:9">
      <c r="A472" s="22" t="s">
        <v>568</v>
      </c>
      <c r="B472" s="23" t="s">
        <v>1176</v>
      </c>
      <c r="C472" s="23">
        <v>53</v>
      </c>
      <c r="D472" s="23" t="s">
        <v>2678</v>
      </c>
      <c r="E472" s="24">
        <v>45605</v>
      </c>
      <c r="F472" s="23" t="s">
        <v>2655</v>
      </c>
      <c r="G472" s="23" t="s">
        <v>2654</v>
      </c>
      <c r="H472" s="23">
        <v>0</v>
      </c>
      <c r="I472" s="9">
        <f>COUNTIF(Data1_Clean!$I$2:I1000,A472)</f>
        <v>2</v>
      </c>
    </row>
    <row r="473" spans="1:9">
      <c r="A473" s="22" t="s">
        <v>2145</v>
      </c>
      <c r="B473" s="23" t="s">
        <v>1176</v>
      </c>
      <c r="C473" s="23">
        <v>48</v>
      </c>
      <c r="D473" s="23" t="s">
        <v>2678</v>
      </c>
      <c r="E473" s="24">
        <v>45605</v>
      </c>
      <c r="F473" s="23" t="s">
        <v>2653</v>
      </c>
      <c r="G473" s="23" t="s">
        <v>2654</v>
      </c>
      <c r="H473" s="23">
        <v>0</v>
      </c>
      <c r="I473" s="9">
        <f>COUNTIF(Data1_Clean!$I$2:I1000,A473)</f>
        <v>1</v>
      </c>
    </row>
    <row r="474" spans="1:9">
      <c r="A474" s="22" t="s">
        <v>335</v>
      </c>
      <c r="B474" s="23" t="s">
        <v>1370</v>
      </c>
      <c r="C474" s="23">
        <v>24</v>
      </c>
      <c r="D474" s="23" t="s">
        <v>2678</v>
      </c>
      <c r="E474" s="24">
        <v>45620</v>
      </c>
      <c r="F474" s="23" t="s">
        <v>2653</v>
      </c>
      <c r="G474" s="23" t="s">
        <v>2654</v>
      </c>
      <c r="H474" s="23">
        <v>0</v>
      </c>
      <c r="I474" s="9">
        <f>COUNTIF(Data1_Clean!$I$2:I1000,A474)</f>
        <v>2</v>
      </c>
    </row>
    <row r="475" spans="1:9">
      <c r="A475" s="22" t="s">
        <v>1052</v>
      </c>
      <c r="B475" s="23" t="s">
        <v>1176</v>
      </c>
      <c r="C475" s="23">
        <v>38</v>
      </c>
      <c r="D475" s="23" t="s">
        <v>2678</v>
      </c>
      <c r="E475" s="24">
        <v>45636</v>
      </c>
      <c r="F475" s="23" t="s">
        <v>2653</v>
      </c>
      <c r="G475" s="23" t="s">
        <v>2654</v>
      </c>
      <c r="H475" s="23">
        <v>0</v>
      </c>
      <c r="I475" s="9">
        <f>COUNTIF(Data1_Clean!$I$2:I1000,A475)</f>
        <v>2</v>
      </c>
    </row>
    <row r="476" spans="1:9">
      <c r="A476" s="22" t="s">
        <v>415</v>
      </c>
      <c r="B476" s="23" t="s">
        <v>1176</v>
      </c>
      <c r="C476" s="23">
        <v>45</v>
      </c>
      <c r="D476" s="23" t="s">
        <v>2678</v>
      </c>
      <c r="E476" s="24">
        <v>45654</v>
      </c>
      <c r="F476" s="23" t="s">
        <v>2655</v>
      </c>
      <c r="G476" s="23" t="s">
        <v>2654</v>
      </c>
      <c r="H476" s="23">
        <v>0</v>
      </c>
      <c r="I476" s="9">
        <f>COUNTIF(Data1_Clean!$I$2:I1000,A476)</f>
        <v>2</v>
      </c>
    </row>
    <row r="477" spans="1:9">
      <c r="A477" s="22" t="s">
        <v>2393</v>
      </c>
      <c r="B477" s="23" t="s">
        <v>1176</v>
      </c>
      <c r="C477" s="23">
        <v>28</v>
      </c>
      <c r="D477" s="23" t="s">
        <v>2678</v>
      </c>
      <c r="E477" s="24">
        <v>45670</v>
      </c>
      <c r="F477" s="23" t="s">
        <v>2655</v>
      </c>
      <c r="G477" s="23" t="s">
        <v>2656</v>
      </c>
      <c r="H477" s="23">
        <v>4</v>
      </c>
      <c r="I477" s="9">
        <f>COUNTIF(Data1_Clean!$I$2:I1000,A477)</f>
        <v>0</v>
      </c>
    </row>
    <row r="478" spans="1:9">
      <c r="A478" s="22" t="s">
        <v>2381</v>
      </c>
      <c r="B478" s="23" t="s">
        <v>1370</v>
      </c>
      <c r="C478" s="23">
        <v>23</v>
      </c>
      <c r="D478" s="23" t="s">
        <v>2678</v>
      </c>
      <c r="E478" s="24">
        <v>45687</v>
      </c>
      <c r="F478" s="23" t="s">
        <v>2653</v>
      </c>
      <c r="G478" s="23" t="s">
        <v>2656</v>
      </c>
      <c r="H478" s="23">
        <v>4</v>
      </c>
      <c r="I478" s="9">
        <f>COUNTIF(Data1_Clean!$I$2:I1000,A478)</f>
        <v>0</v>
      </c>
    </row>
    <row r="479" spans="1:9">
      <c r="A479" s="22" t="s">
        <v>2576</v>
      </c>
      <c r="B479" s="23" t="s">
        <v>1370</v>
      </c>
      <c r="C479" s="23">
        <v>41</v>
      </c>
      <c r="D479" s="23" t="s">
        <v>2678</v>
      </c>
      <c r="E479" s="24">
        <v>45688</v>
      </c>
      <c r="F479" s="23" t="s">
        <v>2653</v>
      </c>
      <c r="G479" s="23" t="s">
        <v>2654</v>
      </c>
      <c r="H479" s="23">
        <v>0</v>
      </c>
      <c r="I479" s="9">
        <f>COUNTIF(Data1_Clean!$I$2:I1000,A479)</f>
        <v>0</v>
      </c>
    </row>
    <row r="480" spans="1:9">
      <c r="A480" s="22" t="s">
        <v>1717</v>
      </c>
      <c r="B480" s="23" t="s">
        <v>1176</v>
      </c>
      <c r="C480" s="23">
        <v>48</v>
      </c>
      <c r="D480" s="23" t="s">
        <v>2678</v>
      </c>
      <c r="E480" s="24">
        <v>45702</v>
      </c>
      <c r="F480" s="23" t="s">
        <v>2653</v>
      </c>
      <c r="G480" s="23" t="s">
        <v>2656</v>
      </c>
      <c r="H480" s="23">
        <v>3</v>
      </c>
      <c r="I480" s="9">
        <f>COUNTIF(Data1_Clean!$I$2:I1000,A480)</f>
        <v>1</v>
      </c>
    </row>
    <row r="481" spans="1:9">
      <c r="A481" s="22" t="s">
        <v>2651</v>
      </c>
      <c r="B481" s="23" t="s">
        <v>1370</v>
      </c>
      <c r="C481" s="23">
        <v>23</v>
      </c>
      <c r="D481" s="23" t="s">
        <v>2678</v>
      </c>
      <c r="E481" s="24">
        <v>45702</v>
      </c>
      <c r="F481" s="23" t="s">
        <v>2653</v>
      </c>
      <c r="G481" s="23" t="s">
        <v>2654</v>
      </c>
      <c r="H481" s="23">
        <v>0</v>
      </c>
      <c r="I481" s="9">
        <f>COUNTIF(Data1_Clean!$I$2:I1000,A481)</f>
        <v>0</v>
      </c>
    </row>
    <row r="482" spans="1:9">
      <c r="A482" s="22" t="s">
        <v>155</v>
      </c>
      <c r="B482" s="23" t="s">
        <v>1370</v>
      </c>
      <c r="C482" s="23">
        <v>56</v>
      </c>
      <c r="D482" s="23" t="s">
        <v>2678</v>
      </c>
      <c r="E482" s="24">
        <v>45724</v>
      </c>
      <c r="F482" s="23" t="s">
        <v>2653</v>
      </c>
      <c r="G482" s="23" t="s">
        <v>2656</v>
      </c>
      <c r="H482" s="23">
        <v>2</v>
      </c>
      <c r="I482" s="9">
        <f>COUNTIF(Data1_Clean!$I$2:I1000,A482)</f>
        <v>2</v>
      </c>
    </row>
    <row r="483" spans="1:9">
      <c r="A483" s="22" t="s">
        <v>830</v>
      </c>
      <c r="B483" s="23" t="s">
        <v>1370</v>
      </c>
      <c r="C483" s="23">
        <v>28</v>
      </c>
      <c r="D483" s="23" t="s">
        <v>2679</v>
      </c>
      <c r="E483" s="24">
        <v>45548</v>
      </c>
      <c r="F483" s="23" t="s">
        <v>2655</v>
      </c>
      <c r="G483" s="23" t="s">
        <v>2654</v>
      </c>
      <c r="H483" s="23">
        <v>0</v>
      </c>
      <c r="I483" s="9">
        <f>COUNTIF(Data1_Clean!$I$2:I1000,A483)</f>
        <v>1</v>
      </c>
    </row>
    <row r="484" spans="1:9">
      <c r="A484" s="22" t="s">
        <v>2454</v>
      </c>
      <c r="B484" s="23" t="s">
        <v>1370</v>
      </c>
      <c r="C484" s="23">
        <v>30</v>
      </c>
      <c r="D484" s="23" t="s">
        <v>2679</v>
      </c>
      <c r="E484" s="24">
        <v>45551</v>
      </c>
      <c r="F484" s="23" t="s">
        <v>2653</v>
      </c>
      <c r="G484" s="23" t="s">
        <v>2656</v>
      </c>
      <c r="H484" s="23">
        <v>4</v>
      </c>
      <c r="I484" s="9">
        <f>COUNTIF(Data1_Clean!$I$2:I1000,A484)</f>
        <v>0</v>
      </c>
    </row>
    <row r="485" spans="1:9">
      <c r="A485" s="22" t="s">
        <v>493</v>
      </c>
      <c r="B485" s="23" t="s">
        <v>1370</v>
      </c>
      <c r="C485" s="23">
        <v>60</v>
      </c>
      <c r="D485" s="23" t="s">
        <v>2679</v>
      </c>
      <c r="E485" s="24">
        <v>45559</v>
      </c>
      <c r="F485" s="23" t="s">
        <v>2653</v>
      </c>
      <c r="G485" s="23" t="s">
        <v>2656</v>
      </c>
      <c r="H485" s="23">
        <v>2</v>
      </c>
      <c r="I485" s="9">
        <f>COUNTIF(Data1_Clean!$I$2:I1000,A485)</f>
        <v>2</v>
      </c>
    </row>
    <row r="486" spans="1:9">
      <c r="A486" s="22" t="s">
        <v>2648</v>
      </c>
      <c r="B486" s="23" t="s">
        <v>1176</v>
      </c>
      <c r="C486" s="23">
        <v>60</v>
      </c>
      <c r="D486" s="23" t="s">
        <v>2679</v>
      </c>
      <c r="E486" s="24">
        <v>45575</v>
      </c>
      <c r="F486" s="23" t="s">
        <v>2653</v>
      </c>
      <c r="G486" s="23" t="s">
        <v>2656</v>
      </c>
      <c r="H486" s="23">
        <v>4</v>
      </c>
      <c r="I486" s="9">
        <f>COUNTIF(Data1_Clean!$I$2:I1000,A486)</f>
        <v>0</v>
      </c>
    </row>
    <row r="487" spans="1:9">
      <c r="A487" s="22" t="s">
        <v>487</v>
      </c>
      <c r="B487" s="23" t="s">
        <v>1370</v>
      </c>
      <c r="C487" s="23">
        <v>38</v>
      </c>
      <c r="D487" s="23" t="s">
        <v>2679</v>
      </c>
      <c r="E487" s="24">
        <v>45580</v>
      </c>
      <c r="F487" s="23" t="s">
        <v>2655</v>
      </c>
      <c r="G487" s="23" t="s">
        <v>2656</v>
      </c>
      <c r="H487" s="23">
        <v>4</v>
      </c>
      <c r="I487" s="9">
        <f>COUNTIF(Data1_Clean!$I$2:I1000,A487)</f>
        <v>2</v>
      </c>
    </row>
    <row r="488" spans="1:9">
      <c r="A488" s="22" t="s">
        <v>1638</v>
      </c>
      <c r="B488" s="23" t="s">
        <v>1370</v>
      </c>
      <c r="C488" s="23">
        <v>21</v>
      </c>
      <c r="D488" s="23" t="s">
        <v>2679</v>
      </c>
      <c r="E488" s="24">
        <v>45598</v>
      </c>
      <c r="F488" s="23" t="s">
        <v>2655</v>
      </c>
      <c r="G488" s="23" t="s">
        <v>2654</v>
      </c>
      <c r="H488" s="23">
        <v>0</v>
      </c>
      <c r="I488" s="9">
        <f>COUNTIF(Data1_Clean!$I$2:I1000,A488)</f>
        <v>3</v>
      </c>
    </row>
    <row r="489" spans="1:9">
      <c r="A489" s="22" t="s">
        <v>2456</v>
      </c>
      <c r="B489" s="23" t="s">
        <v>1370</v>
      </c>
      <c r="C489" s="23">
        <v>62</v>
      </c>
      <c r="D489" s="23" t="s">
        <v>2679</v>
      </c>
      <c r="E489" s="24">
        <v>45601</v>
      </c>
      <c r="F489" s="23" t="s">
        <v>2653</v>
      </c>
      <c r="G489" s="23" t="s">
        <v>2654</v>
      </c>
      <c r="H489" s="23">
        <v>0</v>
      </c>
      <c r="I489" s="9">
        <f>COUNTIF(Data1_Clean!$I$2:I1000,A489)</f>
        <v>0</v>
      </c>
    </row>
    <row r="490" spans="1:9">
      <c r="A490" s="22" t="s">
        <v>1078</v>
      </c>
      <c r="B490" s="23" t="s">
        <v>1176</v>
      </c>
      <c r="C490" s="23">
        <v>56</v>
      </c>
      <c r="D490" s="23" t="s">
        <v>2679</v>
      </c>
      <c r="E490" s="24">
        <v>45601</v>
      </c>
      <c r="F490" s="23" t="s">
        <v>2655</v>
      </c>
      <c r="G490" s="23" t="s">
        <v>2656</v>
      </c>
      <c r="H490" s="23">
        <v>3</v>
      </c>
      <c r="I490" s="9">
        <f>COUNTIF(Data1_Clean!$I$2:I1000,A490)</f>
        <v>4</v>
      </c>
    </row>
    <row r="491" spans="1:9">
      <c r="A491" s="22" t="s">
        <v>1411</v>
      </c>
      <c r="B491" s="23" t="s">
        <v>1176</v>
      </c>
      <c r="C491" s="23">
        <v>47</v>
      </c>
      <c r="D491" s="23" t="s">
        <v>2679</v>
      </c>
      <c r="E491" s="24">
        <v>45602</v>
      </c>
      <c r="F491" s="23" t="s">
        <v>2653</v>
      </c>
      <c r="G491" s="23" t="s">
        <v>2656</v>
      </c>
      <c r="H491" s="23">
        <v>2</v>
      </c>
      <c r="I491" s="9">
        <f>COUNTIF(Data1_Clean!$I$2:I1000,A491)</f>
        <v>2</v>
      </c>
    </row>
    <row r="492" spans="1:9">
      <c r="A492" s="22" t="s">
        <v>903</v>
      </c>
      <c r="B492" s="23" t="s">
        <v>1370</v>
      </c>
      <c r="C492" s="23">
        <v>62</v>
      </c>
      <c r="D492" s="23" t="s">
        <v>2679</v>
      </c>
      <c r="E492" s="24">
        <v>45609</v>
      </c>
      <c r="F492" s="23" t="s">
        <v>2653</v>
      </c>
      <c r="G492" s="23" t="s">
        <v>2654</v>
      </c>
      <c r="H492" s="23">
        <v>0</v>
      </c>
      <c r="I492" s="9">
        <f>COUNTIF(Data1_Clean!$I$2:I1000,A492)</f>
        <v>2</v>
      </c>
    </row>
    <row r="493" spans="1:9">
      <c r="A493" s="22" t="s">
        <v>710</v>
      </c>
      <c r="B493" s="23" t="s">
        <v>1176</v>
      </c>
      <c r="C493" s="23">
        <v>29</v>
      </c>
      <c r="D493" s="23" t="s">
        <v>2679</v>
      </c>
      <c r="E493" s="24">
        <v>45614</v>
      </c>
      <c r="F493" s="23" t="s">
        <v>2653</v>
      </c>
      <c r="G493" s="23" t="s">
        <v>2654</v>
      </c>
      <c r="H493" s="23">
        <v>0</v>
      </c>
      <c r="I493" s="9">
        <f>COUNTIF(Data1_Clean!$I$2:I1000,A493)</f>
        <v>2</v>
      </c>
    </row>
    <row r="494" spans="1:9">
      <c r="A494" s="22" t="s">
        <v>2621</v>
      </c>
      <c r="B494" s="23" t="s">
        <v>1370</v>
      </c>
      <c r="C494" s="23">
        <v>41</v>
      </c>
      <c r="D494" s="23" t="s">
        <v>2679</v>
      </c>
      <c r="E494" s="24">
        <v>45620</v>
      </c>
      <c r="F494" s="23" t="s">
        <v>2655</v>
      </c>
      <c r="G494" s="23" t="s">
        <v>2654</v>
      </c>
      <c r="H494" s="23">
        <v>0</v>
      </c>
      <c r="I494" s="9">
        <f>COUNTIF(Data1_Clean!$I$2:I1000,A494)</f>
        <v>0</v>
      </c>
    </row>
    <row r="495" spans="1:9">
      <c r="A495" s="22" t="s">
        <v>1545</v>
      </c>
      <c r="B495" s="23" t="s">
        <v>1176</v>
      </c>
      <c r="C495" s="23">
        <v>34</v>
      </c>
      <c r="D495" s="23" t="s">
        <v>2679</v>
      </c>
      <c r="E495" s="24">
        <v>45636</v>
      </c>
      <c r="F495" s="23" t="s">
        <v>2653</v>
      </c>
      <c r="G495" s="23" t="s">
        <v>2656</v>
      </c>
      <c r="H495" s="23">
        <v>1</v>
      </c>
      <c r="I495" s="9">
        <f>COUNTIF(Data1_Clean!$I$2:I1000,A495)</f>
        <v>1</v>
      </c>
    </row>
    <row r="496" spans="1:9">
      <c r="A496" s="22" t="s">
        <v>718</v>
      </c>
      <c r="B496" s="23" t="s">
        <v>1370</v>
      </c>
      <c r="C496" s="23">
        <v>39</v>
      </c>
      <c r="D496" s="23" t="s">
        <v>2679</v>
      </c>
      <c r="E496" s="24">
        <v>45652</v>
      </c>
      <c r="F496" s="23" t="s">
        <v>2653</v>
      </c>
      <c r="G496" s="23" t="s">
        <v>2656</v>
      </c>
      <c r="H496" s="23">
        <v>2</v>
      </c>
      <c r="I496" s="9">
        <f>COUNTIF(Data1_Clean!$I$2:I1000,A496)</f>
        <v>1</v>
      </c>
    </row>
    <row r="497" spans="1:9">
      <c r="A497" s="22" t="s">
        <v>1466</v>
      </c>
      <c r="B497" s="23" t="s">
        <v>1370</v>
      </c>
      <c r="C497" s="23">
        <v>33</v>
      </c>
      <c r="D497" s="23" t="s">
        <v>2679</v>
      </c>
      <c r="E497" s="24">
        <v>45652</v>
      </c>
      <c r="F497" s="23" t="s">
        <v>2653</v>
      </c>
      <c r="G497" s="23" t="s">
        <v>2656</v>
      </c>
      <c r="H497" s="23">
        <v>3</v>
      </c>
      <c r="I497" s="9">
        <f>COUNTIF(Data1_Clean!$I$2:I1000,A497)</f>
        <v>1</v>
      </c>
    </row>
    <row r="498" spans="1:9">
      <c r="A498" s="22" t="s">
        <v>1527</v>
      </c>
      <c r="B498" s="23" t="s">
        <v>1370</v>
      </c>
      <c r="C498" s="23">
        <v>19</v>
      </c>
      <c r="D498" s="23" t="s">
        <v>2679</v>
      </c>
      <c r="E498" s="24">
        <v>45661</v>
      </c>
      <c r="F498" s="23" t="s">
        <v>2653</v>
      </c>
      <c r="G498" s="23" t="s">
        <v>2654</v>
      </c>
      <c r="H498" s="23">
        <v>0</v>
      </c>
      <c r="I498" s="9">
        <f>COUNTIF(Data1_Clean!$I$2:I1000,A498)</f>
        <v>1</v>
      </c>
    </row>
    <row r="499" spans="1:9">
      <c r="A499" s="22" t="s">
        <v>868</v>
      </c>
      <c r="B499" s="23" t="s">
        <v>1370</v>
      </c>
      <c r="C499" s="23">
        <v>34</v>
      </c>
      <c r="D499" s="23" t="s">
        <v>2679</v>
      </c>
      <c r="E499" s="24">
        <v>45666</v>
      </c>
      <c r="F499" s="23" t="s">
        <v>2653</v>
      </c>
      <c r="G499" s="23" t="s">
        <v>2656</v>
      </c>
      <c r="H499" s="23">
        <v>2</v>
      </c>
      <c r="I499" s="9">
        <f>COUNTIF(Data1_Clean!$I$2:I1000,A499)</f>
        <v>1</v>
      </c>
    </row>
    <row r="500" spans="1:9">
      <c r="A500" s="22" t="s">
        <v>603</v>
      </c>
      <c r="B500" s="23" t="s">
        <v>1176</v>
      </c>
      <c r="C500" s="23">
        <v>30</v>
      </c>
      <c r="D500" s="23" t="s">
        <v>2679</v>
      </c>
      <c r="E500" s="24">
        <v>45677</v>
      </c>
      <c r="F500" s="23" t="s">
        <v>2655</v>
      </c>
      <c r="G500" s="23" t="s">
        <v>2654</v>
      </c>
      <c r="H500" s="23">
        <v>0</v>
      </c>
      <c r="I500" s="9">
        <f>COUNTIF(Data1_Clean!$I$2:I1000,A500)</f>
        <v>2</v>
      </c>
    </row>
    <row r="501" spans="1:9">
      <c r="A501" s="22" t="s">
        <v>652</v>
      </c>
      <c r="B501" s="23" t="s">
        <v>1176</v>
      </c>
      <c r="C501" s="23">
        <v>56</v>
      </c>
      <c r="D501" s="23" t="s">
        <v>2679</v>
      </c>
      <c r="E501" s="24">
        <v>45683</v>
      </c>
      <c r="F501" s="23" t="s">
        <v>2653</v>
      </c>
      <c r="G501" s="23" t="s">
        <v>2656</v>
      </c>
      <c r="H501" s="23">
        <v>2</v>
      </c>
      <c r="I501" s="9">
        <f>COUNTIF(Data1_Clean!$I$2:I1000,A501)</f>
        <v>1</v>
      </c>
    </row>
    <row r="502" spans="1:9">
      <c r="A502" s="22" t="s">
        <v>1879</v>
      </c>
      <c r="B502" s="23" t="s">
        <v>1370</v>
      </c>
      <c r="C502" s="23">
        <v>21</v>
      </c>
      <c r="D502" s="23" t="s">
        <v>2679</v>
      </c>
      <c r="E502" s="24">
        <v>45685</v>
      </c>
      <c r="F502" s="23" t="s">
        <v>2653</v>
      </c>
      <c r="G502" s="23" t="s">
        <v>2656</v>
      </c>
      <c r="H502" s="23">
        <v>1</v>
      </c>
      <c r="I502" s="9">
        <f>COUNTIF(Data1_Clean!$I$2:I1000,A502)</f>
        <v>1</v>
      </c>
    </row>
    <row r="503" spans="1:9">
      <c r="A503" s="22" t="s">
        <v>1218</v>
      </c>
      <c r="B503" s="23" t="s">
        <v>1176</v>
      </c>
      <c r="C503" s="23">
        <v>28</v>
      </c>
      <c r="D503" s="23" t="s">
        <v>2679</v>
      </c>
      <c r="E503" s="24">
        <v>45708</v>
      </c>
      <c r="F503" s="23" t="s">
        <v>2653</v>
      </c>
      <c r="G503" s="23" t="s">
        <v>2656</v>
      </c>
      <c r="H503" s="23">
        <v>1</v>
      </c>
      <c r="I503" s="9">
        <f>COUNTIF(Data1_Clean!$I$2:I1000,A503)</f>
        <v>1</v>
      </c>
    </row>
    <row r="504" spans="1:9">
      <c r="A504" s="22" t="s">
        <v>2575</v>
      </c>
      <c r="B504" s="23" t="s">
        <v>1176</v>
      </c>
      <c r="C504" s="23">
        <v>32</v>
      </c>
      <c r="D504" s="23" t="s">
        <v>2679</v>
      </c>
      <c r="E504" s="24">
        <v>45710</v>
      </c>
      <c r="F504" s="23" t="s">
        <v>2653</v>
      </c>
      <c r="G504" s="23" t="s">
        <v>2654</v>
      </c>
      <c r="H504" s="23">
        <v>0</v>
      </c>
      <c r="I504" s="9">
        <f>COUNTIF(Data1_Clean!$I$2:I1000,A504)</f>
        <v>0</v>
      </c>
    </row>
    <row r="505" spans="1:9">
      <c r="A505" s="22" t="s">
        <v>96</v>
      </c>
      <c r="B505" s="23" t="s">
        <v>1370</v>
      </c>
      <c r="C505" s="23">
        <v>41</v>
      </c>
      <c r="D505" s="23" t="s">
        <v>425</v>
      </c>
      <c r="E505" s="24">
        <v>45573</v>
      </c>
      <c r="F505" s="23" t="s">
        <v>2655</v>
      </c>
      <c r="G505" s="23" t="s">
        <v>2654</v>
      </c>
      <c r="H505" s="23">
        <v>0</v>
      </c>
      <c r="I505" s="9">
        <f>COUNTIF(Data1_Clean!$I$2:I1000,A505)</f>
        <v>2</v>
      </c>
    </row>
    <row r="506" spans="1:9">
      <c r="A506" s="22" t="s">
        <v>328</v>
      </c>
      <c r="B506" s="23" t="s">
        <v>1370</v>
      </c>
      <c r="C506" s="23">
        <v>42</v>
      </c>
      <c r="D506" s="23" t="s">
        <v>425</v>
      </c>
      <c r="E506" s="24">
        <v>45581</v>
      </c>
      <c r="F506" s="23" t="s">
        <v>2653</v>
      </c>
      <c r="G506" s="23" t="s">
        <v>2656</v>
      </c>
      <c r="H506" s="23">
        <v>1</v>
      </c>
      <c r="I506" s="9">
        <f>COUNTIF(Data1_Clean!$I$2:I1000,A506)</f>
        <v>2</v>
      </c>
    </row>
    <row r="507" spans="1:9">
      <c r="A507" s="22" t="s">
        <v>2551</v>
      </c>
      <c r="B507" s="23" t="s">
        <v>1370</v>
      </c>
      <c r="C507" s="23">
        <v>25</v>
      </c>
      <c r="D507" s="23" t="s">
        <v>425</v>
      </c>
      <c r="E507" s="24">
        <v>45635</v>
      </c>
      <c r="F507" s="23" t="s">
        <v>2655</v>
      </c>
      <c r="G507" s="23" t="s">
        <v>2656</v>
      </c>
      <c r="H507" s="23">
        <v>4</v>
      </c>
      <c r="I507" s="9">
        <f>COUNTIF(Data1_Clean!$I$2:I1000,A507)</f>
        <v>0</v>
      </c>
    </row>
    <row r="508" spans="1:9">
      <c r="A508" s="22" t="s">
        <v>2241</v>
      </c>
      <c r="B508" s="23" t="s">
        <v>1176</v>
      </c>
      <c r="C508" s="23">
        <v>26</v>
      </c>
      <c r="D508" s="23" t="s">
        <v>425</v>
      </c>
      <c r="E508" s="24">
        <v>45637</v>
      </c>
      <c r="F508" s="23" t="s">
        <v>2653</v>
      </c>
      <c r="G508" s="23" t="s">
        <v>2656</v>
      </c>
      <c r="H508" s="23">
        <v>2</v>
      </c>
      <c r="I508" s="9">
        <f>COUNTIF(Data1_Clean!$I$2:I1000,A508)</f>
        <v>1</v>
      </c>
    </row>
    <row r="509" spans="1:9">
      <c r="A509" s="22" t="s">
        <v>1676</v>
      </c>
      <c r="B509" s="23" t="s">
        <v>1370</v>
      </c>
      <c r="C509" s="23">
        <v>35</v>
      </c>
      <c r="D509" s="23" t="s">
        <v>425</v>
      </c>
      <c r="E509" s="24">
        <v>45652</v>
      </c>
      <c r="F509" s="23" t="s">
        <v>2653</v>
      </c>
      <c r="G509" s="23" t="s">
        <v>2654</v>
      </c>
      <c r="H509" s="23">
        <v>0</v>
      </c>
      <c r="I509" s="9">
        <f>COUNTIF(Data1_Clean!$I$2:I1000,A509)</f>
        <v>1</v>
      </c>
    </row>
    <row r="510" spans="1:9">
      <c r="A510" s="22" t="s">
        <v>2405</v>
      </c>
      <c r="B510" s="23" t="s">
        <v>1370</v>
      </c>
      <c r="C510" s="23">
        <v>32</v>
      </c>
      <c r="D510" s="23" t="s">
        <v>425</v>
      </c>
      <c r="E510" s="24">
        <v>45655</v>
      </c>
      <c r="F510" s="23" t="s">
        <v>2653</v>
      </c>
      <c r="G510" s="23" t="s">
        <v>2654</v>
      </c>
      <c r="H510" s="23">
        <v>0</v>
      </c>
      <c r="I510" s="9">
        <f>COUNTIF(Data1_Clean!$I$2:I1000,A510)</f>
        <v>0</v>
      </c>
    </row>
    <row r="511" spans="1:9">
      <c r="A511" s="22" t="s">
        <v>1452</v>
      </c>
      <c r="B511" s="23" t="s">
        <v>1176</v>
      </c>
      <c r="C511" s="23">
        <v>61</v>
      </c>
      <c r="D511" s="23" t="s">
        <v>425</v>
      </c>
      <c r="E511" s="24">
        <v>45679</v>
      </c>
      <c r="F511" s="23" t="s">
        <v>2655</v>
      </c>
      <c r="G511" s="23" t="s">
        <v>2656</v>
      </c>
      <c r="H511" s="23">
        <v>2</v>
      </c>
      <c r="I511" s="9">
        <f>COUNTIF(Data1_Clean!$I$2:I1000,A511)</f>
        <v>1</v>
      </c>
    </row>
    <row r="512" spans="1:9">
      <c r="A512" s="22" t="s">
        <v>754</v>
      </c>
      <c r="B512" s="23" t="s">
        <v>1370</v>
      </c>
      <c r="C512" s="23">
        <v>39</v>
      </c>
      <c r="D512" s="23" t="s">
        <v>425</v>
      </c>
      <c r="E512" s="24">
        <v>45682</v>
      </c>
      <c r="F512" s="23" t="s">
        <v>2653</v>
      </c>
      <c r="G512" s="23" t="s">
        <v>2656</v>
      </c>
      <c r="H512" s="23">
        <v>3</v>
      </c>
      <c r="I512" s="9">
        <f>COUNTIF(Data1_Clean!$I$2:I1000,A512)</f>
        <v>1</v>
      </c>
    </row>
    <row r="513" spans="1:9">
      <c r="A513" s="22" t="s">
        <v>706</v>
      </c>
      <c r="B513" s="23" t="s">
        <v>1176</v>
      </c>
      <c r="C513" s="23">
        <v>49</v>
      </c>
      <c r="D513" s="23" t="s">
        <v>425</v>
      </c>
      <c r="E513" s="24">
        <v>45735</v>
      </c>
      <c r="F513" s="23" t="s">
        <v>2653</v>
      </c>
      <c r="G513" s="23" t="s">
        <v>2656</v>
      </c>
      <c r="H513" s="23">
        <v>2</v>
      </c>
      <c r="I513" s="9">
        <f>COUNTIF(Data1_Clean!$I$2:I1000,A513)</f>
        <v>1</v>
      </c>
    </row>
    <row r="514" spans="1:9">
      <c r="A514" s="22" t="s">
        <v>1776</v>
      </c>
      <c r="B514" s="23" t="s">
        <v>1370</v>
      </c>
      <c r="C514" s="23">
        <v>57</v>
      </c>
      <c r="D514" s="23" t="s">
        <v>2680</v>
      </c>
      <c r="E514" s="24">
        <v>45545</v>
      </c>
      <c r="F514" s="23" t="s">
        <v>2655</v>
      </c>
      <c r="G514" s="23" t="s">
        <v>2656</v>
      </c>
      <c r="H514" s="23">
        <v>1</v>
      </c>
      <c r="I514" s="9">
        <f>COUNTIF(Data1_Clean!$I$2:I1000,A514)</f>
        <v>1</v>
      </c>
    </row>
    <row r="515" spans="1:9">
      <c r="A515" s="22" t="s">
        <v>2006</v>
      </c>
      <c r="B515" s="23" t="s">
        <v>1370</v>
      </c>
      <c r="C515" s="23">
        <v>26</v>
      </c>
      <c r="D515" s="23" t="s">
        <v>2680</v>
      </c>
      <c r="E515" s="24">
        <v>45550</v>
      </c>
      <c r="F515" s="23" t="s">
        <v>2653</v>
      </c>
      <c r="G515" s="23" t="s">
        <v>2656</v>
      </c>
      <c r="H515" s="23">
        <v>4</v>
      </c>
      <c r="I515" s="9">
        <f>COUNTIF(Data1_Clean!$I$2:I1000,A515)</f>
        <v>1</v>
      </c>
    </row>
    <row r="516" spans="1:9">
      <c r="A516" s="22" t="s">
        <v>1135</v>
      </c>
      <c r="B516" s="23" t="s">
        <v>1176</v>
      </c>
      <c r="C516" s="23">
        <v>48</v>
      </c>
      <c r="D516" s="23" t="s">
        <v>2680</v>
      </c>
      <c r="E516" s="24">
        <v>45589</v>
      </c>
      <c r="F516" s="23" t="s">
        <v>2655</v>
      </c>
      <c r="G516" s="23" t="s">
        <v>2654</v>
      </c>
      <c r="H516" s="23">
        <v>0</v>
      </c>
      <c r="I516" s="9">
        <f>COUNTIF(Data1_Clean!$I$2:I1000,A516)</f>
        <v>1</v>
      </c>
    </row>
    <row r="517" spans="1:9">
      <c r="A517" s="22" t="s">
        <v>1374</v>
      </c>
      <c r="B517" s="23" t="s">
        <v>1176</v>
      </c>
      <c r="C517" s="23">
        <v>64</v>
      </c>
      <c r="D517" s="23" t="s">
        <v>2680</v>
      </c>
      <c r="E517" s="24">
        <v>45604</v>
      </c>
      <c r="F517" s="23" t="s">
        <v>2653</v>
      </c>
      <c r="G517" s="23" t="s">
        <v>2656</v>
      </c>
      <c r="H517" s="23">
        <v>3</v>
      </c>
      <c r="I517" s="9">
        <f>COUNTIF(Data1_Clean!$I$2:I1000,A517)</f>
        <v>4</v>
      </c>
    </row>
    <row r="518" spans="1:9">
      <c r="A518" s="22" t="s">
        <v>2206</v>
      </c>
      <c r="B518" s="23" t="s">
        <v>1370</v>
      </c>
      <c r="C518" s="23">
        <v>23</v>
      </c>
      <c r="D518" s="23" t="s">
        <v>2680</v>
      </c>
      <c r="E518" s="24">
        <v>45611</v>
      </c>
      <c r="F518" s="23" t="s">
        <v>2655</v>
      </c>
      <c r="G518" s="23" t="s">
        <v>2656</v>
      </c>
      <c r="H518" s="23">
        <v>1</v>
      </c>
      <c r="I518" s="9">
        <f>COUNTIF(Data1_Clean!$I$2:I1000,A518)</f>
        <v>1</v>
      </c>
    </row>
    <row r="519" spans="1:9">
      <c r="A519" s="22" t="s">
        <v>211</v>
      </c>
      <c r="B519" s="23" t="s">
        <v>1370</v>
      </c>
      <c r="C519" s="23">
        <v>29</v>
      </c>
      <c r="D519" s="23" t="s">
        <v>2680</v>
      </c>
      <c r="E519" s="24">
        <v>45615</v>
      </c>
      <c r="F519" s="23" t="s">
        <v>2653</v>
      </c>
      <c r="G519" s="23" t="s">
        <v>2654</v>
      </c>
      <c r="H519" s="23">
        <v>0</v>
      </c>
      <c r="I519" s="9">
        <f>COUNTIF(Data1_Clean!$I$2:I1000,A519)</f>
        <v>3</v>
      </c>
    </row>
    <row r="520" spans="1:9">
      <c r="A520" s="22" t="s">
        <v>2494</v>
      </c>
      <c r="B520" s="23" t="s">
        <v>1176</v>
      </c>
      <c r="C520" s="23">
        <v>45</v>
      </c>
      <c r="D520" s="23" t="s">
        <v>2680</v>
      </c>
      <c r="E520" s="24">
        <v>45621</v>
      </c>
      <c r="F520" s="23" t="s">
        <v>2653</v>
      </c>
      <c r="G520" s="23" t="s">
        <v>2656</v>
      </c>
      <c r="H520" s="23">
        <v>3</v>
      </c>
      <c r="I520" s="9">
        <f>COUNTIF(Data1_Clean!$I$2:I1000,A520)</f>
        <v>0</v>
      </c>
    </row>
    <row r="521" spans="1:9">
      <c r="A521" s="22" t="s">
        <v>1566</v>
      </c>
      <c r="B521" s="23" t="s">
        <v>1176</v>
      </c>
      <c r="C521" s="23">
        <v>65</v>
      </c>
      <c r="D521" s="23" t="s">
        <v>2680</v>
      </c>
      <c r="E521" s="24">
        <v>45631</v>
      </c>
      <c r="F521" s="23" t="s">
        <v>2653</v>
      </c>
      <c r="G521" s="23" t="s">
        <v>2656</v>
      </c>
      <c r="H521" s="23">
        <v>2</v>
      </c>
      <c r="I521" s="9">
        <f>COUNTIF(Data1_Clean!$I$2:I1000,A521)</f>
        <v>1</v>
      </c>
    </row>
    <row r="522" spans="1:9">
      <c r="A522" s="22" t="s">
        <v>206</v>
      </c>
      <c r="B522" s="23" t="s">
        <v>1176</v>
      </c>
      <c r="C522" s="23">
        <v>43</v>
      </c>
      <c r="D522" s="23" t="s">
        <v>2680</v>
      </c>
      <c r="E522" s="24">
        <v>45632</v>
      </c>
      <c r="F522" s="23" t="s">
        <v>2653</v>
      </c>
      <c r="G522" s="23" t="s">
        <v>2654</v>
      </c>
      <c r="H522" s="23">
        <v>0</v>
      </c>
      <c r="I522" s="9">
        <f>COUNTIF(Data1_Clean!$I$2:I1000,A522)</f>
        <v>2</v>
      </c>
    </row>
    <row r="523" spans="1:9">
      <c r="A523" s="22" t="s">
        <v>688</v>
      </c>
      <c r="B523" s="23" t="s">
        <v>1370</v>
      </c>
      <c r="C523" s="23">
        <v>51</v>
      </c>
      <c r="D523" s="23" t="s">
        <v>2680</v>
      </c>
      <c r="E523" s="24">
        <v>45635</v>
      </c>
      <c r="F523" s="23" t="s">
        <v>2655</v>
      </c>
      <c r="G523" s="23" t="s">
        <v>2656</v>
      </c>
      <c r="H523" s="23">
        <v>2</v>
      </c>
      <c r="I523" s="9">
        <f>COUNTIF(Data1_Clean!$I$2:I1000,A523)</f>
        <v>1</v>
      </c>
    </row>
    <row r="524" spans="1:9">
      <c r="A524" s="22" t="s">
        <v>2287</v>
      </c>
      <c r="B524" s="23" t="s">
        <v>1176</v>
      </c>
      <c r="C524" s="23">
        <v>32</v>
      </c>
      <c r="D524" s="23" t="s">
        <v>2680</v>
      </c>
      <c r="E524" s="24">
        <v>45649</v>
      </c>
      <c r="F524" s="23" t="s">
        <v>2653</v>
      </c>
      <c r="G524" s="23" t="s">
        <v>2654</v>
      </c>
      <c r="H524" s="23">
        <v>0</v>
      </c>
      <c r="I524" s="9">
        <f>COUNTIF(Data1_Clean!$I$2:I1000,A524)</f>
        <v>1</v>
      </c>
    </row>
    <row r="525" spans="1:9">
      <c r="A525" s="22" t="s">
        <v>1071</v>
      </c>
      <c r="B525" s="23" t="s">
        <v>1176</v>
      </c>
      <c r="C525" s="23">
        <v>56</v>
      </c>
      <c r="D525" s="23" t="s">
        <v>2680</v>
      </c>
      <c r="E525" s="24">
        <v>45688</v>
      </c>
      <c r="F525" s="23" t="s">
        <v>2655</v>
      </c>
      <c r="G525" s="23" t="s">
        <v>2654</v>
      </c>
      <c r="H525" s="23">
        <v>0</v>
      </c>
      <c r="I525" s="9">
        <f>COUNTIF(Data1_Clean!$I$2:I1000,A525)</f>
        <v>1</v>
      </c>
    </row>
    <row r="526" spans="1:9">
      <c r="A526" s="22" t="s">
        <v>2650</v>
      </c>
      <c r="B526" s="23" t="s">
        <v>1370</v>
      </c>
      <c r="C526" s="23">
        <v>54</v>
      </c>
      <c r="D526" s="23" t="s">
        <v>2680</v>
      </c>
      <c r="E526" s="24">
        <v>45693</v>
      </c>
      <c r="F526" s="23" t="s">
        <v>2655</v>
      </c>
      <c r="G526" s="23" t="s">
        <v>2656</v>
      </c>
      <c r="H526" s="23">
        <v>2</v>
      </c>
      <c r="I526" s="9">
        <f>COUNTIF(Data1_Clean!$I$2:I1000,A526)</f>
        <v>0</v>
      </c>
    </row>
    <row r="527" spans="1:9">
      <c r="A527" s="22" t="s">
        <v>2613</v>
      </c>
      <c r="B527" s="23" t="s">
        <v>1176</v>
      </c>
      <c r="C527" s="23">
        <v>19</v>
      </c>
      <c r="D527" s="23" t="s">
        <v>2680</v>
      </c>
      <c r="E527" s="24">
        <v>45741</v>
      </c>
      <c r="F527" s="23" t="s">
        <v>2653</v>
      </c>
      <c r="G527" s="23" t="s">
        <v>2656</v>
      </c>
      <c r="H527" s="23">
        <v>3</v>
      </c>
      <c r="I527" s="9">
        <f>COUNTIF(Data1_Clean!$I$2:I1000,A527)</f>
        <v>0</v>
      </c>
    </row>
    <row r="528" spans="1:9">
      <c r="A528" s="22" t="s">
        <v>2544</v>
      </c>
      <c r="B528" s="23" t="s">
        <v>1176</v>
      </c>
      <c r="C528" s="23">
        <v>62</v>
      </c>
      <c r="D528" s="23" t="s">
        <v>2680</v>
      </c>
      <c r="E528" s="24">
        <v>45746</v>
      </c>
      <c r="F528" s="23" t="s">
        <v>2655</v>
      </c>
      <c r="G528" s="23" t="s">
        <v>2656</v>
      </c>
      <c r="H528" s="23">
        <v>1</v>
      </c>
      <c r="I528" s="9">
        <f>COUNTIF(Data1_Clean!$I$2:I1000,A528)</f>
        <v>0</v>
      </c>
    </row>
    <row r="529" spans="1:9">
      <c r="A529" s="22" t="s">
        <v>87</v>
      </c>
      <c r="B529" s="23" t="s">
        <v>1176</v>
      </c>
      <c r="C529" s="23">
        <v>49</v>
      </c>
      <c r="D529" s="23" t="s">
        <v>2680</v>
      </c>
      <c r="E529" s="24">
        <v>45747</v>
      </c>
      <c r="F529" s="23" t="s">
        <v>2655</v>
      </c>
      <c r="G529" s="23" t="s">
        <v>2654</v>
      </c>
      <c r="H529" s="23">
        <v>0</v>
      </c>
      <c r="I529" s="9">
        <f>COUNTIF(Data1_Clean!$I$2:I1000,A529)</f>
        <v>2</v>
      </c>
    </row>
    <row r="530" spans="1:9">
      <c r="A530" s="22" t="s">
        <v>450</v>
      </c>
      <c r="B530" s="23" t="s">
        <v>1370</v>
      </c>
      <c r="C530" s="23">
        <v>58</v>
      </c>
      <c r="D530" s="23" t="s">
        <v>2681</v>
      </c>
      <c r="E530" s="24">
        <v>45540</v>
      </c>
      <c r="F530" s="23" t="s">
        <v>2655</v>
      </c>
      <c r="G530" s="23" t="s">
        <v>2654</v>
      </c>
      <c r="H530" s="23">
        <v>0</v>
      </c>
      <c r="I530" s="9">
        <f>COUNTIF(Data1_Clean!$I$2:I1000,A530)</f>
        <v>2</v>
      </c>
    </row>
    <row r="531" spans="1:9">
      <c r="A531" s="22" t="s">
        <v>1630</v>
      </c>
      <c r="B531" s="23" t="s">
        <v>1370</v>
      </c>
      <c r="C531" s="23">
        <v>41</v>
      </c>
      <c r="D531" s="23" t="s">
        <v>2681</v>
      </c>
      <c r="E531" s="24">
        <v>45546</v>
      </c>
      <c r="F531" s="23" t="s">
        <v>2653</v>
      </c>
      <c r="G531" s="23" t="s">
        <v>2654</v>
      </c>
      <c r="H531" s="23">
        <v>0</v>
      </c>
      <c r="I531" s="9">
        <f>COUNTIF(Data1_Clean!$I$2:I1000,A531)</f>
        <v>1</v>
      </c>
    </row>
    <row r="532" spans="1:9">
      <c r="A532" s="22" t="s">
        <v>1656</v>
      </c>
      <c r="B532" s="23" t="s">
        <v>1176</v>
      </c>
      <c r="C532" s="23">
        <v>28</v>
      </c>
      <c r="D532" s="23" t="s">
        <v>2681</v>
      </c>
      <c r="E532" s="24">
        <v>45546</v>
      </c>
      <c r="F532" s="23" t="s">
        <v>2655</v>
      </c>
      <c r="G532" s="23" t="s">
        <v>2656</v>
      </c>
      <c r="H532" s="23">
        <v>3</v>
      </c>
      <c r="I532" s="9">
        <f>COUNTIF(Data1_Clean!$I$2:I1000,A532)</f>
        <v>1</v>
      </c>
    </row>
    <row r="533" spans="1:9">
      <c r="A533" s="22" t="s">
        <v>376</v>
      </c>
      <c r="B533" s="23" t="s">
        <v>1176</v>
      </c>
      <c r="C533" s="23">
        <v>41</v>
      </c>
      <c r="D533" s="23" t="s">
        <v>2681</v>
      </c>
      <c r="E533" s="24">
        <v>45554</v>
      </c>
      <c r="F533" s="23" t="s">
        <v>2655</v>
      </c>
      <c r="G533" s="23" t="s">
        <v>2654</v>
      </c>
      <c r="H533" s="23">
        <v>0</v>
      </c>
      <c r="I533" s="9">
        <f>COUNTIF(Data1_Clean!$I$2:I1000,A533)</f>
        <v>3</v>
      </c>
    </row>
    <row r="534" spans="1:9">
      <c r="A534" s="22" t="s">
        <v>1736</v>
      </c>
      <c r="B534" s="23" t="s">
        <v>1176</v>
      </c>
      <c r="C534" s="23">
        <v>29</v>
      </c>
      <c r="D534" s="23" t="s">
        <v>2681</v>
      </c>
      <c r="E534" s="24">
        <v>45581</v>
      </c>
      <c r="F534" s="23" t="s">
        <v>2653</v>
      </c>
      <c r="G534" s="23" t="s">
        <v>2656</v>
      </c>
      <c r="H534" s="23">
        <v>1</v>
      </c>
      <c r="I534" s="9">
        <f>COUNTIF(Data1_Clean!$I$2:I1000,A534)</f>
        <v>1</v>
      </c>
    </row>
    <row r="535" spans="1:9">
      <c r="A535" s="22" t="s">
        <v>2619</v>
      </c>
      <c r="B535" s="23" t="s">
        <v>1176</v>
      </c>
      <c r="C535" s="23">
        <v>46</v>
      </c>
      <c r="D535" s="23" t="s">
        <v>2681</v>
      </c>
      <c r="E535" s="24">
        <v>45598</v>
      </c>
      <c r="F535" s="23" t="s">
        <v>2655</v>
      </c>
      <c r="G535" s="23" t="s">
        <v>2654</v>
      </c>
      <c r="H535" s="23">
        <v>0</v>
      </c>
      <c r="I535" s="9">
        <f>COUNTIF(Data1_Clean!$I$2:I1000,A535)</f>
        <v>0</v>
      </c>
    </row>
    <row r="536" spans="1:9">
      <c r="A536" s="22" t="s">
        <v>1238</v>
      </c>
      <c r="B536" s="23" t="s">
        <v>1370</v>
      </c>
      <c r="C536" s="23">
        <v>51</v>
      </c>
      <c r="D536" s="23" t="s">
        <v>2681</v>
      </c>
      <c r="E536" s="24">
        <v>45601</v>
      </c>
      <c r="F536" s="23" t="s">
        <v>2655</v>
      </c>
      <c r="G536" s="23" t="s">
        <v>2656</v>
      </c>
      <c r="H536" s="23">
        <v>3</v>
      </c>
      <c r="I536" s="9">
        <f>COUNTIF(Data1_Clean!$I$2:I1000,A536)</f>
        <v>3</v>
      </c>
    </row>
    <row r="537" spans="1:9">
      <c r="A537" s="22" t="s">
        <v>2624</v>
      </c>
      <c r="B537" s="23" t="s">
        <v>1370</v>
      </c>
      <c r="C537" s="23">
        <v>49</v>
      </c>
      <c r="D537" s="23" t="s">
        <v>2681</v>
      </c>
      <c r="E537" s="24">
        <v>45602</v>
      </c>
      <c r="F537" s="23" t="s">
        <v>2655</v>
      </c>
      <c r="G537" s="23" t="s">
        <v>2654</v>
      </c>
      <c r="H537" s="23">
        <v>0</v>
      </c>
      <c r="I537" s="9">
        <f>COUNTIF(Data1_Clean!$I$2:I1000,A537)</f>
        <v>0</v>
      </c>
    </row>
    <row r="538" spans="1:9">
      <c r="A538" s="22" t="s">
        <v>298</v>
      </c>
      <c r="B538" s="23" t="s">
        <v>1176</v>
      </c>
      <c r="C538" s="23">
        <v>50</v>
      </c>
      <c r="D538" s="23" t="s">
        <v>2681</v>
      </c>
      <c r="E538" s="24">
        <v>45607</v>
      </c>
      <c r="F538" s="23" t="s">
        <v>2655</v>
      </c>
      <c r="G538" s="23" t="s">
        <v>2656</v>
      </c>
      <c r="H538" s="23">
        <v>1</v>
      </c>
      <c r="I538" s="9">
        <f>COUNTIF(Data1_Clean!$I$2:I1000,A538)</f>
        <v>2</v>
      </c>
    </row>
    <row r="539" spans="1:9">
      <c r="A539" s="22" t="s">
        <v>2513</v>
      </c>
      <c r="B539" s="23" t="s">
        <v>1176</v>
      </c>
      <c r="C539" s="23">
        <v>58</v>
      </c>
      <c r="D539" s="23" t="s">
        <v>2681</v>
      </c>
      <c r="E539" s="24">
        <v>45609</v>
      </c>
      <c r="F539" s="23" t="s">
        <v>2655</v>
      </c>
      <c r="G539" s="23" t="s">
        <v>2654</v>
      </c>
      <c r="H539" s="23">
        <v>0</v>
      </c>
      <c r="I539" s="9">
        <f>COUNTIF(Data1_Clean!$I$2:I1000,A539)</f>
        <v>0</v>
      </c>
    </row>
    <row r="540" spans="1:9">
      <c r="A540" s="22" t="s">
        <v>2587</v>
      </c>
      <c r="B540" s="23" t="s">
        <v>1370</v>
      </c>
      <c r="C540" s="23">
        <v>50</v>
      </c>
      <c r="D540" s="23" t="s">
        <v>2681</v>
      </c>
      <c r="E540" s="24">
        <v>45616</v>
      </c>
      <c r="F540" s="23" t="s">
        <v>2655</v>
      </c>
      <c r="G540" s="23" t="s">
        <v>2654</v>
      </c>
      <c r="H540" s="23">
        <v>0</v>
      </c>
      <c r="I540" s="9">
        <f>COUNTIF(Data1_Clean!$I$2:I1000,A540)</f>
        <v>0</v>
      </c>
    </row>
    <row r="541" spans="1:9">
      <c r="A541" s="22" t="s">
        <v>1343</v>
      </c>
      <c r="B541" s="23" t="s">
        <v>1176</v>
      </c>
      <c r="C541" s="23">
        <v>60</v>
      </c>
      <c r="D541" s="23" t="s">
        <v>2681</v>
      </c>
      <c r="E541" s="24">
        <v>45617</v>
      </c>
      <c r="F541" s="23" t="s">
        <v>2653</v>
      </c>
      <c r="G541" s="23" t="s">
        <v>2654</v>
      </c>
      <c r="H541" s="23">
        <v>0</v>
      </c>
      <c r="I541" s="9">
        <f>COUNTIF(Data1_Clean!$I$2:I1000,A541)</f>
        <v>2</v>
      </c>
    </row>
    <row r="542" spans="1:9">
      <c r="A542" s="22" t="s">
        <v>1686</v>
      </c>
      <c r="B542" s="23" t="s">
        <v>1370</v>
      </c>
      <c r="C542" s="23">
        <v>63</v>
      </c>
      <c r="D542" s="23" t="s">
        <v>2681</v>
      </c>
      <c r="E542" s="24">
        <v>45620</v>
      </c>
      <c r="F542" s="23" t="s">
        <v>2655</v>
      </c>
      <c r="G542" s="23" t="s">
        <v>2656</v>
      </c>
      <c r="H542" s="23">
        <v>2</v>
      </c>
      <c r="I542" s="9">
        <f>COUNTIF(Data1_Clean!$I$2:I1000,A542)</f>
        <v>1</v>
      </c>
    </row>
    <row r="543" spans="1:9">
      <c r="A543" s="22" t="s">
        <v>2580</v>
      </c>
      <c r="B543" s="23" t="s">
        <v>1370</v>
      </c>
      <c r="C543" s="23">
        <v>61</v>
      </c>
      <c r="D543" s="23" t="s">
        <v>2681</v>
      </c>
      <c r="E543" s="24">
        <v>45634</v>
      </c>
      <c r="F543" s="23" t="s">
        <v>2653</v>
      </c>
      <c r="G543" s="23" t="s">
        <v>2654</v>
      </c>
      <c r="H543" s="23">
        <v>0</v>
      </c>
      <c r="I543" s="9">
        <f>COUNTIF(Data1_Clean!$I$2:I1000,A543)</f>
        <v>0</v>
      </c>
    </row>
    <row r="544" spans="1:9">
      <c r="A544" s="22" t="s">
        <v>2373</v>
      </c>
      <c r="B544" s="23" t="s">
        <v>1370</v>
      </c>
      <c r="C544" s="23">
        <v>37</v>
      </c>
      <c r="D544" s="23" t="s">
        <v>2681</v>
      </c>
      <c r="E544" s="24">
        <v>45638</v>
      </c>
      <c r="F544" s="23" t="s">
        <v>2655</v>
      </c>
      <c r="G544" s="23" t="s">
        <v>2656</v>
      </c>
      <c r="H544" s="23">
        <v>4</v>
      </c>
      <c r="I544" s="9">
        <f>COUNTIF(Data1_Clean!$I$2:I1000,A544)</f>
        <v>0</v>
      </c>
    </row>
    <row r="545" spans="1:9">
      <c r="A545" s="22" t="s">
        <v>607</v>
      </c>
      <c r="B545" s="23" t="s">
        <v>1176</v>
      </c>
      <c r="C545" s="23">
        <v>20</v>
      </c>
      <c r="D545" s="23" t="s">
        <v>2681</v>
      </c>
      <c r="E545" s="24">
        <v>45688</v>
      </c>
      <c r="F545" s="23" t="s">
        <v>2655</v>
      </c>
      <c r="G545" s="23" t="s">
        <v>2656</v>
      </c>
      <c r="H545" s="23">
        <v>3</v>
      </c>
      <c r="I545" s="9">
        <f>COUNTIF(Data1_Clean!$I$2:I1000,A545)</f>
        <v>3</v>
      </c>
    </row>
    <row r="546" spans="1:9">
      <c r="A546" s="22" t="s">
        <v>1882</v>
      </c>
      <c r="B546" s="23" t="s">
        <v>1370</v>
      </c>
      <c r="C546" s="23">
        <v>37</v>
      </c>
      <c r="D546" s="23" t="s">
        <v>2681</v>
      </c>
      <c r="E546" s="24">
        <v>45706</v>
      </c>
      <c r="F546" s="23" t="s">
        <v>2655</v>
      </c>
      <c r="G546" s="23" t="s">
        <v>2654</v>
      </c>
      <c r="H546" s="23">
        <v>0</v>
      </c>
      <c r="I546" s="9">
        <f>COUNTIF(Data1_Clean!$I$2:I1000,A546)</f>
        <v>1</v>
      </c>
    </row>
    <row r="547" spans="1:9">
      <c r="A547" s="22" t="s">
        <v>2533</v>
      </c>
      <c r="B547" s="23" t="s">
        <v>1176</v>
      </c>
      <c r="C547" s="23">
        <v>51</v>
      </c>
      <c r="D547" s="23" t="s">
        <v>2681</v>
      </c>
      <c r="E547" s="24">
        <v>45712</v>
      </c>
      <c r="F547" s="23" t="s">
        <v>2653</v>
      </c>
      <c r="G547" s="23" t="s">
        <v>2654</v>
      </c>
      <c r="H547" s="23">
        <v>0</v>
      </c>
      <c r="I547" s="9">
        <f>COUNTIF(Data1_Clean!$I$2:I1000,A547)</f>
        <v>0</v>
      </c>
    </row>
    <row r="548" spans="1:9">
      <c r="A548" s="22" t="s">
        <v>2402</v>
      </c>
      <c r="B548" s="23" t="s">
        <v>1370</v>
      </c>
      <c r="C548" s="23">
        <v>56</v>
      </c>
      <c r="D548" s="23" t="s">
        <v>2681</v>
      </c>
      <c r="E548" s="24">
        <v>45718</v>
      </c>
      <c r="F548" s="23" t="s">
        <v>2653</v>
      </c>
      <c r="G548" s="23" t="s">
        <v>2656</v>
      </c>
      <c r="H548" s="23">
        <v>1</v>
      </c>
      <c r="I548" s="9">
        <f>COUNTIF(Data1_Clean!$I$2:I1000,A548)</f>
        <v>0</v>
      </c>
    </row>
    <row r="549" spans="1:9">
      <c r="A549" s="22" t="s">
        <v>343</v>
      </c>
      <c r="B549" s="23" t="s">
        <v>1176</v>
      </c>
      <c r="C549" s="23">
        <v>54</v>
      </c>
      <c r="D549" s="23" t="s">
        <v>2681</v>
      </c>
      <c r="E549" s="24">
        <v>45718</v>
      </c>
      <c r="F549" s="23" t="s">
        <v>2653</v>
      </c>
      <c r="G549" s="23" t="s">
        <v>2656</v>
      </c>
      <c r="H549" s="23">
        <v>3</v>
      </c>
      <c r="I549" s="9">
        <f>COUNTIF(Data1_Clean!$I$2:I1000,A549)</f>
        <v>1</v>
      </c>
    </row>
    <row r="550" spans="1:9">
      <c r="A550" s="22" t="s">
        <v>2647</v>
      </c>
      <c r="B550" s="23" t="s">
        <v>1176</v>
      </c>
      <c r="C550" s="23">
        <v>35</v>
      </c>
      <c r="D550" s="23" t="s">
        <v>2681</v>
      </c>
      <c r="E550" s="24">
        <v>45731</v>
      </c>
      <c r="F550" s="23" t="s">
        <v>2655</v>
      </c>
      <c r="G550" s="23" t="s">
        <v>2654</v>
      </c>
      <c r="H550" s="23">
        <v>0</v>
      </c>
      <c r="I550" s="9">
        <f>COUNTIF(Data1_Clean!$I$2:I1000,A550)</f>
        <v>0</v>
      </c>
    </row>
    <row r="551" spans="1:9">
      <c r="A551" s="22" t="s">
        <v>314</v>
      </c>
      <c r="B551" s="23" t="s">
        <v>1176</v>
      </c>
      <c r="C551" s="23">
        <v>42</v>
      </c>
      <c r="D551" s="23" t="s">
        <v>2681</v>
      </c>
      <c r="E551" s="24">
        <v>45738</v>
      </c>
      <c r="F551" s="23" t="s">
        <v>2655</v>
      </c>
      <c r="G551" s="23" t="s">
        <v>2656</v>
      </c>
      <c r="H551" s="23">
        <v>3</v>
      </c>
      <c r="I551" s="9">
        <f>COUNTIF(Data1_Clean!$I$2:I1000,A551)</f>
        <v>5</v>
      </c>
    </row>
    <row r="552" spans="1:9">
      <c r="A552" s="22" t="s">
        <v>1989</v>
      </c>
      <c r="B552" s="23" t="s">
        <v>1176</v>
      </c>
      <c r="C552" s="23">
        <v>24</v>
      </c>
      <c r="D552" s="23" t="s">
        <v>2681</v>
      </c>
      <c r="E552" s="24">
        <v>45742</v>
      </c>
      <c r="F552" s="23" t="s">
        <v>2655</v>
      </c>
      <c r="G552" s="23" t="s">
        <v>2654</v>
      </c>
      <c r="H552" s="23">
        <v>0</v>
      </c>
      <c r="I552" s="9">
        <f>COUNTIF(Data1_Clean!$I$2:I1000,A552)</f>
        <v>2</v>
      </c>
    </row>
    <row r="553" spans="1:9">
      <c r="A553" s="22" t="s">
        <v>2375</v>
      </c>
      <c r="B553" s="23" t="s">
        <v>1176</v>
      </c>
      <c r="C553" s="23">
        <v>20</v>
      </c>
      <c r="D553" s="23" t="s">
        <v>2681</v>
      </c>
      <c r="E553" s="24">
        <v>45746</v>
      </c>
      <c r="F553" s="23" t="s">
        <v>2653</v>
      </c>
      <c r="G553" s="23" t="s">
        <v>2654</v>
      </c>
      <c r="H553" s="23">
        <v>0</v>
      </c>
      <c r="I553" s="9">
        <f>COUNTIF(Data1_Clean!$I$2:I1000,A553)</f>
        <v>0</v>
      </c>
    </row>
    <row r="554" spans="1:9">
      <c r="A554" s="22" t="s">
        <v>2412</v>
      </c>
      <c r="B554" s="23" t="s">
        <v>1370</v>
      </c>
      <c r="C554" s="23">
        <v>49</v>
      </c>
      <c r="D554" s="23" t="s">
        <v>2682</v>
      </c>
      <c r="E554" s="24">
        <v>45561</v>
      </c>
      <c r="F554" s="23" t="s">
        <v>2655</v>
      </c>
      <c r="G554" s="23" t="s">
        <v>2654</v>
      </c>
      <c r="H554" s="23">
        <v>0</v>
      </c>
      <c r="I554" s="9">
        <f>COUNTIF(Data1_Clean!$I$2:I1000,A554)</f>
        <v>0</v>
      </c>
    </row>
    <row r="555" spans="1:9">
      <c r="A555" s="22" t="s">
        <v>423</v>
      </c>
      <c r="B555" s="23" t="s">
        <v>1176</v>
      </c>
      <c r="C555" s="23">
        <v>35</v>
      </c>
      <c r="D555" s="23" t="s">
        <v>2682</v>
      </c>
      <c r="E555" s="24">
        <v>45598</v>
      </c>
      <c r="F555" s="23" t="s">
        <v>2653</v>
      </c>
      <c r="G555" s="23" t="s">
        <v>2656</v>
      </c>
      <c r="H555" s="23">
        <v>1</v>
      </c>
      <c r="I555" s="9">
        <f>COUNTIF(Data1_Clean!$I$2:I1000,A555)</f>
        <v>1</v>
      </c>
    </row>
    <row r="556" spans="1:9">
      <c r="A556" s="22" t="s">
        <v>824</v>
      </c>
      <c r="B556" s="23" t="s">
        <v>1176</v>
      </c>
      <c r="C556" s="23">
        <v>47</v>
      </c>
      <c r="D556" s="23" t="s">
        <v>2682</v>
      </c>
      <c r="E556" s="24">
        <v>45598</v>
      </c>
      <c r="F556" s="23" t="s">
        <v>2655</v>
      </c>
      <c r="G556" s="23" t="s">
        <v>2656</v>
      </c>
      <c r="H556" s="23">
        <v>4</v>
      </c>
      <c r="I556" s="9">
        <f>COUNTIF(Data1_Clean!$I$2:I1000,A556)</f>
        <v>2</v>
      </c>
    </row>
    <row r="557" spans="1:9">
      <c r="A557" s="22" t="s">
        <v>2542</v>
      </c>
      <c r="B557" s="23" t="s">
        <v>1176</v>
      </c>
      <c r="C557" s="23">
        <v>30</v>
      </c>
      <c r="D557" s="23" t="s">
        <v>2682</v>
      </c>
      <c r="E557" s="24">
        <v>45599</v>
      </c>
      <c r="F557" s="23" t="s">
        <v>2655</v>
      </c>
      <c r="G557" s="23" t="s">
        <v>2654</v>
      </c>
      <c r="H557" s="23">
        <v>0</v>
      </c>
      <c r="I557" s="9">
        <f>COUNTIF(Data1_Clean!$I$2:I1000,A557)</f>
        <v>0</v>
      </c>
    </row>
    <row r="558" spans="1:9">
      <c r="A558" s="22" t="s">
        <v>2477</v>
      </c>
      <c r="B558" s="23" t="s">
        <v>1370</v>
      </c>
      <c r="C558" s="23">
        <v>35</v>
      </c>
      <c r="D558" s="23" t="s">
        <v>2682</v>
      </c>
      <c r="E558" s="24">
        <v>45617</v>
      </c>
      <c r="F558" s="23" t="s">
        <v>2655</v>
      </c>
      <c r="G558" s="23" t="s">
        <v>2656</v>
      </c>
      <c r="H558" s="23">
        <v>2</v>
      </c>
      <c r="I558" s="9">
        <f>COUNTIF(Data1_Clean!$I$2:I1000,A558)</f>
        <v>0</v>
      </c>
    </row>
    <row r="559" spans="1:9">
      <c r="A559" s="22" t="s">
        <v>2552</v>
      </c>
      <c r="B559" s="23" t="s">
        <v>1176</v>
      </c>
      <c r="C559" s="23">
        <v>59</v>
      </c>
      <c r="D559" s="23" t="s">
        <v>2682</v>
      </c>
      <c r="E559" s="24">
        <v>45638</v>
      </c>
      <c r="F559" s="23" t="s">
        <v>2653</v>
      </c>
      <c r="G559" s="23" t="s">
        <v>2656</v>
      </c>
      <c r="H559" s="23">
        <v>4</v>
      </c>
      <c r="I559" s="9">
        <f>COUNTIF(Data1_Clean!$I$2:I1000,A559)</f>
        <v>0</v>
      </c>
    </row>
    <row r="560" spans="1:9">
      <c r="A560" s="22" t="s">
        <v>2425</v>
      </c>
      <c r="B560" s="23" t="s">
        <v>1370</v>
      </c>
      <c r="C560" s="23">
        <v>63</v>
      </c>
      <c r="D560" s="23" t="s">
        <v>2682</v>
      </c>
      <c r="E560" s="24">
        <v>45665</v>
      </c>
      <c r="F560" s="23" t="s">
        <v>2655</v>
      </c>
      <c r="G560" s="23" t="s">
        <v>2656</v>
      </c>
      <c r="H560" s="23">
        <v>2</v>
      </c>
      <c r="I560" s="9">
        <f>COUNTIF(Data1_Clean!$I$2:I1000,A560)</f>
        <v>0</v>
      </c>
    </row>
    <row r="561" spans="1:9">
      <c r="A561" s="22" t="s">
        <v>1431</v>
      </c>
      <c r="B561" s="23" t="s">
        <v>1176</v>
      </c>
      <c r="C561" s="23">
        <v>53</v>
      </c>
      <c r="D561" s="23" t="s">
        <v>2682</v>
      </c>
      <c r="E561" s="24">
        <v>45674</v>
      </c>
      <c r="F561" s="23" t="s">
        <v>2655</v>
      </c>
      <c r="G561" s="23" t="s">
        <v>2656</v>
      </c>
      <c r="H561" s="23">
        <v>1</v>
      </c>
      <c r="I561" s="9">
        <f>COUNTIF(Data1_Clean!$I$2:I1000,A561)</f>
        <v>1</v>
      </c>
    </row>
    <row r="562" spans="1:9">
      <c r="A562" s="22" t="s">
        <v>743</v>
      </c>
      <c r="B562" s="23" t="s">
        <v>1176</v>
      </c>
      <c r="C562" s="23">
        <v>53</v>
      </c>
      <c r="D562" s="23" t="s">
        <v>2682</v>
      </c>
      <c r="E562" s="24">
        <v>45707</v>
      </c>
      <c r="F562" s="23" t="s">
        <v>2653</v>
      </c>
      <c r="G562" s="23" t="s">
        <v>2656</v>
      </c>
      <c r="H562" s="23">
        <v>1</v>
      </c>
      <c r="I562" s="9">
        <f>COUNTIF(Data1_Clean!$I$2:I1000,A562)</f>
        <v>1</v>
      </c>
    </row>
    <row r="563" spans="1:9">
      <c r="A563" s="22" t="s">
        <v>2453</v>
      </c>
      <c r="B563" s="23" t="s">
        <v>1370</v>
      </c>
      <c r="C563" s="23">
        <v>54</v>
      </c>
      <c r="D563" s="23" t="s">
        <v>2683</v>
      </c>
      <c r="E563" s="24">
        <v>45560</v>
      </c>
      <c r="F563" s="23" t="s">
        <v>2655</v>
      </c>
      <c r="G563" s="23" t="s">
        <v>2654</v>
      </c>
      <c r="H563" s="23">
        <v>0</v>
      </c>
      <c r="I563" s="9">
        <f>COUNTIF(Data1_Clean!$I$2:I1000,A563)</f>
        <v>0</v>
      </c>
    </row>
    <row r="564" spans="1:9">
      <c r="A564" s="22" t="s">
        <v>412</v>
      </c>
      <c r="B564" s="23" t="s">
        <v>1176</v>
      </c>
      <c r="C564" s="23">
        <v>27</v>
      </c>
      <c r="D564" s="23" t="s">
        <v>2683</v>
      </c>
      <c r="E564" s="24">
        <v>45561</v>
      </c>
      <c r="F564" s="23" t="s">
        <v>2653</v>
      </c>
      <c r="G564" s="23" t="s">
        <v>2656</v>
      </c>
      <c r="H564" s="23">
        <v>2</v>
      </c>
      <c r="I564" s="9">
        <f>COUNTIF(Data1_Clean!$I$2:I1000,A564)</f>
        <v>1</v>
      </c>
    </row>
    <row r="565" spans="1:9">
      <c r="A565" s="22" t="s">
        <v>2634</v>
      </c>
      <c r="B565" s="23" t="s">
        <v>1176</v>
      </c>
      <c r="C565" s="23">
        <v>26</v>
      </c>
      <c r="D565" s="23" t="s">
        <v>2683</v>
      </c>
      <c r="E565" s="24">
        <v>45568</v>
      </c>
      <c r="F565" s="23" t="s">
        <v>2653</v>
      </c>
      <c r="G565" s="23" t="s">
        <v>2654</v>
      </c>
      <c r="H565" s="23">
        <v>0</v>
      </c>
      <c r="I565" s="9">
        <f>COUNTIF(Data1_Clean!$I$2:I1000,A565)</f>
        <v>0</v>
      </c>
    </row>
    <row r="566" spans="1:9">
      <c r="A566" s="22" t="s">
        <v>2043</v>
      </c>
      <c r="B566" s="23" t="s">
        <v>1370</v>
      </c>
      <c r="C566" s="23">
        <v>35</v>
      </c>
      <c r="D566" s="23" t="s">
        <v>2683</v>
      </c>
      <c r="E566" s="24">
        <v>45575</v>
      </c>
      <c r="F566" s="23" t="s">
        <v>2653</v>
      </c>
      <c r="G566" s="23" t="s">
        <v>2656</v>
      </c>
      <c r="H566" s="23">
        <v>3</v>
      </c>
      <c r="I566" s="9">
        <f>COUNTIF(Data1_Clean!$I$2:I1000,A566)</f>
        <v>1</v>
      </c>
    </row>
    <row r="567" spans="1:9">
      <c r="A567" s="22" t="s">
        <v>1030</v>
      </c>
      <c r="B567" s="23" t="s">
        <v>1370</v>
      </c>
      <c r="C567" s="23">
        <v>25</v>
      </c>
      <c r="D567" s="23" t="s">
        <v>2683</v>
      </c>
      <c r="E567" s="24">
        <v>45587</v>
      </c>
      <c r="F567" s="23" t="s">
        <v>2655</v>
      </c>
      <c r="G567" s="23" t="s">
        <v>2654</v>
      </c>
      <c r="H567" s="23">
        <v>0</v>
      </c>
      <c r="I567" s="9">
        <f>COUNTIF(Data1_Clean!$I$2:I1000,A567)</f>
        <v>2</v>
      </c>
    </row>
    <row r="568" spans="1:9">
      <c r="A568" s="22" t="s">
        <v>2532</v>
      </c>
      <c r="B568" s="23" t="s">
        <v>1370</v>
      </c>
      <c r="C568" s="23">
        <v>23</v>
      </c>
      <c r="D568" s="23" t="s">
        <v>2683</v>
      </c>
      <c r="E568" s="24">
        <v>45594</v>
      </c>
      <c r="F568" s="23" t="s">
        <v>2653</v>
      </c>
      <c r="G568" s="23" t="s">
        <v>2656</v>
      </c>
      <c r="H568" s="23">
        <v>4</v>
      </c>
      <c r="I568" s="9">
        <f>COUNTIF(Data1_Clean!$I$2:I1000,A568)</f>
        <v>0</v>
      </c>
    </row>
    <row r="569" spans="1:9">
      <c r="A569" s="22" t="s">
        <v>796</v>
      </c>
      <c r="B569" s="23" t="s">
        <v>1370</v>
      </c>
      <c r="C569" s="23">
        <v>42</v>
      </c>
      <c r="D569" s="23" t="s">
        <v>2683</v>
      </c>
      <c r="E569" s="24">
        <v>45604</v>
      </c>
      <c r="F569" s="23" t="s">
        <v>2655</v>
      </c>
      <c r="G569" s="23" t="s">
        <v>2654</v>
      </c>
      <c r="H569" s="23">
        <v>0</v>
      </c>
      <c r="I569" s="9">
        <f>COUNTIF(Data1_Clean!$I$2:I1000,A569)</f>
        <v>1</v>
      </c>
    </row>
    <row r="570" spans="1:9">
      <c r="A570" s="22" t="s">
        <v>397</v>
      </c>
      <c r="B570" s="23" t="s">
        <v>1370</v>
      </c>
      <c r="C570" s="23">
        <v>55</v>
      </c>
      <c r="D570" s="23" t="s">
        <v>2683</v>
      </c>
      <c r="E570" s="24">
        <v>45628</v>
      </c>
      <c r="F570" s="23" t="s">
        <v>2653</v>
      </c>
      <c r="G570" s="23" t="s">
        <v>2654</v>
      </c>
      <c r="H570" s="23">
        <v>0</v>
      </c>
      <c r="I570" s="9">
        <f>COUNTIF(Data1_Clean!$I$2:I1000,A570)</f>
        <v>3</v>
      </c>
    </row>
    <row r="571" spans="1:9">
      <c r="A571" s="22" t="s">
        <v>2398</v>
      </c>
      <c r="B571" s="23" t="s">
        <v>1370</v>
      </c>
      <c r="C571" s="23">
        <v>33</v>
      </c>
      <c r="D571" s="23" t="s">
        <v>2683</v>
      </c>
      <c r="E571" s="24">
        <v>45634</v>
      </c>
      <c r="F571" s="23" t="s">
        <v>2655</v>
      </c>
      <c r="G571" s="23" t="s">
        <v>2656</v>
      </c>
      <c r="H571" s="23">
        <v>4</v>
      </c>
      <c r="I571" s="9">
        <f>COUNTIF(Data1_Clean!$I$2:I1000,A571)</f>
        <v>0</v>
      </c>
    </row>
    <row r="572" spans="1:9">
      <c r="A572" s="22" t="s">
        <v>2011</v>
      </c>
      <c r="B572" s="23" t="s">
        <v>1176</v>
      </c>
      <c r="C572" s="23">
        <v>58</v>
      </c>
      <c r="D572" s="23" t="s">
        <v>2683</v>
      </c>
      <c r="E572" s="24">
        <v>45635</v>
      </c>
      <c r="F572" s="23" t="s">
        <v>2653</v>
      </c>
      <c r="G572" s="23" t="s">
        <v>2654</v>
      </c>
      <c r="H572" s="23">
        <v>0</v>
      </c>
      <c r="I572" s="9">
        <f>COUNTIF(Data1_Clean!$I$2:I1000,A572)</f>
        <v>1</v>
      </c>
    </row>
    <row r="573" spans="1:9">
      <c r="A573" s="22" t="s">
        <v>2539</v>
      </c>
      <c r="B573" s="23" t="s">
        <v>1176</v>
      </c>
      <c r="C573" s="23">
        <v>58</v>
      </c>
      <c r="D573" s="23" t="s">
        <v>2683</v>
      </c>
      <c r="E573" s="24">
        <v>45642</v>
      </c>
      <c r="F573" s="23" t="s">
        <v>2655</v>
      </c>
      <c r="G573" s="23" t="s">
        <v>2656</v>
      </c>
      <c r="H573" s="23">
        <v>4</v>
      </c>
      <c r="I573" s="9">
        <f>COUNTIF(Data1_Clean!$I$2:I1000,A573)</f>
        <v>0</v>
      </c>
    </row>
    <row r="574" spans="1:9">
      <c r="A574" s="22" t="s">
        <v>1215</v>
      </c>
      <c r="B574" s="23" t="s">
        <v>1370</v>
      </c>
      <c r="C574" s="23">
        <v>33</v>
      </c>
      <c r="D574" s="23" t="s">
        <v>2683</v>
      </c>
      <c r="E574" s="24">
        <v>45645</v>
      </c>
      <c r="F574" s="23" t="s">
        <v>2653</v>
      </c>
      <c r="G574" s="23" t="s">
        <v>2656</v>
      </c>
      <c r="H574" s="23">
        <v>2</v>
      </c>
      <c r="I574" s="9">
        <f>COUNTIF(Data1_Clean!$I$2:I1000,A574)</f>
        <v>2</v>
      </c>
    </row>
    <row r="575" spans="1:9">
      <c r="A575" s="22" t="s">
        <v>1937</v>
      </c>
      <c r="B575" s="23" t="s">
        <v>1370</v>
      </c>
      <c r="C575" s="23">
        <v>60</v>
      </c>
      <c r="D575" s="23" t="s">
        <v>2683</v>
      </c>
      <c r="E575" s="24">
        <v>45647</v>
      </c>
      <c r="F575" s="23" t="s">
        <v>2655</v>
      </c>
      <c r="G575" s="23" t="s">
        <v>2656</v>
      </c>
      <c r="H575" s="23">
        <v>4</v>
      </c>
      <c r="I575" s="9">
        <f>COUNTIF(Data1_Clean!$I$2:I1000,A575)</f>
        <v>1</v>
      </c>
    </row>
    <row r="576" spans="1:9">
      <c r="A576" s="22" t="s">
        <v>1951</v>
      </c>
      <c r="B576" s="23" t="s">
        <v>1176</v>
      </c>
      <c r="C576" s="23">
        <v>53</v>
      </c>
      <c r="D576" s="23" t="s">
        <v>2683</v>
      </c>
      <c r="E576" s="24">
        <v>45650</v>
      </c>
      <c r="F576" s="23" t="s">
        <v>2655</v>
      </c>
      <c r="G576" s="23" t="s">
        <v>2656</v>
      </c>
      <c r="H576" s="23">
        <v>2</v>
      </c>
      <c r="I576" s="9">
        <f>COUNTIF(Data1_Clean!$I$2:I1000,A576)</f>
        <v>1</v>
      </c>
    </row>
    <row r="577" spans="1:9">
      <c r="A577" s="22" t="s">
        <v>367</v>
      </c>
      <c r="B577" s="23" t="s">
        <v>1176</v>
      </c>
      <c r="C577" s="23">
        <v>60</v>
      </c>
      <c r="D577" s="23" t="s">
        <v>2683</v>
      </c>
      <c r="E577" s="24">
        <v>45660</v>
      </c>
      <c r="F577" s="23" t="s">
        <v>2653</v>
      </c>
      <c r="G577" s="23" t="s">
        <v>2654</v>
      </c>
      <c r="H577" s="23">
        <v>0</v>
      </c>
      <c r="I577" s="9">
        <f>COUNTIF(Data1_Clean!$I$2:I1000,A577)</f>
        <v>2</v>
      </c>
    </row>
    <row r="578" spans="1:9">
      <c r="A578" s="22" t="s">
        <v>2640</v>
      </c>
      <c r="B578" s="23" t="s">
        <v>1176</v>
      </c>
      <c r="C578" s="23">
        <v>26</v>
      </c>
      <c r="D578" s="23" t="s">
        <v>2683</v>
      </c>
      <c r="E578" s="24">
        <v>45665</v>
      </c>
      <c r="F578" s="23" t="s">
        <v>2653</v>
      </c>
      <c r="G578" s="23" t="s">
        <v>2654</v>
      </c>
      <c r="H578" s="23">
        <v>0</v>
      </c>
      <c r="I578" s="9">
        <f>COUNTIF(Data1_Clean!$I$2:I1000,A578)</f>
        <v>0</v>
      </c>
    </row>
    <row r="579" spans="1:9">
      <c r="A579" s="22" t="s">
        <v>169</v>
      </c>
      <c r="B579" s="23" t="s">
        <v>1176</v>
      </c>
      <c r="C579" s="23">
        <v>20</v>
      </c>
      <c r="D579" s="23" t="s">
        <v>2683</v>
      </c>
      <c r="E579" s="24">
        <v>45672</v>
      </c>
      <c r="F579" s="23" t="s">
        <v>2655</v>
      </c>
      <c r="G579" s="23" t="s">
        <v>2656</v>
      </c>
      <c r="H579" s="23">
        <v>1</v>
      </c>
      <c r="I579" s="9">
        <f>COUNTIF(Data1_Clean!$I$2:I1000,A579)</f>
        <v>1</v>
      </c>
    </row>
    <row r="580" spans="1:9">
      <c r="A580" s="22" t="s">
        <v>353</v>
      </c>
      <c r="B580" s="23" t="s">
        <v>1370</v>
      </c>
      <c r="C580" s="23">
        <v>35</v>
      </c>
      <c r="D580" s="23" t="s">
        <v>2683</v>
      </c>
      <c r="E580" s="24">
        <v>45683</v>
      </c>
      <c r="F580" s="23" t="s">
        <v>2653</v>
      </c>
      <c r="G580" s="23" t="s">
        <v>2654</v>
      </c>
      <c r="H580" s="23">
        <v>0</v>
      </c>
      <c r="I580" s="9">
        <f>COUNTIF(Data1_Clean!$I$2:I1000,A580)</f>
        <v>2</v>
      </c>
    </row>
    <row r="581" spans="1:9">
      <c r="A581" s="22" t="s">
        <v>1819</v>
      </c>
      <c r="B581" s="23" t="s">
        <v>1176</v>
      </c>
      <c r="C581" s="23">
        <v>44</v>
      </c>
      <c r="D581" s="23" t="s">
        <v>2683</v>
      </c>
      <c r="E581" s="24">
        <v>45694</v>
      </c>
      <c r="F581" s="23" t="s">
        <v>2653</v>
      </c>
      <c r="G581" s="23" t="s">
        <v>2656</v>
      </c>
      <c r="H581" s="23">
        <v>4</v>
      </c>
      <c r="I581" s="9">
        <f>COUNTIF(Data1_Clean!$I$2:I1000,A581)</f>
        <v>1</v>
      </c>
    </row>
    <row r="582" spans="1:9">
      <c r="A582" s="22" t="s">
        <v>1142</v>
      </c>
      <c r="B582" s="23" t="s">
        <v>1370</v>
      </c>
      <c r="C582" s="23">
        <v>37</v>
      </c>
      <c r="D582" s="23" t="s">
        <v>2683</v>
      </c>
      <c r="E582" s="24">
        <v>45714</v>
      </c>
      <c r="F582" s="23" t="s">
        <v>2653</v>
      </c>
      <c r="G582" s="23" t="s">
        <v>2654</v>
      </c>
      <c r="H582" s="23">
        <v>0</v>
      </c>
      <c r="I582" s="9">
        <f>COUNTIF(Data1_Clean!$I$2:I1000,A582)</f>
        <v>1</v>
      </c>
    </row>
    <row r="583" spans="1:9">
      <c r="A583" s="22" t="s">
        <v>2437</v>
      </c>
      <c r="B583" s="23" t="s">
        <v>1176</v>
      </c>
      <c r="C583" s="23">
        <v>65</v>
      </c>
      <c r="D583" s="23" t="s">
        <v>2683</v>
      </c>
      <c r="E583" s="24">
        <v>45723</v>
      </c>
      <c r="F583" s="23" t="s">
        <v>2653</v>
      </c>
      <c r="G583" s="23" t="s">
        <v>2656</v>
      </c>
      <c r="H583" s="23">
        <v>4</v>
      </c>
      <c r="I583" s="9">
        <f>COUNTIF(Data1_Clean!$I$2:I1000,A583)</f>
        <v>0</v>
      </c>
    </row>
    <row r="584" spans="1:9">
      <c r="A584" s="22" t="s">
        <v>2603</v>
      </c>
      <c r="B584" s="23" t="s">
        <v>1176</v>
      </c>
      <c r="C584" s="23">
        <v>24</v>
      </c>
      <c r="D584" s="23" t="s">
        <v>417</v>
      </c>
      <c r="E584" s="24">
        <v>45540</v>
      </c>
      <c r="F584" s="23" t="s">
        <v>2653</v>
      </c>
      <c r="G584" s="23" t="s">
        <v>2654</v>
      </c>
      <c r="H584" s="23">
        <v>0</v>
      </c>
      <c r="I584" s="9">
        <f>COUNTIF(Data1_Clean!$I$2:I1000,A584)</f>
        <v>0</v>
      </c>
    </row>
    <row r="585" spans="1:9">
      <c r="A585" s="22" t="s">
        <v>2322</v>
      </c>
      <c r="B585" s="23" t="s">
        <v>1176</v>
      </c>
      <c r="C585" s="23">
        <v>20</v>
      </c>
      <c r="D585" s="23" t="s">
        <v>417</v>
      </c>
      <c r="E585" s="24">
        <v>45560</v>
      </c>
      <c r="F585" s="23" t="s">
        <v>2653</v>
      </c>
      <c r="G585" s="23" t="s">
        <v>2656</v>
      </c>
      <c r="H585" s="23">
        <v>3</v>
      </c>
      <c r="I585" s="9">
        <f>COUNTIF(Data1_Clean!$I$2:I1000,A585)</f>
        <v>1</v>
      </c>
    </row>
    <row r="586" spans="1:9">
      <c r="A586" s="22" t="s">
        <v>2486</v>
      </c>
      <c r="B586" s="23" t="s">
        <v>1176</v>
      </c>
      <c r="C586" s="23">
        <v>37</v>
      </c>
      <c r="D586" s="23" t="s">
        <v>417</v>
      </c>
      <c r="E586" s="24">
        <v>45596</v>
      </c>
      <c r="F586" s="23" t="s">
        <v>2653</v>
      </c>
      <c r="G586" s="23" t="s">
        <v>2654</v>
      </c>
      <c r="H586" s="23">
        <v>0</v>
      </c>
      <c r="I586" s="9">
        <f>COUNTIF(Data1_Clean!$I$2:I1000,A586)</f>
        <v>0</v>
      </c>
    </row>
    <row r="587" spans="1:9">
      <c r="A587" s="22" t="s">
        <v>2505</v>
      </c>
      <c r="B587" s="23" t="s">
        <v>1370</v>
      </c>
      <c r="C587" s="23">
        <v>50</v>
      </c>
      <c r="D587" s="23" t="s">
        <v>417</v>
      </c>
      <c r="E587" s="24">
        <v>45622</v>
      </c>
      <c r="F587" s="23" t="s">
        <v>2655</v>
      </c>
      <c r="G587" s="23" t="s">
        <v>2654</v>
      </c>
      <c r="H587" s="23">
        <v>0</v>
      </c>
      <c r="I587" s="9">
        <f>COUNTIF(Data1_Clean!$I$2:I1000,A587)</f>
        <v>0</v>
      </c>
    </row>
    <row r="588" spans="1:9">
      <c r="A588" s="22" t="s">
        <v>2556</v>
      </c>
      <c r="B588" s="23" t="s">
        <v>1370</v>
      </c>
      <c r="C588" s="23">
        <v>44</v>
      </c>
      <c r="D588" s="23" t="s">
        <v>417</v>
      </c>
      <c r="E588" s="24">
        <v>45658</v>
      </c>
      <c r="F588" s="23" t="s">
        <v>2655</v>
      </c>
      <c r="G588" s="23" t="s">
        <v>2654</v>
      </c>
      <c r="H588" s="23">
        <v>0</v>
      </c>
      <c r="I588" s="9">
        <f>COUNTIF(Data1_Clean!$I$2:I1000,A588)</f>
        <v>0</v>
      </c>
    </row>
    <row r="589" spans="1:9">
      <c r="A589" s="22" t="s">
        <v>1213</v>
      </c>
      <c r="B589" s="23" t="s">
        <v>1176</v>
      </c>
      <c r="C589" s="23">
        <v>22</v>
      </c>
      <c r="D589" s="23" t="s">
        <v>417</v>
      </c>
      <c r="E589" s="24">
        <v>45692</v>
      </c>
      <c r="F589" s="23" t="s">
        <v>2653</v>
      </c>
      <c r="G589" s="23" t="s">
        <v>2654</v>
      </c>
      <c r="H589" s="23">
        <v>0</v>
      </c>
      <c r="I589" s="9">
        <f>COUNTIF(Data1_Clean!$I$2:I1000,A589)</f>
        <v>1</v>
      </c>
    </row>
    <row r="590" spans="1:9">
      <c r="A590" s="22" t="s">
        <v>250</v>
      </c>
      <c r="B590" s="23" t="s">
        <v>1370</v>
      </c>
      <c r="C590" s="23">
        <v>56</v>
      </c>
      <c r="D590" s="23" t="s">
        <v>417</v>
      </c>
      <c r="E590" s="24">
        <v>45695</v>
      </c>
      <c r="F590" s="23" t="s">
        <v>2653</v>
      </c>
      <c r="G590" s="23" t="s">
        <v>2656</v>
      </c>
      <c r="H590" s="23">
        <v>4</v>
      </c>
      <c r="I590" s="9">
        <f>COUNTIF(Data1_Clean!$I$2:I1000,A590)</f>
        <v>2</v>
      </c>
    </row>
    <row r="591" spans="1:9">
      <c r="A591" s="22" t="s">
        <v>1606</v>
      </c>
      <c r="B591" s="23" t="s">
        <v>1176</v>
      </c>
      <c r="C591" s="23">
        <v>64</v>
      </c>
      <c r="D591" s="23" t="s">
        <v>417</v>
      </c>
      <c r="E591" s="24">
        <v>45717</v>
      </c>
      <c r="F591" s="23" t="s">
        <v>2653</v>
      </c>
      <c r="G591" s="23" t="s">
        <v>2654</v>
      </c>
      <c r="H591" s="23">
        <v>0</v>
      </c>
      <c r="I591" s="9">
        <f>COUNTIF(Data1_Clean!$I$2:I1000,A591)</f>
        <v>1</v>
      </c>
    </row>
    <row r="592" spans="1:9">
      <c r="A592" s="22" t="s">
        <v>2377</v>
      </c>
      <c r="B592" s="23" t="s">
        <v>1370</v>
      </c>
      <c r="C592" s="23">
        <v>44</v>
      </c>
      <c r="D592" s="23" t="s">
        <v>417</v>
      </c>
      <c r="E592" s="24">
        <v>45720</v>
      </c>
      <c r="F592" s="23" t="s">
        <v>2655</v>
      </c>
      <c r="G592" s="23" t="s">
        <v>2654</v>
      </c>
      <c r="H592" s="23">
        <v>0</v>
      </c>
      <c r="I592" s="9">
        <f>COUNTIF(Data1_Clean!$I$2:I1000,A592)</f>
        <v>0</v>
      </c>
    </row>
    <row r="593" spans="1:9">
      <c r="A593" s="22" t="s">
        <v>776</v>
      </c>
      <c r="B593" s="23" t="s">
        <v>1176</v>
      </c>
      <c r="C593" s="23">
        <v>63</v>
      </c>
      <c r="D593" s="23" t="s">
        <v>417</v>
      </c>
      <c r="E593" s="24">
        <v>45720</v>
      </c>
      <c r="F593" s="23" t="s">
        <v>2653</v>
      </c>
      <c r="G593" s="23" t="s">
        <v>2654</v>
      </c>
      <c r="H593" s="23">
        <v>0</v>
      </c>
      <c r="I593" s="9">
        <f>COUNTIF(Data1_Clean!$I$2:I1000,A593)</f>
        <v>3</v>
      </c>
    </row>
    <row r="594" spans="1:9">
      <c r="A594" s="22" t="s">
        <v>2330</v>
      </c>
      <c r="B594" s="23" t="s">
        <v>1176</v>
      </c>
      <c r="C594" s="23">
        <v>38</v>
      </c>
      <c r="D594" s="23" t="s">
        <v>2684</v>
      </c>
      <c r="E594" s="24">
        <v>45540</v>
      </c>
      <c r="F594" s="23" t="s">
        <v>2653</v>
      </c>
      <c r="G594" s="23" t="s">
        <v>2656</v>
      </c>
      <c r="H594" s="23">
        <v>3</v>
      </c>
      <c r="I594" s="9">
        <f>COUNTIF(Data1_Clean!$I$2:I1000,A594)</f>
        <v>1</v>
      </c>
    </row>
    <row r="595" spans="1:9">
      <c r="A595" s="22" t="s">
        <v>433</v>
      </c>
      <c r="B595" s="23" t="s">
        <v>1176</v>
      </c>
      <c r="C595" s="23">
        <v>61</v>
      </c>
      <c r="D595" s="23" t="s">
        <v>2684</v>
      </c>
      <c r="E595" s="24">
        <v>45545</v>
      </c>
      <c r="F595" s="23" t="s">
        <v>2653</v>
      </c>
      <c r="G595" s="23" t="s">
        <v>2654</v>
      </c>
      <c r="H595" s="23">
        <v>0</v>
      </c>
      <c r="I595" s="9">
        <f>COUNTIF(Data1_Clean!$I$2:I1000,A595)</f>
        <v>2</v>
      </c>
    </row>
    <row r="596" spans="1:9">
      <c r="A596" s="22" t="s">
        <v>263</v>
      </c>
      <c r="B596" s="23" t="s">
        <v>1370</v>
      </c>
      <c r="C596" s="23">
        <v>32</v>
      </c>
      <c r="D596" s="23" t="s">
        <v>2684</v>
      </c>
      <c r="E596" s="24">
        <v>45548</v>
      </c>
      <c r="F596" s="23" t="s">
        <v>2655</v>
      </c>
      <c r="G596" s="23" t="s">
        <v>2654</v>
      </c>
      <c r="H596" s="23">
        <v>0</v>
      </c>
      <c r="I596" s="9">
        <f>COUNTIF(Data1_Clean!$I$2:I1000,A596)</f>
        <v>5</v>
      </c>
    </row>
    <row r="597" spans="1:9">
      <c r="A597" s="22" t="s">
        <v>1569</v>
      </c>
      <c r="B597" s="23" t="s">
        <v>1370</v>
      </c>
      <c r="C597" s="23">
        <v>59</v>
      </c>
      <c r="D597" s="23" t="s">
        <v>2684</v>
      </c>
      <c r="E597" s="24">
        <v>45552</v>
      </c>
      <c r="F597" s="23" t="s">
        <v>2655</v>
      </c>
      <c r="G597" s="23" t="s">
        <v>2656</v>
      </c>
      <c r="H597" s="23">
        <v>3</v>
      </c>
      <c r="I597" s="9">
        <f>COUNTIF(Data1_Clean!$I$2:I1000,A597)</f>
        <v>1</v>
      </c>
    </row>
    <row r="598" spans="1:9">
      <c r="A598" s="22" t="s">
        <v>45</v>
      </c>
      <c r="B598" s="23" t="s">
        <v>1370</v>
      </c>
      <c r="C598" s="23">
        <v>50</v>
      </c>
      <c r="D598" s="23" t="s">
        <v>2684</v>
      </c>
      <c r="E598" s="24">
        <v>45561</v>
      </c>
      <c r="F598" s="23" t="s">
        <v>2653</v>
      </c>
      <c r="G598" s="23" t="s">
        <v>2656</v>
      </c>
      <c r="H598" s="23">
        <v>4</v>
      </c>
      <c r="I598" s="9">
        <f>COUNTIF(Data1_Clean!$I$2:I1000,A598)</f>
        <v>1</v>
      </c>
    </row>
    <row r="599" spans="1:9">
      <c r="A599" s="22" t="s">
        <v>1090</v>
      </c>
      <c r="B599" s="23" t="s">
        <v>1370</v>
      </c>
      <c r="C599" s="23">
        <v>45</v>
      </c>
      <c r="D599" s="23" t="s">
        <v>2684</v>
      </c>
      <c r="E599" s="24">
        <v>45567</v>
      </c>
      <c r="F599" s="23" t="s">
        <v>2653</v>
      </c>
      <c r="G599" s="23" t="s">
        <v>2654</v>
      </c>
      <c r="H599" s="23">
        <v>0</v>
      </c>
      <c r="I599" s="9">
        <f>COUNTIF(Data1_Clean!$I$2:I1000,A599)</f>
        <v>1</v>
      </c>
    </row>
    <row r="600" spans="1:9">
      <c r="A600" s="22" t="s">
        <v>2423</v>
      </c>
      <c r="B600" s="23" t="s">
        <v>1370</v>
      </c>
      <c r="C600" s="23">
        <v>45</v>
      </c>
      <c r="D600" s="23" t="s">
        <v>2684</v>
      </c>
      <c r="E600" s="24">
        <v>45567</v>
      </c>
      <c r="F600" s="23" t="s">
        <v>2653</v>
      </c>
      <c r="G600" s="23" t="s">
        <v>2654</v>
      </c>
      <c r="H600" s="23">
        <v>0</v>
      </c>
      <c r="I600" s="9">
        <f>COUNTIF(Data1_Clean!$I$2:I1000,A600)</f>
        <v>0</v>
      </c>
    </row>
    <row r="601" spans="1:9">
      <c r="A601" s="22" t="s">
        <v>2389</v>
      </c>
      <c r="B601" s="23" t="s">
        <v>1370</v>
      </c>
      <c r="C601" s="23">
        <v>40</v>
      </c>
      <c r="D601" s="23" t="s">
        <v>2684</v>
      </c>
      <c r="E601" s="24">
        <v>45584</v>
      </c>
      <c r="F601" s="23" t="s">
        <v>2655</v>
      </c>
      <c r="G601" s="23" t="s">
        <v>2656</v>
      </c>
      <c r="H601" s="23">
        <v>3</v>
      </c>
      <c r="I601" s="9">
        <f>COUNTIF(Data1_Clean!$I$2:I1000,A601)</f>
        <v>0</v>
      </c>
    </row>
    <row r="602" spans="1:9">
      <c r="A602" s="22" t="s">
        <v>2426</v>
      </c>
      <c r="B602" s="23" t="s">
        <v>1176</v>
      </c>
      <c r="C602" s="23">
        <v>34</v>
      </c>
      <c r="D602" s="23" t="s">
        <v>2684</v>
      </c>
      <c r="E602" s="24">
        <v>45606</v>
      </c>
      <c r="F602" s="23" t="s">
        <v>2655</v>
      </c>
      <c r="G602" s="23" t="s">
        <v>2656</v>
      </c>
      <c r="H602" s="23">
        <v>1</v>
      </c>
      <c r="I602" s="9">
        <f>COUNTIF(Data1_Clean!$I$2:I1000,A602)</f>
        <v>0</v>
      </c>
    </row>
    <row r="603" spans="1:9">
      <c r="A603" s="22" t="s">
        <v>1383</v>
      </c>
      <c r="B603" s="23" t="s">
        <v>1370</v>
      </c>
      <c r="C603" s="23">
        <v>43</v>
      </c>
      <c r="D603" s="23" t="s">
        <v>2684</v>
      </c>
      <c r="E603" s="24">
        <v>45617</v>
      </c>
      <c r="F603" s="23" t="s">
        <v>2655</v>
      </c>
      <c r="G603" s="23" t="s">
        <v>2656</v>
      </c>
      <c r="H603" s="23">
        <v>4</v>
      </c>
      <c r="I603" s="9">
        <f>COUNTIF(Data1_Clean!$I$2:I1000,A603)</f>
        <v>3</v>
      </c>
    </row>
    <row r="604" spans="1:9">
      <c r="A604" s="22" t="s">
        <v>2465</v>
      </c>
      <c r="B604" s="23" t="s">
        <v>1176</v>
      </c>
      <c r="C604" s="23">
        <v>43</v>
      </c>
      <c r="D604" s="23" t="s">
        <v>2684</v>
      </c>
      <c r="E604" s="24">
        <v>45701</v>
      </c>
      <c r="F604" s="23" t="s">
        <v>2653</v>
      </c>
      <c r="G604" s="23" t="s">
        <v>2656</v>
      </c>
      <c r="H604" s="23">
        <v>2</v>
      </c>
      <c r="I604" s="9">
        <f>COUNTIF(Data1_Clean!$I$2:I1000,A604)</f>
        <v>0</v>
      </c>
    </row>
    <row r="605" spans="1:9">
      <c r="A605" s="22" t="s">
        <v>2637</v>
      </c>
      <c r="B605" s="23" t="s">
        <v>1176</v>
      </c>
      <c r="C605" s="23">
        <v>62</v>
      </c>
      <c r="D605" s="23" t="s">
        <v>2684</v>
      </c>
      <c r="E605" s="24">
        <v>45724</v>
      </c>
      <c r="F605" s="23" t="s">
        <v>2655</v>
      </c>
      <c r="G605" s="23" t="s">
        <v>2656</v>
      </c>
      <c r="H605" s="23">
        <v>2</v>
      </c>
      <c r="I605" s="9">
        <f>COUNTIF(Data1_Clean!$I$2:I1000,A605)</f>
        <v>0</v>
      </c>
    </row>
    <row r="606" spans="1:9">
      <c r="A606" s="22" t="s">
        <v>2452</v>
      </c>
      <c r="B606" s="23" t="s">
        <v>1176</v>
      </c>
      <c r="C606" s="23">
        <v>32</v>
      </c>
      <c r="D606" s="23" t="s">
        <v>2684</v>
      </c>
      <c r="E606" s="24">
        <v>45732</v>
      </c>
      <c r="F606" s="23" t="s">
        <v>2653</v>
      </c>
      <c r="G606" s="23" t="s">
        <v>2656</v>
      </c>
      <c r="H606" s="23">
        <v>2</v>
      </c>
      <c r="I606" s="9">
        <f>COUNTIF(Data1_Clean!$I$2:I1000,A606)</f>
        <v>0</v>
      </c>
    </row>
    <row r="607" spans="1:9">
      <c r="A607" s="22" t="s">
        <v>1119</v>
      </c>
      <c r="B607" s="23" t="s">
        <v>1370</v>
      </c>
      <c r="C607" s="23">
        <v>31</v>
      </c>
      <c r="D607" s="23" t="s">
        <v>2684</v>
      </c>
      <c r="E607" s="24">
        <v>45733</v>
      </c>
      <c r="F607" s="23" t="s">
        <v>2655</v>
      </c>
      <c r="G607" s="23" t="s">
        <v>2654</v>
      </c>
      <c r="H607" s="23">
        <v>0</v>
      </c>
      <c r="I607" s="9">
        <f>COUNTIF(Data1_Clean!$I$2:I1000,A607)</f>
        <v>1</v>
      </c>
    </row>
    <row r="608" spans="1:9">
      <c r="A608" s="22" t="s">
        <v>853</v>
      </c>
      <c r="B608" s="23" t="s">
        <v>1176</v>
      </c>
      <c r="C608" s="23">
        <v>51</v>
      </c>
      <c r="D608" s="23" t="s">
        <v>2684</v>
      </c>
      <c r="E608" s="24">
        <v>45737</v>
      </c>
      <c r="F608" s="23" t="s">
        <v>2655</v>
      </c>
      <c r="G608" s="23" t="s">
        <v>2656</v>
      </c>
      <c r="H608" s="23">
        <v>4</v>
      </c>
      <c r="I608" s="9">
        <f>COUNTIF(Data1_Clean!$I$2:I1000,A608)</f>
        <v>2</v>
      </c>
    </row>
    <row r="609" spans="1:9">
      <c r="A609" s="22" t="s">
        <v>2572</v>
      </c>
      <c r="B609" s="23" t="s">
        <v>1176</v>
      </c>
      <c r="C609" s="23">
        <v>36</v>
      </c>
      <c r="D609" s="23" t="s">
        <v>2684</v>
      </c>
      <c r="E609" s="24">
        <v>45738</v>
      </c>
      <c r="F609" s="23" t="s">
        <v>2655</v>
      </c>
      <c r="G609" s="23" t="s">
        <v>2654</v>
      </c>
      <c r="H609" s="23">
        <v>0</v>
      </c>
      <c r="I609" s="9">
        <f>COUNTIF(Data1_Clean!$I$2:I1000,A609)</f>
        <v>0</v>
      </c>
    </row>
    <row r="610" spans="1:9">
      <c r="A610" s="22" t="s">
        <v>2443</v>
      </c>
      <c r="B610" s="23" t="s">
        <v>1176</v>
      </c>
      <c r="C610" s="23">
        <v>51</v>
      </c>
      <c r="D610" s="23" t="s">
        <v>2684</v>
      </c>
      <c r="E610" s="24">
        <v>45741</v>
      </c>
      <c r="F610" s="23" t="s">
        <v>2653</v>
      </c>
      <c r="G610" s="23" t="s">
        <v>2656</v>
      </c>
      <c r="H610" s="23">
        <v>3</v>
      </c>
      <c r="I610" s="9">
        <f>COUNTIF(Data1_Clean!$I$2:I1000,A610)</f>
        <v>0</v>
      </c>
    </row>
    <row r="611" spans="1:9">
      <c r="A611" s="22" t="s">
        <v>2562</v>
      </c>
      <c r="B611" s="23" t="s">
        <v>1370</v>
      </c>
      <c r="C611" s="23">
        <v>26</v>
      </c>
      <c r="D611" s="23" t="s">
        <v>2684</v>
      </c>
      <c r="E611" s="24">
        <v>45742</v>
      </c>
      <c r="F611" s="23" t="s">
        <v>2653</v>
      </c>
      <c r="G611" s="23" t="s">
        <v>2656</v>
      </c>
      <c r="H611" s="23">
        <v>1</v>
      </c>
      <c r="I611" s="9">
        <f>COUNTIF(Data1_Clean!$I$2:I1000,A611)</f>
        <v>0</v>
      </c>
    </row>
    <row r="612" spans="1:9">
      <c r="A612" s="22" t="s">
        <v>973</v>
      </c>
      <c r="B612" s="23" t="s">
        <v>1176</v>
      </c>
      <c r="C612" s="23">
        <v>28</v>
      </c>
      <c r="D612" s="23" t="s">
        <v>36</v>
      </c>
      <c r="E612" s="24">
        <v>45536</v>
      </c>
      <c r="F612" s="23" t="s">
        <v>2655</v>
      </c>
      <c r="G612" s="23" t="s">
        <v>2656</v>
      </c>
      <c r="H612" s="23">
        <v>1</v>
      </c>
      <c r="I612" s="9">
        <f>COUNTIF(Data1_Clean!$I$2:I1000,A612)</f>
        <v>2</v>
      </c>
    </row>
    <row r="613" spans="1:9">
      <c r="A613" s="22" t="s">
        <v>616</v>
      </c>
      <c r="B613" s="23" t="s">
        <v>1176</v>
      </c>
      <c r="C613" s="23">
        <v>36</v>
      </c>
      <c r="D613" s="23" t="s">
        <v>36</v>
      </c>
      <c r="E613" s="24">
        <v>45558</v>
      </c>
      <c r="F613" s="23" t="s">
        <v>2655</v>
      </c>
      <c r="G613" s="23" t="s">
        <v>2654</v>
      </c>
      <c r="H613" s="23">
        <v>0</v>
      </c>
      <c r="I613" s="9">
        <f>COUNTIF(Data1_Clean!$I$2:I1000,A613)</f>
        <v>2</v>
      </c>
    </row>
    <row r="614" spans="1:9">
      <c r="A614" s="22" t="s">
        <v>2633</v>
      </c>
      <c r="B614" s="23" t="s">
        <v>1176</v>
      </c>
      <c r="C614" s="23">
        <v>52</v>
      </c>
      <c r="D614" s="23" t="s">
        <v>36</v>
      </c>
      <c r="E614" s="24">
        <v>45573</v>
      </c>
      <c r="F614" s="23" t="s">
        <v>2655</v>
      </c>
      <c r="G614" s="23" t="s">
        <v>2656</v>
      </c>
      <c r="H614" s="23">
        <v>2</v>
      </c>
      <c r="I614" s="9">
        <f>COUNTIF(Data1_Clean!$I$2:I1000,A614)</f>
        <v>0</v>
      </c>
    </row>
    <row r="615" spans="1:9">
      <c r="A615" s="22" t="s">
        <v>2445</v>
      </c>
      <c r="B615" s="23" t="s">
        <v>1370</v>
      </c>
      <c r="C615" s="23">
        <v>64</v>
      </c>
      <c r="D615" s="23" t="s">
        <v>36</v>
      </c>
      <c r="E615" s="24">
        <v>45582</v>
      </c>
      <c r="F615" s="23" t="s">
        <v>2653</v>
      </c>
      <c r="G615" s="23" t="s">
        <v>2656</v>
      </c>
      <c r="H615" s="23">
        <v>1</v>
      </c>
      <c r="I615" s="9">
        <f>COUNTIF(Data1_Clean!$I$2:I1000,A615)</f>
        <v>0</v>
      </c>
    </row>
    <row r="616" spans="1:9">
      <c r="A616" s="22" t="s">
        <v>2420</v>
      </c>
      <c r="B616" s="23" t="s">
        <v>1176</v>
      </c>
      <c r="C616" s="23">
        <v>38</v>
      </c>
      <c r="D616" s="23" t="s">
        <v>36</v>
      </c>
      <c r="E616" s="24">
        <v>45596</v>
      </c>
      <c r="F616" s="23" t="s">
        <v>2653</v>
      </c>
      <c r="G616" s="23" t="s">
        <v>2654</v>
      </c>
      <c r="H616" s="23">
        <v>0</v>
      </c>
      <c r="I616" s="9">
        <f>COUNTIF(Data1_Clean!$I$2:I1000,A616)</f>
        <v>0</v>
      </c>
    </row>
    <row r="617" spans="1:9">
      <c r="A617" s="22" t="s">
        <v>2396</v>
      </c>
      <c r="B617" s="23" t="s">
        <v>1176</v>
      </c>
      <c r="C617" s="23">
        <v>30</v>
      </c>
      <c r="D617" s="23" t="s">
        <v>36</v>
      </c>
      <c r="E617" s="24">
        <v>45622</v>
      </c>
      <c r="F617" s="23" t="s">
        <v>2653</v>
      </c>
      <c r="G617" s="23" t="s">
        <v>2656</v>
      </c>
      <c r="H617" s="23">
        <v>1</v>
      </c>
      <c r="I617" s="9">
        <f>COUNTIF(Data1_Clean!$I$2:I1000,A617)</f>
        <v>0</v>
      </c>
    </row>
    <row r="618" spans="1:9">
      <c r="A618" s="22" t="s">
        <v>1097</v>
      </c>
      <c r="B618" s="23" t="s">
        <v>1176</v>
      </c>
      <c r="C618" s="23">
        <v>45</v>
      </c>
      <c r="D618" s="23" t="s">
        <v>36</v>
      </c>
      <c r="E618" s="24">
        <v>45638</v>
      </c>
      <c r="F618" s="23" t="s">
        <v>2653</v>
      </c>
      <c r="G618" s="23" t="s">
        <v>2656</v>
      </c>
      <c r="H618" s="23">
        <v>1</v>
      </c>
      <c r="I618" s="9">
        <f>COUNTIF(Data1_Clean!$I$2:I1000,A618)</f>
        <v>1</v>
      </c>
    </row>
    <row r="619" spans="1:9">
      <c r="A619" s="22" t="s">
        <v>1151</v>
      </c>
      <c r="B619" s="23" t="s">
        <v>1370</v>
      </c>
      <c r="C619" s="23">
        <v>58</v>
      </c>
      <c r="D619" s="23" t="s">
        <v>36</v>
      </c>
      <c r="E619" s="24">
        <v>45644</v>
      </c>
      <c r="F619" s="23" t="s">
        <v>2655</v>
      </c>
      <c r="G619" s="23" t="s">
        <v>2654</v>
      </c>
      <c r="H619" s="23">
        <v>0</v>
      </c>
      <c r="I619" s="9">
        <f>COUNTIF(Data1_Clean!$I$2:I1000,A619)</f>
        <v>1</v>
      </c>
    </row>
    <row r="620" spans="1:9">
      <c r="A620" s="22" t="s">
        <v>1922</v>
      </c>
      <c r="B620" s="23" t="s">
        <v>1176</v>
      </c>
      <c r="C620" s="23">
        <v>50</v>
      </c>
      <c r="D620" s="23" t="s">
        <v>36</v>
      </c>
      <c r="E620" s="24">
        <v>45650</v>
      </c>
      <c r="F620" s="23" t="s">
        <v>2653</v>
      </c>
      <c r="G620" s="23" t="s">
        <v>2654</v>
      </c>
      <c r="H620" s="23">
        <v>0</v>
      </c>
      <c r="I620" s="9">
        <f>COUNTIF(Data1_Clean!$I$2:I1000,A620)</f>
        <v>1</v>
      </c>
    </row>
    <row r="621" spans="1:9">
      <c r="A621" s="22" t="s">
        <v>1107</v>
      </c>
      <c r="B621" s="23" t="s">
        <v>1176</v>
      </c>
      <c r="C621" s="23">
        <v>64</v>
      </c>
      <c r="D621" s="23" t="s">
        <v>36</v>
      </c>
      <c r="E621" s="24">
        <v>45650</v>
      </c>
      <c r="F621" s="23" t="s">
        <v>2653</v>
      </c>
      <c r="G621" s="23" t="s">
        <v>2654</v>
      </c>
      <c r="H621" s="23">
        <v>0</v>
      </c>
      <c r="I621" s="9">
        <f>COUNTIF(Data1_Clean!$I$2:I1000,A621)</f>
        <v>2</v>
      </c>
    </row>
    <row r="622" spans="1:9">
      <c r="A622" s="22" t="s">
        <v>382</v>
      </c>
      <c r="B622" s="23" t="s">
        <v>1370</v>
      </c>
      <c r="C622" s="23">
        <v>33</v>
      </c>
      <c r="D622" s="23" t="s">
        <v>36</v>
      </c>
      <c r="E622" s="24">
        <v>45669</v>
      </c>
      <c r="F622" s="23" t="s">
        <v>2655</v>
      </c>
      <c r="G622" s="23" t="s">
        <v>2654</v>
      </c>
      <c r="H622" s="23">
        <v>0</v>
      </c>
      <c r="I622" s="9">
        <f>COUNTIF(Data1_Clean!$I$2:I1000,A622)</f>
        <v>1</v>
      </c>
    </row>
    <row r="623" spans="1:9">
      <c r="A623" s="22" t="s">
        <v>2406</v>
      </c>
      <c r="B623" s="23" t="s">
        <v>1176</v>
      </c>
      <c r="C623" s="23">
        <v>33</v>
      </c>
      <c r="D623" s="23" t="s">
        <v>36</v>
      </c>
      <c r="E623" s="24">
        <v>45698</v>
      </c>
      <c r="F623" s="23" t="s">
        <v>2655</v>
      </c>
      <c r="G623" s="23" t="s">
        <v>2654</v>
      </c>
      <c r="H623" s="23">
        <v>0</v>
      </c>
      <c r="I623" s="9">
        <f>COUNTIF(Data1_Clean!$I$2:I1000,A623)</f>
        <v>0</v>
      </c>
    </row>
    <row r="624" spans="1:9">
      <c r="A624" s="22" t="s">
        <v>554</v>
      </c>
      <c r="B624" s="23" t="s">
        <v>1176</v>
      </c>
      <c r="C624" s="23">
        <v>38</v>
      </c>
      <c r="D624" s="23" t="s">
        <v>36</v>
      </c>
      <c r="E624" s="24">
        <v>45710</v>
      </c>
      <c r="F624" s="23" t="s">
        <v>2655</v>
      </c>
      <c r="G624" s="23" t="s">
        <v>2654</v>
      </c>
      <c r="H624" s="23">
        <v>0</v>
      </c>
      <c r="I624" s="9">
        <f>COUNTIF(Data1_Clean!$I$2:I1000,A624)</f>
        <v>2</v>
      </c>
    </row>
    <row r="625" spans="1:9">
      <c r="A625" s="22" t="s">
        <v>2408</v>
      </c>
      <c r="B625" s="23" t="s">
        <v>1176</v>
      </c>
      <c r="C625" s="23">
        <v>53</v>
      </c>
      <c r="D625" s="23" t="s">
        <v>36</v>
      </c>
      <c r="E625" s="24">
        <v>45743</v>
      </c>
      <c r="F625" s="23" t="s">
        <v>2653</v>
      </c>
      <c r="G625" s="23" t="s">
        <v>2656</v>
      </c>
      <c r="H625" s="23">
        <v>2</v>
      </c>
      <c r="I625" s="9">
        <f>COUNTIF(Data1_Clean!$I$2:I1000,A625)</f>
        <v>0</v>
      </c>
    </row>
    <row r="626" spans="1:9">
      <c r="A626" s="22" t="s">
        <v>2432</v>
      </c>
      <c r="B626" s="23" t="s">
        <v>1370</v>
      </c>
      <c r="C626" s="23">
        <v>44</v>
      </c>
      <c r="D626" s="23" t="s">
        <v>2685</v>
      </c>
      <c r="E626" s="24">
        <v>45554</v>
      </c>
      <c r="F626" s="23" t="s">
        <v>2653</v>
      </c>
      <c r="G626" s="23" t="s">
        <v>2656</v>
      </c>
      <c r="H626" s="23">
        <v>1</v>
      </c>
      <c r="I626" s="9">
        <f>COUNTIF(Data1_Clean!$I$2:I1000,A626)</f>
        <v>0</v>
      </c>
    </row>
    <row r="627" spans="1:9">
      <c r="A627" s="22" t="s">
        <v>1177</v>
      </c>
      <c r="B627" s="23" t="s">
        <v>1176</v>
      </c>
      <c r="C627" s="23">
        <v>23</v>
      </c>
      <c r="D627" s="23" t="s">
        <v>2685</v>
      </c>
      <c r="E627" s="24">
        <v>45554</v>
      </c>
      <c r="F627" s="23" t="s">
        <v>2653</v>
      </c>
      <c r="G627" s="23" t="s">
        <v>2656</v>
      </c>
      <c r="H627" s="23">
        <v>4</v>
      </c>
      <c r="I627" s="9">
        <f>COUNTIF(Data1_Clean!$I$2:I1000,A627)</f>
        <v>2</v>
      </c>
    </row>
    <row r="628" spans="1:9">
      <c r="A628" s="22" t="s">
        <v>1371</v>
      </c>
      <c r="B628" s="23" t="s">
        <v>1176</v>
      </c>
      <c r="C628" s="23">
        <v>53</v>
      </c>
      <c r="D628" s="23" t="s">
        <v>2685</v>
      </c>
      <c r="E628" s="24">
        <v>45577</v>
      </c>
      <c r="F628" s="23" t="s">
        <v>2653</v>
      </c>
      <c r="G628" s="23" t="s">
        <v>2654</v>
      </c>
      <c r="H628" s="23">
        <v>0</v>
      </c>
      <c r="I628" s="9">
        <f>COUNTIF(Data1_Clean!$I$2:I1000,A628)</f>
        <v>1</v>
      </c>
    </row>
    <row r="629" spans="1:9">
      <c r="A629" s="22" t="s">
        <v>136</v>
      </c>
      <c r="B629" s="23" t="s">
        <v>1370</v>
      </c>
      <c r="C629" s="23">
        <v>27</v>
      </c>
      <c r="D629" s="23" t="s">
        <v>2685</v>
      </c>
      <c r="E629" s="24">
        <v>45597</v>
      </c>
      <c r="F629" s="23" t="s">
        <v>2653</v>
      </c>
      <c r="G629" s="23" t="s">
        <v>2654</v>
      </c>
      <c r="H629" s="23">
        <v>0</v>
      </c>
      <c r="I629" s="9">
        <f>COUNTIF(Data1_Clean!$I$2:I1000,A629)</f>
        <v>1</v>
      </c>
    </row>
    <row r="630" spans="1:9">
      <c r="A630" s="22" t="s">
        <v>1414</v>
      </c>
      <c r="B630" s="23" t="s">
        <v>1176</v>
      </c>
      <c r="C630" s="23">
        <v>20</v>
      </c>
      <c r="D630" s="23" t="s">
        <v>2685</v>
      </c>
      <c r="E630" s="24">
        <v>45611</v>
      </c>
      <c r="F630" s="23" t="s">
        <v>2655</v>
      </c>
      <c r="G630" s="23" t="s">
        <v>2656</v>
      </c>
      <c r="H630" s="23">
        <v>2</v>
      </c>
      <c r="I630" s="9">
        <f>COUNTIF(Data1_Clean!$I$2:I1000,A630)</f>
        <v>1</v>
      </c>
    </row>
    <row r="631" spans="1:9">
      <c r="A631" s="22" t="s">
        <v>2597</v>
      </c>
      <c r="B631" s="23" t="s">
        <v>1176</v>
      </c>
      <c r="C631" s="23">
        <v>36</v>
      </c>
      <c r="D631" s="23" t="s">
        <v>2685</v>
      </c>
      <c r="E631" s="24">
        <v>45647</v>
      </c>
      <c r="F631" s="23" t="s">
        <v>2653</v>
      </c>
      <c r="G631" s="23" t="s">
        <v>2654</v>
      </c>
      <c r="H631" s="23">
        <v>0</v>
      </c>
      <c r="I631" s="9">
        <f>COUNTIF(Data1_Clean!$I$2:I1000,A631)</f>
        <v>0</v>
      </c>
    </row>
    <row r="632" spans="1:9">
      <c r="A632" s="22" t="s">
        <v>1652</v>
      </c>
      <c r="B632" s="23" t="s">
        <v>1370</v>
      </c>
      <c r="C632" s="23">
        <v>27</v>
      </c>
      <c r="D632" s="23" t="s">
        <v>2685</v>
      </c>
      <c r="E632" s="24">
        <v>45650</v>
      </c>
      <c r="F632" s="23" t="s">
        <v>2653</v>
      </c>
      <c r="G632" s="23" t="s">
        <v>2656</v>
      </c>
      <c r="H632" s="23">
        <v>2</v>
      </c>
      <c r="I632" s="9">
        <f>COUNTIF(Data1_Clean!$I$2:I1000,A632)</f>
        <v>1</v>
      </c>
    </row>
    <row r="633" spans="1:9">
      <c r="A633" s="22" t="s">
        <v>2181</v>
      </c>
      <c r="B633" s="23" t="s">
        <v>1176</v>
      </c>
      <c r="C633" s="23">
        <v>25</v>
      </c>
      <c r="D633" s="23" t="s">
        <v>2685</v>
      </c>
      <c r="E633" s="24">
        <v>45652</v>
      </c>
      <c r="F633" s="23" t="s">
        <v>2653</v>
      </c>
      <c r="G633" s="23" t="s">
        <v>2656</v>
      </c>
      <c r="H633" s="23">
        <v>4</v>
      </c>
      <c r="I633" s="9">
        <f>COUNTIF(Data1_Clean!$I$2:I1000,A633)</f>
        <v>1</v>
      </c>
    </row>
    <row r="634" spans="1:9">
      <c r="A634" s="22" t="s">
        <v>2418</v>
      </c>
      <c r="B634" s="23" t="s">
        <v>1176</v>
      </c>
      <c r="C634" s="23">
        <v>31</v>
      </c>
      <c r="D634" s="23" t="s">
        <v>2685</v>
      </c>
      <c r="E634" s="24">
        <v>45656</v>
      </c>
      <c r="F634" s="23" t="s">
        <v>2653</v>
      </c>
      <c r="G634" s="23" t="s">
        <v>2656</v>
      </c>
      <c r="H634" s="23">
        <v>3</v>
      </c>
      <c r="I634" s="9">
        <f>COUNTIF(Data1_Clean!$I$2:I1000,A634)</f>
        <v>0</v>
      </c>
    </row>
    <row r="635" spans="1:9">
      <c r="A635" s="22" t="s">
        <v>1917</v>
      </c>
      <c r="B635" s="23" t="s">
        <v>1370</v>
      </c>
      <c r="C635" s="23">
        <v>27</v>
      </c>
      <c r="D635" s="23" t="s">
        <v>2685</v>
      </c>
      <c r="E635" s="24">
        <v>45672</v>
      </c>
      <c r="F635" s="23" t="s">
        <v>2655</v>
      </c>
      <c r="G635" s="23" t="s">
        <v>2654</v>
      </c>
      <c r="H635" s="23">
        <v>0</v>
      </c>
      <c r="I635" s="9">
        <f>COUNTIF(Data1_Clean!$I$2:I1000,A635)</f>
        <v>1</v>
      </c>
    </row>
    <row r="636" spans="1:9">
      <c r="A636" s="22" t="s">
        <v>2335</v>
      </c>
      <c r="B636" s="23" t="s">
        <v>1370</v>
      </c>
      <c r="C636" s="23">
        <v>34</v>
      </c>
      <c r="D636" s="23" t="s">
        <v>2685</v>
      </c>
      <c r="E636" s="24">
        <v>45681</v>
      </c>
      <c r="F636" s="23" t="s">
        <v>2655</v>
      </c>
      <c r="G636" s="23" t="s">
        <v>2656</v>
      </c>
      <c r="H636" s="23">
        <v>2</v>
      </c>
      <c r="I636" s="9">
        <f>COUNTIF(Data1_Clean!$I$2:I1000,A636)</f>
        <v>1</v>
      </c>
    </row>
    <row r="637" spans="1:9">
      <c r="A637" s="22" t="s">
        <v>429</v>
      </c>
      <c r="B637" s="23" t="s">
        <v>1176</v>
      </c>
      <c r="C637" s="23">
        <v>64</v>
      </c>
      <c r="D637" s="23" t="s">
        <v>2685</v>
      </c>
      <c r="E637" s="24">
        <v>45689</v>
      </c>
      <c r="F637" s="23" t="s">
        <v>2655</v>
      </c>
      <c r="G637" s="23" t="s">
        <v>2656</v>
      </c>
      <c r="H637" s="23">
        <v>2</v>
      </c>
      <c r="I637" s="9">
        <f>COUNTIF(Data1_Clean!$I$2:I1000,A637)</f>
        <v>1</v>
      </c>
    </row>
    <row r="638" spans="1:9">
      <c r="A638" s="22" t="s">
        <v>2541</v>
      </c>
      <c r="B638" s="23" t="s">
        <v>1176</v>
      </c>
      <c r="C638" s="23">
        <v>43</v>
      </c>
      <c r="D638" s="23" t="s">
        <v>2685</v>
      </c>
      <c r="E638" s="24">
        <v>45689</v>
      </c>
      <c r="F638" s="23" t="s">
        <v>2655</v>
      </c>
      <c r="G638" s="23" t="s">
        <v>2656</v>
      </c>
      <c r="H638" s="23">
        <v>2</v>
      </c>
      <c r="I638" s="9">
        <f>COUNTIF(Data1_Clean!$I$2:I1000,A638)</f>
        <v>0</v>
      </c>
    </row>
    <row r="639" spans="1:9">
      <c r="A639" s="22" t="s">
        <v>2019</v>
      </c>
      <c r="B639" s="23" t="s">
        <v>1176</v>
      </c>
      <c r="C639" s="23">
        <v>39</v>
      </c>
      <c r="D639" s="23" t="s">
        <v>2685</v>
      </c>
      <c r="E639" s="24">
        <v>45710</v>
      </c>
      <c r="F639" s="23" t="s">
        <v>2653</v>
      </c>
      <c r="G639" s="23" t="s">
        <v>2654</v>
      </c>
      <c r="H639" s="23">
        <v>0</v>
      </c>
      <c r="I639" s="9">
        <f>COUNTIF(Data1_Clean!$I$2:I1000,A639)</f>
        <v>1</v>
      </c>
    </row>
    <row r="640" spans="1:9">
      <c r="A640" s="22" t="s">
        <v>935</v>
      </c>
      <c r="B640" s="23" t="s">
        <v>1176</v>
      </c>
      <c r="C640" s="23">
        <v>46</v>
      </c>
      <c r="D640" s="23" t="s">
        <v>2685</v>
      </c>
      <c r="E640" s="24">
        <v>45721</v>
      </c>
      <c r="F640" s="23" t="s">
        <v>2655</v>
      </c>
      <c r="G640" s="23" t="s">
        <v>2656</v>
      </c>
      <c r="H640" s="23">
        <v>2</v>
      </c>
      <c r="I640" s="9">
        <f>COUNTIF(Data1_Clean!$I$2:I1000,A640)</f>
        <v>2</v>
      </c>
    </row>
    <row r="641" spans="1:9">
      <c r="A641" s="22" t="s">
        <v>2460</v>
      </c>
      <c r="B641" s="23" t="s">
        <v>1176</v>
      </c>
      <c r="C641" s="23">
        <v>22</v>
      </c>
      <c r="D641" s="23" t="s">
        <v>2685</v>
      </c>
      <c r="E641" s="24">
        <v>45733</v>
      </c>
      <c r="F641" s="23" t="s">
        <v>2655</v>
      </c>
      <c r="G641" s="23" t="s">
        <v>2656</v>
      </c>
      <c r="H641" s="23">
        <v>2</v>
      </c>
      <c r="I641" s="9">
        <f>COUNTIF(Data1_Clean!$I$2:I1000,A641)</f>
        <v>0</v>
      </c>
    </row>
    <row r="642" spans="1:9">
      <c r="A642" s="22" t="s">
        <v>1663</v>
      </c>
      <c r="B642" s="23" t="s">
        <v>1176</v>
      </c>
      <c r="C642" s="23">
        <v>20</v>
      </c>
      <c r="D642" s="23" t="s">
        <v>2685</v>
      </c>
      <c r="E642" s="24">
        <v>45733</v>
      </c>
      <c r="F642" s="23" t="s">
        <v>2653</v>
      </c>
      <c r="G642" s="23" t="s">
        <v>2654</v>
      </c>
      <c r="H642" s="23">
        <v>0</v>
      </c>
      <c r="I642" s="9">
        <f>COUNTIF(Data1_Clean!$I$2:I1000,A642)</f>
        <v>1</v>
      </c>
    </row>
    <row r="643" spans="1:9">
      <c r="A643" s="22" t="s">
        <v>1597</v>
      </c>
      <c r="B643" s="23" t="s">
        <v>1176</v>
      </c>
      <c r="C643" s="23">
        <v>23</v>
      </c>
      <c r="D643" s="23" t="s">
        <v>2685</v>
      </c>
      <c r="E643" s="24">
        <v>45735</v>
      </c>
      <c r="F643" s="23" t="s">
        <v>2653</v>
      </c>
      <c r="G643" s="23" t="s">
        <v>2654</v>
      </c>
      <c r="H643" s="23">
        <v>0</v>
      </c>
      <c r="I643" s="9">
        <f>COUNTIF(Data1_Clean!$I$2:I1000,A643)</f>
        <v>1</v>
      </c>
    </row>
    <row r="644" spans="1:9">
      <c r="A644" s="22" t="s">
        <v>561</v>
      </c>
      <c r="B644" s="23" t="s">
        <v>1176</v>
      </c>
      <c r="C644" s="23">
        <v>28</v>
      </c>
      <c r="D644" s="23" t="s">
        <v>2686</v>
      </c>
      <c r="E644" s="24">
        <v>45562</v>
      </c>
      <c r="F644" s="23" t="s">
        <v>2655</v>
      </c>
      <c r="G644" s="23" t="s">
        <v>2656</v>
      </c>
      <c r="H644" s="23">
        <v>4</v>
      </c>
      <c r="I644" s="9">
        <f>COUNTIF(Data1_Clean!$I$2:I1000,A644)</f>
        <v>1</v>
      </c>
    </row>
    <row r="645" spans="1:9">
      <c r="A645" s="22" t="s">
        <v>2467</v>
      </c>
      <c r="B645" s="23" t="s">
        <v>1176</v>
      </c>
      <c r="C645" s="23">
        <v>18</v>
      </c>
      <c r="D645" s="23" t="s">
        <v>2686</v>
      </c>
      <c r="E645" s="24">
        <v>45573</v>
      </c>
      <c r="F645" s="23" t="s">
        <v>2655</v>
      </c>
      <c r="G645" s="23" t="s">
        <v>2656</v>
      </c>
      <c r="H645" s="23">
        <v>2</v>
      </c>
      <c r="I645" s="9">
        <f>COUNTIF(Data1_Clean!$I$2:I1000,A645)</f>
        <v>0</v>
      </c>
    </row>
    <row r="646" spans="1:9">
      <c r="A646" s="22" t="s">
        <v>1207</v>
      </c>
      <c r="B646" s="23" t="s">
        <v>1370</v>
      </c>
      <c r="C646" s="23">
        <v>40</v>
      </c>
      <c r="D646" s="23" t="s">
        <v>2686</v>
      </c>
      <c r="E646" s="24">
        <v>45606</v>
      </c>
      <c r="F646" s="23" t="s">
        <v>2655</v>
      </c>
      <c r="G646" s="23" t="s">
        <v>2656</v>
      </c>
      <c r="H646" s="23">
        <v>1</v>
      </c>
      <c r="I646" s="9">
        <f>COUNTIF(Data1_Clean!$I$2:I1000,A646)</f>
        <v>1</v>
      </c>
    </row>
    <row r="647" spans="1:9">
      <c r="A647" s="22" t="s">
        <v>2543</v>
      </c>
      <c r="B647" s="23" t="s">
        <v>1370</v>
      </c>
      <c r="C647" s="23">
        <v>55</v>
      </c>
      <c r="D647" s="23" t="s">
        <v>2686</v>
      </c>
      <c r="E647" s="24">
        <v>45615</v>
      </c>
      <c r="F647" s="23" t="s">
        <v>2653</v>
      </c>
      <c r="G647" s="23" t="s">
        <v>2654</v>
      </c>
      <c r="H647" s="23">
        <v>0</v>
      </c>
      <c r="I647" s="9">
        <f>COUNTIF(Data1_Clean!$I$2:I1000,A647)</f>
        <v>0</v>
      </c>
    </row>
    <row r="648" spans="1:9">
      <c r="A648" s="22" t="s">
        <v>2429</v>
      </c>
      <c r="B648" s="23" t="s">
        <v>1370</v>
      </c>
      <c r="C648" s="23">
        <v>50</v>
      </c>
      <c r="D648" s="23" t="s">
        <v>2686</v>
      </c>
      <c r="E648" s="24">
        <v>45646</v>
      </c>
      <c r="F648" s="23" t="s">
        <v>2653</v>
      </c>
      <c r="G648" s="23" t="s">
        <v>2654</v>
      </c>
      <c r="H648" s="23">
        <v>0</v>
      </c>
      <c r="I648" s="9">
        <f>COUNTIF(Data1_Clean!$I$2:I1000,A648)</f>
        <v>0</v>
      </c>
    </row>
    <row r="649" spans="1:9">
      <c r="A649" s="22" t="s">
        <v>2428</v>
      </c>
      <c r="B649" s="23" t="s">
        <v>1370</v>
      </c>
      <c r="C649" s="23">
        <v>39</v>
      </c>
      <c r="D649" s="23" t="s">
        <v>2686</v>
      </c>
      <c r="E649" s="24">
        <v>45698</v>
      </c>
      <c r="F649" s="23" t="s">
        <v>2653</v>
      </c>
      <c r="G649" s="23" t="s">
        <v>2654</v>
      </c>
      <c r="H649" s="23">
        <v>0</v>
      </c>
      <c r="I649" s="9">
        <f>COUNTIF(Data1_Clean!$I$2:I1000,A649)</f>
        <v>0</v>
      </c>
    </row>
    <row r="650" spans="1:9">
      <c r="A650" s="22" t="s">
        <v>1762</v>
      </c>
      <c r="B650" s="23" t="s">
        <v>1176</v>
      </c>
      <c r="C650" s="23">
        <v>55</v>
      </c>
      <c r="D650" s="23" t="s">
        <v>2686</v>
      </c>
      <c r="E650" s="24">
        <v>45700</v>
      </c>
      <c r="F650" s="23" t="s">
        <v>2653</v>
      </c>
      <c r="G650" s="23" t="s">
        <v>2656</v>
      </c>
      <c r="H650" s="23">
        <v>3</v>
      </c>
      <c r="I650" s="9">
        <f>COUNTIF(Data1_Clean!$I$2:I1000,A650)</f>
        <v>2</v>
      </c>
    </row>
    <row r="651" spans="1:9">
      <c r="A651" s="22" t="s">
        <v>2550</v>
      </c>
      <c r="B651" s="23" t="s">
        <v>1370</v>
      </c>
      <c r="C651" s="23">
        <v>20</v>
      </c>
      <c r="D651" s="23" t="s">
        <v>2686</v>
      </c>
      <c r="E651" s="24">
        <v>45708</v>
      </c>
      <c r="F651" s="23" t="s">
        <v>2655</v>
      </c>
      <c r="G651" s="23" t="s">
        <v>2654</v>
      </c>
      <c r="H651" s="23">
        <v>0</v>
      </c>
      <c r="I651" s="9">
        <f>COUNTIF(Data1_Clean!$I$2:I1000,A651)</f>
        <v>0</v>
      </c>
    </row>
    <row r="652" spans="1:9">
      <c r="A652" s="22" t="s">
        <v>190</v>
      </c>
      <c r="B652" s="23" t="s">
        <v>1370</v>
      </c>
      <c r="C652" s="23">
        <v>55</v>
      </c>
      <c r="D652" s="23" t="s">
        <v>2686</v>
      </c>
      <c r="E652" s="24">
        <v>45716</v>
      </c>
      <c r="F652" s="23" t="s">
        <v>2655</v>
      </c>
      <c r="G652" s="23" t="s">
        <v>2656</v>
      </c>
      <c r="H652" s="23">
        <v>4</v>
      </c>
      <c r="I652" s="9">
        <f>COUNTIF(Data1_Clean!$I$2:I1000,A652)</f>
        <v>3</v>
      </c>
    </row>
    <row r="653" spans="1:9">
      <c r="A653" s="22" t="s">
        <v>1808</v>
      </c>
      <c r="B653" s="23" t="s">
        <v>1370</v>
      </c>
      <c r="C653" s="23">
        <v>29</v>
      </c>
      <c r="D653" s="23" t="s">
        <v>2686</v>
      </c>
      <c r="E653" s="24">
        <v>45745</v>
      </c>
      <c r="F653" s="23" t="s">
        <v>2653</v>
      </c>
      <c r="G653" s="23" t="s">
        <v>2654</v>
      </c>
      <c r="H653" s="23">
        <v>0</v>
      </c>
      <c r="I653" s="9">
        <f>COUNTIF(Data1_Clean!$I$2:I1000,A653)</f>
        <v>2</v>
      </c>
    </row>
    <row r="654" spans="1:9">
      <c r="A654" s="22" t="s">
        <v>2525</v>
      </c>
      <c r="B654" s="23" t="s">
        <v>1176</v>
      </c>
      <c r="C654" s="23">
        <v>36</v>
      </c>
      <c r="D654" s="23" t="s">
        <v>2687</v>
      </c>
      <c r="E654" s="24">
        <v>45541</v>
      </c>
      <c r="F654" s="23" t="s">
        <v>2653</v>
      </c>
      <c r="G654" s="23" t="s">
        <v>2654</v>
      </c>
      <c r="H654" s="23">
        <v>0</v>
      </c>
      <c r="I654" s="9">
        <f>COUNTIF(Data1_Clean!$I$2:I1000,A654)</f>
        <v>0</v>
      </c>
    </row>
    <row r="655" spans="1:9">
      <c r="A655" s="22" t="s">
        <v>987</v>
      </c>
      <c r="B655" s="23" t="s">
        <v>1370</v>
      </c>
      <c r="C655" s="23">
        <v>57</v>
      </c>
      <c r="D655" s="23" t="s">
        <v>2687</v>
      </c>
      <c r="E655" s="24">
        <v>45549</v>
      </c>
      <c r="F655" s="23" t="s">
        <v>2655</v>
      </c>
      <c r="G655" s="23" t="s">
        <v>2656</v>
      </c>
      <c r="H655" s="23">
        <v>4</v>
      </c>
      <c r="I655" s="9">
        <f>COUNTIF(Data1_Clean!$I$2:I1000,A655)</f>
        <v>1</v>
      </c>
    </row>
    <row r="656" spans="1:9">
      <c r="A656" s="22" t="s">
        <v>1813</v>
      </c>
      <c r="B656" s="23" t="s">
        <v>1370</v>
      </c>
      <c r="C656" s="23">
        <v>34</v>
      </c>
      <c r="D656" s="23" t="s">
        <v>2687</v>
      </c>
      <c r="E656" s="24">
        <v>45550</v>
      </c>
      <c r="F656" s="23" t="s">
        <v>2653</v>
      </c>
      <c r="G656" s="23" t="s">
        <v>2656</v>
      </c>
      <c r="H656" s="23">
        <v>3</v>
      </c>
      <c r="I656" s="9">
        <f>COUNTIF(Data1_Clean!$I$2:I1000,A656)</f>
        <v>2</v>
      </c>
    </row>
    <row r="657" spans="1:9">
      <c r="A657" s="22" t="s">
        <v>1536</v>
      </c>
      <c r="B657" s="23" t="s">
        <v>1176</v>
      </c>
      <c r="C657" s="23">
        <v>39</v>
      </c>
      <c r="D657" s="23" t="s">
        <v>2687</v>
      </c>
      <c r="E657" s="24">
        <v>45557</v>
      </c>
      <c r="F657" s="23" t="s">
        <v>2655</v>
      </c>
      <c r="G657" s="23" t="s">
        <v>2654</v>
      </c>
      <c r="H657" s="23">
        <v>0</v>
      </c>
      <c r="I657" s="9">
        <f>COUNTIF(Data1_Clean!$I$2:I1000,A657)</f>
        <v>1</v>
      </c>
    </row>
    <row r="658" spans="1:9">
      <c r="A658" s="22" t="s">
        <v>1368</v>
      </c>
      <c r="B658" s="23" t="s">
        <v>1176</v>
      </c>
      <c r="C658" s="23">
        <v>26</v>
      </c>
      <c r="D658" s="23" t="s">
        <v>2687</v>
      </c>
      <c r="E658" s="24">
        <v>45562</v>
      </c>
      <c r="F658" s="23" t="s">
        <v>2655</v>
      </c>
      <c r="G658" s="23" t="s">
        <v>2654</v>
      </c>
      <c r="H658" s="23">
        <v>0</v>
      </c>
      <c r="I658" s="9">
        <f>COUNTIF(Data1_Clean!$I$2:I1000,A658)</f>
        <v>1</v>
      </c>
    </row>
    <row r="659" spans="1:9">
      <c r="A659" s="22" t="s">
        <v>2568</v>
      </c>
      <c r="B659" s="23" t="s">
        <v>1176</v>
      </c>
      <c r="C659" s="23">
        <v>42</v>
      </c>
      <c r="D659" s="23" t="s">
        <v>2687</v>
      </c>
      <c r="E659" s="24">
        <v>45590</v>
      </c>
      <c r="F659" s="23" t="s">
        <v>2653</v>
      </c>
      <c r="G659" s="23" t="s">
        <v>2654</v>
      </c>
      <c r="H659" s="23">
        <v>0</v>
      </c>
      <c r="I659" s="9">
        <f>COUNTIF(Data1_Clean!$I$2:I1000,A659)</f>
        <v>0</v>
      </c>
    </row>
    <row r="660" spans="1:9">
      <c r="A660" s="22" t="s">
        <v>2431</v>
      </c>
      <c r="B660" s="23" t="s">
        <v>1370</v>
      </c>
      <c r="C660" s="23">
        <v>30</v>
      </c>
      <c r="D660" s="23" t="s">
        <v>2687</v>
      </c>
      <c r="E660" s="24">
        <v>45601</v>
      </c>
      <c r="F660" s="23" t="s">
        <v>2655</v>
      </c>
      <c r="G660" s="23" t="s">
        <v>2656</v>
      </c>
      <c r="H660" s="23">
        <v>1</v>
      </c>
      <c r="I660" s="9">
        <f>COUNTIF(Data1_Clean!$I$2:I1000,A660)</f>
        <v>0</v>
      </c>
    </row>
    <row r="661" spans="1:9">
      <c r="A661" s="22" t="s">
        <v>649</v>
      </c>
      <c r="B661" s="23" t="s">
        <v>1370</v>
      </c>
      <c r="C661" s="23">
        <v>47</v>
      </c>
      <c r="D661" s="23" t="s">
        <v>2687</v>
      </c>
      <c r="E661" s="24">
        <v>45624</v>
      </c>
      <c r="F661" s="23" t="s">
        <v>2653</v>
      </c>
      <c r="G661" s="23" t="s">
        <v>2654</v>
      </c>
      <c r="H661" s="23">
        <v>0</v>
      </c>
      <c r="I661" s="9">
        <f>COUNTIF(Data1_Clean!$I$2:I1000,A661)</f>
        <v>4</v>
      </c>
    </row>
    <row r="662" spans="1:9">
      <c r="A662" s="22" t="s">
        <v>2476</v>
      </c>
      <c r="B662" s="23" t="s">
        <v>1176</v>
      </c>
      <c r="C662" s="23">
        <v>65</v>
      </c>
      <c r="D662" s="23" t="s">
        <v>2687</v>
      </c>
      <c r="E662" s="24">
        <v>45661</v>
      </c>
      <c r="F662" s="23" t="s">
        <v>2653</v>
      </c>
      <c r="G662" s="23" t="s">
        <v>2654</v>
      </c>
      <c r="H662" s="23">
        <v>0</v>
      </c>
      <c r="I662" s="9">
        <f>COUNTIF(Data1_Clean!$I$2:I1000,A662)</f>
        <v>0</v>
      </c>
    </row>
    <row r="663" spans="1:9">
      <c r="A663" s="22" t="s">
        <v>2178</v>
      </c>
      <c r="B663" s="23" t="s">
        <v>1370</v>
      </c>
      <c r="C663" s="23">
        <v>56</v>
      </c>
      <c r="D663" s="23" t="s">
        <v>2687</v>
      </c>
      <c r="E663" s="24">
        <v>45682</v>
      </c>
      <c r="F663" s="23" t="s">
        <v>2655</v>
      </c>
      <c r="G663" s="23" t="s">
        <v>2654</v>
      </c>
      <c r="H663" s="23">
        <v>0</v>
      </c>
      <c r="I663" s="9">
        <f>COUNTIF(Data1_Clean!$I$2:I1000,A663)</f>
        <v>1</v>
      </c>
    </row>
    <row r="664" spans="1:9">
      <c r="A664" s="22" t="s">
        <v>802</v>
      </c>
      <c r="B664" s="23" t="s">
        <v>1370</v>
      </c>
      <c r="C664" s="23">
        <v>44</v>
      </c>
      <c r="D664" s="23" t="s">
        <v>2687</v>
      </c>
      <c r="E664" s="24">
        <v>45685</v>
      </c>
      <c r="F664" s="23" t="s">
        <v>2655</v>
      </c>
      <c r="G664" s="23" t="s">
        <v>2654</v>
      </c>
      <c r="H664" s="23">
        <v>0</v>
      </c>
      <c r="I664" s="9">
        <f>COUNTIF(Data1_Clean!$I$2:I1000,A664)</f>
        <v>2</v>
      </c>
    </row>
    <row r="665" spans="1:9">
      <c r="A665" s="22" t="s">
        <v>1795</v>
      </c>
      <c r="B665" s="23" t="s">
        <v>1370</v>
      </c>
      <c r="C665" s="23">
        <v>40</v>
      </c>
      <c r="D665" s="23" t="s">
        <v>2687</v>
      </c>
      <c r="E665" s="24">
        <v>45686</v>
      </c>
      <c r="F665" s="23" t="s">
        <v>2653</v>
      </c>
      <c r="G665" s="23" t="s">
        <v>2654</v>
      </c>
      <c r="H665" s="23">
        <v>0</v>
      </c>
      <c r="I665" s="9">
        <f>COUNTIF(Data1_Clean!$I$2:I1000,A665)</f>
        <v>2</v>
      </c>
    </row>
    <row r="666" spans="1:9">
      <c r="A666" s="22" t="s">
        <v>1441</v>
      </c>
      <c r="B666" s="23" t="s">
        <v>1176</v>
      </c>
      <c r="C666" s="23">
        <v>24</v>
      </c>
      <c r="D666" s="23" t="s">
        <v>2687</v>
      </c>
      <c r="E666" s="24">
        <v>45692</v>
      </c>
      <c r="F666" s="23" t="s">
        <v>2653</v>
      </c>
      <c r="G666" s="23" t="s">
        <v>2654</v>
      </c>
      <c r="H666" s="23">
        <v>0</v>
      </c>
      <c r="I666" s="9">
        <f>COUNTIF(Data1_Clean!$I$2:I1000,A666)</f>
        <v>1</v>
      </c>
    </row>
    <row r="667" spans="1:9">
      <c r="A667" s="22" t="s">
        <v>1292</v>
      </c>
      <c r="B667" s="23" t="s">
        <v>1370</v>
      </c>
      <c r="C667" s="23">
        <v>25</v>
      </c>
      <c r="D667" s="23" t="s">
        <v>2687</v>
      </c>
      <c r="E667" s="24">
        <v>45699</v>
      </c>
      <c r="F667" s="23" t="s">
        <v>2653</v>
      </c>
      <c r="G667" s="23" t="s">
        <v>2654</v>
      </c>
      <c r="H667" s="23">
        <v>0</v>
      </c>
      <c r="I667" s="9">
        <f>COUNTIF(Data1_Clean!$I$2:I1000,A667)</f>
        <v>2</v>
      </c>
    </row>
    <row r="668" spans="1:9">
      <c r="A668" s="22" t="s">
        <v>2601</v>
      </c>
      <c r="B668" s="23" t="s">
        <v>1370</v>
      </c>
      <c r="C668" s="23">
        <v>29</v>
      </c>
      <c r="D668" s="23" t="s">
        <v>2687</v>
      </c>
      <c r="E668" s="24">
        <v>45715</v>
      </c>
      <c r="F668" s="23" t="s">
        <v>2653</v>
      </c>
      <c r="G668" s="23" t="s">
        <v>2656</v>
      </c>
      <c r="H668" s="23">
        <v>2</v>
      </c>
      <c r="I668" s="9">
        <f>COUNTIF(Data1_Clean!$I$2:I1000,A668)</f>
        <v>0</v>
      </c>
    </row>
    <row r="669" spans="1:9">
      <c r="A669" s="22" t="s">
        <v>390</v>
      </c>
      <c r="B669" s="23" t="s">
        <v>1176</v>
      </c>
      <c r="C669" s="23">
        <v>49</v>
      </c>
      <c r="D669" s="23" t="s">
        <v>2687</v>
      </c>
      <c r="E669" s="24">
        <v>45722</v>
      </c>
      <c r="F669" s="23" t="s">
        <v>2653</v>
      </c>
      <c r="G669" s="23" t="s">
        <v>2654</v>
      </c>
      <c r="H669" s="23">
        <v>0</v>
      </c>
      <c r="I669" s="9">
        <f>COUNTIF(Data1_Clean!$I$2:I1000,A669)</f>
        <v>2</v>
      </c>
    </row>
    <row r="670" spans="1:9">
      <c r="A670" s="22" t="s">
        <v>61</v>
      </c>
      <c r="B670" s="23" t="s">
        <v>1176</v>
      </c>
      <c r="C670" s="23">
        <v>63</v>
      </c>
      <c r="D670" s="23" t="s">
        <v>2687</v>
      </c>
      <c r="E670" s="24">
        <v>45727</v>
      </c>
      <c r="F670" s="23" t="s">
        <v>2655</v>
      </c>
      <c r="G670" s="23" t="s">
        <v>2656</v>
      </c>
      <c r="H670" s="23">
        <v>1</v>
      </c>
      <c r="I670" s="9">
        <f>COUNTIF(Data1_Clean!$I$2:I1000,A670)</f>
        <v>1</v>
      </c>
    </row>
    <row r="671" spans="1:9">
      <c r="A671" s="22" t="s">
        <v>2504</v>
      </c>
      <c r="B671" s="23" t="s">
        <v>1370</v>
      </c>
      <c r="C671" s="23">
        <v>26</v>
      </c>
      <c r="D671" s="23" t="s">
        <v>2687</v>
      </c>
      <c r="E671" s="24">
        <v>45727</v>
      </c>
      <c r="F671" s="23" t="s">
        <v>2655</v>
      </c>
      <c r="G671" s="23" t="s">
        <v>2654</v>
      </c>
      <c r="H671" s="23">
        <v>0</v>
      </c>
      <c r="I671" s="9">
        <f>COUNTIF(Data1_Clean!$I$2:I1000,A671)</f>
        <v>0</v>
      </c>
    </row>
    <row r="672" spans="1:9">
      <c r="A672" s="22" t="s">
        <v>1640</v>
      </c>
      <c r="B672" s="23" t="s">
        <v>1370</v>
      </c>
      <c r="C672" s="23">
        <v>42</v>
      </c>
      <c r="D672" s="23" t="s">
        <v>2688</v>
      </c>
      <c r="E672" s="24">
        <v>45546</v>
      </c>
      <c r="F672" s="23" t="s">
        <v>2653</v>
      </c>
      <c r="G672" s="23" t="s">
        <v>2656</v>
      </c>
      <c r="H672" s="23">
        <v>3</v>
      </c>
      <c r="I672" s="9">
        <f>COUNTIF(Data1_Clean!$I$2:I1000,A672)</f>
        <v>1</v>
      </c>
    </row>
    <row r="673" spans="1:9">
      <c r="A673" s="22" t="s">
        <v>1480</v>
      </c>
      <c r="B673" s="23" t="s">
        <v>1370</v>
      </c>
      <c r="C673" s="23">
        <v>19</v>
      </c>
      <c r="D673" s="23" t="s">
        <v>2688</v>
      </c>
      <c r="E673" s="24">
        <v>45547</v>
      </c>
      <c r="F673" s="23" t="s">
        <v>2655</v>
      </c>
      <c r="G673" s="23" t="s">
        <v>2654</v>
      </c>
      <c r="H673" s="23">
        <v>0</v>
      </c>
      <c r="I673" s="9">
        <f>COUNTIF(Data1_Clean!$I$2:I1000,A673)</f>
        <v>3</v>
      </c>
    </row>
    <row r="674" spans="1:9">
      <c r="A674" s="22" t="s">
        <v>338</v>
      </c>
      <c r="B674" s="23" t="s">
        <v>1370</v>
      </c>
      <c r="C674" s="23">
        <v>65</v>
      </c>
      <c r="D674" s="23" t="s">
        <v>2688</v>
      </c>
      <c r="E674" s="24">
        <v>45566</v>
      </c>
      <c r="F674" s="23" t="s">
        <v>2653</v>
      </c>
      <c r="G674" s="23" t="s">
        <v>2654</v>
      </c>
      <c r="H674" s="23">
        <v>0</v>
      </c>
      <c r="I674" s="9">
        <f>COUNTIF(Data1_Clean!$I$2:I1000,A674)</f>
        <v>1</v>
      </c>
    </row>
    <row r="675" spans="1:9">
      <c r="A675" s="22" t="s">
        <v>2519</v>
      </c>
      <c r="B675" s="23" t="s">
        <v>1370</v>
      </c>
      <c r="C675" s="23">
        <v>45</v>
      </c>
      <c r="D675" s="23" t="s">
        <v>2688</v>
      </c>
      <c r="E675" s="24">
        <v>45571</v>
      </c>
      <c r="F675" s="23" t="s">
        <v>2655</v>
      </c>
      <c r="G675" s="23" t="s">
        <v>2654</v>
      </c>
      <c r="H675" s="23">
        <v>0</v>
      </c>
      <c r="I675" s="9">
        <f>COUNTIF(Data1_Clean!$I$2:I1000,A675)</f>
        <v>0</v>
      </c>
    </row>
    <row r="676" spans="1:9">
      <c r="A676" s="22" t="s">
        <v>2584</v>
      </c>
      <c r="B676" s="23" t="s">
        <v>1176</v>
      </c>
      <c r="C676" s="23">
        <v>20</v>
      </c>
      <c r="D676" s="23" t="s">
        <v>2688</v>
      </c>
      <c r="E676" s="24">
        <v>45577</v>
      </c>
      <c r="F676" s="23" t="s">
        <v>2653</v>
      </c>
      <c r="G676" s="23" t="s">
        <v>2654</v>
      </c>
      <c r="H676" s="23">
        <v>0</v>
      </c>
      <c r="I676" s="9">
        <f>COUNTIF(Data1_Clean!$I$2:I1000,A676)</f>
        <v>0</v>
      </c>
    </row>
    <row r="677" spans="1:9">
      <c r="A677" s="22" t="s">
        <v>836</v>
      </c>
      <c r="B677" s="23" t="s">
        <v>1370</v>
      </c>
      <c r="C677" s="23">
        <v>65</v>
      </c>
      <c r="D677" s="23" t="s">
        <v>2688</v>
      </c>
      <c r="E677" s="24">
        <v>45590</v>
      </c>
      <c r="F677" s="23" t="s">
        <v>2655</v>
      </c>
      <c r="G677" s="23" t="s">
        <v>2656</v>
      </c>
      <c r="H677" s="23">
        <v>3</v>
      </c>
      <c r="I677" s="9">
        <f>COUNTIF(Data1_Clean!$I$2:I1000,A677)</f>
        <v>3</v>
      </c>
    </row>
    <row r="678" spans="1:9">
      <c r="A678" s="22" t="s">
        <v>1100</v>
      </c>
      <c r="B678" s="23" t="s">
        <v>1176</v>
      </c>
      <c r="C678" s="23">
        <v>28</v>
      </c>
      <c r="D678" s="23" t="s">
        <v>2688</v>
      </c>
      <c r="E678" s="24">
        <v>45608</v>
      </c>
      <c r="F678" s="23" t="s">
        <v>2653</v>
      </c>
      <c r="G678" s="23" t="s">
        <v>2654</v>
      </c>
      <c r="H678" s="23">
        <v>0</v>
      </c>
      <c r="I678" s="9">
        <f>COUNTIF(Data1_Clean!$I$2:I1000,A678)</f>
        <v>1</v>
      </c>
    </row>
    <row r="679" spans="1:9">
      <c r="A679" s="22" t="s">
        <v>1928</v>
      </c>
      <c r="B679" s="23" t="s">
        <v>1370</v>
      </c>
      <c r="C679" s="23">
        <v>26</v>
      </c>
      <c r="D679" s="23" t="s">
        <v>2688</v>
      </c>
      <c r="E679" s="24">
        <v>45615</v>
      </c>
      <c r="F679" s="23" t="s">
        <v>2655</v>
      </c>
      <c r="G679" s="23" t="s">
        <v>2654</v>
      </c>
      <c r="H679" s="23">
        <v>0</v>
      </c>
      <c r="I679" s="9">
        <f>COUNTIF(Data1_Clean!$I$2:I1000,A679)</f>
        <v>1</v>
      </c>
    </row>
    <row r="680" spans="1:9">
      <c r="A680" s="22" t="s">
        <v>184</v>
      </c>
      <c r="B680" s="23" t="s">
        <v>1370</v>
      </c>
      <c r="C680" s="23">
        <v>29</v>
      </c>
      <c r="D680" s="23" t="s">
        <v>2688</v>
      </c>
      <c r="E680" s="24">
        <v>45696</v>
      </c>
      <c r="F680" s="23" t="s">
        <v>2655</v>
      </c>
      <c r="G680" s="23" t="s">
        <v>2654</v>
      </c>
      <c r="H680" s="23">
        <v>0</v>
      </c>
      <c r="I680" s="9">
        <f>COUNTIF(Data1_Clean!$I$2:I1000,A680)</f>
        <v>2</v>
      </c>
    </row>
    <row r="681" spans="1:9">
      <c r="A681" s="22" t="s">
        <v>1244</v>
      </c>
      <c r="B681" s="23" t="s">
        <v>1176</v>
      </c>
      <c r="C681" s="23">
        <v>38</v>
      </c>
      <c r="D681" s="23" t="s">
        <v>2688</v>
      </c>
      <c r="E681" s="24">
        <v>45699</v>
      </c>
      <c r="F681" s="23" t="s">
        <v>2653</v>
      </c>
      <c r="G681" s="23" t="s">
        <v>2656</v>
      </c>
      <c r="H681" s="23">
        <v>3</v>
      </c>
      <c r="I681" s="9">
        <f>COUNTIF(Data1_Clean!$I$2:I1000,A681)</f>
        <v>1</v>
      </c>
    </row>
    <row r="682" spans="1:9">
      <c r="A682" s="22" t="s">
        <v>2471</v>
      </c>
      <c r="B682" s="23" t="s">
        <v>1370</v>
      </c>
      <c r="C682" s="23">
        <v>32</v>
      </c>
      <c r="D682" s="23" t="s">
        <v>2688</v>
      </c>
      <c r="E682" s="24">
        <v>45712</v>
      </c>
      <c r="F682" s="23" t="s">
        <v>2655</v>
      </c>
      <c r="G682" s="23" t="s">
        <v>2654</v>
      </c>
      <c r="H682" s="23">
        <v>0</v>
      </c>
      <c r="I682" s="9">
        <f>COUNTIF(Data1_Clean!$I$2:I1000,A682)</f>
        <v>0</v>
      </c>
    </row>
    <row r="683" spans="1:9">
      <c r="A683" s="22" t="s">
        <v>2553</v>
      </c>
      <c r="B683" s="23" t="s">
        <v>1370</v>
      </c>
      <c r="C683" s="23">
        <v>36</v>
      </c>
      <c r="D683" s="23" t="s">
        <v>2688</v>
      </c>
      <c r="E683" s="24">
        <v>45736</v>
      </c>
      <c r="F683" s="23" t="s">
        <v>2653</v>
      </c>
      <c r="G683" s="23" t="s">
        <v>2656</v>
      </c>
      <c r="H683" s="23">
        <v>3</v>
      </c>
      <c r="I683" s="9">
        <f>COUNTIF(Data1_Clean!$I$2:I1000,A683)</f>
        <v>0</v>
      </c>
    </row>
    <row r="684" spans="1:9">
      <c r="A684" s="22" t="s">
        <v>107</v>
      </c>
      <c r="B684" s="23" t="s">
        <v>1176</v>
      </c>
      <c r="C684" s="23">
        <v>19</v>
      </c>
      <c r="D684" s="23" t="s">
        <v>2689</v>
      </c>
      <c r="E684" s="24">
        <v>45551</v>
      </c>
      <c r="F684" s="23" t="s">
        <v>2655</v>
      </c>
      <c r="G684" s="23" t="s">
        <v>2656</v>
      </c>
      <c r="H684" s="23">
        <v>1</v>
      </c>
      <c r="I684" s="9">
        <f>COUNTIF(Data1_Clean!$I$2:I1000,A684)</f>
        <v>2</v>
      </c>
    </row>
    <row r="685" spans="1:9">
      <c r="A685" s="22" t="s">
        <v>1829</v>
      </c>
      <c r="B685" s="23" t="s">
        <v>1370</v>
      </c>
      <c r="C685" s="23">
        <v>26</v>
      </c>
      <c r="D685" s="23" t="s">
        <v>2689</v>
      </c>
      <c r="E685" s="24">
        <v>45586</v>
      </c>
      <c r="F685" s="23" t="s">
        <v>2655</v>
      </c>
      <c r="G685" s="23" t="s">
        <v>2656</v>
      </c>
      <c r="H685" s="23">
        <v>2</v>
      </c>
      <c r="I685" s="9">
        <f>COUNTIF(Data1_Clean!$I$2:I1000,A685)</f>
        <v>1</v>
      </c>
    </row>
    <row r="686" spans="1:9">
      <c r="A686" s="22" t="s">
        <v>1506</v>
      </c>
      <c r="B686" s="23" t="s">
        <v>1370</v>
      </c>
      <c r="C686" s="23">
        <v>50</v>
      </c>
      <c r="D686" s="23" t="s">
        <v>2689</v>
      </c>
      <c r="E686" s="24">
        <v>45587</v>
      </c>
      <c r="F686" s="23" t="s">
        <v>2653</v>
      </c>
      <c r="G686" s="23" t="s">
        <v>2656</v>
      </c>
      <c r="H686" s="23">
        <v>4</v>
      </c>
      <c r="I686" s="9">
        <f>COUNTIF(Data1_Clean!$I$2:I1000,A686)</f>
        <v>1</v>
      </c>
    </row>
    <row r="687" spans="1:9">
      <c r="A687" s="22" t="s">
        <v>2466</v>
      </c>
      <c r="B687" s="23" t="s">
        <v>1370</v>
      </c>
      <c r="C687" s="23">
        <v>48</v>
      </c>
      <c r="D687" s="23" t="s">
        <v>2689</v>
      </c>
      <c r="E687" s="24">
        <v>45589</v>
      </c>
      <c r="F687" s="23" t="s">
        <v>2655</v>
      </c>
      <c r="G687" s="23" t="s">
        <v>2656</v>
      </c>
      <c r="H687" s="23">
        <v>1</v>
      </c>
      <c r="I687" s="9">
        <f>COUNTIF(Data1_Clean!$I$2:I1000,A687)</f>
        <v>0</v>
      </c>
    </row>
    <row r="688" spans="1:9">
      <c r="A688" s="22" t="s">
        <v>1015</v>
      </c>
      <c r="B688" s="23" t="s">
        <v>1176</v>
      </c>
      <c r="C688" s="23">
        <v>45</v>
      </c>
      <c r="D688" s="23" t="s">
        <v>2689</v>
      </c>
      <c r="E688" s="24">
        <v>45610</v>
      </c>
      <c r="F688" s="23" t="s">
        <v>2653</v>
      </c>
      <c r="G688" s="23" t="s">
        <v>2654</v>
      </c>
      <c r="H688" s="23">
        <v>0</v>
      </c>
      <c r="I688" s="9">
        <f>COUNTIF(Data1_Clean!$I$2:I1000,A688)</f>
        <v>3</v>
      </c>
    </row>
    <row r="689" spans="1:9">
      <c r="A689" s="22" t="s">
        <v>2133</v>
      </c>
      <c r="B689" s="23" t="s">
        <v>1176</v>
      </c>
      <c r="C689" s="23">
        <v>26</v>
      </c>
      <c r="D689" s="23" t="s">
        <v>2689</v>
      </c>
      <c r="E689" s="24">
        <v>45619</v>
      </c>
      <c r="F689" s="23" t="s">
        <v>2655</v>
      </c>
      <c r="G689" s="23" t="s">
        <v>2656</v>
      </c>
      <c r="H689" s="23">
        <v>3</v>
      </c>
      <c r="I689" s="9">
        <f>COUNTIF(Data1_Clean!$I$2:I1000,A689)</f>
        <v>1</v>
      </c>
    </row>
    <row r="690" spans="1:9">
      <c r="A690" s="22" t="s">
        <v>2520</v>
      </c>
      <c r="B690" s="23" t="s">
        <v>1176</v>
      </c>
      <c r="C690" s="23">
        <v>63</v>
      </c>
      <c r="D690" s="23" t="s">
        <v>2689</v>
      </c>
      <c r="E690" s="24">
        <v>45666</v>
      </c>
      <c r="F690" s="23" t="s">
        <v>2655</v>
      </c>
      <c r="G690" s="23" t="s">
        <v>2654</v>
      </c>
      <c r="H690" s="23">
        <v>0</v>
      </c>
      <c r="I690" s="9">
        <f>COUNTIF(Data1_Clean!$I$2:I1000,A690)</f>
        <v>0</v>
      </c>
    </row>
    <row r="691" spans="1:9">
      <c r="A691" s="22" t="s">
        <v>2501</v>
      </c>
      <c r="B691" s="23" t="s">
        <v>1370</v>
      </c>
      <c r="C691" s="23">
        <v>26</v>
      </c>
      <c r="D691" s="23" t="s">
        <v>2689</v>
      </c>
      <c r="E691" s="24">
        <v>45672</v>
      </c>
      <c r="F691" s="23" t="s">
        <v>2653</v>
      </c>
      <c r="G691" s="23" t="s">
        <v>2654</v>
      </c>
      <c r="H691" s="23">
        <v>0</v>
      </c>
      <c r="I691" s="9">
        <f>COUNTIF(Data1_Clean!$I$2:I1000,A691)</f>
        <v>0</v>
      </c>
    </row>
    <row r="692" spans="1:9">
      <c r="A692" s="22" t="s">
        <v>1542</v>
      </c>
      <c r="B692" s="23" t="s">
        <v>1370</v>
      </c>
      <c r="C692" s="23">
        <v>52</v>
      </c>
      <c r="D692" s="23" t="s">
        <v>2689</v>
      </c>
      <c r="E692" s="24">
        <v>45683</v>
      </c>
      <c r="F692" s="23" t="s">
        <v>2655</v>
      </c>
      <c r="G692" s="23" t="s">
        <v>2656</v>
      </c>
      <c r="H692" s="23">
        <v>2</v>
      </c>
      <c r="I692" s="9">
        <f>COUNTIF(Data1_Clean!$I$2:I1000,A692)</f>
        <v>1</v>
      </c>
    </row>
    <row r="693" spans="1:9">
      <c r="A693" s="22" t="s">
        <v>2622</v>
      </c>
      <c r="B693" s="23" t="s">
        <v>1176</v>
      </c>
      <c r="C693" s="23">
        <v>24</v>
      </c>
      <c r="D693" s="23" t="s">
        <v>2689</v>
      </c>
      <c r="E693" s="24">
        <v>45688</v>
      </c>
      <c r="F693" s="23" t="s">
        <v>2655</v>
      </c>
      <c r="G693" s="23" t="s">
        <v>2654</v>
      </c>
      <c r="H693" s="23">
        <v>0</v>
      </c>
      <c r="I693" s="9">
        <f>COUNTIF(Data1_Clean!$I$2:I1000,A693)</f>
        <v>0</v>
      </c>
    </row>
    <row r="694" spans="1:9">
      <c r="A694" s="22" t="s">
        <v>1867</v>
      </c>
      <c r="B694" s="23" t="s">
        <v>1176</v>
      </c>
      <c r="C694" s="23">
        <v>61</v>
      </c>
      <c r="D694" s="23" t="s">
        <v>2690</v>
      </c>
      <c r="E694" s="24">
        <v>45538</v>
      </c>
      <c r="F694" s="23" t="s">
        <v>2653</v>
      </c>
      <c r="G694" s="23" t="s">
        <v>2654</v>
      </c>
      <c r="H694" s="23">
        <v>0</v>
      </c>
      <c r="I694" s="9">
        <f>COUNTIF(Data1_Clean!$I$2:I1000,A694)</f>
        <v>1</v>
      </c>
    </row>
    <row r="695" spans="1:9">
      <c r="A695" s="22" t="s">
        <v>1986</v>
      </c>
      <c r="B695" s="23" t="s">
        <v>1176</v>
      </c>
      <c r="C695" s="23">
        <v>60</v>
      </c>
      <c r="D695" s="23" t="s">
        <v>2690</v>
      </c>
      <c r="E695" s="24">
        <v>45540</v>
      </c>
      <c r="F695" s="23" t="s">
        <v>2655</v>
      </c>
      <c r="G695" s="23" t="s">
        <v>2656</v>
      </c>
      <c r="H695" s="23">
        <v>2</v>
      </c>
      <c r="I695" s="9">
        <f>COUNTIF(Data1_Clean!$I$2:I1000,A695)</f>
        <v>2</v>
      </c>
    </row>
    <row r="696" spans="1:9">
      <c r="A696" s="22" t="s">
        <v>2383</v>
      </c>
      <c r="B696" s="23" t="s">
        <v>1370</v>
      </c>
      <c r="C696" s="23">
        <v>39</v>
      </c>
      <c r="D696" s="23" t="s">
        <v>2690</v>
      </c>
      <c r="E696" s="24">
        <v>45542</v>
      </c>
      <c r="F696" s="23" t="s">
        <v>2653</v>
      </c>
      <c r="G696" s="23" t="s">
        <v>2656</v>
      </c>
      <c r="H696" s="23">
        <v>1</v>
      </c>
      <c r="I696" s="9">
        <f>COUNTIF(Data1_Clean!$I$2:I1000,A696)</f>
        <v>0</v>
      </c>
    </row>
    <row r="697" spans="1:9">
      <c r="A697" s="22" t="s">
        <v>2455</v>
      </c>
      <c r="B697" s="23" t="s">
        <v>1370</v>
      </c>
      <c r="C697" s="23">
        <v>37</v>
      </c>
      <c r="D697" s="23" t="s">
        <v>2690</v>
      </c>
      <c r="E697" s="24">
        <v>45550</v>
      </c>
      <c r="F697" s="23" t="s">
        <v>2653</v>
      </c>
      <c r="G697" s="23" t="s">
        <v>2656</v>
      </c>
      <c r="H697" s="23">
        <v>2</v>
      </c>
      <c r="I697" s="9">
        <f>COUNTIF(Data1_Clean!$I$2:I1000,A697)</f>
        <v>0</v>
      </c>
    </row>
    <row r="698" spans="1:9">
      <c r="A698" s="22" t="s">
        <v>550</v>
      </c>
      <c r="B698" s="23" t="s">
        <v>1176</v>
      </c>
      <c r="C698" s="23">
        <v>42</v>
      </c>
      <c r="D698" s="23" t="s">
        <v>2690</v>
      </c>
      <c r="E698" s="24">
        <v>45555</v>
      </c>
      <c r="F698" s="23" t="s">
        <v>2655</v>
      </c>
      <c r="G698" s="23" t="s">
        <v>2656</v>
      </c>
      <c r="H698" s="23">
        <v>3</v>
      </c>
      <c r="I698" s="9">
        <f>COUNTIF(Data1_Clean!$I$2:I1000,A698)</f>
        <v>1</v>
      </c>
    </row>
    <row r="699" spans="1:9">
      <c r="A699" s="22" t="s">
        <v>2457</v>
      </c>
      <c r="B699" s="23" t="s">
        <v>1370</v>
      </c>
      <c r="C699" s="23">
        <v>30</v>
      </c>
      <c r="D699" s="23" t="s">
        <v>2690</v>
      </c>
      <c r="E699" s="24">
        <v>45570</v>
      </c>
      <c r="F699" s="23" t="s">
        <v>2655</v>
      </c>
      <c r="G699" s="23" t="s">
        <v>2654</v>
      </c>
      <c r="H699" s="23">
        <v>0</v>
      </c>
      <c r="I699" s="9">
        <f>COUNTIF(Data1_Clean!$I$2:I1000,A699)</f>
        <v>0</v>
      </c>
    </row>
    <row r="700" spans="1:9">
      <c r="A700" s="22" t="s">
        <v>2251</v>
      </c>
      <c r="B700" s="23" t="s">
        <v>1176</v>
      </c>
      <c r="C700" s="23">
        <v>54</v>
      </c>
      <c r="D700" s="23" t="s">
        <v>2690</v>
      </c>
      <c r="E700" s="24">
        <v>45575</v>
      </c>
      <c r="F700" s="23" t="s">
        <v>2655</v>
      </c>
      <c r="G700" s="23" t="s">
        <v>2656</v>
      </c>
      <c r="H700" s="23">
        <v>2</v>
      </c>
      <c r="I700" s="9">
        <f>COUNTIF(Data1_Clean!$I$2:I1000,A700)</f>
        <v>1</v>
      </c>
    </row>
    <row r="701" spans="1:9">
      <c r="A701" s="22" t="s">
        <v>1240</v>
      </c>
      <c r="B701" s="23" t="s">
        <v>1370</v>
      </c>
      <c r="C701" s="23">
        <v>45</v>
      </c>
      <c r="D701" s="23" t="s">
        <v>2690</v>
      </c>
      <c r="E701" s="24">
        <v>45613</v>
      </c>
      <c r="F701" s="23" t="s">
        <v>2653</v>
      </c>
      <c r="G701" s="23" t="s">
        <v>2654</v>
      </c>
      <c r="H701" s="23">
        <v>0</v>
      </c>
      <c r="I701" s="9">
        <f>COUNTIF(Data1_Clean!$I$2:I1000,A701)</f>
        <v>1</v>
      </c>
    </row>
    <row r="702" spans="1:9">
      <c r="A702" s="22" t="s">
        <v>1791</v>
      </c>
      <c r="B702" s="23" t="s">
        <v>1176</v>
      </c>
      <c r="C702" s="23">
        <v>49</v>
      </c>
      <c r="D702" s="23" t="s">
        <v>2690</v>
      </c>
      <c r="E702" s="24">
        <v>45618</v>
      </c>
      <c r="F702" s="23" t="s">
        <v>2653</v>
      </c>
      <c r="G702" s="23" t="s">
        <v>2656</v>
      </c>
      <c r="H702" s="23">
        <v>3</v>
      </c>
      <c r="I702" s="9">
        <f>COUNTIF(Data1_Clean!$I$2:I1000,A702)</f>
        <v>2</v>
      </c>
    </row>
    <row r="703" spans="1:9">
      <c r="A703" s="22" t="s">
        <v>245</v>
      </c>
      <c r="B703" s="23" t="s">
        <v>1176</v>
      </c>
      <c r="C703" s="23">
        <v>52</v>
      </c>
      <c r="D703" s="23" t="s">
        <v>2690</v>
      </c>
      <c r="E703" s="24">
        <v>45635</v>
      </c>
      <c r="F703" s="23" t="s">
        <v>2655</v>
      </c>
      <c r="G703" s="23" t="s">
        <v>2654</v>
      </c>
      <c r="H703" s="23">
        <v>0</v>
      </c>
      <c r="I703" s="9">
        <f>COUNTIF(Data1_Clean!$I$2:I1000,A703)</f>
        <v>6</v>
      </c>
    </row>
    <row r="704" spans="1:9">
      <c r="A704" s="22" t="s">
        <v>2063</v>
      </c>
      <c r="B704" s="23" t="s">
        <v>1370</v>
      </c>
      <c r="C704" s="23">
        <v>34</v>
      </c>
      <c r="D704" s="23" t="s">
        <v>2690</v>
      </c>
      <c r="E704" s="24">
        <v>45641</v>
      </c>
      <c r="F704" s="23" t="s">
        <v>2653</v>
      </c>
      <c r="G704" s="23" t="s">
        <v>2656</v>
      </c>
      <c r="H704" s="23">
        <v>3</v>
      </c>
      <c r="I704" s="9">
        <f>COUNTIF(Data1_Clean!$I$2:I1000,A704)</f>
        <v>1</v>
      </c>
    </row>
    <row r="705" spans="1:9">
      <c r="A705" s="22" t="s">
        <v>2374</v>
      </c>
      <c r="B705" s="23" t="s">
        <v>1370</v>
      </c>
      <c r="C705" s="23">
        <v>57</v>
      </c>
      <c r="D705" s="23" t="s">
        <v>2690</v>
      </c>
      <c r="E705" s="24">
        <v>45650</v>
      </c>
      <c r="F705" s="23" t="s">
        <v>2655</v>
      </c>
      <c r="G705" s="23" t="s">
        <v>2656</v>
      </c>
      <c r="H705" s="23">
        <v>1</v>
      </c>
      <c r="I705" s="9">
        <f>COUNTIF(Data1_Clean!$I$2:I1000,A705)</f>
        <v>0</v>
      </c>
    </row>
    <row r="706" spans="1:9">
      <c r="A706" s="22" t="s">
        <v>2591</v>
      </c>
      <c r="B706" s="23" t="s">
        <v>1370</v>
      </c>
      <c r="C706" s="23">
        <v>27</v>
      </c>
      <c r="D706" s="23" t="s">
        <v>2690</v>
      </c>
      <c r="E706" s="24">
        <v>45678</v>
      </c>
      <c r="F706" s="23" t="s">
        <v>2653</v>
      </c>
      <c r="G706" s="23" t="s">
        <v>2656</v>
      </c>
      <c r="H706" s="23">
        <v>2</v>
      </c>
      <c r="I706" s="9">
        <f>COUNTIF(Data1_Clean!$I$2:I1000,A706)</f>
        <v>0</v>
      </c>
    </row>
    <row r="707" spans="1:9">
      <c r="A707" s="22" t="s">
        <v>2615</v>
      </c>
      <c r="B707" s="23" t="s">
        <v>1370</v>
      </c>
      <c r="C707" s="23">
        <v>29</v>
      </c>
      <c r="D707" s="23" t="s">
        <v>2690</v>
      </c>
      <c r="E707" s="24">
        <v>45712</v>
      </c>
      <c r="F707" s="23" t="s">
        <v>2655</v>
      </c>
      <c r="G707" s="23" t="s">
        <v>2656</v>
      </c>
      <c r="H707" s="23">
        <v>3</v>
      </c>
      <c r="I707" s="9">
        <f>COUNTIF(Data1_Clean!$I$2:I1000,A707)</f>
        <v>0</v>
      </c>
    </row>
    <row r="708" spans="1:9">
      <c r="A708" s="22" t="s">
        <v>2636</v>
      </c>
      <c r="B708" s="23" t="s">
        <v>1176</v>
      </c>
      <c r="C708" s="23">
        <v>59</v>
      </c>
      <c r="D708" s="23" t="s">
        <v>2691</v>
      </c>
      <c r="E708" s="24">
        <v>45545</v>
      </c>
      <c r="F708" s="23" t="s">
        <v>2655</v>
      </c>
      <c r="G708" s="23" t="s">
        <v>2656</v>
      </c>
      <c r="H708" s="23">
        <v>4</v>
      </c>
      <c r="I708" s="9">
        <f>COUNTIF(Data1_Clean!$I$2:I1000,A708)</f>
        <v>0</v>
      </c>
    </row>
    <row r="709" spans="1:9">
      <c r="A709" s="22" t="s">
        <v>1232</v>
      </c>
      <c r="B709" s="23" t="s">
        <v>1176</v>
      </c>
      <c r="C709" s="23">
        <v>61</v>
      </c>
      <c r="D709" s="23" t="s">
        <v>2691</v>
      </c>
      <c r="E709" s="24">
        <v>45546</v>
      </c>
      <c r="F709" s="23" t="s">
        <v>2655</v>
      </c>
      <c r="G709" s="23" t="s">
        <v>2656</v>
      </c>
      <c r="H709" s="23">
        <v>4</v>
      </c>
      <c r="I709" s="9">
        <f>COUNTIF(Data1_Clean!$I$2:I1000,A709)</f>
        <v>2</v>
      </c>
    </row>
    <row r="710" spans="1:9">
      <c r="A710" s="22" t="s">
        <v>1323</v>
      </c>
      <c r="B710" s="23" t="s">
        <v>1176</v>
      </c>
      <c r="C710" s="23">
        <v>47</v>
      </c>
      <c r="D710" s="23" t="s">
        <v>2691</v>
      </c>
      <c r="E710" s="24">
        <v>45565</v>
      </c>
      <c r="F710" s="23" t="s">
        <v>2655</v>
      </c>
      <c r="G710" s="23" t="s">
        <v>2656</v>
      </c>
      <c r="H710" s="23">
        <v>3</v>
      </c>
      <c r="I710" s="9">
        <f>COUNTIF(Data1_Clean!$I$2:I1000,A710)</f>
        <v>3</v>
      </c>
    </row>
    <row r="711" spans="1:9">
      <c r="A711" s="22" t="s">
        <v>1426</v>
      </c>
      <c r="B711" s="23" t="s">
        <v>1176</v>
      </c>
      <c r="C711" s="23">
        <v>26</v>
      </c>
      <c r="D711" s="23" t="s">
        <v>2691</v>
      </c>
      <c r="E711" s="24">
        <v>45577</v>
      </c>
      <c r="F711" s="23" t="s">
        <v>2655</v>
      </c>
      <c r="G711" s="23" t="s">
        <v>2654</v>
      </c>
      <c r="H711" s="23">
        <v>0</v>
      </c>
      <c r="I711" s="9">
        <f>COUNTIF(Data1_Clean!$I$2:I1000,A711)</f>
        <v>3</v>
      </c>
    </row>
    <row r="712" spans="1:9">
      <c r="A712" s="22" t="s">
        <v>532</v>
      </c>
      <c r="B712" s="23" t="s">
        <v>1370</v>
      </c>
      <c r="C712" s="23">
        <v>48</v>
      </c>
      <c r="D712" s="23" t="s">
        <v>2691</v>
      </c>
      <c r="E712" s="24">
        <v>45582</v>
      </c>
      <c r="F712" s="23" t="s">
        <v>2655</v>
      </c>
      <c r="G712" s="23" t="s">
        <v>2656</v>
      </c>
      <c r="H712" s="23">
        <v>4</v>
      </c>
      <c r="I712" s="9">
        <f>COUNTIF(Data1_Clean!$I$2:I1000,A712)</f>
        <v>1</v>
      </c>
    </row>
    <row r="713" spans="1:9">
      <c r="A713" s="22" t="s">
        <v>2421</v>
      </c>
      <c r="B713" s="23" t="s">
        <v>1370</v>
      </c>
      <c r="C713" s="23">
        <v>65</v>
      </c>
      <c r="D713" s="23" t="s">
        <v>2691</v>
      </c>
      <c r="E713" s="24">
        <v>45586</v>
      </c>
      <c r="F713" s="23" t="s">
        <v>2653</v>
      </c>
      <c r="G713" s="23" t="s">
        <v>2656</v>
      </c>
      <c r="H713" s="23">
        <v>2</v>
      </c>
      <c r="I713" s="9">
        <f>COUNTIF(Data1_Clean!$I$2:I1000,A713)</f>
        <v>0</v>
      </c>
    </row>
    <row r="714" spans="1:9">
      <c r="A714" s="22" t="s">
        <v>1947</v>
      </c>
      <c r="B714" s="23" t="s">
        <v>1176</v>
      </c>
      <c r="C714" s="23">
        <v>35</v>
      </c>
      <c r="D714" s="23" t="s">
        <v>2691</v>
      </c>
      <c r="E714" s="24">
        <v>45590</v>
      </c>
      <c r="F714" s="23" t="s">
        <v>2655</v>
      </c>
      <c r="G714" s="23" t="s">
        <v>2656</v>
      </c>
      <c r="H714" s="23">
        <v>4</v>
      </c>
      <c r="I714" s="9">
        <f>COUNTIF(Data1_Clean!$I$2:I1000,A714)</f>
        <v>1</v>
      </c>
    </row>
    <row r="715" spans="1:9">
      <c r="A715" s="22" t="s">
        <v>1155</v>
      </c>
      <c r="B715" s="23" t="s">
        <v>1176</v>
      </c>
      <c r="C715" s="23">
        <v>54</v>
      </c>
      <c r="D715" s="23" t="s">
        <v>2691</v>
      </c>
      <c r="E715" s="24">
        <v>45621</v>
      </c>
      <c r="F715" s="23" t="s">
        <v>2655</v>
      </c>
      <c r="G715" s="23" t="s">
        <v>2656</v>
      </c>
      <c r="H715" s="23">
        <v>1</v>
      </c>
      <c r="I715" s="9">
        <f>COUNTIF(Data1_Clean!$I$2:I1000,A715)</f>
        <v>1</v>
      </c>
    </row>
    <row r="716" spans="1:9">
      <c r="A716" s="22" t="s">
        <v>1860</v>
      </c>
      <c r="B716" s="23" t="s">
        <v>1176</v>
      </c>
      <c r="C716" s="23">
        <v>43</v>
      </c>
      <c r="D716" s="23" t="s">
        <v>2691</v>
      </c>
      <c r="E716" s="24">
        <v>45674</v>
      </c>
      <c r="F716" s="23" t="s">
        <v>2653</v>
      </c>
      <c r="G716" s="23" t="s">
        <v>2654</v>
      </c>
      <c r="H716" s="23">
        <v>0</v>
      </c>
      <c r="I716" s="9">
        <f>COUNTIF(Data1_Clean!$I$2:I1000,A716)</f>
        <v>1</v>
      </c>
    </row>
    <row r="717" spans="1:9">
      <c r="A717" s="22" t="s">
        <v>1531</v>
      </c>
      <c r="B717" s="23" t="s">
        <v>1370</v>
      </c>
      <c r="C717" s="23">
        <v>28</v>
      </c>
      <c r="D717" s="23" t="s">
        <v>2691</v>
      </c>
      <c r="E717" s="24">
        <v>45693</v>
      </c>
      <c r="F717" s="23" t="s">
        <v>2653</v>
      </c>
      <c r="G717" s="23" t="s">
        <v>2656</v>
      </c>
      <c r="H717" s="23">
        <v>4</v>
      </c>
      <c r="I717" s="9">
        <f>COUNTIF(Data1_Clean!$I$2:I1000,A717)</f>
        <v>3</v>
      </c>
    </row>
    <row r="718" spans="1:9">
      <c r="A718" s="22" t="s">
        <v>2592</v>
      </c>
      <c r="B718" s="23" t="s">
        <v>1370</v>
      </c>
      <c r="C718" s="23">
        <v>25</v>
      </c>
      <c r="D718" s="23" t="s">
        <v>2691</v>
      </c>
      <c r="E718" s="24">
        <v>45698</v>
      </c>
      <c r="F718" s="23" t="s">
        <v>2653</v>
      </c>
      <c r="G718" s="23" t="s">
        <v>2656</v>
      </c>
      <c r="H718" s="23">
        <v>2</v>
      </c>
      <c r="I718" s="9">
        <f>COUNTIF(Data1_Clean!$I$2:I1000,A718)</f>
        <v>0</v>
      </c>
    </row>
    <row r="719" spans="1:9">
      <c r="A719" s="22" t="s">
        <v>2511</v>
      </c>
      <c r="B719" s="23" t="s">
        <v>1370</v>
      </c>
      <c r="C719" s="23">
        <v>63</v>
      </c>
      <c r="D719" s="23" t="s">
        <v>2691</v>
      </c>
      <c r="E719" s="24">
        <v>45708</v>
      </c>
      <c r="F719" s="23" t="s">
        <v>2655</v>
      </c>
      <c r="G719" s="23" t="s">
        <v>2656</v>
      </c>
      <c r="H719" s="23">
        <v>3</v>
      </c>
      <c r="I719" s="9">
        <f>COUNTIF(Data1_Clean!$I$2:I1000,A719)</f>
        <v>0</v>
      </c>
    </row>
    <row r="720" spans="1:9">
      <c r="A720" s="22" t="s">
        <v>490</v>
      </c>
      <c r="B720" s="23" t="s">
        <v>1370</v>
      </c>
      <c r="C720" s="23">
        <v>34</v>
      </c>
      <c r="D720" s="23" t="s">
        <v>2691</v>
      </c>
      <c r="E720" s="24">
        <v>45740</v>
      </c>
      <c r="F720" s="23" t="s">
        <v>2655</v>
      </c>
      <c r="G720" s="23" t="s">
        <v>2656</v>
      </c>
      <c r="H720" s="23">
        <v>3</v>
      </c>
      <c r="I720" s="9">
        <f>COUNTIF(Data1_Clean!$I$2:I1000,A720)</f>
        <v>2</v>
      </c>
    </row>
    <row r="721" spans="1:9">
      <c r="A721" s="22" t="s">
        <v>2449</v>
      </c>
      <c r="B721" s="23" t="s">
        <v>1370</v>
      </c>
      <c r="C721" s="23">
        <v>28</v>
      </c>
      <c r="D721" s="23" t="s">
        <v>2692</v>
      </c>
      <c r="E721" s="24">
        <v>45553</v>
      </c>
      <c r="F721" s="23" t="s">
        <v>2653</v>
      </c>
      <c r="G721" s="23" t="s">
        <v>2654</v>
      </c>
      <c r="H721" s="23">
        <v>0</v>
      </c>
      <c r="I721" s="9">
        <f>COUNTIF(Data1_Clean!$I$2:I1000,A721)</f>
        <v>0</v>
      </c>
    </row>
    <row r="722" spans="1:9">
      <c r="A722" s="22" t="s">
        <v>982</v>
      </c>
      <c r="B722" s="23" t="s">
        <v>1176</v>
      </c>
      <c r="C722" s="23">
        <v>41</v>
      </c>
      <c r="D722" s="23" t="s">
        <v>2692</v>
      </c>
      <c r="E722" s="24">
        <v>45564</v>
      </c>
      <c r="F722" s="23" t="s">
        <v>2653</v>
      </c>
      <c r="G722" s="23" t="s">
        <v>2656</v>
      </c>
      <c r="H722" s="23">
        <v>3</v>
      </c>
      <c r="I722" s="9">
        <f>COUNTIF(Data1_Clean!$I$2:I1000,A722)</f>
        <v>3</v>
      </c>
    </row>
    <row r="723" spans="1:9">
      <c r="A723" s="22" t="s">
        <v>2407</v>
      </c>
      <c r="B723" s="23" t="s">
        <v>1370</v>
      </c>
      <c r="C723" s="23">
        <v>65</v>
      </c>
      <c r="D723" s="23" t="s">
        <v>2692</v>
      </c>
      <c r="E723" s="24">
        <v>45582</v>
      </c>
      <c r="F723" s="23" t="s">
        <v>2653</v>
      </c>
      <c r="G723" s="23" t="s">
        <v>2656</v>
      </c>
      <c r="H723" s="23">
        <v>3</v>
      </c>
      <c r="I723" s="9">
        <f>COUNTIF(Data1_Clean!$I$2:I1000,A723)</f>
        <v>0</v>
      </c>
    </row>
    <row r="724" spans="1:9">
      <c r="A724" s="22" t="s">
        <v>496</v>
      </c>
      <c r="B724" s="23" t="s">
        <v>1176</v>
      </c>
      <c r="C724" s="23">
        <v>26</v>
      </c>
      <c r="D724" s="23" t="s">
        <v>2692</v>
      </c>
      <c r="E724" s="24">
        <v>45604</v>
      </c>
      <c r="F724" s="23" t="s">
        <v>2653</v>
      </c>
      <c r="G724" s="23" t="s">
        <v>2654</v>
      </c>
      <c r="H724" s="23">
        <v>0</v>
      </c>
      <c r="I724" s="9">
        <f>COUNTIF(Data1_Clean!$I$2:I1000,A724)</f>
        <v>2</v>
      </c>
    </row>
    <row r="725" spans="1:9">
      <c r="A725" s="22" t="s">
        <v>226</v>
      </c>
      <c r="B725" s="23" t="s">
        <v>1176</v>
      </c>
      <c r="C725" s="23">
        <v>57</v>
      </c>
      <c r="D725" s="23" t="s">
        <v>2692</v>
      </c>
      <c r="E725" s="24">
        <v>45617</v>
      </c>
      <c r="F725" s="23" t="s">
        <v>2653</v>
      </c>
      <c r="G725" s="23" t="s">
        <v>2656</v>
      </c>
      <c r="H725" s="23">
        <v>1</v>
      </c>
      <c r="I725" s="9">
        <f>COUNTIF(Data1_Clean!$I$2:I1000,A725)</f>
        <v>2</v>
      </c>
    </row>
    <row r="726" spans="1:9">
      <c r="A726" s="22" t="s">
        <v>2641</v>
      </c>
      <c r="B726" s="23" t="s">
        <v>1370</v>
      </c>
      <c r="C726" s="23">
        <v>64</v>
      </c>
      <c r="D726" s="23" t="s">
        <v>2692</v>
      </c>
      <c r="E726" s="24">
        <v>45653</v>
      </c>
      <c r="F726" s="23" t="s">
        <v>2655</v>
      </c>
      <c r="G726" s="23" t="s">
        <v>2656</v>
      </c>
      <c r="H726" s="23">
        <v>1</v>
      </c>
      <c r="I726" s="9">
        <f>COUNTIF(Data1_Clean!$I$2:I1000,A726)</f>
        <v>0</v>
      </c>
    </row>
    <row r="727" spans="1:9">
      <c r="A727" s="22" t="s">
        <v>2171</v>
      </c>
      <c r="B727" s="23" t="s">
        <v>1176</v>
      </c>
      <c r="C727" s="23">
        <v>33</v>
      </c>
      <c r="D727" s="23" t="s">
        <v>2692</v>
      </c>
      <c r="E727" s="24">
        <v>45676</v>
      </c>
      <c r="F727" s="23" t="s">
        <v>2655</v>
      </c>
      <c r="G727" s="23" t="s">
        <v>2654</v>
      </c>
      <c r="H727" s="23">
        <v>0</v>
      </c>
      <c r="I727" s="9">
        <f>COUNTIF(Data1_Clean!$I$2:I1000,A727)</f>
        <v>1</v>
      </c>
    </row>
    <row r="728" spans="1:9">
      <c r="A728" s="22" t="s">
        <v>471</v>
      </c>
      <c r="B728" s="23" t="s">
        <v>1370</v>
      </c>
      <c r="C728" s="23">
        <v>18</v>
      </c>
      <c r="D728" s="23" t="s">
        <v>2692</v>
      </c>
      <c r="E728" s="24">
        <v>45720</v>
      </c>
      <c r="F728" s="23" t="s">
        <v>2655</v>
      </c>
      <c r="G728" s="23" t="s">
        <v>2654</v>
      </c>
      <c r="H728" s="23">
        <v>0</v>
      </c>
      <c r="I728" s="9">
        <f>COUNTIF(Data1_Clean!$I$2:I1000,A728)</f>
        <v>2</v>
      </c>
    </row>
    <row r="729" spans="1:9">
      <c r="A729" s="22" t="s">
        <v>519</v>
      </c>
      <c r="B729" s="23" t="s">
        <v>1370</v>
      </c>
      <c r="C729" s="23">
        <v>20</v>
      </c>
      <c r="D729" s="23" t="s">
        <v>2692</v>
      </c>
      <c r="E729" s="24">
        <v>45729</v>
      </c>
      <c r="F729" s="23" t="s">
        <v>2653</v>
      </c>
      <c r="G729" s="23" t="s">
        <v>2656</v>
      </c>
      <c r="H729" s="23">
        <v>3</v>
      </c>
      <c r="I729" s="9">
        <f>COUNTIF(Data1_Clean!$I$2:I1000,A729)</f>
        <v>1</v>
      </c>
    </row>
    <row r="730" spans="1:9">
      <c r="A730" s="22" t="s">
        <v>2595</v>
      </c>
      <c r="B730" s="23" t="s">
        <v>1370</v>
      </c>
      <c r="C730" s="23">
        <v>27</v>
      </c>
      <c r="D730" s="23" t="s">
        <v>2692</v>
      </c>
      <c r="E730" s="24">
        <v>45746</v>
      </c>
      <c r="F730" s="23" t="s">
        <v>2653</v>
      </c>
      <c r="G730" s="23" t="s">
        <v>2654</v>
      </c>
      <c r="H730" s="23">
        <v>0</v>
      </c>
      <c r="I730" s="9">
        <f>COUNTIF(Data1_Clean!$I$2:I1000,A730)</f>
        <v>0</v>
      </c>
    </row>
    <row r="731" spans="1:9">
      <c r="A731" s="25"/>
      <c r="B731" s="25"/>
      <c r="C731" s="25"/>
      <c r="D731" s="25"/>
      <c r="E731" s="26"/>
      <c r="F731" s="25"/>
      <c r="G731" s="25"/>
      <c r="H731" s="25"/>
      <c r="I731" s="27">
        <f>SUM(I2:I730)</f>
        <v>721</v>
      </c>
    </row>
    <row r="732" spans="1:9">
      <c r="E732" s="28"/>
    </row>
    <row r="733" spans="1:9">
      <c r="E733" s="28"/>
    </row>
    <row r="734" spans="1:9">
      <c r="E734" s="28"/>
    </row>
    <row r="735" spans="1:9">
      <c r="E735" s="28"/>
    </row>
    <row r="736" spans="1:9">
      <c r="E736" s="28"/>
    </row>
    <row r="737" spans="5:5">
      <c r="E737" s="28"/>
    </row>
    <row r="738" spans="5:5">
      <c r="E738" s="28"/>
    </row>
    <row r="739" spans="5:5">
      <c r="E739" s="28"/>
    </row>
    <row r="740" spans="5:5">
      <c r="E740" s="28"/>
    </row>
    <row r="741" spans="5:5">
      <c r="E741" s="28"/>
    </row>
    <row r="742" spans="5:5">
      <c r="E742" s="28"/>
    </row>
    <row r="743" spans="5:5">
      <c r="E743" s="28"/>
    </row>
    <row r="744" spans="5:5">
      <c r="E744" s="28"/>
    </row>
    <row r="745" spans="5:5">
      <c r="E745" s="28"/>
    </row>
    <row r="746" spans="5:5">
      <c r="E746" s="28"/>
    </row>
    <row r="747" spans="5:5">
      <c r="E747" s="28"/>
    </row>
    <row r="748" spans="5:5">
      <c r="E748" s="28"/>
    </row>
    <row r="749" spans="5:5">
      <c r="E749" s="28"/>
    </row>
    <row r="750" spans="5:5">
      <c r="E750" s="28"/>
    </row>
    <row r="751" spans="5:5">
      <c r="E751" s="28"/>
    </row>
    <row r="752" spans="5:5">
      <c r="E752" s="28"/>
    </row>
    <row r="753" spans="5:5">
      <c r="E753" s="28"/>
    </row>
    <row r="754" spans="5:5">
      <c r="E754" s="28"/>
    </row>
    <row r="755" spans="5:5">
      <c r="E755" s="28"/>
    </row>
    <row r="756" spans="5:5">
      <c r="E756" s="28"/>
    </row>
    <row r="757" spans="5:5">
      <c r="E757" s="28"/>
    </row>
    <row r="758" spans="5:5">
      <c r="E758" s="28"/>
    </row>
    <row r="759" spans="5:5">
      <c r="E759" s="28"/>
    </row>
    <row r="760" spans="5:5">
      <c r="E760" s="28"/>
    </row>
    <row r="761" spans="5:5">
      <c r="E761" s="28"/>
    </row>
    <row r="762" spans="5:5">
      <c r="E762" s="28"/>
    </row>
    <row r="763" spans="5:5">
      <c r="E763" s="28"/>
    </row>
    <row r="764" spans="5:5">
      <c r="E764" s="28"/>
    </row>
    <row r="765" spans="5:5">
      <c r="E765" s="28"/>
    </row>
    <row r="766" spans="5:5">
      <c r="E766" s="28"/>
    </row>
    <row r="767" spans="5:5">
      <c r="E767" s="28"/>
    </row>
    <row r="768" spans="5:5">
      <c r="E768" s="28"/>
    </row>
    <row r="769" spans="5:5">
      <c r="E769" s="28"/>
    </row>
    <row r="770" spans="5:5">
      <c r="E770" s="28"/>
    </row>
    <row r="771" spans="5:5">
      <c r="E771" s="28"/>
    </row>
    <row r="772" spans="5:5">
      <c r="E772" s="28"/>
    </row>
    <row r="773" spans="5:5">
      <c r="E773" s="28"/>
    </row>
    <row r="774" spans="5:5">
      <c r="E774" s="28"/>
    </row>
    <row r="775" spans="5:5">
      <c r="E775" s="28"/>
    </row>
    <row r="776" spans="5:5">
      <c r="E776" s="28"/>
    </row>
    <row r="777" spans="5:5">
      <c r="E777" s="28"/>
    </row>
    <row r="778" spans="5:5">
      <c r="E778" s="28"/>
    </row>
    <row r="779" spans="5:5">
      <c r="E779" s="28"/>
    </row>
    <row r="780" spans="5:5">
      <c r="E780" s="28"/>
    </row>
    <row r="781" spans="5:5">
      <c r="E781" s="28"/>
    </row>
    <row r="782" spans="5:5">
      <c r="E782" s="28"/>
    </row>
    <row r="783" spans="5:5">
      <c r="E783" s="28"/>
    </row>
    <row r="784" spans="5:5">
      <c r="E784" s="28"/>
    </row>
    <row r="785" spans="5:5">
      <c r="E785" s="28"/>
    </row>
    <row r="786" spans="5:5">
      <c r="E786" s="28"/>
    </row>
    <row r="787" spans="5:5">
      <c r="E787" s="28"/>
    </row>
    <row r="788" spans="5:5">
      <c r="E788" s="28"/>
    </row>
    <row r="789" spans="5:5">
      <c r="E789" s="28"/>
    </row>
    <row r="790" spans="5:5">
      <c r="E790" s="28"/>
    </row>
    <row r="791" spans="5:5">
      <c r="E791" s="28"/>
    </row>
    <row r="792" spans="5:5">
      <c r="E792" s="28"/>
    </row>
    <row r="793" spans="5:5">
      <c r="E793" s="28"/>
    </row>
    <row r="794" spans="5:5">
      <c r="E794" s="28"/>
    </row>
    <row r="795" spans="5:5">
      <c r="E795" s="28"/>
    </row>
    <row r="796" spans="5:5">
      <c r="E796" s="28"/>
    </row>
    <row r="797" spans="5:5">
      <c r="E797" s="28"/>
    </row>
    <row r="798" spans="5:5">
      <c r="E798" s="28"/>
    </row>
    <row r="799" spans="5:5">
      <c r="E799" s="28"/>
    </row>
    <row r="800" spans="5:5">
      <c r="E800" s="28"/>
    </row>
    <row r="801" spans="5:5">
      <c r="E801" s="28"/>
    </row>
    <row r="802" spans="5:5">
      <c r="E802" s="28"/>
    </row>
    <row r="803" spans="5:5">
      <c r="E803" s="28"/>
    </row>
    <row r="804" spans="5:5">
      <c r="E804" s="28"/>
    </row>
    <row r="805" spans="5:5">
      <c r="E805" s="28"/>
    </row>
    <row r="806" spans="5:5">
      <c r="E806" s="28"/>
    </row>
    <row r="807" spans="5:5">
      <c r="E807" s="28"/>
    </row>
    <row r="808" spans="5:5">
      <c r="E808" s="28"/>
    </row>
    <row r="809" spans="5:5">
      <c r="E809" s="28"/>
    </row>
    <row r="810" spans="5:5">
      <c r="E810" s="28"/>
    </row>
    <row r="811" spans="5:5">
      <c r="E811" s="28"/>
    </row>
    <row r="812" spans="5:5">
      <c r="E812" s="28"/>
    </row>
    <row r="813" spans="5:5">
      <c r="E813" s="28"/>
    </row>
    <row r="814" spans="5:5">
      <c r="E814" s="28"/>
    </row>
    <row r="815" spans="5:5">
      <c r="E815" s="28"/>
    </row>
    <row r="816" spans="5:5">
      <c r="E816" s="28"/>
    </row>
    <row r="817" spans="5:5">
      <c r="E817" s="28"/>
    </row>
    <row r="818" spans="5:5">
      <c r="E818" s="28"/>
    </row>
    <row r="819" spans="5:5">
      <c r="E819" s="28"/>
    </row>
    <row r="820" spans="5:5">
      <c r="E820" s="28"/>
    </row>
    <row r="821" spans="5:5">
      <c r="E821" s="28"/>
    </row>
    <row r="822" spans="5:5">
      <c r="E822" s="28"/>
    </row>
    <row r="823" spans="5:5">
      <c r="E823" s="28"/>
    </row>
    <row r="824" spans="5:5">
      <c r="E824" s="28"/>
    </row>
    <row r="825" spans="5:5">
      <c r="E825" s="28"/>
    </row>
    <row r="826" spans="5:5">
      <c r="E826" s="28"/>
    </row>
    <row r="827" spans="5:5">
      <c r="E827" s="28"/>
    </row>
    <row r="828" spans="5:5">
      <c r="E828" s="28"/>
    </row>
    <row r="829" spans="5:5">
      <c r="E829" s="28"/>
    </row>
    <row r="830" spans="5:5">
      <c r="E830" s="28"/>
    </row>
    <row r="831" spans="5:5">
      <c r="E831" s="28"/>
    </row>
    <row r="832" spans="5:5">
      <c r="E832" s="28"/>
    </row>
    <row r="833" spans="5:5">
      <c r="E833" s="28"/>
    </row>
    <row r="834" spans="5:5">
      <c r="E834" s="28"/>
    </row>
    <row r="835" spans="5:5">
      <c r="E835" s="28"/>
    </row>
    <row r="836" spans="5:5">
      <c r="E836" s="28"/>
    </row>
    <row r="837" spans="5:5">
      <c r="E837" s="28"/>
    </row>
    <row r="838" spans="5:5">
      <c r="E838" s="28"/>
    </row>
    <row r="839" spans="5:5">
      <c r="E839" s="28"/>
    </row>
    <row r="840" spans="5:5">
      <c r="E840" s="28"/>
    </row>
    <row r="841" spans="5:5">
      <c r="E841" s="28"/>
    </row>
    <row r="842" spans="5:5">
      <c r="E842" s="28"/>
    </row>
    <row r="843" spans="5:5">
      <c r="E843" s="28"/>
    </row>
    <row r="844" spans="5:5">
      <c r="E844" s="28"/>
    </row>
    <row r="845" spans="5:5">
      <c r="E845" s="28"/>
    </row>
    <row r="846" spans="5:5">
      <c r="E846" s="28"/>
    </row>
    <row r="847" spans="5:5">
      <c r="E847" s="28"/>
    </row>
    <row r="848" spans="5:5">
      <c r="E848" s="28"/>
    </row>
    <row r="849" spans="5:5">
      <c r="E849" s="28"/>
    </row>
    <row r="850" spans="5:5">
      <c r="E850" s="28"/>
    </row>
    <row r="851" spans="5:5">
      <c r="E851" s="28"/>
    </row>
    <row r="852" spans="5:5">
      <c r="E852" s="28"/>
    </row>
    <row r="853" spans="5:5">
      <c r="E853" s="28"/>
    </row>
    <row r="854" spans="5:5">
      <c r="E854" s="28"/>
    </row>
    <row r="855" spans="5:5">
      <c r="E855" s="28"/>
    </row>
    <row r="856" spans="5:5">
      <c r="E856" s="28"/>
    </row>
    <row r="857" spans="5:5">
      <c r="E857" s="28"/>
    </row>
    <row r="858" spans="5:5">
      <c r="E858" s="28"/>
    </row>
    <row r="859" spans="5:5">
      <c r="E859" s="28"/>
    </row>
    <row r="860" spans="5:5">
      <c r="E860" s="28"/>
    </row>
    <row r="861" spans="5:5">
      <c r="E861" s="28"/>
    </row>
    <row r="862" spans="5:5">
      <c r="E862" s="28"/>
    </row>
    <row r="863" spans="5:5">
      <c r="E863" s="28"/>
    </row>
    <row r="864" spans="5:5">
      <c r="E864" s="28"/>
    </row>
    <row r="865" spans="5:5">
      <c r="E865" s="28"/>
    </row>
    <row r="866" spans="5:5">
      <c r="E866" s="28"/>
    </row>
    <row r="867" spans="5:5">
      <c r="E867" s="28"/>
    </row>
    <row r="868" spans="5:5">
      <c r="E868" s="28"/>
    </row>
    <row r="869" spans="5:5">
      <c r="E869" s="28"/>
    </row>
    <row r="870" spans="5:5">
      <c r="E870" s="28"/>
    </row>
    <row r="871" spans="5:5">
      <c r="E871" s="28"/>
    </row>
    <row r="872" spans="5:5">
      <c r="E872" s="28"/>
    </row>
    <row r="873" spans="5:5">
      <c r="E873" s="28"/>
    </row>
    <row r="874" spans="5:5">
      <c r="E874" s="28"/>
    </row>
    <row r="875" spans="5:5">
      <c r="E875" s="28"/>
    </row>
    <row r="876" spans="5:5">
      <c r="E876" s="28"/>
    </row>
    <row r="877" spans="5:5">
      <c r="E877" s="28"/>
    </row>
    <row r="878" spans="5:5">
      <c r="E878" s="28"/>
    </row>
    <row r="879" spans="5:5">
      <c r="E879" s="28"/>
    </row>
    <row r="880" spans="5:5">
      <c r="E880" s="28"/>
    </row>
    <row r="881" spans="5:5">
      <c r="E881" s="28"/>
    </row>
    <row r="882" spans="5:5">
      <c r="E882" s="28"/>
    </row>
    <row r="883" spans="5:5">
      <c r="E883" s="28"/>
    </row>
    <row r="884" spans="5:5">
      <c r="E884" s="28"/>
    </row>
    <row r="885" spans="5:5">
      <c r="E885" s="28"/>
    </row>
    <row r="886" spans="5:5">
      <c r="E886" s="28"/>
    </row>
    <row r="887" spans="5:5">
      <c r="E887" s="28"/>
    </row>
    <row r="888" spans="5:5">
      <c r="E888" s="28"/>
    </row>
    <row r="889" spans="5:5">
      <c r="E889" s="28"/>
    </row>
    <row r="890" spans="5:5">
      <c r="E890" s="28"/>
    </row>
    <row r="891" spans="5:5">
      <c r="E891" s="28"/>
    </row>
    <row r="892" spans="5:5">
      <c r="E892" s="28"/>
    </row>
    <row r="893" spans="5:5">
      <c r="E893" s="28"/>
    </row>
    <row r="894" spans="5:5">
      <c r="E894" s="28"/>
    </row>
    <row r="895" spans="5:5">
      <c r="E895" s="28"/>
    </row>
    <row r="896" spans="5:5">
      <c r="E896" s="28"/>
    </row>
    <row r="897" spans="5:5">
      <c r="E897" s="28"/>
    </row>
    <row r="898" spans="5:5">
      <c r="E898" s="28"/>
    </row>
    <row r="899" spans="5:5">
      <c r="E899" s="28"/>
    </row>
    <row r="900" spans="5:5">
      <c r="E900" s="28"/>
    </row>
    <row r="901" spans="5:5">
      <c r="E901" s="28"/>
    </row>
    <row r="902" spans="5:5">
      <c r="E902" s="28"/>
    </row>
    <row r="903" spans="5:5">
      <c r="E903" s="28"/>
    </row>
    <row r="904" spans="5:5">
      <c r="E904" s="28"/>
    </row>
    <row r="905" spans="5:5">
      <c r="E905" s="28"/>
    </row>
    <row r="906" spans="5:5">
      <c r="E906" s="28"/>
    </row>
    <row r="907" spans="5:5">
      <c r="E907" s="28"/>
    </row>
    <row r="908" spans="5:5">
      <c r="E908" s="28"/>
    </row>
    <row r="909" spans="5:5">
      <c r="E909" s="28"/>
    </row>
    <row r="910" spans="5:5">
      <c r="E910" s="28"/>
    </row>
    <row r="911" spans="5:5">
      <c r="E911" s="28"/>
    </row>
    <row r="912" spans="5:5">
      <c r="E912" s="28"/>
    </row>
    <row r="913" spans="5:5">
      <c r="E913" s="28"/>
    </row>
    <row r="914" spans="5:5">
      <c r="E914" s="28"/>
    </row>
    <row r="915" spans="5:5">
      <c r="E915" s="28"/>
    </row>
    <row r="916" spans="5:5">
      <c r="E916" s="28"/>
    </row>
    <row r="917" spans="5:5">
      <c r="E917" s="28"/>
    </row>
    <row r="918" spans="5:5">
      <c r="E918" s="28"/>
    </row>
    <row r="919" spans="5:5">
      <c r="E919" s="28"/>
    </row>
    <row r="920" spans="5:5">
      <c r="E920" s="28"/>
    </row>
    <row r="921" spans="5:5">
      <c r="E921" s="28"/>
    </row>
    <row r="922" spans="5:5">
      <c r="E922" s="28"/>
    </row>
    <row r="923" spans="5:5">
      <c r="E923" s="28"/>
    </row>
    <row r="924" spans="5:5">
      <c r="E924" s="28"/>
    </row>
    <row r="925" spans="5:5">
      <c r="E925" s="28"/>
    </row>
    <row r="926" spans="5:5">
      <c r="E926" s="28"/>
    </row>
    <row r="927" spans="5:5">
      <c r="E927" s="28"/>
    </row>
    <row r="928" spans="5:5">
      <c r="E928" s="28"/>
    </row>
    <row r="929" spans="5:5">
      <c r="E929" s="28"/>
    </row>
    <row r="930" spans="5:5">
      <c r="E930" s="28"/>
    </row>
    <row r="931" spans="5:5">
      <c r="E931" s="28"/>
    </row>
    <row r="932" spans="5:5">
      <c r="E932" s="28"/>
    </row>
    <row r="933" spans="5:5">
      <c r="E933" s="28"/>
    </row>
    <row r="934" spans="5:5">
      <c r="E934" s="28"/>
    </row>
    <row r="935" spans="5:5">
      <c r="E935" s="28"/>
    </row>
    <row r="936" spans="5:5">
      <c r="E936" s="28"/>
    </row>
    <row r="937" spans="5:5">
      <c r="E937" s="28"/>
    </row>
    <row r="938" spans="5:5">
      <c r="E938" s="28"/>
    </row>
    <row r="939" spans="5:5">
      <c r="E939" s="28"/>
    </row>
    <row r="940" spans="5:5">
      <c r="E940" s="28"/>
    </row>
    <row r="941" spans="5:5">
      <c r="E941" s="28"/>
    </row>
    <row r="942" spans="5:5">
      <c r="E942" s="28"/>
    </row>
    <row r="943" spans="5:5">
      <c r="E943" s="28"/>
    </row>
    <row r="944" spans="5:5">
      <c r="E944" s="28"/>
    </row>
    <row r="945" spans="5:5">
      <c r="E945" s="28"/>
    </row>
    <row r="946" spans="5:5">
      <c r="E946" s="28"/>
    </row>
    <row r="947" spans="5:5">
      <c r="E947" s="28"/>
    </row>
    <row r="948" spans="5:5">
      <c r="E948" s="28"/>
    </row>
    <row r="949" spans="5:5">
      <c r="E949" s="28"/>
    </row>
    <row r="950" spans="5:5">
      <c r="E950" s="28"/>
    </row>
    <row r="951" spans="5:5">
      <c r="E951" s="28"/>
    </row>
    <row r="952" spans="5:5">
      <c r="E952" s="28"/>
    </row>
    <row r="953" spans="5:5">
      <c r="E953" s="28"/>
    </row>
    <row r="954" spans="5:5">
      <c r="E954" s="28"/>
    </row>
    <row r="955" spans="5:5">
      <c r="E955" s="28"/>
    </row>
    <row r="956" spans="5:5">
      <c r="E956" s="28"/>
    </row>
    <row r="957" spans="5:5">
      <c r="E957" s="28"/>
    </row>
    <row r="958" spans="5:5">
      <c r="E958" s="28"/>
    </row>
    <row r="959" spans="5:5">
      <c r="E959" s="28"/>
    </row>
    <row r="960" spans="5:5">
      <c r="E960" s="28"/>
    </row>
    <row r="961" spans="5:5">
      <c r="E961" s="28"/>
    </row>
    <row r="962" spans="5:5">
      <c r="E962" s="28"/>
    </row>
    <row r="963" spans="5:5">
      <c r="E963" s="28"/>
    </row>
    <row r="964" spans="5:5">
      <c r="E964" s="28"/>
    </row>
    <row r="965" spans="5:5">
      <c r="E965" s="28"/>
    </row>
    <row r="966" spans="5:5">
      <c r="E966" s="28"/>
    </row>
    <row r="967" spans="5:5">
      <c r="E967" s="28"/>
    </row>
    <row r="968" spans="5:5">
      <c r="E968" s="28"/>
    </row>
    <row r="969" spans="5:5">
      <c r="E969" s="28"/>
    </row>
    <row r="970" spans="5:5">
      <c r="E970" s="28"/>
    </row>
    <row r="971" spans="5:5">
      <c r="E971" s="28"/>
    </row>
    <row r="972" spans="5:5">
      <c r="E972" s="28"/>
    </row>
    <row r="973" spans="5:5">
      <c r="E973" s="28"/>
    </row>
    <row r="974" spans="5:5">
      <c r="E974" s="28"/>
    </row>
    <row r="975" spans="5:5">
      <c r="E975" s="28"/>
    </row>
    <row r="976" spans="5:5">
      <c r="E976" s="28"/>
    </row>
    <row r="977" spans="5:5">
      <c r="E977" s="28"/>
    </row>
    <row r="978" spans="5:5">
      <c r="E978" s="28"/>
    </row>
    <row r="979" spans="5:5">
      <c r="E979" s="28"/>
    </row>
    <row r="980" spans="5:5">
      <c r="E980" s="28"/>
    </row>
    <row r="981" spans="5:5">
      <c r="E981" s="28"/>
    </row>
    <row r="982" spans="5:5">
      <c r="E982" s="28"/>
    </row>
    <row r="983" spans="5:5">
      <c r="E983" s="28"/>
    </row>
    <row r="984" spans="5:5">
      <c r="E984" s="28"/>
    </row>
    <row r="985" spans="5:5">
      <c r="E985" s="28"/>
    </row>
    <row r="986" spans="5:5">
      <c r="E986" s="28"/>
    </row>
    <row r="987" spans="5:5">
      <c r="E987" s="28"/>
    </row>
    <row r="988" spans="5:5">
      <c r="E988" s="28"/>
    </row>
    <row r="989" spans="5:5">
      <c r="E989" s="28"/>
    </row>
    <row r="990" spans="5:5">
      <c r="E990" s="28"/>
    </row>
    <row r="991" spans="5:5">
      <c r="E991" s="28"/>
    </row>
    <row r="992" spans="5:5">
      <c r="E992" s="28"/>
    </row>
    <row r="993" spans="5:5">
      <c r="E993" s="28"/>
    </row>
    <row r="994" spans="5:5">
      <c r="E994" s="28"/>
    </row>
    <row r="995" spans="5:5">
      <c r="E995" s="28"/>
    </row>
    <row r="996" spans="5:5">
      <c r="E996" s="28"/>
    </row>
    <row r="997" spans="5:5">
      <c r="E997" s="28"/>
    </row>
    <row r="998" spans="5:5">
      <c r="E998" s="28"/>
    </row>
    <row r="999" spans="5:5">
      <c r="E999" s="28"/>
    </row>
    <row r="1000" spans="5:5">
      <c r="E1000" s="28"/>
    </row>
  </sheetData>
  <autoFilter ref="A1:Z731" xr:uid="{00000000-0009-0000-0000-000004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A1000"/>
  <sheetViews>
    <sheetView workbookViewId="0"/>
  </sheetViews>
  <sheetFormatPr defaultColWidth="12.5703125" defaultRowHeight="15.75" customHeight="1"/>
  <cols>
    <col min="1" max="1" width="93.85546875" customWidth="1"/>
    <col min="3" max="3" width="21.5703125" customWidth="1"/>
    <col min="4" max="4" width="26.28515625" customWidth="1"/>
    <col min="17" max="17" width="17.28515625" customWidth="1"/>
    <col min="19" max="19" width="13.5703125" customWidth="1"/>
    <col min="20" max="20" width="18.5703125" customWidth="1"/>
  </cols>
  <sheetData>
    <row r="1" spans="1:20">
      <c r="A1" s="21" t="s">
        <v>2352</v>
      </c>
      <c r="B1" s="21" t="s">
        <v>2354</v>
      </c>
      <c r="C1" s="21" t="s">
        <v>2356</v>
      </c>
      <c r="D1" s="21" t="s">
        <v>2358</v>
      </c>
      <c r="E1" s="21" t="s">
        <v>2360</v>
      </c>
      <c r="F1" s="21" t="s">
        <v>14</v>
      </c>
      <c r="G1" s="21" t="s">
        <v>2363</v>
      </c>
      <c r="H1" s="21" t="s">
        <v>16</v>
      </c>
      <c r="I1" s="21" t="s">
        <v>17</v>
      </c>
      <c r="J1" s="21" t="s">
        <v>2348</v>
      </c>
      <c r="K1" s="21" t="s">
        <v>2349</v>
      </c>
      <c r="L1" s="21" t="s">
        <v>2350</v>
      </c>
      <c r="M1" s="30" t="s">
        <v>2365</v>
      </c>
      <c r="N1" s="31"/>
      <c r="O1" s="32"/>
      <c r="P1" s="33" t="s">
        <v>0</v>
      </c>
      <c r="Q1" s="34"/>
      <c r="R1" s="34" t="s">
        <v>2366</v>
      </c>
      <c r="S1" s="29" t="s">
        <v>2693</v>
      </c>
      <c r="T1" s="35"/>
    </row>
    <row r="2" spans="1:20">
      <c r="A2" s="22" t="s">
        <v>2694</v>
      </c>
      <c r="B2" s="23" t="s">
        <v>44</v>
      </c>
      <c r="C2" s="23" t="s">
        <v>62</v>
      </c>
      <c r="D2" s="23" t="s">
        <v>2695</v>
      </c>
      <c r="E2" s="36" t="s">
        <v>2696</v>
      </c>
      <c r="F2" s="23" t="s">
        <v>50</v>
      </c>
      <c r="G2" s="23" t="s">
        <v>75</v>
      </c>
      <c r="H2" s="23">
        <v>22800</v>
      </c>
      <c r="I2" s="23">
        <v>79</v>
      </c>
      <c r="J2" s="23">
        <v>8298</v>
      </c>
      <c r="K2" s="23">
        <v>21161</v>
      </c>
      <c r="L2" s="23">
        <v>24</v>
      </c>
      <c r="M2" s="37">
        <v>1620.1655000000001</v>
      </c>
      <c r="N2" s="31"/>
      <c r="O2" s="32"/>
      <c r="P2" s="38" t="s">
        <v>491</v>
      </c>
      <c r="Q2" s="39" t="s">
        <v>493</v>
      </c>
      <c r="R2" s="40">
        <v>1620.1655000000001</v>
      </c>
      <c r="S2" s="29" t="b">
        <f t="shared" ref="S2:S256" si="0">M2=R2</f>
        <v>1</v>
      </c>
      <c r="T2" s="35"/>
    </row>
    <row r="3" spans="1:20">
      <c r="A3" s="22" t="s">
        <v>2697</v>
      </c>
      <c r="B3" s="23" t="s">
        <v>44</v>
      </c>
      <c r="C3" s="23" t="s">
        <v>62</v>
      </c>
      <c r="D3" s="23" t="s">
        <v>2695</v>
      </c>
      <c r="E3" s="36" t="s">
        <v>2698</v>
      </c>
      <c r="F3" s="23" t="s">
        <v>131</v>
      </c>
      <c r="G3" s="23" t="s">
        <v>75</v>
      </c>
      <c r="H3" s="23">
        <v>16669</v>
      </c>
      <c r="I3" s="23">
        <v>26</v>
      </c>
      <c r="J3" s="23">
        <v>10961</v>
      </c>
      <c r="K3" s="23">
        <v>15451</v>
      </c>
      <c r="L3" s="23">
        <v>5</v>
      </c>
      <c r="M3" s="37">
        <v>1658.358536</v>
      </c>
      <c r="N3" s="31"/>
      <c r="O3" s="32"/>
      <c r="P3" s="38" t="s">
        <v>237</v>
      </c>
      <c r="Q3" s="39" t="s">
        <v>240</v>
      </c>
      <c r="R3" s="40">
        <v>1658.358536</v>
      </c>
      <c r="S3" s="29" t="b">
        <f t="shared" si="0"/>
        <v>1</v>
      </c>
      <c r="T3" s="35"/>
    </row>
    <row r="4" spans="1:20">
      <c r="A4" s="22" t="s">
        <v>2699</v>
      </c>
      <c r="B4" s="23" t="s">
        <v>32</v>
      </c>
      <c r="C4" s="23" t="s">
        <v>80</v>
      </c>
      <c r="D4" s="23" t="s">
        <v>2695</v>
      </c>
      <c r="E4" s="36" t="s">
        <v>2700</v>
      </c>
      <c r="F4" s="23" t="s">
        <v>819</v>
      </c>
      <c r="G4" s="23" t="s">
        <v>39</v>
      </c>
      <c r="H4" s="23">
        <v>43367</v>
      </c>
      <c r="I4" s="23">
        <v>111</v>
      </c>
      <c r="J4" s="23">
        <v>14306</v>
      </c>
      <c r="K4" s="23">
        <v>39750</v>
      </c>
      <c r="L4" s="23">
        <v>12</v>
      </c>
      <c r="M4" s="37">
        <v>5214.2986929999997</v>
      </c>
      <c r="N4" s="31"/>
      <c r="O4" s="32"/>
      <c r="P4" s="38" t="s">
        <v>2135</v>
      </c>
      <c r="Q4" s="39" t="s">
        <v>245</v>
      </c>
      <c r="R4" s="40">
        <v>5214.2986929999997</v>
      </c>
      <c r="S4" s="29" t="b">
        <f t="shared" si="0"/>
        <v>1</v>
      </c>
      <c r="T4" s="35"/>
    </row>
    <row r="5" spans="1:20">
      <c r="A5" s="22" t="s">
        <v>2701</v>
      </c>
      <c r="B5" s="23" t="s">
        <v>32</v>
      </c>
      <c r="C5" s="23" t="s">
        <v>62</v>
      </c>
      <c r="D5" s="23" t="s">
        <v>2695</v>
      </c>
      <c r="E5" s="36" t="s">
        <v>2702</v>
      </c>
      <c r="F5" s="23" t="s">
        <v>74</v>
      </c>
      <c r="G5" s="23" t="s">
        <v>39</v>
      </c>
      <c r="H5" s="23">
        <v>207685</v>
      </c>
      <c r="I5" s="23">
        <v>512</v>
      </c>
      <c r="J5" s="23">
        <v>20134</v>
      </c>
      <c r="K5" s="23">
        <v>30708</v>
      </c>
      <c r="L5" s="23">
        <v>34</v>
      </c>
      <c r="M5" s="37">
        <v>5239.2047869999997</v>
      </c>
      <c r="N5" s="31"/>
      <c r="O5" s="32"/>
      <c r="P5" s="38" t="s">
        <v>1729</v>
      </c>
      <c r="Q5" s="39" t="s">
        <v>1560</v>
      </c>
      <c r="R5" s="40">
        <v>5239.2047869999997</v>
      </c>
      <c r="S5" s="29" t="b">
        <f t="shared" si="0"/>
        <v>1</v>
      </c>
      <c r="T5" s="35"/>
    </row>
    <row r="6" spans="1:20">
      <c r="A6" s="22" t="s">
        <v>2703</v>
      </c>
      <c r="B6" s="23" t="s">
        <v>32</v>
      </c>
      <c r="C6" s="23" t="s">
        <v>46</v>
      </c>
      <c r="D6" s="23" t="s">
        <v>2695</v>
      </c>
      <c r="E6" s="36" t="s">
        <v>2704</v>
      </c>
      <c r="F6" s="23" t="s">
        <v>50</v>
      </c>
      <c r="G6" s="23" t="s">
        <v>39</v>
      </c>
      <c r="H6" s="23">
        <v>81567</v>
      </c>
      <c r="I6" s="23">
        <v>440</v>
      </c>
      <c r="J6" s="23">
        <v>53264</v>
      </c>
      <c r="K6" s="23">
        <v>68123</v>
      </c>
      <c r="L6" s="23">
        <v>4</v>
      </c>
      <c r="M6" s="37">
        <v>6392.471955</v>
      </c>
      <c r="N6" s="31"/>
      <c r="O6" s="32"/>
      <c r="P6" s="38" t="s">
        <v>1839</v>
      </c>
      <c r="Q6" s="39" t="s">
        <v>510</v>
      </c>
      <c r="R6" s="40">
        <v>6392.471955</v>
      </c>
      <c r="S6" s="29" t="b">
        <f t="shared" si="0"/>
        <v>1</v>
      </c>
      <c r="T6" s="35"/>
    </row>
    <row r="7" spans="1:20">
      <c r="A7" s="22" t="s">
        <v>2705</v>
      </c>
      <c r="B7" s="23" t="s">
        <v>44</v>
      </c>
      <c r="C7" s="23" t="s">
        <v>62</v>
      </c>
      <c r="D7" s="23" t="s">
        <v>2706</v>
      </c>
      <c r="E7" s="36" t="s">
        <v>2707</v>
      </c>
      <c r="F7" s="23" t="s">
        <v>50</v>
      </c>
      <c r="G7" s="23" t="s">
        <v>75</v>
      </c>
      <c r="H7" s="23">
        <v>38070</v>
      </c>
      <c r="I7" s="23">
        <v>146</v>
      </c>
      <c r="J7" s="23">
        <v>15253</v>
      </c>
      <c r="K7" s="23">
        <v>35453</v>
      </c>
      <c r="L7" s="23">
        <v>8</v>
      </c>
      <c r="M7" s="37">
        <v>1653.510777</v>
      </c>
      <c r="N7" s="31"/>
      <c r="O7" s="32"/>
      <c r="P7" s="38" t="s">
        <v>1816</v>
      </c>
      <c r="Q7" s="39" t="s">
        <v>1769</v>
      </c>
      <c r="R7" s="40">
        <v>1653.510777</v>
      </c>
      <c r="S7" s="29" t="b">
        <f t="shared" si="0"/>
        <v>1</v>
      </c>
      <c r="T7" s="35"/>
    </row>
    <row r="8" spans="1:20">
      <c r="A8" s="22" t="s">
        <v>133</v>
      </c>
      <c r="B8" s="23" t="s">
        <v>32</v>
      </c>
      <c r="C8" s="23" t="s">
        <v>34</v>
      </c>
      <c r="D8" s="23" t="s">
        <v>2706</v>
      </c>
      <c r="E8" s="36" t="s">
        <v>2708</v>
      </c>
      <c r="F8" s="23" t="s">
        <v>50</v>
      </c>
      <c r="G8" s="23" t="s">
        <v>39</v>
      </c>
      <c r="H8" s="23">
        <v>65380</v>
      </c>
      <c r="I8" s="23">
        <v>208</v>
      </c>
      <c r="J8" s="23">
        <v>30039</v>
      </c>
      <c r="K8" s="23">
        <v>60482</v>
      </c>
      <c r="L8" s="23">
        <v>5</v>
      </c>
      <c r="M8" s="37">
        <v>2905.8841619999998</v>
      </c>
      <c r="N8" s="31"/>
      <c r="O8" s="32"/>
      <c r="P8" s="38" t="s">
        <v>942</v>
      </c>
      <c r="Q8" s="39" t="s">
        <v>943</v>
      </c>
      <c r="R8" s="40">
        <v>2905.8841619999998</v>
      </c>
      <c r="S8" s="29" t="b">
        <f t="shared" si="0"/>
        <v>1</v>
      </c>
      <c r="T8" s="35"/>
    </row>
    <row r="9" spans="1:20">
      <c r="A9" s="22" t="s">
        <v>2709</v>
      </c>
      <c r="B9" s="23" t="s">
        <v>44</v>
      </c>
      <c r="C9" s="23" t="s">
        <v>46</v>
      </c>
      <c r="D9" s="23" t="s">
        <v>2710</v>
      </c>
      <c r="E9" s="36" t="s">
        <v>2711</v>
      </c>
      <c r="F9" s="23" t="s">
        <v>74</v>
      </c>
      <c r="G9" s="23" t="s">
        <v>39</v>
      </c>
      <c r="H9" s="23">
        <v>39705</v>
      </c>
      <c r="I9" s="23">
        <v>190</v>
      </c>
      <c r="J9" s="23">
        <v>12950</v>
      </c>
      <c r="K9" s="23">
        <v>38030</v>
      </c>
      <c r="L9" s="23">
        <v>3</v>
      </c>
      <c r="M9" s="37">
        <v>1476.4195090000001</v>
      </c>
      <c r="N9" s="31"/>
      <c r="O9" s="32"/>
      <c r="P9" s="38" t="s">
        <v>1646</v>
      </c>
      <c r="Q9" s="39" t="s">
        <v>263</v>
      </c>
      <c r="R9" s="40">
        <v>1476.4195090000001</v>
      </c>
      <c r="S9" s="29" t="b">
        <f t="shared" si="0"/>
        <v>1</v>
      </c>
      <c r="T9" s="35"/>
    </row>
    <row r="10" spans="1:20">
      <c r="A10" s="22" t="s">
        <v>2712</v>
      </c>
      <c r="B10" s="23" t="s">
        <v>44</v>
      </c>
      <c r="C10" s="23" t="s">
        <v>80</v>
      </c>
      <c r="D10" s="23" t="s">
        <v>2710</v>
      </c>
      <c r="E10" s="36" t="s">
        <v>2713</v>
      </c>
      <c r="F10" s="23" t="s">
        <v>157</v>
      </c>
      <c r="G10" s="23" t="s">
        <v>39</v>
      </c>
      <c r="H10" s="23">
        <v>11062</v>
      </c>
      <c r="I10" s="23">
        <v>78</v>
      </c>
      <c r="J10" s="23">
        <v>6539</v>
      </c>
      <c r="K10" s="23">
        <v>9391</v>
      </c>
      <c r="L10" s="23">
        <v>2</v>
      </c>
      <c r="M10" s="37">
        <v>1500.09932</v>
      </c>
      <c r="N10" s="31"/>
      <c r="O10" s="32"/>
      <c r="P10" s="38" t="s">
        <v>150</v>
      </c>
      <c r="Q10" s="39" t="s">
        <v>155</v>
      </c>
      <c r="R10" s="40">
        <v>1500.09932</v>
      </c>
      <c r="S10" s="29" t="b">
        <f t="shared" si="0"/>
        <v>1</v>
      </c>
      <c r="T10" s="35"/>
    </row>
    <row r="11" spans="1:20">
      <c r="A11" s="22" t="s">
        <v>2714</v>
      </c>
      <c r="B11" s="23" t="s">
        <v>44</v>
      </c>
      <c r="C11" s="23" t="s">
        <v>80</v>
      </c>
      <c r="D11" s="23" t="s">
        <v>2710</v>
      </c>
      <c r="E11" s="36" t="s">
        <v>2715</v>
      </c>
      <c r="F11" s="23" t="s">
        <v>50</v>
      </c>
      <c r="G11" s="23" t="s">
        <v>39</v>
      </c>
      <c r="H11" s="23">
        <v>13183</v>
      </c>
      <c r="I11" s="23">
        <v>100</v>
      </c>
      <c r="J11" s="23">
        <v>4337</v>
      </c>
      <c r="K11" s="23">
        <v>10596</v>
      </c>
      <c r="L11" s="23">
        <v>1</v>
      </c>
      <c r="M11" s="37">
        <v>2430.2436640000001</v>
      </c>
      <c r="N11" s="31"/>
      <c r="O11" s="32"/>
      <c r="P11" s="38" t="s">
        <v>76</v>
      </c>
      <c r="Q11" s="39" t="s">
        <v>79</v>
      </c>
      <c r="R11" s="40">
        <v>2430.2436640000001</v>
      </c>
      <c r="S11" s="29" t="b">
        <f t="shared" si="0"/>
        <v>1</v>
      </c>
      <c r="T11" s="35"/>
    </row>
    <row r="12" spans="1:20">
      <c r="A12" s="22" t="s">
        <v>2716</v>
      </c>
      <c r="B12" s="23" t="s">
        <v>44</v>
      </c>
      <c r="C12" s="23" t="s">
        <v>62</v>
      </c>
      <c r="D12" s="23" t="s">
        <v>2710</v>
      </c>
      <c r="E12" s="36" t="s">
        <v>2717</v>
      </c>
      <c r="F12" s="23" t="s">
        <v>131</v>
      </c>
      <c r="G12" s="23" t="s">
        <v>39</v>
      </c>
      <c r="H12" s="23">
        <v>36863</v>
      </c>
      <c r="I12" s="23">
        <v>116</v>
      </c>
      <c r="J12" s="23">
        <v>3570</v>
      </c>
      <c r="K12" s="23">
        <v>29458</v>
      </c>
      <c r="L12" s="23">
        <v>15</v>
      </c>
      <c r="M12" s="37">
        <v>4752.8166849999998</v>
      </c>
      <c r="N12" s="31"/>
      <c r="O12" s="32"/>
      <c r="P12" s="38" t="s">
        <v>716</v>
      </c>
      <c r="Q12" s="39" t="s">
        <v>718</v>
      </c>
      <c r="R12" s="40">
        <v>4752.8166849999998</v>
      </c>
      <c r="S12" s="29" t="b">
        <f t="shared" si="0"/>
        <v>1</v>
      </c>
      <c r="T12" s="35"/>
    </row>
    <row r="13" spans="1:20">
      <c r="A13" s="22" t="s">
        <v>2718</v>
      </c>
      <c r="B13" s="23" t="s">
        <v>32</v>
      </c>
      <c r="C13" s="23" t="s">
        <v>80</v>
      </c>
      <c r="D13" s="23" t="s">
        <v>2710</v>
      </c>
      <c r="E13" s="36" t="s">
        <v>2719</v>
      </c>
      <c r="F13" s="23" t="s">
        <v>50</v>
      </c>
      <c r="G13" s="23" t="s">
        <v>39</v>
      </c>
      <c r="H13" s="23">
        <v>138904</v>
      </c>
      <c r="I13" s="23">
        <v>399</v>
      </c>
      <c r="J13" s="23">
        <v>98952</v>
      </c>
      <c r="K13" s="23">
        <v>120688</v>
      </c>
      <c r="L13" s="23">
        <v>25</v>
      </c>
      <c r="M13" s="37">
        <v>5038.6447239999998</v>
      </c>
      <c r="N13" s="31"/>
      <c r="O13" s="32"/>
      <c r="P13" s="38" t="s">
        <v>1883</v>
      </c>
      <c r="Q13" s="39" t="s">
        <v>855</v>
      </c>
      <c r="R13" s="40">
        <v>5038.6447239999998</v>
      </c>
      <c r="S13" s="29" t="b">
        <f t="shared" si="0"/>
        <v>1</v>
      </c>
      <c r="T13" s="35"/>
    </row>
    <row r="14" spans="1:20">
      <c r="A14" s="22" t="s">
        <v>2720</v>
      </c>
      <c r="B14" s="23" t="s">
        <v>32</v>
      </c>
      <c r="C14" s="23" t="s">
        <v>34</v>
      </c>
      <c r="D14" s="23" t="s">
        <v>2710</v>
      </c>
      <c r="E14" s="36" t="s">
        <v>2721</v>
      </c>
      <c r="F14" s="23" t="s">
        <v>103</v>
      </c>
      <c r="G14" s="23" t="s">
        <v>39</v>
      </c>
      <c r="H14" s="23">
        <v>21962</v>
      </c>
      <c r="I14" s="23">
        <v>120</v>
      </c>
      <c r="J14" s="23">
        <v>10702</v>
      </c>
      <c r="K14" s="23">
        <v>21034</v>
      </c>
      <c r="L14" s="23">
        <v>11</v>
      </c>
      <c r="M14" s="37">
        <v>6404.0031280000003</v>
      </c>
      <c r="N14" s="31"/>
      <c r="O14" s="32"/>
      <c r="P14" s="38" t="s">
        <v>208</v>
      </c>
      <c r="Q14" s="39" t="s">
        <v>211</v>
      </c>
      <c r="R14" s="40">
        <v>6404.0031280000003</v>
      </c>
      <c r="S14" s="29" t="b">
        <f t="shared" si="0"/>
        <v>1</v>
      </c>
      <c r="T14" s="35"/>
    </row>
    <row r="15" spans="1:20">
      <c r="A15" s="22" t="s">
        <v>2722</v>
      </c>
      <c r="B15" s="23" t="s">
        <v>44</v>
      </c>
      <c r="C15" s="23" t="s">
        <v>62</v>
      </c>
      <c r="D15" s="23" t="s">
        <v>2723</v>
      </c>
      <c r="E15" s="36" t="s">
        <v>2724</v>
      </c>
      <c r="F15" s="23" t="s">
        <v>131</v>
      </c>
      <c r="G15" s="23" t="s">
        <v>64</v>
      </c>
      <c r="H15" s="23">
        <v>94340</v>
      </c>
      <c r="I15" s="23">
        <v>250</v>
      </c>
      <c r="J15" s="23">
        <v>16955</v>
      </c>
      <c r="K15" s="23">
        <v>76971</v>
      </c>
      <c r="L15" s="23">
        <v>13</v>
      </c>
      <c r="M15" s="37">
        <v>1517.244377</v>
      </c>
      <c r="N15" s="31"/>
      <c r="O15" s="32"/>
      <c r="P15" s="38" t="s">
        <v>413</v>
      </c>
      <c r="Q15" s="39" t="s">
        <v>415</v>
      </c>
      <c r="R15" s="40">
        <v>1517.244377</v>
      </c>
      <c r="S15" s="29" t="b">
        <f t="shared" si="0"/>
        <v>1</v>
      </c>
      <c r="T15" s="35"/>
    </row>
    <row r="16" spans="1:20">
      <c r="A16" s="22" t="s">
        <v>2725</v>
      </c>
      <c r="B16" s="23" t="s">
        <v>32</v>
      </c>
      <c r="C16" s="23" t="s">
        <v>62</v>
      </c>
      <c r="D16" s="23" t="s">
        <v>2723</v>
      </c>
      <c r="E16" s="36" t="s">
        <v>2726</v>
      </c>
      <c r="F16" s="23" t="s">
        <v>50</v>
      </c>
      <c r="G16" s="23" t="s">
        <v>39</v>
      </c>
      <c r="H16" s="23">
        <v>55274</v>
      </c>
      <c r="I16" s="23">
        <v>219</v>
      </c>
      <c r="J16" s="23">
        <v>47583</v>
      </c>
      <c r="K16" s="23">
        <v>51275</v>
      </c>
      <c r="L16" s="23">
        <v>3</v>
      </c>
      <c r="M16" s="37">
        <v>1532.7579049999999</v>
      </c>
      <c r="N16" s="31"/>
      <c r="O16" s="32"/>
      <c r="P16" s="38" t="s">
        <v>1508</v>
      </c>
      <c r="Q16" s="39" t="s">
        <v>1303</v>
      </c>
      <c r="R16" s="40">
        <v>1532.7579049999999</v>
      </c>
      <c r="S16" s="29" t="b">
        <f t="shared" si="0"/>
        <v>1</v>
      </c>
      <c r="T16" s="35"/>
    </row>
    <row r="17" spans="1:20">
      <c r="A17" s="22" t="s">
        <v>2727</v>
      </c>
      <c r="B17" s="23" t="s">
        <v>44</v>
      </c>
      <c r="C17" s="23" t="s">
        <v>62</v>
      </c>
      <c r="D17" s="23" t="s">
        <v>2723</v>
      </c>
      <c r="E17" s="36" t="s">
        <v>2728</v>
      </c>
      <c r="F17" s="23" t="s">
        <v>131</v>
      </c>
      <c r="G17" s="23" t="s">
        <v>39</v>
      </c>
      <c r="H17" s="23">
        <v>90123</v>
      </c>
      <c r="I17" s="23">
        <v>60</v>
      </c>
      <c r="J17" s="23">
        <v>33421</v>
      </c>
      <c r="K17" s="23">
        <v>66729</v>
      </c>
      <c r="L17" s="23">
        <v>9</v>
      </c>
      <c r="M17" s="37">
        <v>3433.9142870000001</v>
      </c>
      <c r="N17" s="31"/>
      <c r="O17" s="32"/>
      <c r="P17" s="38" t="s">
        <v>2160</v>
      </c>
      <c r="Q17" s="39" t="s">
        <v>977</v>
      </c>
      <c r="R17" s="40">
        <v>3433.9142870000001</v>
      </c>
      <c r="S17" s="29" t="b">
        <f t="shared" si="0"/>
        <v>1</v>
      </c>
      <c r="T17" s="35"/>
    </row>
    <row r="18" spans="1:20">
      <c r="A18" s="22" t="s">
        <v>2729</v>
      </c>
      <c r="B18" s="23" t="s">
        <v>32</v>
      </c>
      <c r="C18" s="23" t="s">
        <v>46</v>
      </c>
      <c r="D18" s="23" t="s">
        <v>2723</v>
      </c>
      <c r="E18" s="36" t="s">
        <v>2730</v>
      </c>
      <c r="F18" s="23" t="s">
        <v>593</v>
      </c>
      <c r="G18" s="23" t="s">
        <v>39</v>
      </c>
      <c r="H18" s="23">
        <v>117879</v>
      </c>
      <c r="I18" s="23">
        <v>390</v>
      </c>
      <c r="J18" s="23">
        <v>52098</v>
      </c>
      <c r="K18" s="23">
        <v>86127</v>
      </c>
      <c r="L18" s="23">
        <v>1</v>
      </c>
      <c r="M18" s="37">
        <v>5102.7067290000005</v>
      </c>
      <c r="N18" s="31"/>
      <c r="O18" s="32"/>
      <c r="P18" s="38" t="s">
        <v>2270</v>
      </c>
      <c r="Q18" s="39" t="s">
        <v>1531</v>
      </c>
      <c r="R18" s="40">
        <v>5102.7067290000005</v>
      </c>
      <c r="S18" s="29" t="b">
        <f t="shared" si="0"/>
        <v>1</v>
      </c>
      <c r="T18" s="35"/>
    </row>
    <row r="19" spans="1:20">
      <c r="A19" s="22" t="s">
        <v>2731</v>
      </c>
      <c r="B19" s="23" t="s">
        <v>32</v>
      </c>
      <c r="C19" s="23" t="s">
        <v>34</v>
      </c>
      <c r="D19" s="23" t="s">
        <v>2723</v>
      </c>
      <c r="E19" s="36" t="s">
        <v>2732</v>
      </c>
      <c r="F19" s="23" t="s">
        <v>50</v>
      </c>
      <c r="G19" s="23" t="s">
        <v>39</v>
      </c>
      <c r="H19" s="23">
        <v>156427</v>
      </c>
      <c r="I19" s="23">
        <v>512</v>
      </c>
      <c r="J19" s="23">
        <v>61821</v>
      </c>
      <c r="K19" s="23">
        <v>145505</v>
      </c>
      <c r="L19" s="23">
        <v>3</v>
      </c>
      <c r="M19" s="37">
        <v>5159.7474940000002</v>
      </c>
      <c r="N19" s="31"/>
      <c r="O19" s="32"/>
      <c r="P19" s="38" t="s">
        <v>541</v>
      </c>
      <c r="Q19" s="39" t="s">
        <v>353</v>
      </c>
      <c r="R19" s="40">
        <v>5159.7474940000002</v>
      </c>
      <c r="S19" s="29" t="b">
        <f t="shared" si="0"/>
        <v>1</v>
      </c>
      <c r="T19" s="35"/>
    </row>
    <row r="20" spans="1:20">
      <c r="A20" s="22" t="s">
        <v>2733</v>
      </c>
      <c r="B20" s="23" t="s">
        <v>32</v>
      </c>
      <c r="C20" s="23" t="s">
        <v>46</v>
      </c>
      <c r="D20" s="23" t="s">
        <v>2734</v>
      </c>
      <c r="E20" s="36" t="s">
        <v>2735</v>
      </c>
      <c r="F20" s="23" t="s">
        <v>50</v>
      </c>
      <c r="G20" s="23" t="s">
        <v>39</v>
      </c>
      <c r="H20" s="23">
        <v>91593</v>
      </c>
      <c r="I20" s="23">
        <v>40</v>
      </c>
      <c r="J20" s="23">
        <v>51004</v>
      </c>
      <c r="K20" s="23">
        <v>82985</v>
      </c>
      <c r="L20" s="23">
        <v>18</v>
      </c>
      <c r="M20" s="37">
        <v>1731.5848619999999</v>
      </c>
      <c r="N20" s="31"/>
      <c r="O20" s="32"/>
      <c r="P20" s="38" t="s">
        <v>904</v>
      </c>
      <c r="Q20" s="39" t="s">
        <v>493</v>
      </c>
      <c r="R20" s="40">
        <v>1731.5848619999999</v>
      </c>
      <c r="S20" s="29" t="b">
        <f t="shared" si="0"/>
        <v>1</v>
      </c>
      <c r="T20" s="35"/>
    </row>
    <row r="21" spans="1:20">
      <c r="A21" s="22" t="s">
        <v>2736</v>
      </c>
      <c r="B21" s="23" t="s">
        <v>32</v>
      </c>
      <c r="C21" s="23" t="s">
        <v>80</v>
      </c>
      <c r="D21" s="23" t="s">
        <v>2734</v>
      </c>
      <c r="E21" s="36" t="s">
        <v>2737</v>
      </c>
      <c r="F21" s="23" t="s">
        <v>131</v>
      </c>
      <c r="G21" s="23" t="s">
        <v>39</v>
      </c>
      <c r="H21" s="23">
        <v>15399</v>
      </c>
      <c r="I21" s="23">
        <v>35</v>
      </c>
      <c r="J21" s="23">
        <v>3398</v>
      </c>
      <c r="K21" s="23">
        <v>4324</v>
      </c>
      <c r="L21" s="23">
        <v>3</v>
      </c>
      <c r="M21" s="37">
        <v>3434.7311530000002</v>
      </c>
      <c r="N21" s="31"/>
      <c r="O21" s="32"/>
      <c r="P21" s="38" t="s">
        <v>918</v>
      </c>
      <c r="Q21" s="39" t="s">
        <v>920</v>
      </c>
      <c r="R21" s="40">
        <v>3434.7311530000002</v>
      </c>
      <c r="S21" s="29" t="b">
        <f t="shared" si="0"/>
        <v>1</v>
      </c>
      <c r="T21" s="35"/>
    </row>
    <row r="22" spans="1:20">
      <c r="A22" s="22" t="s">
        <v>2738</v>
      </c>
      <c r="B22" s="23" t="s">
        <v>44</v>
      </c>
      <c r="C22" s="23" t="s">
        <v>62</v>
      </c>
      <c r="D22" s="23" t="s">
        <v>2734</v>
      </c>
      <c r="E22" s="36" t="s">
        <v>2739</v>
      </c>
      <c r="F22" s="23" t="s">
        <v>593</v>
      </c>
      <c r="G22" s="23" t="s">
        <v>64</v>
      </c>
      <c r="H22" s="23">
        <v>114194</v>
      </c>
      <c r="I22" s="23">
        <v>380</v>
      </c>
      <c r="J22" s="23">
        <v>50923</v>
      </c>
      <c r="K22" s="23">
        <v>104074</v>
      </c>
      <c r="L22" s="23">
        <v>2</v>
      </c>
      <c r="M22" s="37">
        <v>4036.0893759999999</v>
      </c>
      <c r="N22" s="31"/>
      <c r="O22" s="32"/>
      <c r="P22" s="38" t="s">
        <v>1734</v>
      </c>
      <c r="Q22" s="39" t="s">
        <v>1736</v>
      </c>
      <c r="R22" s="40">
        <v>4036.0893759999999</v>
      </c>
      <c r="S22" s="29" t="b">
        <f t="shared" si="0"/>
        <v>1</v>
      </c>
      <c r="T22" s="35"/>
    </row>
    <row r="23" spans="1:20">
      <c r="A23" s="22" t="s">
        <v>2740</v>
      </c>
      <c r="B23" s="23" t="s">
        <v>32</v>
      </c>
      <c r="C23" s="23" t="s">
        <v>46</v>
      </c>
      <c r="D23" s="23" t="s">
        <v>2734</v>
      </c>
      <c r="E23" s="36" t="s">
        <v>2741</v>
      </c>
      <c r="F23" s="23" t="s">
        <v>118</v>
      </c>
      <c r="G23" s="23" t="s">
        <v>39</v>
      </c>
      <c r="H23" s="23">
        <v>7530</v>
      </c>
      <c r="I23" s="23">
        <v>20</v>
      </c>
      <c r="J23" s="23">
        <v>5468</v>
      </c>
      <c r="K23" s="23">
        <v>7298</v>
      </c>
      <c r="L23" s="23">
        <v>3</v>
      </c>
      <c r="M23" s="37">
        <v>5038.7140669999999</v>
      </c>
      <c r="N23" s="31"/>
      <c r="O23" s="32"/>
      <c r="P23" s="38" t="s">
        <v>1091</v>
      </c>
      <c r="Q23" s="39" t="s">
        <v>1093</v>
      </c>
      <c r="R23" s="40">
        <v>5038.7140669999999</v>
      </c>
      <c r="S23" s="29" t="b">
        <f t="shared" si="0"/>
        <v>1</v>
      </c>
      <c r="T23" s="35"/>
    </row>
    <row r="24" spans="1:20">
      <c r="A24" s="22" t="s">
        <v>2742</v>
      </c>
      <c r="B24" s="23" t="s">
        <v>32</v>
      </c>
      <c r="C24" s="23" t="s">
        <v>62</v>
      </c>
      <c r="D24" s="23" t="s">
        <v>2734</v>
      </c>
      <c r="E24" s="36" t="s">
        <v>2743</v>
      </c>
      <c r="F24" s="23" t="s">
        <v>157</v>
      </c>
      <c r="G24" s="23" t="s">
        <v>39</v>
      </c>
      <c r="H24" s="23">
        <v>8233</v>
      </c>
      <c r="I24" s="23">
        <v>65</v>
      </c>
      <c r="J24" s="23">
        <v>5361</v>
      </c>
      <c r="K24" s="23">
        <v>7643</v>
      </c>
      <c r="L24" s="23">
        <v>4</v>
      </c>
      <c r="M24" s="37">
        <v>6381.0065759999998</v>
      </c>
      <c r="N24" s="31"/>
      <c r="O24" s="32"/>
      <c r="P24" s="38" t="s">
        <v>2169</v>
      </c>
      <c r="Q24" s="39" t="s">
        <v>2171</v>
      </c>
      <c r="R24" s="40">
        <v>6381.0065759999998</v>
      </c>
      <c r="S24" s="29" t="b">
        <f t="shared" si="0"/>
        <v>1</v>
      </c>
      <c r="T24" s="35"/>
    </row>
    <row r="25" spans="1:20">
      <c r="A25" s="22" t="s">
        <v>2744</v>
      </c>
      <c r="B25" s="23" t="s">
        <v>44</v>
      </c>
      <c r="C25" s="23" t="s">
        <v>80</v>
      </c>
      <c r="D25" s="23" t="s">
        <v>2745</v>
      </c>
      <c r="E25" s="36" t="s">
        <v>2746</v>
      </c>
      <c r="F25" s="23" t="s">
        <v>317</v>
      </c>
      <c r="G25" s="23" t="s">
        <v>39</v>
      </c>
      <c r="H25" s="23">
        <v>12280</v>
      </c>
      <c r="I25" s="23">
        <v>90</v>
      </c>
      <c r="J25" s="23">
        <v>7633</v>
      </c>
      <c r="K25" s="23">
        <v>11053</v>
      </c>
      <c r="L25" s="23">
        <v>5</v>
      </c>
      <c r="M25" s="37">
        <v>1452.207361</v>
      </c>
      <c r="N25" s="31"/>
      <c r="O25" s="32"/>
      <c r="P25" s="38" t="s">
        <v>2012</v>
      </c>
      <c r="Q25" s="39" t="s">
        <v>793</v>
      </c>
      <c r="R25" s="40">
        <v>1452.207361</v>
      </c>
      <c r="S25" s="29" t="b">
        <f t="shared" si="0"/>
        <v>1</v>
      </c>
      <c r="T25" s="35"/>
    </row>
    <row r="26" spans="1:20">
      <c r="A26" s="22" t="s">
        <v>2747</v>
      </c>
      <c r="B26" s="23" t="s">
        <v>32</v>
      </c>
      <c r="C26" s="23" t="s">
        <v>34</v>
      </c>
      <c r="D26" s="23" t="s">
        <v>2745</v>
      </c>
      <c r="E26" s="36" t="s">
        <v>2748</v>
      </c>
      <c r="F26" s="23" t="s">
        <v>2749</v>
      </c>
      <c r="G26" s="23" t="s">
        <v>39</v>
      </c>
      <c r="H26" s="23">
        <v>9920</v>
      </c>
      <c r="I26" s="23">
        <v>20</v>
      </c>
      <c r="J26" s="23">
        <v>6702</v>
      </c>
      <c r="K26" s="23">
        <v>9096</v>
      </c>
      <c r="L26" s="23">
        <v>10</v>
      </c>
      <c r="M26" s="37">
        <v>1453.11439</v>
      </c>
      <c r="N26" s="31"/>
      <c r="O26" s="32"/>
      <c r="P26" s="38" t="s">
        <v>609</v>
      </c>
      <c r="Q26" s="39" t="s">
        <v>612</v>
      </c>
      <c r="R26" s="40">
        <v>1453.11439</v>
      </c>
      <c r="S26" s="29" t="b">
        <f t="shared" si="0"/>
        <v>1</v>
      </c>
      <c r="T26" s="35"/>
    </row>
    <row r="27" spans="1:20">
      <c r="A27" s="22" t="s">
        <v>2750</v>
      </c>
      <c r="B27" s="23" t="s">
        <v>32</v>
      </c>
      <c r="C27" s="23" t="s">
        <v>46</v>
      </c>
      <c r="D27" s="23" t="s">
        <v>2745</v>
      </c>
      <c r="E27" s="36" t="s">
        <v>2751</v>
      </c>
      <c r="F27" s="23" t="s">
        <v>74</v>
      </c>
      <c r="G27" s="23" t="s">
        <v>39</v>
      </c>
      <c r="H27" s="23">
        <v>10903</v>
      </c>
      <c r="I27" s="23">
        <v>35</v>
      </c>
      <c r="J27" s="23">
        <v>3776</v>
      </c>
      <c r="K27" s="23">
        <v>9581</v>
      </c>
      <c r="L27" s="23">
        <v>2</v>
      </c>
      <c r="M27" s="37">
        <v>1460.0097539999999</v>
      </c>
      <c r="N27" s="31"/>
      <c r="O27" s="32"/>
      <c r="P27" s="38" t="s">
        <v>1938</v>
      </c>
      <c r="Q27" s="39" t="s">
        <v>1940</v>
      </c>
      <c r="R27" s="40">
        <v>1460.0097539999999</v>
      </c>
      <c r="S27" s="29" t="b">
        <f t="shared" si="0"/>
        <v>1</v>
      </c>
      <c r="T27" s="35"/>
    </row>
    <row r="28" spans="1:20">
      <c r="A28" s="22" t="s">
        <v>2752</v>
      </c>
      <c r="B28" s="23" t="s">
        <v>44</v>
      </c>
      <c r="C28" s="23" t="s">
        <v>46</v>
      </c>
      <c r="D28" s="23" t="s">
        <v>2745</v>
      </c>
      <c r="E28" s="36" t="s">
        <v>2753</v>
      </c>
      <c r="F28" s="23" t="s">
        <v>703</v>
      </c>
      <c r="G28" s="23" t="s">
        <v>39</v>
      </c>
      <c r="H28" s="23">
        <v>229908</v>
      </c>
      <c r="I28" s="23">
        <v>489</v>
      </c>
      <c r="J28" s="23">
        <v>98259</v>
      </c>
      <c r="K28" s="23">
        <v>212073</v>
      </c>
      <c r="L28" s="23">
        <v>4</v>
      </c>
      <c r="M28" s="37">
        <v>1464.3489440000001</v>
      </c>
      <c r="N28" s="31"/>
      <c r="O28" s="32"/>
      <c r="P28" s="38" t="s">
        <v>1249</v>
      </c>
      <c r="Q28" s="39" t="s">
        <v>1251</v>
      </c>
      <c r="R28" s="40">
        <v>1464.3489440000001</v>
      </c>
      <c r="S28" s="29" t="b">
        <f t="shared" si="0"/>
        <v>1</v>
      </c>
      <c r="T28" s="35"/>
    </row>
    <row r="29" spans="1:20">
      <c r="A29" s="22" t="s">
        <v>2754</v>
      </c>
      <c r="B29" s="23" t="s">
        <v>32</v>
      </c>
      <c r="C29" s="23" t="s">
        <v>34</v>
      </c>
      <c r="D29" s="23" t="s">
        <v>2745</v>
      </c>
      <c r="E29" s="36" t="s">
        <v>2755</v>
      </c>
      <c r="F29" s="23" t="s">
        <v>50</v>
      </c>
      <c r="G29" s="23" t="s">
        <v>39</v>
      </c>
      <c r="H29" s="23">
        <v>126337</v>
      </c>
      <c r="I29" s="23">
        <v>325</v>
      </c>
      <c r="J29" s="23">
        <v>51394</v>
      </c>
      <c r="K29" s="23">
        <v>117635</v>
      </c>
      <c r="L29" s="23">
        <v>5</v>
      </c>
      <c r="M29" s="37">
        <v>1487.0882879999999</v>
      </c>
      <c r="N29" s="31"/>
      <c r="O29" s="32"/>
      <c r="P29" s="38" t="s">
        <v>1258</v>
      </c>
      <c r="Q29" s="39" t="s">
        <v>1261</v>
      </c>
      <c r="R29" s="40">
        <v>1487.0882879999999</v>
      </c>
      <c r="S29" s="29" t="b">
        <f t="shared" si="0"/>
        <v>1</v>
      </c>
      <c r="T29" s="35"/>
    </row>
    <row r="30" spans="1:20">
      <c r="A30" s="22" t="s">
        <v>2756</v>
      </c>
      <c r="B30" s="23" t="s">
        <v>32</v>
      </c>
      <c r="C30" s="23" t="s">
        <v>80</v>
      </c>
      <c r="D30" s="23" t="s">
        <v>2745</v>
      </c>
      <c r="E30" s="36" t="s">
        <v>2757</v>
      </c>
      <c r="F30" s="23" t="s">
        <v>50</v>
      </c>
      <c r="G30" s="23" t="s">
        <v>39</v>
      </c>
      <c r="H30" s="23">
        <v>152881</v>
      </c>
      <c r="I30" s="23">
        <v>426</v>
      </c>
      <c r="J30" s="23">
        <v>94895</v>
      </c>
      <c r="K30" s="23">
        <v>145113</v>
      </c>
      <c r="L30" s="23">
        <v>11</v>
      </c>
      <c r="M30" s="37">
        <v>1496.6685239999999</v>
      </c>
      <c r="N30" s="31"/>
      <c r="O30" s="32"/>
      <c r="P30" s="38" t="s">
        <v>921</v>
      </c>
      <c r="Q30" s="39" t="s">
        <v>923</v>
      </c>
      <c r="R30" s="40">
        <v>1496.6685239999999</v>
      </c>
      <c r="S30" s="29" t="b">
        <f t="shared" si="0"/>
        <v>1</v>
      </c>
      <c r="T30" s="35"/>
    </row>
    <row r="31" spans="1:20">
      <c r="A31" s="22" t="s">
        <v>2758</v>
      </c>
      <c r="B31" s="23" t="s">
        <v>32</v>
      </c>
      <c r="C31" s="23" t="s">
        <v>34</v>
      </c>
      <c r="D31" s="23" t="s">
        <v>2745</v>
      </c>
      <c r="E31" s="36" t="s">
        <v>2759</v>
      </c>
      <c r="F31" s="23" t="s">
        <v>131</v>
      </c>
      <c r="G31" s="23" t="s">
        <v>39</v>
      </c>
      <c r="H31" s="23">
        <v>12088</v>
      </c>
      <c r="I31" s="23">
        <v>88</v>
      </c>
      <c r="J31" s="23">
        <v>1124</v>
      </c>
      <c r="K31" s="23">
        <v>10003</v>
      </c>
      <c r="L31" s="23">
        <v>2</v>
      </c>
      <c r="M31" s="37">
        <v>1500.0261519999999</v>
      </c>
      <c r="N31" s="31"/>
      <c r="O31" s="32"/>
      <c r="P31" s="38" t="s">
        <v>1327</v>
      </c>
      <c r="Q31" s="39" t="s">
        <v>1329</v>
      </c>
      <c r="R31" s="40">
        <v>1500.0261519999999</v>
      </c>
      <c r="S31" s="29" t="b">
        <f t="shared" si="0"/>
        <v>1</v>
      </c>
      <c r="T31" s="35"/>
    </row>
    <row r="32" spans="1:20">
      <c r="A32" s="22" t="s">
        <v>2760</v>
      </c>
      <c r="B32" s="23" t="s">
        <v>32</v>
      </c>
      <c r="C32" s="23" t="s">
        <v>46</v>
      </c>
      <c r="D32" s="23" t="s">
        <v>2745</v>
      </c>
      <c r="E32" s="36" t="s">
        <v>2761</v>
      </c>
      <c r="F32" s="23" t="s">
        <v>131</v>
      </c>
      <c r="G32" s="23" t="s">
        <v>39</v>
      </c>
      <c r="H32" s="23">
        <v>9881</v>
      </c>
      <c r="I32" s="23">
        <v>15</v>
      </c>
      <c r="J32" s="23">
        <v>2344</v>
      </c>
      <c r="K32" s="23">
        <v>7324</v>
      </c>
      <c r="L32" s="23">
        <v>1</v>
      </c>
      <c r="M32" s="37">
        <v>1505.0115499999999</v>
      </c>
      <c r="N32" s="31"/>
      <c r="O32" s="32"/>
      <c r="P32" s="38" t="s">
        <v>963</v>
      </c>
      <c r="Q32" s="39" t="s">
        <v>817</v>
      </c>
      <c r="R32" s="40">
        <v>1505.0115499999999</v>
      </c>
      <c r="S32" s="29" t="b">
        <f t="shared" si="0"/>
        <v>1</v>
      </c>
      <c r="T32" s="35"/>
    </row>
    <row r="33" spans="1:20">
      <c r="A33" s="22" t="s">
        <v>2762</v>
      </c>
      <c r="B33" s="23" t="s">
        <v>44</v>
      </c>
      <c r="C33" s="23" t="s">
        <v>80</v>
      </c>
      <c r="D33" s="23" t="s">
        <v>2745</v>
      </c>
      <c r="E33" s="36" t="s">
        <v>2763</v>
      </c>
      <c r="F33" s="23" t="s">
        <v>103</v>
      </c>
      <c r="G33" s="23" t="s">
        <v>64</v>
      </c>
      <c r="H33" s="23">
        <v>96031</v>
      </c>
      <c r="I33" s="23">
        <v>311</v>
      </c>
      <c r="J33" s="23">
        <v>57187</v>
      </c>
      <c r="K33" s="23">
        <v>78396</v>
      </c>
      <c r="L33" s="23">
        <v>21</v>
      </c>
      <c r="M33" s="37">
        <v>1508.9076700000001</v>
      </c>
      <c r="N33" s="31"/>
      <c r="O33" s="32"/>
      <c r="P33" s="38" t="s">
        <v>2038</v>
      </c>
      <c r="Q33" s="39" t="s">
        <v>713</v>
      </c>
      <c r="R33" s="40">
        <v>1508.9076700000001</v>
      </c>
      <c r="S33" s="29" t="b">
        <f t="shared" si="0"/>
        <v>1</v>
      </c>
      <c r="T33" s="35"/>
    </row>
    <row r="34" spans="1:20">
      <c r="A34" s="22" t="s">
        <v>2764</v>
      </c>
      <c r="B34" s="23" t="s">
        <v>44</v>
      </c>
      <c r="C34" s="23" t="s">
        <v>34</v>
      </c>
      <c r="D34" s="23" t="s">
        <v>2745</v>
      </c>
      <c r="E34" s="36" t="s">
        <v>2765</v>
      </c>
      <c r="F34" s="23" t="s">
        <v>103</v>
      </c>
      <c r="G34" s="23" t="s">
        <v>75</v>
      </c>
      <c r="H34" s="23">
        <v>69757</v>
      </c>
      <c r="I34" s="23">
        <v>199</v>
      </c>
      <c r="J34" s="23">
        <v>41258</v>
      </c>
      <c r="K34" s="23">
        <v>65374</v>
      </c>
      <c r="L34" s="23">
        <v>20</v>
      </c>
      <c r="M34" s="37">
        <v>1510.6153200000001</v>
      </c>
      <c r="N34" s="31"/>
      <c r="O34" s="32"/>
      <c r="P34" s="38" t="s">
        <v>1931</v>
      </c>
      <c r="Q34" s="39" t="s">
        <v>793</v>
      </c>
      <c r="R34" s="40">
        <v>1510.6153200000001</v>
      </c>
      <c r="S34" s="29" t="b">
        <f t="shared" si="0"/>
        <v>1</v>
      </c>
      <c r="T34" s="35"/>
    </row>
    <row r="35" spans="1:20">
      <c r="A35" s="22" t="s">
        <v>2766</v>
      </c>
      <c r="B35" s="23" t="s">
        <v>32</v>
      </c>
      <c r="C35" s="23" t="s">
        <v>34</v>
      </c>
      <c r="D35" s="23" t="s">
        <v>2745</v>
      </c>
      <c r="E35" s="36" t="s">
        <v>2767</v>
      </c>
      <c r="F35" s="23" t="s">
        <v>819</v>
      </c>
      <c r="G35" s="23" t="s">
        <v>39</v>
      </c>
      <c r="H35" s="23">
        <v>16791</v>
      </c>
      <c r="I35" s="23">
        <v>40</v>
      </c>
      <c r="J35" s="23">
        <v>11402</v>
      </c>
      <c r="K35" s="23">
        <v>14231</v>
      </c>
      <c r="L35" s="23">
        <v>3</v>
      </c>
      <c r="M35" s="37">
        <v>1522.5122719999999</v>
      </c>
      <c r="N35" s="31"/>
      <c r="O35" s="32"/>
      <c r="P35" s="38" t="s">
        <v>2292</v>
      </c>
      <c r="Q35" s="39" t="s">
        <v>2293</v>
      </c>
      <c r="R35" s="40">
        <v>1522.5122719999999</v>
      </c>
      <c r="S35" s="29" t="b">
        <f t="shared" si="0"/>
        <v>1</v>
      </c>
      <c r="T35" s="35"/>
    </row>
    <row r="36" spans="1:20">
      <c r="A36" s="22" t="s">
        <v>2768</v>
      </c>
      <c r="B36" s="23" t="s">
        <v>44</v>
      </c>
      <c r="C36" s="23" t="s">
        <v>34</v>
      </c>
      <c r="D36" s="23" t="s">
        <v>2745</v>
      </c>
      <c r="E36" s="36" t="s">
        <v>2769</v>
      </c>
      <c r="F36" s="23" t="s">
        <v>50</v>
      </c>
      <c r="G36" s="23" t="s">
        <v>39</v>
      </c>
      <c r="H36" s="23">
        <v>42451</v>
      </c>
      <c r="I36" s="23">
        <v>122</v>
      </c>
      <c r="J36" s="23">
        <v>29142</v>
      </c>
      <c r="K36" s="23">
        <v>41093</v>
      </c>
      <c r="L36" s="23">
        <v>7</v>
      </c>
      <c r="M36" s="37">
        <v>1530.553686</v>
      </c>
      <c r="N36" s="31"/>
      <c r="O36" s="32"/>
      <c r="P36" s="38" t="s">
        <v>614</v>
      </c>
      <c r="Q36" s="39" t="s">
        <v>616</v>
      </c>
      <c r="R36" s="40">
        <v>1530.553686</v>
      </c>
      <c r="S36" s="29" t="b">
        <f t="shared" si="0"/>
        <v>1</v>
      </c>
      <c r="T36" s="35"/>
    </row>
    <row r="37" spans="1:20">
      <c r="A37" s="22" t="s">
        <v>2770</v>
      </c>
      <c r="B37" s="23" t="s">
        <v>44</v>
      </c>
      <c r="C37" s="23" t="s">
        <v>62</v>
      </c>
      <c r="D37" s="23" t="s">
        <v>2745</v>
      </c>
      <c r="E37" s="36" t="s">
        <v>2771</v>
      </c>
      <c r="F37" s="23" t="s">
        <v>103</v>
      </c>
      <c r="G37" s="23" t="s">
        <v>39</v>
      </c>
      <c r="H37" s="23">
        <v>9210</v>
      </c>
      <c r="I37" s="23">
        <v>80</v>
      </c>
      <c r="J37" s="23">
        <v>3798</v>
      </c>
      <c r="K37" s="23">
        <v>8619</v>
      </c>
      <c r="L37" s="23">
        <v>2</v>
      </c>
      <c r="M37" s="37">
        <v>1536.629068</v>
      </c>
      <c r="N37" s="31"/>
      <c r="O37" s="32"/>
      <c r="P37" s="38" t="s">
        <v>897</v>
      </c>
      <c r="Q37" s="39" t="s">
        <v>55</v>
      </c>
      <c r="R37" s="40">
        <v>1536.629068</v>
      </c>
      <c r="S37" s="29" t="b">
        <f t="shared" si="0"/>
        <v>1</v>
      </c>
      <c r="T37" s="35"/>
    </row>
    <row r="38" spans="1:20">
      <c r="A38" s="22" t="s">
        <v>2772</v>
      </c>
      <c r="B38" s="23" t="s">
        <v>32</v>
      </c>
      <c r="C38" s="23" t="s">
        <v>80</v>
      </c>
      <c r="D38" s="23" t="s">
        <v>2745</v>
      </c>
      <c r="E38" s="36" t="s">
        <v>2773</v>
      </c>
      <c r="F38" s="23" t="s">
        <v>50</v>
      </c>
      <c r="G38" s="23" t="s">
        <v>39</v>
      </c>
      <c r="H38" s="23">
        <v>21478</v>
      </c>
      <c r="I38" s="23">
        <v>50</v>
      </c>
      <c r="J38" s="23">
        <v>15548</v>
      </c>
      <c r="K38" s="23">
        <v>20651</v>
      </c>
      <c r="L38" s="23">
        <v>24</v>
      </c>
      <c r="M38" s="37">
        <v>1541.2140469999999</v>
      </c>
      <c r="N38" s="31"/>
      <c r="O38" s="32"/>
      <c r="P38" s="38" t="s">
        <v>537</v>
      </c>
      <c r="Q38" s="39" t="s">
        <v>111</v>
      </c>
      <c r="R38" s="40">
        <v>1541.2140469999999</v>
      </c>
      <c r="S38" s="29" t="b">
        <f t="shared" si="0"/>
        <v>1</v>
      </c>
      <c r="T38" s="35"/>
    </row>
    <row r="39" spans="1:20">
      <c r="A39" s="22" t="s">
        <v>2774</v>
      </c>
      <c r="B39" s="23" t="s">
        <v>44</v>
      </c>
      <c r="C39" s="23" t="s">
        <v>62</v>
      </c>
      <c r="D39" s="23" t="s">
        <v>2745</v>
      </c>
      <c r="E39" s="36" t="s">
        <v>2775</v>
      </c>
      <c r="F39" s="23" t="s">
        <v>50</v>
      </c>
      <c r="G39" s="23" t="s">
        <v>75</v>
      </c>
      <c r="H39" s="23">
        <v>16202</v>
      </c>
      <c r="I39" s="23">
        <v>80</v>
      </c>
      <c r="J39" s="23">
        <v>11786</v>
      </c>
      <c r="K39" s="23">
        <v>15365</v>
      </c>
      <c r="L39" s="23">
        <v>2</v>
      </c>
      <c r="M39" s="37">
        <v>1570.34276</v>
      </c>
      <c r="N39" s="31"/>
      <c r="O39" s="32"/>
      <c r="P39" s="38" t="s">
        <v>780</v>
      </c>
      <c r="Q39" s="39" t="s">
        <v>397</v>
      </c>
      <c r="R39" s="40">
        <v>1570.34276</v>
      </c>
      <c r="S39" s="29" t="b">
        <f t="shared" si="0"/>
        <v>1</v>
      </c>
      <c r="T39" s="35"/>
    </row>
    <row r="40" spans="1:20">
      <c r="A40" s="22" t="s">
        <v>2776</v>
      </c>
      <c r="B40" s="23" t="s">
        <v>32</v>
      </c>
      <c r="C40" s="23" t="s">
        <v>46</v>
      </c>
      <c r="D40" s="23" t="s">
        <v>2745</v>
      </c>
      <c r="E40" s="36" t="s">
        <v>2777</v>
      </c>
      <c r="F40" s="23" t="s">
        <v>103</v>
      </c>
      <c r="G40" s="23" t="s">
        <v>39</v>
      </c>
      <c r="H40" s="23">
        <v>87287</v>
      </c>
      <c r="I40" s="23">
        <v>203</v>
      </c>
      <c r="J40" s="23">
        <v>40039</v>
      </c>
      <c r="K40" s="23">
        <v>80040</v>
      </c>
      <c r="L40" s="23">
        <v>18</v>
      </c>
      <c r="M40" s="37">
        <v>1579.367346</v>
      </c>
      <c r="N40" s="31"/>
      <c r="O40" s="32"/>
      <c r="P40" s="38" t="s">
        <v>2008</v>
      </c>
      <c r="Q40" s="39" t="s">
        <v>2011</v>
      </c>
      <c r="R40" s="40">
        <v>1579.367346</v>
      </c>
      <c r="S40" s="29" t="b">
        <f t="shared" si="0"/>
        <v>1</v>
      </c>
      <c r="T40" s="35"/>
    </row>
    <row r="41" spans="1:20">
      <c r="A41" s="22" t="s">
        <v>2778</v>
      </c>
      <c r="B41" s="23" t="s">
        <v>32</v>
      </c>
      <c r="C41" s="23" t="s">
        <v>80</v>
      </c>
      <c r="D41" s="23" t="s">
        <v>2745</v>
      </c>
      <c r="E41" s="36" t="s">
        <v>2779</v>
      </c>
      <c r="F41" s="23" t="s">
        <v>50</v>
      </c>
      <c r="G41" s="23" t="s">
        <v>39</v>
      </c>
      <c r="H41" s="23">
        <v>9222</v>
      </c>
      <c r="I41" s="23">
        <v>33</v>
      </c>
      <c r="J41" s="23">
        <v>5352</v>
      </c>
      <c r="K41" s="23">
        <v>8141</v>
      </c>
      <c r="L41" s="23">
        <v>2</v>
      </c>
      <c r="M41" s="37">
        <v>1583.1643019999999</v>
      </c>
      <c r="N41" s="31"/>
      <c r="O41" s="32"/>
      <c r="P41" s="38" t="s">
        <v>1836</v>
      </c>
      <c r="Q41" s="39" t="s">
        <v>1838</v>
      </c>
      <c r="R41" s="40">
        <v>1583.1643019999999</v>
      </c>
      <c r="S41" s="29" t="b">
        <f t="shared" si="0"/>
        <v>1</v>
      </c>
      <c r="T41" s="35"/>
    </row>
    <row r="42" spans="1:20">
      <c r="A42" s="22" t="s">
        <v>2780</v>
      </c>
      <c r="B42" s="23" t="s">
        <v>32</v>
      </c>
      <c r="C42" s="23" t="s">
        <v>46</v>
      </c>
      <c r="D42" s="23" t="s">
        <v>2745</v>
      </c>
      <c r="E42" s="36" t="s">
        <v>2781</v>
      </c>
      <c r="F42" s="23" t="s">
        <v>186</v>
      </c>
      <c r="G42" s="23" t="s">
        <v>39</v>
      </c>
      <c r="H42" s="23">
        <v>194833</v>
      </c>
      <c r="I42" s="23">
        <v>499</v>
      </c>
      <c r="J42" s="23">
        <v>29091</v>
      </c>
      <c r="K42" s="23">
        <v>143813</v>
      </c>
      <c r="L42" s="23">
        <v>4</v>
      </c>
      <c r="M42" s="37">
        <v>1586.314519</v>
      </c>
      <c r="N42" s="31"/>
      <c r="O42" s="32"/>
      <c r="P42" s="38" t="s">
        <v>1856</v>
      </c>
      <c r="Q42" s="39" t="s">
        <v>1323</v>
      </c>
      <c r="R42" s="40">
        <v>1586.314519</v>
      </c>
      <c r="S42" s="29" t="b">
        <f t="shared" si="0"/>
        <v>1</v>
      </c>
      <c r="T42" s="35"/>
    </row>
    <row r="43" spans="1:20">
      <c r="A43" s="22" t="s">
        <v>2782</v>
      </c>
      <c r="B43" s="23" t="s">
        <v>44</v>
      </c>
      <c r="C43" s="23" t="s">
        <v>34</v>
      </c>
      <c r="D43" s="23" t="s">
        <v>2745</v>
      </c>
      <c r="E43" s="36" t="s">
        <v>2783</v>
      </c>
      <c r="F43" s="23" t="s">
        <v>50</v>
      </c>
      <c r="G43" s="23" t="s">
        <v>39</v>
      </c>
      <c r="H43" s="23">
        <v>554980</v>
      </c>
      <c r="I43" s="23">
        <v>1542</v>
      </c>
      <c r="J43" s="23">
        <v>323498</v>
      </c>
      <c r="K43" s="23">
        <v>467646</v>
      </c>
      <c r="L43" s="23">
        <v>8</v>
      </c>
      <c r="M43" s="37">
        <v>1600.7695880000001</v>
      </c>
      <c r="N43" s="31"/>
      <c r="O43" s="32"/>
      <c r="P43" s="38" t="s">
        <v>497</v>
      </c>
      <c r="Q43" s="39" t="s">
        <v>500</v>
      </c>
      <c r="R43" s="40">
        <v>1600.7695880000001</v>
      </c>
      <c r="S43" s="29" t="b">
        <f t="shared" si="0"/>
        <v>1</v>
      </c>
      <c r="T43" s="35"/>
    </row>
    <row r="44" spans="1:20">
      <c r="A44" s="22" t="s">
        <v>2784</v>
      </c>
      <c r="B44" s="23" t="s">
        <v>44</v>
      </c>
      <c r="C44" s="23" t="s">
        <v>80</v>
      </c>
      <c r="D44" s="23" t="s">
        <v>2745</v>
      </c>
      <c r="E44" s="36" t="s">
        <v>2785</v>
      </c>
      <c r="F44" s="23" t="s">
        <v>74</v>
      </c>
      <c r="G44" s="23" t="s">
        <v>39</v>
      </c>
      <c r="H44" s="23">
        <v>109567</v>
      </c>
      <c r="I44" s="23">
        <v>345</v>
      </c>
      <c r="J44" s="23">
        <v>57620</v>
      </c>
      <c r="K44" s="23">
        <v>97903</v>
      </c>
      <c r="L44" s="23">
        <v>5</v>
      </c>
      <c r="M44" s="37">
        <v>1616.7147219999999</v>
      </c>
      <c r="N44" s="31"/>
      <c r="O44" s="32"/>
      <c r="P44" s="38" t="s">
        <v>2093</v>
      </c>
      <c r="Q44" s="39" t="s">
        <v>776</v>
      </c>
      <c r="R44" s="40">
        <v>1616.7147219999999</v>
      </c>
      <c r="S44" s="29" t="b">
        <f t="shared" si="0"/>
        <v>1</v>
      </c>
      <c r="T44" s="35"/>
    </row>
    <row r="45" spans="1:20">
      <c r="A45" s="22" t="s">
        <v>2786</v>
      </c>
      <c r="B45" s="23" t="s">
        <v>44</v>
      </c>
      <c r="C45" s="23" t="s">
        <v>34</v>
      </c>
      <c r="D45" s="23" t="s">
        <v>2745</v>
      </c>
      <c r="E45" s="36" t="s">
        <v>2787</v>
      </c>
      <c r="F45" s="23" t="s">
        <v>74</v>
      </c>
      <c r="G45" s="23" t="s">
        <v>39</v>
      </c>
      <c r="H45" s="23">
        <v>22004</v>
      </c>
      <c r="I45" s="23">
        <v>80</v>
      </c>
      <c r="J45" s="23">
        <v>18735</v>
      </c>
      <c r="K45" s="23">
        <v>21127</v>
      </c>
      <c r="L45" s="23">
        <v>4</v>
      </c>
      <c r="M45" s="37">
        <v>1632.4727820000001</v>
      </c>
      <c r="N45" s="31"/>
      <c r="O45" s="32"/>
      <c r="P45" s="38" t="s">
        <v>2016</v>
      </c>
      <c r="Q45" s="39" t="s">
        <v>853</v>
      </c>
      <c r="R45" s="40">
        <v>1632.4727820000001</v>
      </c>
      <c r="S45" s="29" t="b">
        <f t="shared" si="0"/>
        <v>1</v>
      </c>
      <c r="T45" s="35"/>
    </row>
    <row r="46" spans="1:20">
      <c r="A46" s="22" t="s">
        <v>2788</v>
      </c>
      <c r="B46" s="23" t="s">
        <v>44</v>
      </c>
      <c r="C46" s="23" t="s">
        <v>80</v>
      </c>
      <c r="D46" s="23" t="s">
        <v>2745</v>
      </c>
      <c r="E46" s="36" t="s">
        <v>2789</v>
      </c>
      <c r="F46" s="23" t="s">
        <v>50</v>
      </c>
      <c r="G46" s="23" t="s">
        <v>39</v>
      </c>
      <c r="H46" s="23">
        <v>421110</v>
      </c>
      <c r="I46" s="23">
        <v>984</v>
      </c>
      <c r="J46" s="23">
        <v>212140</v>
      </c>
      <c r="K46" s="23">
        <v>389474</v>
      </c>
      <c r="L46" s="23">
        <v>4</v>
      </c>
      <c r="M46" s="37">
        <v>1635.920216</v>
      </c>
      <c r="N46" s="31"/>
      <c r="O46" s="32"/>
      <c r="P46" s="38" t="s">
        <v>854</v>
      </c>
      <c r="Q46" s="39" t="s">
        <v>855</v>
      </c>
      <c r="R46" s="40">
        <v>1635.920216</v>
      </c>
      <c r="S46" s="29" t="b">
        <f t="shared" si="0"/>
        <v>1</v>
      </c>
      <c r="T46" s="35"/>
    </row>
    <row r="47" spans="1:20">
      <c r="A47" s="22" t="s">
        <v>2013</v>
      </c>
      <c r="B47" s="23" t="s">
        <v>44</v>
      </c>
      <c r="C47" s="23" t="s">
        <v>62</v>
      </c>
      <c r="D47" s="23" t="s">
        <v>2745</v>
      </c>
      <c r="E47" s="36" t="s">
        <v>2790</v>
      </c>
      <c r="F47" s="23" t="s">
        <v>186</v>
      </c>
      <c r="G47" s="23" t="s">
        <v>39</v>
      </c>
      <c r="H47" s="23">
        <v>11289</v>
      </c>
      <c r="I47" s="23">
        <v>97</v>
      </c>
      <c r="J47" s="23">
        <v>1345</v>
      </c>
      <c r="K47" s="23">
        <v>8187</v>
      </c>
      <c r="L47" s="23">
        <v>3</v>
      </c>
      <c r="M47" s="37">
        <v>1665.160445</v>
      </c>
      <c r="N47" s="31"/>
      <c r="O47" s="32"/>
      <c r="P47" s="38" t="s">
        <v>2075</v>
      </c>
      <c r="Q47" s="39" t="s">
        <v>2076</v>
      </c>
      <c r="R47" s="40">
        <v>1665.160445</v>
      </c>
      <c r="S47" s="29" t="b">
        <f t="shared" si="0"/>
        <v>1</v>
      </c>
      <c r="T47" s="35"/>
    </row>
    <row r="48" spans="1:20">
      <c r="A48" s="22" t="s">
        <v>2791</v>
      </c>
      <c r="B48" s="23" t="s">
        <v>44</v>
      </c>
      <c r="C48" s="23" t="s">
        <v>46</v>
      </c>
      <c r="D48" s="23" t="s">
        <v>2745</v>
      </c>
      <c r="E48" s="36" t="s">
        <v>2792</v>
      </c>
      <c r="F48" s="23" t="s">
        <v>103</v>
      </c>
      <c r="G48" s="23" t="s">
        <v>39</v>
      </c>
      <c r="H48" s="23">
        <v>57917</v>
      </c>
      <c r="I48" s="23">
        <v>212</v>
      </c>
      <c r="J48" s="23">
        <v>3650</v>
      </c>
      <c r="K48" s="23">
        <v>55128</v>
      </c>
      <c r="L48" s="23">
        <v>5</v>
      </c>
      <c r="M48" s="37">
        <v>1669.7289049999999</v>
      </c>
      <c r="N48" s="31"/>
      <c r="O48" s="32"/>
      <c r="P48" s="38" t="s">
        <v>1806</v>
      </c>
      <c r="Q48" s="39" t="s">
        <v>1808</v>
      </c>
      <c r="R48" s="40">
        <v>1669.7289049999999</v>
      </c>
      <c r="S48" s="29" t="b">
        <f t="shared" si="0"/>
        <v>1</v>
      </c>
      <c r="T48" s="35"/>
    </row>
    <row r="49" spans="1:20">
      <c r="A49" s="22" t="s">
        <v>2793</v>
      </c>
      <c r="B49" s="23" t="s">
        <v>44</v>
      </c>
      <c r="C49" s="23" t="s">
        <v>80</v>
      </c>
      <c r="D49" s="23" t="s">
        <v>2745</v>
      </c>
      <c r="E49" s="36" t="s">
        <v>2794</v>
      </c>
      <c r="F49" s="23" t="s">
        <v>118</v>
      </c>
      <c r="G49" s="23" t="s">
        <v>39</v>
      </c>
      <c r="H49" s="23">
        <v>11296</v>
      </c>
      <c r="I49" s="23">
        <v>54</v>
      </c>
      <c r="J49" s="23">
        <v>6822</v>
      </c>
      <c r="K49" s="23">
        <v>9274</v>
      </c>
      <c r="L49" s="23">
        <v>4</v>
      </c>
      <c r="M49" s="37">
        <v>1682.338499</v>
      </c>
      <c r="N49" s="31"/>
      <c r="O49" s="32"/>
      <c r="P49" s="38" t="s">
        <v>1846</v>
      </c>
      <c r="Q49" s="39" t="s">
        <v>1374</v>
      </c>
      <c r="R49" s="40">
        <v>1682.338499</v>
      </c>
      <c r="S49" s="29" t="b">
        <f t="shared" si="0"/>
        <v>1</v>
      </c>
      <c r="T49" s="35"/>
    </row>
    <row r="50" spans="1:20">
      <c r="A50" s="22" t="s">
        <v>2795</v>
      </c>
      <c r="B50" s="23" t="s">
        <v>44</v>
      </c>
      <c r="C50" s="23" t="s">
        <v>34</v>
      </c>
      <c r="D50" s="23" t="s">
        <v>2745</v>
      </c>
      <c r="E50" s="36" t="s">
        <v>2796</v>
      </c>
      <c r="F50" s="23" t="s">
        <v>50</v>
      </c>
      <c r="G50" s="23" t="s">
        <v>64</v>
      </c>
      <c r="H50" s="23">
        <v>598460</v>
      </c>
      <c r="I50" s="23">
        <v>1654</v>
      </c>
      <c r="J50" s="23">
        <v>201153</v>
      </c>
      <c r="K50" s="23">
        <v>557263</v>
      </c>
      <c r="L50" s="23">
        <v>13</v>
      </c>
      <c r="M50" s="37">
        <v>1689.7445070000001</v>
      </c>
      <c r="N50" s="31"/>
      <c r="O50" s="32"/>
      <c r="P50" s="38" t="s">
        <v>1774</v>
      </c>
      <c r="Q50" s="39" t="s">
        <v>1776</v>
      </c>
      <c r="R50" s="40">
        <v>1689.7445070000001</v>
      </c>
      <c r="S50" s="29" t="b">
        <f t="shared" si="0"/>
        <v>1</v>
      </c>
      <c r="T50" s="35"/>
    </row>
    <row r="51" spans="1:20">
      <c r="A51" s="22" t="s">
        <v>2797</v>
      </c>
      <c r="B51" s="23" t="s">
        <v>44</v>
      </c>
      <c r="C51" s="23" t="s">
        <v>34</v>
      </c>
      <c r="D51" s="23" t="s">
        <v>2745</v>
      </c>
      <c r="E51" s="36" t="s">
        <v>2798</v>
      </c>
      <c r="F51" s="23" t="s">
        <v>50</v>
      </c>
      <c r="G51" s="23" t="s">
        <v>75</v>
      </c>
      <c r="H51" s="23">
        <v>49250</v>
      </c>
      <c r="I51" s="23">
        <v>220</v>
      </c>
      <c r="J51" s="23">
        <v>9205</v>
      </c>
      <c r="K51" s="23">
        <v>43535</v>
      </c>
      <c r="L51" s="23">
        <v>15</v>
      </c>
      <c r="M51" s="37">
        <v>1694.4709769999999</v>
      </c>
      <c r="N51" s="31"/>
      <c r="O51" s="32"/>
      <c r="P51" s="38" t="s">
        <v>1623</v>
      </c>
      <c r="Q51" s="39" t="s">
        <v>802</v>
      </c>
      <c r="R51" s="40">
        <v>1694.4709769999999</v>
      </c>
      <c r="S51" s="29" t="b">
        <f t="shared" si="0"/>
        <v>1</v>
      </c>
      <c r="T51" s="35"/>
    </row>
    <row r="52" spans="1:20">
      <c r="A52" s="22" t="s">
        <v>2799</v>
      </c>
      <c r="B52" s="23" t="s">
        <v>44</v>
      </c>
      <c r="C52" s="23" t="s">
        <v>80</v>
      </c>
      <c r="D52" s="23" t="s">
        <v>2745</v>
      </c>
      <c r="E52" s="36" t="s">
        <v>2800</v>
      </c>
      <c r="F52" s="23" t="s">
        <v>74</v>
      </c>
      <c r="G52" s="23" t="s">
        <v>39</v>
      </c>
      <c r="H52" s="23">
        <v>180353</v>
      </c>
      <c r="I52" s="23">
        <v>471</v>
      </c>
      <c r="J52" s="23">
        <v>67637</v>
      </c>
      <c r="K52" s="23">
        <v>145416</v>
      </c>
      <c r="L52" s="23">
        <v>8</v>
      </c>
      <c r="M52" s="37">
        <v>1720.881985</v>
      </c>
      <c r="N52" s="31"/>
      <c r="O52" s="32"/>
      <c r="P52" s="38" t="s">
        <v>1101</v>
      </c>
      <c r="Q52" s="39" t="s">
        <v>710</v>
      </c>
      <c r="R52" s="40">
        <v>1720.881985</v>
      </c>
      <c r="S52" s="29" t="b">
        <f t="shared" si="0"/>
        <v>1</v>
      </c>
      <c r="T52" s="35"/>
    </row>
    <row r="53" spans="1:20">
      <c r="A53" s="22" t="s">
        <v>2801</v>
      </c>
      <c r="B53" s="23" t="s">
        <v>44</v>
      </c>
      <c r="C53" s="23" t="s">
        <v>80</v>
      </c>
      <c r="D53" s="23" t="s">
        <v>2745</v>
      </c>
      <c r="E53" s="36" t="s">
        <v>2802</v>
      </c>
      <c r="F53" s="23" t="s">
        <v>131</v>
      </c>
      <c r="G53" s="23" t="s">
        <v>39</v>
      </c>
      <c r="H53" s="23">
        <v>14932</v>
      </c>
      <c r="I53" s="23">
        <v>90</v>
      </c>
      <c r="J53" s="23">
        <v>8947</v>
      </c>
      <c r="K53" s="23">
        <v>14256</v>
      </c>
      <c r="L53" s="23">
        <v>3</v>
      </c>
      <c r="M53" s="37">
        <v>1724.417704</v>
      </c>
      <c r="N53" s="31"/>
      <c r="O53" s="32"/>
      <c r="P53" s="38" t="s">
        <v>1510</v>
      </c>
      <c r="Q53" s="39" t="s">
        <v>1512</v>
      </c>
      <c r="R53" s="40">
        <v>1724.417704</v>
      </c>
      <c r="S53" s="29" t="b">
        <f t="shared" si="0"/>
        <v>1</v>
      </c>
      <c r="T53" s="35"/>
    </row>
    <row r="54" spans="1:20">
      <c r="A54" s="22" t="s">
        <v>2803</v>
      </c>
      <c r="B54" s="23" t="s">
        <v>123</v>
      </c>
      <c r="C54" s="23" t="s">
        <v>46</v>
      </c>
      <c r="D54" s="23" t="s">
        <v>2745</v>
      </c>
      <c r="E54" s="36" t="s">
        <v>2804</v>
      </c>
      <c r="F54" s="23" t="s">
        <v>50</v>
      </c>
      <c r="G54" s="23" t="s">
        <v>39</v>
      </c>
      <c r="H54" s="23">
        <v>562103</v>
      </c>
      <c r="I54" s="23">
        <v>1450</v>
      </c>
      <c r="J54" s="23">
        <v>340616</v>
      </c>
      <c r="K54" s="23">
        <v>488921</v>
      </c>
      <c r="L54" s="23">
        <v>8</v>
      </c>
      <c r="M54" s="37">
        <v>1733.8301719999999</v>
      </c>
      <c r="N54" s="31"/>
      <c r="O54" s="32"/>
      <c r="P54" s="38" t="s">
        <v>1715</v>
      </c>
      <c r="Q54" s="39" t="s">
        <v>1717</v>
      </c>
      <c r="R54" s="40">
        <v>1733.8301719999999</v>
      </c>
      <c r="S54" s="29" t="b">
        <f t="shared" si="0"/>
        <v>1</v>
      </c>
      <c r="T54" s="35"/>
    </row>
    <row r="55" spans="1:20">
      <c r="A55" s="22" t="s">
        <v>2805</v>
      </c>
      <c r="B55" s="23" t="s">
        <v>44</v>
      </c>
      <c r="C55" s="23" t="s">
        <v>34</v>
      </c>
      <c r="D55" s="23" t="s">
        <v>2745</v>
      </c>
      <c r="E55" s="36" t="s">
        <v>2806</v>
      </c>
      <c r="F55" s="23" t="s">
        <v>50</v>
      </c>
      <c r="G55" s="23" t="s">
        <v>39</v>
      </c>
      <c r="H55" s="23">
        <v>11375</v>
      </c>
      <c r="I55" s="23">
        <v>87</v>
      </c>
      <c r="J55" s="23">
        <v>7171</v>
      </c>
      <c r="K55" s="23">
        <v>8151</v>
      </c>
      <c r="L55" s="23">
        <v>4</v>
      </c>
      <c r="M55" s="37">
        <v>1763.7840610000001</v>
      </c>
      <c r="N55" s="31"/>
      <c r="O55" s="32"/>
      <c r="P55" s="38" t="s">
        <v>1099</v>
      </c>
      <c r="Q55" s="39" t="s">
        <v>1100</v>
      </c>
      <c r="R55" s="40">
        <v>1763.7840610000001</v>
      </c>
      <c r="S55" s="29" t="b">
        <f t="shared" si="0"/>
        <v>1</v>
      </c>
      <c r="T55" s="35"/>
    </row>
    <row r="56" spans="1:20">
      <c r="A56" s="22" t="s">
        <v>2807</v>
      </c>
      <c r="B56" s="23" t="s">
        <v>44</v>
      </c>
      <c r="C56" s="23" t="s">
        <v>34</v>
      </c>
      <c r="D56" s="23" t="s">
        <v>2745</v>
      </c>
      <c r="E56" s="36" t="s">
        <v>2808</v>
      </c>
      <c r="F56" s="23" t="s">
        <v>50</v>
      </c>
      <c r="G56" s="23" t="s">
        <v>39</v>
      </c>
      <c r="H56" s="23">
        <v>15547</v>
      </c>
      <c r="I56" s="23">
        <v>70</v>
      </c>
      <c r="J56" s="23">
        <v>7615</v>
      </c>
      <c r="K56" s="23">
        <v>14939</v>
      </c>
      <c r="L56" s="23">
        <v>3</v>
      </c>
      <c r="M56" s="37">
        <v>1767.4644559999999</v>
      </c>
      <c r="N56" s="31"/>
      <c r="O56" s="32"/>
      <c r="P56" s="38" t="s">
        <v>2003</v>
      </c>
      <c r="Q56" s="39" t="s">
        <v>2006</v>
      </c>
      <c r="R56" s="40">
        <v>1767.4644559999999</v>
      </c>
      <c r="S56" s="29" t="b">
        <f t="shared" si="0"/>
        <v>1</v>
      </c>
      <c r="T56" s="35"/>
    </row>
    <row r="57" spans="1:20">
      <c r="A57" s="22" t="s">
        <v>2809</v>
      </c>
      <c r="B57" s="23" t="s">
        <v>32</v>
      </c>
      <c r="C57" s="23" t="s">
        <v>80</v>
      </c>
      <c r="D57" s="23" t="s">
        <v>2745</v>
      </c>
      <c r="E57" s="36" t="s">
        <v>2810</v>
      </c>
      <c r="F57" s="23" t="s">
        <v>50</v>
      </c>
      <c r="G57" s="23" t="s">
        <v>39</v>
      </c>
      <c r="H57" s="23">
        <v>80408</v>
      </c>
      <c r="I57" s="23">
        <v>199</v>
      </c>
      <c r="J57" s="23">
        <v>13127</v>
      </c>
      <c r="K57" s="23">
        <v>67027</v>
      </c>
      <c r="L57" s="23">
        <v>9</v>
      </c>
      <c r="M57" s="37">
        <v>1788.1116179999999</v>
      </c>
      <c r="N57" s="31"/>
      <c r="O57" s="32"/>
      <c r="P57" s="38" t="s">
        <v>2314</v>
      </c>
      <c r="Q57" s="39" t="s">
        <v>415</v>
      </c>
      <c r="R57" s="40">
        <v>1788.1116179999999</v>
      </c>
      <c r="S57" s="29" t="b">
        <f t="shared" si="0"/>
        <v>1</v>
      </c>
      <c r="T57" s="35"/>
    </row>
    <row r="58" spans="1:20">
      <c r="A58" s="22" t="s">
        <v>2811</v>
      </c>
      <c r="B58" s="23" t="s">
        <v>44</v>
      </c>
      <c r="C58" s="23" t="s">
        <v>80</v>
      </c>
      <c r="D58" s="23" t="s">
        <v>2745</v>
      </c>
      <c r="E58" s="36" t="s">
        <v>2812</v>
      </c>
      <c r="F58" s="23" t="s">
        <v>50</v>
      </c>
      <c r="G58" s="23" t="s">
        <v>39</v>
      </c>
      <c r="H58" s="23">
        <v>13132</v>
      </c>
      <c r="I58" s="23">
        <v>67</v>
      </c>
      <c r="J58" s="23">
        <v>6133</v>
      </c>
      <c r="K58" s="23">
        <v>12377</v>
      </c>
      <c r="L58" s="23">
        <v>4</v>
      </c>
      <c r="M58" s="37">
        <v>1807.6931420000001</v>
      </c>
      <c r="N58" s="31"/>
      <c r="O58" s="32"/>
      <c r="P58" s="38" t="s">
        <v>454</v>
      </c>
      <c r="Q58" s="39" t="s">
        <v>457</v>
      </c>
      <c r="R58" s="40">
        <v>1807.6931420000001</v>
      </c>
      <c r="S58" s="29" t="b">
        <f t="shared" si="0"/>
        <v>1</v>
      </c>
      <c r="T58" s="35"/>
    </row>
    <row r="59" spans="1:20">
      <c r="A59" s="22" t="s">
        <v>2813</v>
      </c>
      <c r="B59" s="23" t="s">
        <v>123</v>
      </c>
      <c r="C59" s="23" t="s">
        <v>34</v>
      </c>
      <c r="D59" s="23" t="s">
        <v>2745</v>
      </c>
      <c r="E59" s="36" t="s">
        <v>2814</v>
      </c>
      <c r="F59" s="23" t="s">
        <v>50</v>
      </c>
      <c r="G59" s="23" t="s">
        <v>39</v>
      </c>
      <c r="H59" s="23">
        <v>84306</v>
      </c>
      <c r="I59" s="23">
        <v>185</v>
      </c>
      <c r="J59" s="23">
        <v>45376</v>
      </c>
      <c r="K59" s="23">
        <v>79935</v>
      </c>
      <c r="L59" s="23">
        <v>3</v>
      </c>
      <c r="M59" s="37">
        <v>1809.5909610000001</v>
      </c>
      <c r="N59" s="31"/>
      <c r="O59" s="32"/>
      <c r="P59" s="38" t="s">
        <v>1085</v>
      </c>
      <c r="Q59" s="39" t="s">
        <v>1086</v>
      </c>
      <c r="R59" s="40">
        <v>1809.5909610000001</v>
      </c>
      <c r="S59" s="29" t="b">
        <f t="shared" si="0"/>
        <v>1</v>
      </c>
      <c r="T59" s="35"/>
    </row>
    <row r="60" spans="1:20">
      <c r="A60" s="22" t="s">
        <v>2815</v>
      </c>
      <c r="B60" s="23" t="s">
        <v>32</v>
      </c>
      <c r="C60" s="23" t="s">
        <v>46</v>
      </c>
      <c r="D60" s="23" t="s">
        <v>2745</v>
      </c>
      <c r="E60" s="36" t="s">
        <v>2816</v>
      </c>
      <c r="F60" s="23" t="s">
        <v>50</v>
      </c>
      <c r="G60" s="23" t="s">
        <v>39</v>
      </c>
      <c r="H60" s="23">
        <v>15322</v>
      </c>
      <c r="I60" s="23">
        <v>55</v>
      </c>
      <c r="J60" s="23">
        <v>6416</v>
      </c>
      <c r="K60" s="23">
        <v>14049</v>
      </c>
      <c r="L60" s="23">
        <v>5</v>
      </c>
      <c r="M60" s="37">
        <v>1850.464205</v>
      </c>
      <c r="N60" s="31"/>
      <c r="O60" s="32"/>
      <c r="P60" s="38" t="s">
        <v>1755</v>
      </c>
      <c r="Q60" s="39" t="s">
        <v>1758</v>
      </c>
      <c r="R60" s="40">
        <v>1850.464205</v>
      </c>
      <c r="S60" s="29" t="b">
        <f t="shared" si="0"/>
        <v>1</v>
      </c>
      <c r="T60" s="35"/>
    </row>
    <row r="61" spans="1:20">
      <c r="A61" s="22" t="s">
        <v>2817</v>
      </c>
      <c r="B61" s="23" t="s">
        <v>44</v>
      </c>
      <c r="C61" s="23" t="s">
        <v>46</v>
      </c>
      <c r="D61" s="23" t="s">
        <v>2745</v>
      </c>
      <c r="E61" s="36" t="s">
        <v>2818</v>
      </c>
      <c r="F61" s="23" t="s">
        <v>131</v>
      </c>
      <c r="G61" s="23" t="s">
        <v>75</v>
      </c>
      <c r="H61" s="23">
        <v>35335</v>
      </c>
      <c r="I61" s="23">
        <v>120</v>
      </c>
      <c r="J61" s="23">
        <v>22566</v>
      </c>
      <c r="K61" s="23">
        <v>30685</v>
      </c>
      <c r="L61" s="23">
        <v>15</v>
      </c>
      <c r="M61" s="37">
        <v>1866.3474699999999</v>
      </c>
      <c r="N61" s="31"/>
      <c r="O61" s="32"/>
      <c r="P61" s="38" t="s">
        <v>1149</v>
      </c>
      <c r="Q61" s="39" t="s">
        <v>1151</v>
      </c>
      <c r="R61" s="40">
        <v>1866.3474699999999</v>
      </c>
      <c r="S61" s="29" t="b">
        <f t="shared" si="0"/>
        <v>1</v>
      </c>
      <c r="T61" s="35"/>
    </row>
    <row r="62" spans="1:20">
      <c r="A62" s="22" t="s">
        <v>2819</v>
      </c>
      <c r="B62" s="23" t="s">
        <v>32</v>
      </c>
      <c r="C62" s="23" t="s">
        <v>80</v>
      </c>
      <c r="D62" s="23" t="s">
        <v>2745</v>
      </c>
      <c r="E62" s="36" t="s">
        <v>2820</v>
      </c>
      <c r="F62" s="23" t="s">
        <v>118</v>
      </c>
      <c r="G62" s="23" t="s">
        <v>39</v>
      </c>
      <c r="H62" s="23">
        <v>37227</v>
      </c>
      <c r="I62" s="23">
        <v>130</v>
      </c>
      <c r="J62" s="23">
        <v>13542</v>
      </c>
      <c r="K62" s="23">
        <v>32456</v>
      </c>
      <c r="L62" s="23">
        <v>4</v>
      </c>
      <c r="M62" s="37">
        <v>1901.094691</v>
      </c>
      <c r="N62" s="31"/>
      <c r="O62" s="32"/>
      <c r="P62" s="38" t="s">
        <v>1214</v>
      </c>
      <c r="Q62" s="39" t="s">
        <v>1215</v>
      </c>
      <c r="R62" s="40">
        <v>1901.094691</v>
      </c>
      <c r="S62" s="29" t="b">
        <f t="shared" si="0"/>
        <v>1</v>
      </c>
      <c r="T62" s="35"/>
    </row>
    <row r="63" spans="1:20">
      <c r="A63" s="41" t="s">
        <v>2821</v>
      </c>
      <c r="B63" s="23" t="s">
        <v>44</v>
      </c>
      <c r="C63" s="23" t="s">
        <v>62</v>
      </c>
      <c r="D63" s="23" t="s">
        <v>2745</v>
      </c>
      <c r="E63" s="36" t="s">
        <v>2822</v>
      </c>
      <c r="F63" s="23" t="s">
        <v>186</v>
      </c>
      <c r="G63" s="23" t="s">
        <v>39</v>
      </c>
      <c r="H63" s="23">
        <v>61227</v>
      </c>
      <c r="I63" s="23">
        <v>174</v>
      </c>
      <c r="J63" s="23">
        <v>10434</v>
      </c>
      <c r="K63" s="23">
        <v>53104</v>
      </c>
      <c r="L63" s="23">
        <v>8</v>
      </c>
      <c r="M63" s="37">
        <v>1919.553678</v>
      </c>
      <c r="N63" s="31"/>
      <c r="O63" s="32"/>
      <c r="P63" s="38" t="s">
        <v>2028</v>
      </c>
      <c r="Q63" s="39" t="s">
        <v>2030</v>
      </c>
      <c r="R63" s="40">
        <v>1919.553678</v>
      </c>
      <c r="S63" s="29" t="b">
        <f t="shared" si="0"/>
        <v>1</v>
      </c>
      <c r="T63" s="35"/>
    </row>
    <row r="64" spans="1:20">
      <c r="A64" s="22" t="s">
        <v>2823</v>
      </c>
      <c r="B64" s="23" t="s">
        <v>44</v>
      </c>
      <c r="C64" s="23" t="s">
        <v>34</v>
      </c>
      <c r="D64" s="23" t="s">
        <v>2745</v>
      </c>
      <c r="E64" s="36" t="s">
        <v>2824</v>
      </c>
      <c r="F64" s="23" t="s">
        <v>50</v>
      </c>
      <c r="G64" s="23" t="s">
        <v>64</v>
      </c>
      <c r="H64" s="23">
        <v>48892</v>
      </c>
      <c r="I64" s="23">
        <v>110</v>
      </c>
      <c r="J64" s="23">
        <v>32060</v>
      </c>
      <c r="K64" s="23">
        <v>45251</v>
      </c>
      <c r="L64" s="23">
        <v>9</v>
      </c>
      <c r="M64" s="37">
        <v>1978.609661</v>
      </c>
      <c r="N64" s="31"/>
      <c r="O64" s="32"/>
      <c r="P64" s="38" t="s">
        <v>1944</v>
      </c>
      <c r="Q64" s="39" t="s">
        <v>129</v>
      </c>
      <c r="R64" s="40">
        <v>1978.609661</v>
      </c>
      <c r="S64" s="29" t="b">
        <f t="shared" si="0"/>
        <v>1</v>
      </c>
      <c r="T64" s="35"/>
    </row>
    <row r="65" spans="1:20">
      <c r="A65" s="22" t="s">
        <v>2825</v>
      </c>
      <c r="B65" s="23" t="s">
        <v>32</v>
      </c>
      <c r="C65" s="23" t="s">
        <v>46</v>
      </c>
      <c r="D65" s="23" t="s">
        <v>2745</v>
      </c>
      <c r="E65" s="36" t="s">
        <v>2826</v>
      </c>
      <c r="F65" s="23" t="s">
        <v>50</v>
      </c>
      <c r="G65" s="23" t="s">
        <v>39</v>
      </c>
      <c r="H65" s="23">
        <v>102884</v>
      </c>
      <c r="I65" s="23">
        <v>299</v>
      </c>
      <c r="J65" s="23">
        <v>42841</v>
      </c>
      <c r="K65" s="23">
        <v>96539</v>
      </c>
      <c r="L65" s="23">
        <v>6</v>
      </c>
      <c r="M65" s="37">
        <v>2015.4483310000001</v>
      </c>
      <c r="N65" s="31"/>
      <c r="O65" s="32"/>
      <c r="P65" s="38" t="s">
        <v>1353</v>
      </c>
      <c r="Q65" s="39" t="s">
        <v>1285</v>
      </c>
      <c r="R65" s="40">
        <v>2015.4483310000001</v>
      </c>
      <c r="S65" s="29" t="b">
        <f t="shared" si="0"/>
        <v>1</v>
      </c>
      <c r="T65" s="35"/>
    </row>
    <row r="66" spans="1:20">
      <c r="A66" s="22" t="s">
        <v>2827</v>
      </c>
      <c r="B66" s="23" t="s">
        <v>44</v>
      </c>
      <c r="C66" s="23" t="s">
        <v>62</v>
      </c>
      <c r="D66" s="23" t="s">
        <v>2745</v>
      </c>
      <c r="E66" s="36" t="s">
        <v>2828</v>
      </c>
      <c r="F66" s="23" t="s">
        <v>131</v>
      </c>
      <c r="G66" s="23" t="s">
        <v>39</v>
      </c>
      <c r="H66" s="23">
        <v>210096</v>
      </c>
      <c r="I66" s="23">
        <v>590</v>
      </c>
      <c r="J66" s="23">
        <v>90928</v>
      </c>
      <c r="K66" s="23">
        <v>184823</v>
      </c>
      <c r="L66" s="23">
        <v>4</v>
      </c>
      <c r="M66" s="37">
        <v>2027.431388</v>
      </c>
      <c r="N66" s="31"/>
      <c r="O66" s="32"/>
      <c r="P66" s="38" t="s">
        <v>2285</v>
      </c>
      <c r="Q66" s="39" t="s">
        <v>2287</v>
      </c>
      <c r="R66" s="40">
        <v>2027.431388</v>
      </c>
      <c r="S66" s="29" t="b">
        <f t="shared" si="0"/>
        <v>1</v>
      </c>
      <c r="T66" s="35"/>
    </row>
    <row r="67" spans="1:20">
      <c r="A67" s="22" t="s">
        <v>2829</v>
      </c>
      <c r="B67" s="23" t="s">
        <v>32</v>
      </c>
      <c r="C67" s="23" t="s">
        <v>34</v>
      </c>
      <c r="D67" s="23" t="s">
        <v>2745</v>
      </c>
      <c r="E67" s="36" t="s">
        <v>2830</v>
      </c>
      <c r="F67" s="23" t="s">
        <v>50</v>
      </c>
      <c r="G67" s="23" t="s">
        <v>39</v>
      </c>
      <c r="H67" s="23">
        <v>80456</v>
      </c>
      <c r="I67" s="23">
        <v>204</v>
      </c>
      <c r="J67" s="23">
        <v>46039</v>
      </c>
      <c r="K67" s="23">
        <v>65383</v>
      </c>
      <c r="L67" s="23">
        <v>3</v>
      </c>
      <c r="M67" s="37">
        <v>2039.848792</v>
      </c>
      <c r="N67" s="31"/>
      <c r="O67" s="32"/>
      <c r="P67" s="38" t="s">
        <v>2282</v>
      </c>
      <c r="Q67" s="39" t="s">
        <v>2232</v>
      </c>
      <c r="R67" s="40">
        <v>2039.848792</v>
      </c>
      <c r="S67" s="29" t="b">
        <f t="shared" si="0"/>
        <v>1</v>
      </c>
      <c r="T67" s="35"/>
    </row>
    <row r="68" spans="1:20">
      <c r="A68" s="22" t="s">
        <v>2831</v>
      </c>
      <c r="B68" s="23" t="s">
        <v>44</v>
      </c>
      <c r="C68" s="23" t="s">
        <v>62</v>
      </c>
      <c r="D68" s="23" t="s">
        <v>2745</v>
      </c>
      <c r="E68" s="36" t="s">
        <v>2832</v>
      </c>
      <c r="F68" s="23" t="s">
        <v>186</v>
      </c>
      <c r="G68" s="23" t="s">
        <v>39</v>
      </c>
      <c r="H68" s="23">
        <v>15047</v>
      </c>
      <c r="I68" s="23">
        <v>84</v>
      </c>
      <c r="J68" s="23">
        <v>5653</v>
      </c>
      <c r="K68" s="23">
        <v>14459</v>
      </c>
      <c r="L68" s="23">
        <v>4</v>
      </c>
      <c r="M68" s="37">
        <v>2127.495962</v>
      </c>
      <c r="N68" s="31"/>
      <c r="O68" s="32"/>
      <c r="P68" s="38" t="s">
        <v>1307</v>
      </c>
      <c r="Q68" s="39" t="s">
        <v>1310</v>
      </c>
      <c r="R68" s="40">
        <v>2127.495962</v>
      </c>
      <c r="S68" s="29" t="b">
        <f t="shared" si="0"/>
        <v>1</v>
      </c>
      <c r="T68" s="35"/>
    </row>
    <row r="69" spans="1:20">
      <c r="A69" s="22" t="s">
        <v>2833</v>
      </c>
      <c r="B69" s="23" t="s">
        <v>32</v>
      </c>
      <c r="C69" s="23" t="s">
        <v>46</v>
      </c>
      <c r="D69" s="23" t="s">
        <v>2745</v>
      </c>
      <c r="E69" s="36" t="s">
        <v>2834</v>
      </c>
      <c r="F69" s="23" t="s">
        <v>50</v>
      </c>
      <c r="G69" s="23" t="s">
        <v>39</v>
      </c>
      <c r="H69" s="23">
        <v>38735</v>
      </c>
      <c r="I69" s="23">
        <v>114</v>
      </c>
      <c r="J69" s="23">
        <v>28719</v>
      </c>
      <c r="K69" s="23">
        <v>36629</v>
      </c>
      <c r="L69" s="23">
        <v>4</v>
      </c>
      <c r="M69" s="37">
        <v>2127.8240660000001</v>
      </c>
      <c r="N69" s="31"/>
      <c r="O69" s="32"/>
      <c r="P69" s="38" t="s">
        <v>741</v>
      </c>
      <c r="Q69" s="39" t="s">
        <v>743</v>
      </c>
      <c r="R69" s="40">
        <v>2127.8240660000001</v>
      </c>
      <c r="S69" s="29" t="b">
        <f t="shared" si="0"/>
        <v>1</v>
      </c>
      <c r="T69" s="35"/>
    </row>
    <row r="70" spans="1:20">
      <c r="A70" s="22" t="s">
        <v>2835</v>
      </c>
      <c r="B70" s="23" t="s">
        <v>32</v>
      </c>
      <c r="C70" s="23" t="s">
        <v>62</v>
      </c>
      <c r="D70" s="23" t="s">
        <v>2745</v>
      </c>
      <c r="E70" s="36" t="s">
        <v>2836</v>
      </c>
      <c r="F70" s="23" t="s">
        <v>50</v>
      </c>
      <c r="G70" s="23" t="s">
        <v>39</v>
      </c>
      <c r="H70" s="23">
        <v>19212</v>
      </c>
      <c r="I70" s="23">
        <v>54</v>
      </c>
      <c r="J70" s="23">
        <v>6872</v>
      </c>
      <c r="K70" s="23">
        <v>14248</v>
      </c>
      <c r="L70" s="23">
        <v>10</v>
      </c>
      <c r="M70" s="37">
        <v>2133.0771129999998</v>
      </c>
      <c r="N70" s="31"/>
      <c r="O70" s="32"/>
      <c r="P70" s="38" t="s">
        <v>1144</v>
      </c>
      <c r="Q70" s="39" t="s">
        <v>1145</v>
      </c>
      <c r="R70" s="40">
        <v>2133.0771129999998</v>
      </c>
      <c r="S70" s="29" t="b">
        <f t="shared" si="0"/>
        <v>1</v>
      </c>
      <c r="T70" s="35"/>
    </row>
    <row r="71" spans="1:20">
      <c r="A71" s="22" t="s">
        <v>2837</v>
      </c>
      <c r="B71" s="23" t="s">
        <v>44</v>
      </c>
      <c r="C71" s="23" t="s">
        <v>62</v>
      </c>
      <c r="D71" s="23" t="s">
        <v>2745</v>
      </c>
      <c r="E71" s="36" t="s">
        <v>2838</v>
      </c>
      <c r="F71" s="23" t="s">
        <v>50</v>
      </c>
      <c r="G71" s="23" t="s">
        <v>75</v>
      </c>
      <c r="H71" s="23">
        <v>62040</v>
      </c>
      <c r="I71" s="23">
        <v>174</v>
      </c>
      <c r="J71" s="23">
        <v>43853</v>
      </c>
      <c r="K71" s="23">
        <v>58642</v>
      </c>
      <c r="L71" s="23">
        <v>15</v>
      </c>
      <c r="M71" s="37">
        <v>2139.0657930000002</v>
      </c>
      <c r="N71" s="31"/>
      <c r="O71" s="32"/>
      <c r="P71" s="38" t="s">
        <v>1056</v>
      </c>
      <c r="Q71" s="39" t="s">
        <v>1058</v>
      </c>
      <c r="R71" s="40">
        <v>2139.0657930000002</v>
      </c>
      <c r="S71" s="29" t="b">
        <f t="shared" si="0"/>
        <v>1</v>
      </c>
      <c r="T71" s="35"/>
    </row>
    <row r="72" spans="1:20">
      <c r="A72" s="22" t="s">
        <v>2839</v>
      </c>
      <c r="B72" s="23" t="s">
        <v>32</v>
      </c>
      <c r="C72" s="23" t="s">
        <v>80</v>
      </c>
      <c r="D72" s="23" t="s">
        <v>2745</v>
      </c>
      <c r="E72" s="36" t="s">
        <v>2840</v>
      </c>
      <c r="F72" s="23" t="s">
        <v>131</v>
      </c>
      <c r="G72" s="23" t="s">
        <v>39</v>
      </c>
      <c r="H72" s="23">
        <v>51515</v>
      </c>
      <c r="I72" s="23">
        <v>144</v>
      </c>
      <c r="J72" s="23">
        <v>18304</v>
      </c>
      <c r="K72" s="23">
        <v>44891</v>
      </c>
      <c r="L72" s="23">
        <v>14</v>
      </c>
      <c r="M72" s="37">
        <v>2160.3073250000002</v>
      </c>
      <c r="N72" s="31"/>
      <c r="O72" s="32"/>
      <c r="P72" s="38" t="s">
        <v>980</v>
      </c>
      <c r="Q72" s="39" t="s">
        <v>982</v>
      </c>
      <c r="R72" s="40">
        <v>2160.3073250000002</v>
      </c>
      <c r="S72" s="29" t="b">
        <f t="shared" si="0"/>
        <v>1</v>
      </c>
      <c r="T72" s="35"/>
    </row>
    <row r="73" spans="1:20">
      <c r="A73" s="22" t="s">
        <v>2841</v>
      </c>
      <c r="B73" s="23" t="s">
        <v>32</v>
      </c>
      <c r="C73" s="23" t="s">
        <v>46</v>
      </c>
      <c r="D73" s="23" t="s">
        <v>2745</v>
      </c>
      <c r="E73" s="36" t="s">
        <v>2842</v>
      </c>
      <c r="F73" s="23" t="s">
        <v>50</v>
      </c>
      <c r="G73" s="23" t="s">
        <v>39</v>
      </c>
      <c r="H73" s="23">
        <v>85280</v>
      </c>
      <c r="I73" s="23">
        <v>211</v>
      </c>
      <c r="J73" s="23">
        <v>35860</v>
      </c>
      <c r="K73" s="23">
        <v>79837</v>
      </c>
      <c r="L73" s="23">
        <v>5</v>
      </c>
      <c r="M73" s="37">
        <v>2217.932092</v>
      </c>
      <c r="N73" s="31"/>
      <c r="O73" s="32"/>
      <c r="P73" s="38" t="s">
        <v>719</v>
      </c>
      <c r="Q73" s="39" t="s">
        <v>721</v>
      </c>
      <c r="R73" s="40">
        <v>2217.932092</v>
      </c>
      <c r="S73" s="29" t="b">
        <f t="shared" si="0"/>
        <v>1</v>
      </c>
      <c r="T73" s="35"/>
    </row>
    <row r="74" spans="1:20">
      <c r="A74" s="22" t="s">
        <v>2843</v>
      </c>
      <c r="B74" s="23" t="s">
        <v>32</v>
      </c>
      <c r="C74" s="23" t="s">
        <v>34</v>
      </c>
      <c r="D74" s="23" t="s">
        <v>2745</v>
      </c>
      <c r="E74" s="36" t="s">
        <v>2844</v>
      </c>
      <c r="F74" s="23" t="s">
        <v>50</v>
      </c>
      <c r="G74" s="23" t="s">
        <v>39</v>
      </c>
      <c r="H74" s="23">
        <v>297347</v>
      </c>
      <c r="I74" s="23">
        <v>751</v>
      </c>
      <c r="J74" s="23">
        <v>166412</v>
      </c>
      <c r="K74" s="23">
        <v>251319</v>
      </c>
      <c r="L74" s="23">
        <v>4</v>
      </c>
      <c r="M74" s="37">
        <v>2255.5224090000002</v>
      </c>
      <c r="N74" s="31"/>
      <c r="O74" s="32"/>
      <c r="P74" s="38" t="s">
        <v>1065</v>
      </c>
      <c r="Q74" s="39" t="s">
        <v>1067</v>
      </c>
      <c r="R74" s="40">
        <v>2255.5224090000002</v>
      </c>
      <c r="S74" s="29" t="b">
        <f t="shared" si="0"/>
        <v>1</v>
      </c>
      <c r="T74" s="35"/>
    </row>
    <row r="75" spans="1:20">
      <c r="A75" s="22" t="s">
        <v>2845</v>
      </c>
      <c r="B75" s="23" t="s">
        <v>32</v>
      </c>
      <c r="C75" s="23" t="s">
        <v>62</v>
      </c>
      <c r="D75" s="23" t="s">
        <v>2745</v>
      </c>
      <c r="E75" s="36" t="s">
        <v>2846</v>
      </c>
      <c r="F75" s="23" t="s">
        <v>50</v>
      </c>
      <c r="G75" s="23" t="s">
        <v>39</v>
      </c>
      <c r="H75" s="23">
        <v>10191</v>
      </c>
      <c r="I75" s="23">
        <v>75</v>
      </c>
      <c r="J75" s="23">
        <v>1243</v>
      </c>
      <c r="K75" s="23">
        <v>8897</v>
      </c>
      <c r="L75" s="23">
        <v>3</v>
      </c>
      <c r="M75" s="37">
        <v>2365.9143720000002</v>
      </c>
      <c r="N75" s="31"/>
      <c r="O75" s="32"/>
      <c r="P75" s="38" t="s">
        <v>1513</v>
      </c>
      <c r="Q75" s="39" t="s">
        <v>1515</v>
      </c>
      <c r="R75" s="40">
        <v>2365.9143720000002</v>
      </c>
      <c r="S75" s="29" t="b">
        <f t="shared" si="0"/>
        <v>1</v>
      </c>
      <c r="T75" s="35"/>
    </row>
    <row r="76" spans="1:20">
      <c r="A76" s="22" t="s">
        <v>2847</v>
      </c>
      <c r="B76" s="23" t="s">
        <v>32</v>
      </c>
      <c r="C76" s="23" t="s">
        <v>46</v>
      </c>
      <c r="D76" s="23" t="s">
        <v>2745</v>
      </c>
      <c r="E76" s="36" t="s">
        <v>2848</v>
      </c>
      <c r="F76" s="23" t="s">
        <v>50</v>
      </c>
      <c r="G76" s="23" t="s">
        <v>39</v>
      </c>
      <c r="H76" s="23">
        <v>16239</v>
      </c>
      <c r="I76" s="23">
        <v>78</v>
      </c>
      <c r="J76" s="23">
        <v>9375</v>
      </c>
      <c r="K76" s="23">
        <v>15562</v>
      </c>
      <c r="L76" s="23">
        <v>5</v>
      </c>
      <c r="M76" s="37">
        <v>2387.686295</v>
      </c>
      <c r="N76" s="31"/>
      <c r="O76" s="32"/>
      <c r="P76" s="38" t="s">
        <v>544</v>
      </c>
      <c r="Q76" s="39" t="s">
        <v>190</v>
      </c>
      <c r="R76" s="40">
        <v>2387.686295</v>
      </c>
      <c r="S76" s="29" t="b">
        <f t="shared" si="0"/>
        <v>1</v>
      </c>
      <c r="T76" s="35"/>
    </row>
    <row r="77" spans="1:20">
      <c r="A77" s="22" t="s">
        <v>2849</v>
      </c>
      <c r="B77" s="23" t="s">
        <v>44</v>
      </c>
      <c r="C77" s="23" t="s">
        <v>46</v>
      </c>
      <c r="D77" s="23" t="s">
        <v>2745</v>
      </c>
      <c r="E77" s="36" t="s">
        <v>2850</v>
      </c>
      <c r="F77" s="23" t="s">
        <v>50</v>
      </c>
      <c r="G77" s="23" t="s">
        <v>39</v>
      </c>
      <c r="H77" s="23">
        <v>756687</v>
      </c>
      <c r="I77" s="23">
        <v>1984</v>
      </c>
      <c r="J77" s="23">
        <v>442979</v>
      </c>
      <c r="K77" s="23">
        <v>611813</v>
      </c>
      <c r="L77" s="23">
        <v>14</v>
      </c>
      <c r="M77" s="37">
        <v>2452.9975039999999</v>
      </c>
      <c r="N77" s="31"/>
      <c r="O77" s="32"/>
      <c r="P77" s="38" t="s">
        <v>797</v>
      </c>
      <c r="Q77" s="39" t="s">
        <v>603</v>
      </c>
      <c r="R77" s="40">
        <v>2452.9975039999999</v>
      </c>
      <c r="S77" s="29" t="b">
        <f t="shared" si="0"/>
        <v>1</v>
      </c>
      <c r="T77" s="35"/>
    </row>
    <row r="78" spans="1:20">
      <c r="A78" s="22" t="s">
        <v>2851</v>
      </c>
      <c r="B78" s="23" t="s">
        <v>32</v>
      </c>
      <c r="C78" s="23" t="s">
        <v>80</v>
      </c>
      <c r="D78" s="23" t="s">
        <v>2745</v>
      </c>
      <c r="E78" s="36" t="s">
        <v>2852</v>
      </c>
      <c r="F78" s="23" t="s">
        <v>703</v>
      </c>
      <c r="G78" s="23" t="s">
        <v>39</v>
      </c>
      <c r="H78" s="23">
        <v>56927</v>
      </c>
      <c r="I78" s="23">
        <v>165</v>
      </c>
      <c r="J78" s="23">
        <v>20980</v>
      </c>
      <c r="K78" s="23">
        <v>55050</v>
      </c>
      <c r="L78" s="23">
        <v>5</v>
      </c>
      <c r="M78" s="37">
        <v>2463.8219170000002</v>
      </c>
      <c r="N78" s="31"/>
      <c r="O78" s="32"/>
      <c r="P78" s="38" t="s">
        <v>945</v>
      </c>
      <c r="Q78" s="39" t="s">
        <v>947</v>
      </c>
      <c r="R78" s="40">
        <v>2463.8219170000002</v>
      </c>
      <c r="S78" s="29" t="b">
        <f t="shared" si="0"/>
        <v>1</v>
      </c>
      <c r="T78" s="35"/>
    </row>
    <row r="79" spans="1:20">
      <c r="A79" s="22" t="s">
        <v>2853</v>
      </c>
      <c r="B79" s="23" t="s">
        <v>44</v>
      </c>
      <c r="C79" s="23" t="s">
        <v>62</v>
      </c>
      <c r="D79" s="23" t="s">
        <v>2745</v>
      </c>
      <c r="E79" s="36" t="s">
        <v>2854</v>
      </c>
      <c r="F79" s="23" t="s">
        <v>2749</v>
      </c>
      <c r="G79" s="23" t="s">
        <v>39</v>
      </c>
      <c r="H79" s="23">
        <v>117713</v>
      </c>
      <c r="I79" s="23">
        <v>374</v>
      </c>
      <c r="J79" s="23">
        <v>16357</v>
      </c>
      <c r="K79" s="23">
        <v>100222</v>
      </c>
      <c r="L79" s="23">
        <v>5</v>
      </c>
      <c r="M79" s="37">
        <v>2505.4035429999999</v>
      </c>
      <c r="N79" s="31"/>
      <c r="O79" s="32"/>
      <c r="P79" s="38" t="s">
        <v>2294</v>
      </c>
      <c r="Q79" s="39" t="s">
        <v>735</v>
      </c>
      <c r="R79" s="40">
        <v>2505.4035429999999</v>
      </c>
      <c r="S79" s="29" t="b">
        <f t="shared" si="0"/>
        <v>1</v>
      </c>
      <c r="T79" s="35"/>
    </row>
    <row r="80" spans="1:20">
      <c r="A80" s="22" t="s">
        <v>2855</v>
      </c>
      <c r="B80" s="23" t="s">
        <v>44</v>
      </c>
      <c r="C80" s="23" t="s">
        <v>34</v>
      </c>
      <c r="D80" s="23" t="s">
        <v>2745</v>
      </c>
      <c r="E80" s="36" t="s">
        <v>2856</v>
      </c>
      <c r="F80" s="23" t="s">
        <v>50</v>
      </c>
      <c r="G80" s="23" t="s">
        <v>39</v>
      </c>
      <c r="H80" s="23">
        <v>14581</v>
      </c>
      <c r="I80" s="23">
        <v>85</v>
      </c>
      <c r="J80" s="23">
        <v>6970</v>
      </c>
      <c r="K80" s="23">
        <v>8882</v>
      </c>
      <c r="L80" s="23">
        <v>4</v>
      </c>
      <c r="M80" s="37">
        <v>2636.2021239999999</v>
      </c>
      <c r="N80" s="31"/>
      <c r="O80" s="32"/>
      <c r="P80" s="38" t="s">
        <v>2073</v>
      </c>
      <c r="Q80" s="39" t="s">
        <v>2074</v>
      </c>
      <c r="R80" s="40">
        <v>2636.2021239999999</v>
      </c>
      <c r="S80" s="29" t="b">
        <f t="shared" si="0"/>
        <v>1</v>
      </c>
      <c r="T80" s="35"/>
    </row>
    <row r="81" spans="1:20">
      <c r="A81" s="22" t="s">
        <v>2857</v>
      </c>
      <c r="B81" s="23" t="s">
        <v>44</v>
      </c>
      <c r="C81" s="23" t="s">
        <v>80</v>
      </c>
      <c r="D81" s="23" t="s">
        <v>2745</v>
      </c>
      <c r="E81" s="36" t="s">
        <v>2858</v>
      </c>
      <c r="F81" s="23" t="s">
        <v>131</v>
      </c>
      <c r="G81" s="23" t="s">
        <v>39</v>
      </c>
      <c r="H81" s="23">
        <v>564387</v>
      </c>
      <c r="I81" s="23">
        <v>1984</v>
      </c>
      <c r="J81" s="23">
        <v>78234</v>
      </c>
      <c r="K81" s="23">
        <v>438695</v>
      </c>
      <c r="L81" s="23">
        <v>6</v>
      </c>
      <c r="M81" s="37">
        <v>2712.3796779999998</v>
      </c>
      <c r="N81" s="31"/>
      <c r="O81" s="32"/>
      <c r="P81" s="38" t="s">
        <v>2104</v>
      </c>
      <c r="Q81" s="39" t="s">
        <v>245</v>
      </c>
      <c r="R81" s="40">
        <v>2712.3796779999998</v>
      </c>
      <c r="S81" s="29" t="b">
        <f t="shared" si="0"/>
        <v>1</v>
      </c>
      <c r="T81" s="35"/>
    </row>
    <row r="82" spans="1:20">
      <c r="A82" s="22" t="s">
        <v>2859</v>
      </c>
      <c r="B82" s="23" t="s">
        <v>32</v>
      </c>
      <c r="C82" s="23" t="s">
        <v>46</v>
      </c>
      <c r="D82" s="23" t="s">
        <v>2745</v>
      </c>
      <c r="E82" s="36" t="s">
        <v>2860</v>
      </c>
      <c r="F82" s="23" t="s">
        <v>157</v>
      </c>
      <c r="G82" s="23" t="s">
        <v>39</v>
      </c>
      <c r="H82" s="23">
        <v>20548</v>
      </c>
      <c r="I82" s="23">
        <v>40</v>
      </c>
      <c r="J82" s="23">
        <v>14259</v>
      </c>
      <c r="K82" s="23">
        <v>19654</v>
      </c>
      <c r="L82" s="23">
        <v>13</v>
      </c>
      <c r="M82" s="37">
        <v>3060.4247690000002</v>
      </c>
      <c r="N82" s="31"/>
      <c r="O82" s="32"/>
      <c r="P82" s="38" t="s">
        <v>2246</v>
      </c>
      <c r="Q82" s="39" t="s">
        <v>2248</v>
      </c>
      <c r="R82" s="40">
        <v>3060.4247690000002</v>
      </c>
      <c r="S82" s="29" t="b">
        <f t="shared" si="0"/>
        <v>1</v>
      </c>
      <c r="T82" s="35"/>
    </row>
    <row r="83" spans="1:20">
      <c r="A83" s="22" t="s">
        <v>2861</v>
      </c>
      <c r="B83" s="23" t="s">
        <v>44</v>
      </c>
      <c r="C83" s="23" t="s">
        <v>62</v>
      </c>
      <c r="D83" s="23" t="s">
        <v>2745</v>
      </c>
      <c r="E83" s="36" t="s">
        <v>2862</v>
      </c>
      <c r="F83" s="23" t="s">
        <v>50</v>
      </c>
      <c r="G83" s="23" t="s">
        <v>75</v>
      </c>
      <c r="H83" s="23">
        <v>65238</v>
      </c>
      <c r="I83" s="23">
        <v>240</v>
      </c>
      <c r="J83" s="23">
        <v>23741</v>
      </c>
      <c r="K83" s="23">
        <v>59893</v>
      </c>
      <c r="L83" s="23">
        <v>15</v>
      </c>
      <c r="M83" s="37">
        <v>3132.519209</v>
      </c>
      <c r="N83" s="31"/>
      <c r="O83" s="32"/>
      <c r="P83" s="38" t="s">
        <v>1347</v>
      </c>
      <c r="Q83" s="39" t="s">
        <v>973</v>
      </c>
      <c r="R83" s="40">
        <v>3132.519209</v>
      </c>
      <c r="S83" s="29" t="b">
        <f t="shared" si="0"/>
        <v>1</v>
      </c>
      <c r="T83" s="35"/>
    </row>
    <row r="84" spans="1:20">
      <c r="A84" s="22" t="s">
        <v>2863</v>
      </c>
      <c r="B84" s="23" t="s">
        <v>32</v>
      </c>
      <c r="C84" s="23" t="s">
        <v>46</v>
      </c>
      <c r="D84" s="23" t="s">
        <v>2745</v>
      </c>
      <c r="E84" s="36" t="s">
        <v>2864</v>
      </c>
      <c r="F84" s="23" t="s">
        <v>103</v>
      </c>
      <c r="G84" s="23" t="s">
        <v>39</v>
      </c>
      <c r="H84" s="23">
        <v>12868</v>
      </c>
      <c r="I84" s="23">
        <v>80</v>
      </c>
      <c r="J84" s="23">
        <v>6472</v>
      </c>
      <c r="K84" s="23">
        <v>11922</v>
      </c>
      <c r="L84" s="23">
        <v>6</v>
      </c>
      <c r="M84" s="37">
        <v>3137.143043</v>
      </c>
      <c r="N84" s="31"/>
      <c r="O84" s="32"/>
      <c r="P84" s="38" t="s">
        <v>533</v>
      </c>
      <c r="Q84" s="39" t="s">
        <v>536</v>
      </c>
      <c r="R84" s="40">
        <v>3137.143043</v>
      </c>
      <c r="S84" s="29" t="b">
        <f t="shared" si="0"/>
        <v>1</v>
      </c>
      <c r="T84" s="35"/>
    </row>
    <row r="85" spans="1:20">
      <c r="A85" s="22" t="s">
        <v>2865</v>
      </c>
      <c r="B85" s="23" t="s">
        <v>32</v>
      </c>
      <c r="C85" s="23" t="s">
        <v>34</v>
      </c>
      <c r="D85" s="23" t="s">
        <v>2745</v>
      </c>
      <c r="E85" s="36" t="s">
        <v>2866</v>
      </c>
      <c r="F85" s="23" t="s">
        <v>50</v>
      </c>
      <c r="G85" s="23" t="s">
        <v>39</v>
      </c>
      <c r="H85" s="23">
        <v>95289</v>
      </c>
      <c r="I85" s="23">
        <v>199</v>
      </c>
      <c r="J85" s="23">
        <v>19527</v>
      </c>
      <c r="K85" s="23">
        <v>82800</v>
      </c>
      <c r="L85" s="23">
        <v>5</v>
      </c>
      <c r="M85" s="37">
        <v>3223.5359480000002</v>
      </c>
      <c r="N85" s="31"/>
      <c r="O85" s="32"/>
      <c r="P85" s="38" t="s">
        <v>2078</v>
      </c>
      <c r="Q85" s="39" t="s">
        <v>1899</v>
      </c>
      <c r="R85" s="40">
        <v>3223.5359480000002</v>
      </c>
      <c r="S85" s="29" t="b">
        <f t="shared" si="0"/>
        <v>1</v>
      </c>
      <c r="T85" s="35"/>
    </row>
    <row r="86" spans="1:20">
      <c r="A86" s="22" t="s">
        <v>2867</v>
      </c>
      <c r="B86" s="23" t="s">
        <v>44</v>
      </c>
      <c r="C86" s="23" t="s">
        <v>62</v>
      </c>
      <c r="D86" s="23" t="s">
        <v>2745</v>
      </c>
      <c r="E86" s="36" t="s">
        <v>2868</v>
      </c>
      <c r="F86" s="23" t="s">
        <v>50</v>
      </c>
      <c r="G86" s="23" t="s">
        <v>64</v>
      </c>
      <c r="H86" s="23">
        <v>7447</v>
      </c>
      <c r="I86" s="23">
        <v>10</v>
      </c>
      <c r="J86" s="23">
        <v>4163</v>
      </c>
      <c r="K86" s="23">
        <v>5586</v>
      </c>
      <c r="L86" s="23">
        <v>19</v>
      </c>
      <c r="M86" s="37">
        <v>3311.9412459999999</v>
      </c>
      <c r="N86" s="31"/>
      <c r="O86" s="32"/>
      <c r="P86" s="38" t="s">
        <v>750</v>
      </c>
      <c r="Q86" s="39" t="s">
        <v>55</v>
      </c>
      <c r="R86" s="40">
        <v>3311.9412459999999</v>
      </c>
      <c r="S86" s="29" t="b">
        <f t="shared" si="0"/>
        <v>1</v>
      </c>
      <c r="T86" s="35"/>
    </row>
    <row r="87" spans="1:20">
      <c r="A87" s="22" t="s">
        <v>2869</v>
      </c>
      <c r="B87" s="23" t="s">
        <v>44</v>
      </c>
      <c r="C87" s="23" t="s">
        <v>80</v>
      </c>
      <c r="D87" s="23" t="s">
        <v>2745</v>
      </c>
      <c r="E87" s="36" t="s">
        <v>2870</v>
      </c>
      <c r="F87" s="23" t="s">
        <v>50</v>
      </c>
      <c r="G87" s="23" t="s">
        <v>39</v>
      </c>
      <c r="H87" s="23">
        <v>9328</v>
      </c>
      <c r="I87" s="23">
        <v>56</v>
      </c>
      <c r="J87" s="23">
        <v>7102</v>
      </c>
      <c r="K87" s="23">
        <v>8925</v>
      </c>
      <c r="L87" s="23">
        <v>5</v>
      </c>
      <c r="M87" s="37">
        <v>3408.0760489999998</v>
      </c>
      <c r="N87" s="31"/>
      <c r="O87" s="32"/>
      <c r="P87" s="38" t="s">
        <v>447</v>
      </c>
      <c r="Q87" s="39" t="s">
        <v>450</v>
      </c>
      <c r="R87" s="40">
        <v>3408.0760489999998</v>
      </c>
      <c r="S87" s="29" t="b">
        <f t="shared" si="0"/>
        <v>1</v>
      </c>
      <c r="T87" s="35"/>
    </row>
    <row r="88" spans="1:20">
      <c r="A88" s="22" t="s">
        <v>2871</v>
      </c>
      <c r="B88" s="23" t="s">
        <v>44</v>
      </c>
      <c r="C88" s="23" t="s">
        <v>46</v>
      </c>
      <c r="D88" s="23" t="s">
        <v>2745</v>
      </c>
      <c r="E88" s="36" t="s">
        <v>2872</v>
      </c>
      <c r="F88" s="23" t="s">
        <v>157</v>
      </c>
      <c r="G88" s="23" t="s">
        <v>39</v>
      </c>
      <c r="H88" s="23">
        <v>49014</v>
      </c>
      <c r="I88" s="23">
        <v>100</v>
      </c>
      <c r="J88" s="23">
        <v>30349</v>
      </c>
      <c r="K88" s="23">
        <v>46446</v>
      </c>
      <c r="L88" s="23">
        <v>6</v>
      </c>
      <c r="M88" s="37">
        <v>3628.3461699999998</v>
      </c>
      <c r="N88" s="31"/>
      <c r="O88" s="32"/>
      <c r="P88" s="38" t="s">
        <v>1252</v>
      </c>
      <c r="Q88" s="39" t="s">
        <v>1254</v>
      </c>
      <c r="R88" s="40">
        <v>3628.3461699999998</v>
      </c>
      <c r="S88" s="29" t="b">
        <f t="shared" si="0"/>
        <v>1</v>
      </c>
      <c r="T88" s="35"/>
    </row>
    <row r="89" spans="1:20">
      <c r="A89" s="22" t="s">
        <v>2873</v>
      </c>
      <c r="B89" s="23" t="s">
        <v>32</v>
      </c>
      <c r="C89" s="23" t="s">
        <v>34</v>
      </c>
      <c r="D89" s="23" t="s">
        <v>2745</v>
      </c>
      <c r="E89" s="36" t="s">
        <v>2874</v>
      </c>
      <c r="F89" s="23" t="s">
        <v>50</v>
      </c>
      <c r="G89" s="23" t="s">
        <v>39</v>
      </c>
      <c r="H89" s="23">
        <v>12209</v>
      </c>
      <c r="I89" s="23">
        <v>147</v>
      </c>
      <c r="J89" s="23">
        <v>3976</v>
      </c>
      <c r="K89" s="23">
        <v>5219</v>
      </c>
      <c r="L89" s="23">
        <v>4</v>
      </c>
      <c r="M89" s="37">
        <v>3818.9551820000001</v>
      </c>
      <c r="N89" s="31"/>
      <c r="O89" s="32"/>
      <c r="P89" s="38" t="s">
        <v>764</v>
      </c>
      <c r="Q89" s="39" t="s">
        <v>766</v>
      </c>
      <c r="R89" s="40">
        <v>3818.9551820000001</v>
      </c>
      <c r="S89" s="29" t="b">
        <f t="shared" si="0"/>
        <v>1</v>
      </c>
      <c r="T89" s="35"/>
    </row>
    <row r="90" spans="1:20">
      <c r="A90" s="22" t="s">
        <v>2875</v>
      </c>
      <c r="B90" s="23" t="s">
        <v>44</v>
      </c>
      <c r="C90" s="23" t="s">
        <v>62</v>
      </c>
      <c r="D90" s="23" t="s">
        <v>2745</v>
      </c>
      <c r="E90" s="36" t="s">
        <v>2876</v>
      </c>
      <c r="F90" s="23" t="s">
        <v>50</v>
      </c>
      <c r="G90" s="23" t="s">
        <v>75</v>
      </c>
      <c r="H90" s="23">
        <v>27202</v>
      </c>
      <c r="I90" s="23">
        <v>70</v>
      </c>
      <c r="J90" s="23">
        <v>5202</v>
      </c>
      <c r="K90" s="23">
        <v>23474</v>
      </c>
      <c r="L90" s="23">
        <v>11</v>
      </c>
      <c r="M90" s="37">
        <v>4253.9791160000004</v>
      </c>
      <c r="N90" s="31"/>
      <c r="O90" s="32"/>
      <c r="P90" s="38" t="s">
        <v>233</v>
      </c>
      <c r="Q90" s="39" t="s">
        <v>235</v>
      </c>
      <c r="R90" s="40">
        <v>4253.9791160000004</v>
      </c>
      <c r="S90" s="29" t="b">
        <f t="shared" si="0"/>
        <v>1</v>
      </c>
      <c r="T90" s="35"/>
    </row>
    <row r="91" spans="1:20">
      <c r="A91" s="22" t="s">
        <v>2877</v>
      </c>
      <c r="B91" s="23" t="s">
        <v>44</v>
      </c>
      <c r="C91" s="23" t="s">
        <v>46</v>
      </c>
      <c r="D91" s="23" t="s">
        <v>2745</v>
      </c>
      <c r="E91" s="36" t="s">
        <v>2878</v>
      </c>
      <c r="F91" s="23" t="s">
        <v>103</v>
      </c>
      <c r="G91" s="23" t="s">
        <v>64</v>
      </c>
      <c r="H91" s="23">
        <v>7584</v>
      </c>
      <c r="I91" s="23">
        <v>40</v>
      </c>
      <c r="J91" s="23">
        <v>3093</v>
      </c>
      <c r="K91" s="23">
        <v>6897</v>
      </c>
      <c r="L91" s="23">
        <v>2</v>
      </c>
      <c r="M91" s="37">
        <v>4467.0807580000001</v>
      </c>
      <c r="N91" s="31"/>
      <c r="O91" s="32"/>
      <c r="P91" s="38" t="s">
        <v>2299</v>
      </c>
      <c r="Q91" s="39" t="s">
        <v>2301</v>
      </c>
      <c r="R91" s="40">
        <v>4467.0807580000001</v>
      </c>
      <c r="S91" s="29" t="b">
        <f t="shared" si="0"/>
        <v>1</v>
      </c>
      <c r="T91" s="35"/>
    </row>
    <row r="92" spans="1:20">
      <c r="A92" s="22" t="s">
        <v>2879</v>
      </c>
      <c r="B92" s="23" t="s">
        <v>32</v>
      </c>
      <c r="C92" s="23" t="s">
        <v>80</v>
      </c>
      <c r="D92" s="23" t="s">
        <v>2745</v>
      </c>
      <c r="E92" s="36" t="s">
        <v>2880</v>
      </c>
      <c r="F92" s="23" t="s">
        <v>50</v>
      </c>
      <c r="G92" s="23" t="s">
        <v>39</v>
      </c>
      <c r="H92" s="23">
        <v>43327</v>
      </c>
      <c r="I92" s="23">
        <v>140</v>
      </c>
      <c r="J92" s="23">
        <v>4689</v>
      </c>
      <c r="K92" s="23">
        <v>31363</v>
      </c>
      <c r="L92" s="23">
        <v>14</v>
      </c>
      <c r="M92" s="37">
        <v>4554.8768840000002</v>
      </c>
      <c r="N92" s="31"/>
      <c r="O92" s="32"/>
      <c r="P92" s="38" t="s">
        <v>1648</v>
      </c>
      <c r="Q92" s="39" t="s">
        <v>1326</v>
      </c>
      <c r="R92" s="40">
        <v>4554.8768840000002</v>
      </c>
      <c r="S92" s="29" t="b">
        <f t="shared" si="0"/>
        <v>1</v>
      </c>
      <c r="T92" s="35"/>
    </row>
    <row r="93" spans="1:20">
      <c r="A93" s="22" t="s">
        <v>2881</v>
      </c>
      <c r="B93" s="23" t="s">
        <v>32</v>
      </c>
      <c r="C93" s="23" t="s">
        <v>80</v>
      </c>
      <c r="D93" s="23" t="s">
        <v>2745</v>
      </c>
      <c r="E93" s="36" t="s">
        <v>2882</v>
      </c>
      <c r="F93" s="23" t="s">
        <v>50</v>
      </c>
      <c r="G93" s="23" t="s">
        <v>39</v>
      </c>
      <c r="H93" s="23">
        <v>26715</v>
      </c>
      <c r="I93" s="23">
        <v>100</v>
      </c>
      <c r="J93" s="23">
        <v>12287</v>
      </c>
      <c r="K93" s="23">
        <v>25003</v>
      </c>
      <c r="L93" s="23">
        <v>6</v>
      </c>
      <c r="M93" s="37">
        <v>4623.0896720000001</v>
      </c>
      <c r="N93" s="31"/>
      <c r="O93" s="32"/>
      <c r="P93" s="38" t="s">
        <v>1169</v>
      </c>
      <c r="Q93" s="39" t="s">
        <v>211</v>
      </c>
      <c r="R93" s="40">
        <v>4623.0896720000001</v>
      </c>
      <c r="S93" s="29" t="b">
        <f t="shared" si="0"/>
        <v>1</v>
      </c>
      <c r="T93" s="35"/>
    </row>
    <row r="94" spans="1:20">
      <c r="A94" s="22" t="s">
        <v>2883</v>
      </c>
      <c r="B94" s="23" t="s">
        <v>44</v>
      </c>
      <c r="C94" s="23" t="s">
        <v>34</v>
      </c>
      <c r="D94" s="23" t="s">
        <v>2745</v>
      </c>
      <c r="E94" s="36" t="s">
        <v>2884</v>
      </c>
      <c r="F94" s="23" t="s">
        <v>50</v>
      </c>
      <c r="G94" s="23" t="s">
        <v>39</v>
      </c>
      <c r="H94" s="23">
        <v>100991</v>
      </c>
      <c r="I94" s="23">
        <v>286</v>
      </c>
      <c r="J94" s="23">
        <v>56138</v>
      </c>
      <c r="K94" s="23">
        <v>88836</v>
      </c>
      <c r="L94" s="23">
        <v>9</v>
      </c>
      <c r="M94" s="37">
        <v>4652.3676290000003</v>
      </c>
      <c r="N94" s="31"/>
      <c r="O94" s="32"/>
      <c r="P94" s="38" t="s">
        <v>1004</v>
      </c>
      <c r="Q94" s="39" t="s">
        <v>1006</v>
      </c>
      <c r="R94" s="40">
        <v>4652.3676290000003</v>
      </c>
      <c r="S94" s="29" t="b">
        <f t="shared" si="0"/>
        <v>1</v>
      </c>
      <c r="T94" s="35"/>
    </row>
    <row r="95" spans="1:20">
      <c r="A95" s="22" t="s">
        <v>2885</v>
      </c>
      <c r="B95" s="23" t="s">
        <v>32</v>
      </c>
      <c r="C95" s="23" t="s">
        <v>46</v>
      </c>
      <c r="D95" s="23" t="s">
        <v>2745</v>
      </c>
      <c r="E95" s="36" t="s">
        <v>2886</v>
      </c>
      <c r="F95" s="23" t="s">
        <v>50</v>
      </c>
      <c r="G95" s="23" t="s">
        <v>39</v>
      </c>
      <c r="H95" s="23">
        <v>45965</v>
      </c>
      <c r="I95" s="23">
        <v>190</v>
      </c>
      <c r="J95" s="23">
        <v>10028</v>
      </c>
      <c r="K95" s="23">
        <v>37295</v>
      </c>
      <c r="L95" s="23">
        <v>1</v>
      </c>
      <c r="M95" s="37">
        <v>4718.8361139999997</v>
      </c>
      <c r="N95" s="31"/>
      <c r="O95" s="32"/>
      <c r="P95" s="38" t="s">
        <v>1473</v>
      </c>
      <c r="Q95" s="39" t="s">
        <v>824</v>
      </c>
      <c r="R95" s="40">
        <v>4718.8361139999997</v>
      </c>
      <c r="S95" s="29" t="b">
        <f t="shared" si="0"/>
        <v>1</v>
      </c>
      <c r="T95" s="35"/>
    </row>
    <row r="96" spans="1:20">
      <c r="A96" s="22" t="s">
        <v>2887</v>
      </c>
      <c r="B96" s="23" t="s">
        <v>32</v>
      </c>
      <c r="C96" s="23" t="s">
        <v>34</v>
      </c>
      <c r="D96" s="23" t="s">
        <v>2745</v>
      </c>
      <c r="E96" s="36" t="s">
        <v>2888</v>
      </c>
      <c r="F96" s="23" t="s">
        <v>50</v>
      </c>
      <c r="G96" s="23" t="s">
        <v>39</v>
      </c>
      <c r="H96" s="23">
        <v>25539</v>
      </c>
      <c r="I96" s="23">
        <v>78</v>
      </c>
      <c r="J96" s="23">
        <v>12130</v>
      </c>
      <c r="K96" s="23">
        <v>24129</v>
      </c>
      <c r="L96" s="23">
        <v>15</v>
      </c>
      <c r="M96" s="37">
        <v>4804.4932330000001</v>
      </c>
      <c r="N96" s="31"/>
      <c r="O96" s="32"/>
      <c r="P96" s="38" t="s">
        <v>1172</v>
      </c>
      <c r="Q96" s="39" t="s">
        <v>1049</v>
      </c>
      <c r="R96" s="40">
        <v>4804.4932330000001</v>
      </c>
      <c r="S96" s="29" t="b">
        <f t="shared" si="0"/>
        <v>1</v>
      </c>
      <c r="T96" s="35"/>
    </row>
    <row r="97" spans="1:20">
      <c r="A97" s="22" t="s">
        <v>2889</v>
      </c>
      <c r="B97" s="23" t="s">
        <v>44</v>
      </c>
      <c r="C97" s="23" t="s">
        <v>80</v>
      </c>
      <c r="D97" s="23" t="s">
        <v>2745</v>
      </c>
      <c r="E97" s="36" t="s">
        <v>2890</v>
      </c>
      <c r="F97" s="23" t="s">
        <v>2749</v>
      </c>
      <c r="G97" s="23" t="s">
        <v>75</v>
      </c>
      <c r="H97" s="23">
        <v>17833</v>
      </c>
      <c r="I97" s="23">
        <v>61</v>
      </c>
      <c r="J97" s="23">
        <v>8670</v>
      </c>
      <c r="K97" s="23">
        <v>16871</v>
      </c>
      <c r="L97" s="23">
        <v>10</v>
      </c>
      <c r="M97" s="37">
        <v>4899.1559550000002</v>
      </c>
      <c r="N97" s="31"/>
      <c r="O97" s="32"/>
      <c r="P97" s="38" t="s">
        <v>2105</v>
      </c>
      <c r="Q97" s="39" t="s">
        <v>2033</v>
      </c>
      <c r="R97" s="40">
        <v>4899.1559550000002</v>
      </c>
      <c r="S97" s="29" t="b">
        <f t="shared" si="0"/>
        <v>1</v>
      </c>
      <c r="T97" s="35"/>
    </row>
    <row r="98" spans="1:20">
      <c r="A98" s="22" t="s">
        <v>2891</v>
      </c>
      <c r="B98" s="23" t="s">
        <v>32</v>
      </c>
      <c r="C98" s="23" t="s">
        <v>34</v>
      </c>
      <c r="D98" s="23" t="s">
        <v>2745</v>
      </c>
      <c r="E98" s="36" t="s">
        <v>2892</v>
      </c>
      <c r="F98" s="23" t="s">
        <v>186</v>
      </c>
      <c r="G98" s="23" t="s">
        <v>39</v>
      </c>
      <c r="H98" s="23">
        <v>116926</v>
      </c>
      <c r="I98" s="23">
        <v>321</v>
      </c>
      <c r="J98" s="23">
        <v>69132</v>
      </c>
      <c r="K98" s="23">
        <v>111957</v>
      </c>
      <c r="L98" s="23">
        <v>22</v>
      </c>
      <c r="M98" s="37">
        <v>4918.0409820000004</v>
      </c>
      <c r="N98" s="31"/>
      <c r="O98" s="32"/>
      <c r="P98" s="38" t="s">
        <v>1911</v>
      </c>
      <c r="Q98" s="39" t="s">
        <v>1791</v>
      </c>
      <c r="R98" s="40">
        <v>4918.0409820000004</v>
      </c>
      <c r="S98" s="29" t="b">
        <f t="shared" si="0"/>
        <v>1</v>
      </c>
      <c r="T98" s="35"/>
    </row>
    <row r="99" spans="1:20">
      <c r="A99" s="22" t="s">
        <v>2893</v>
      </c>
      <c r="B99" s="23" t="s">
        <v>44</v>
      </c>
      <c r="C99" s="23" t="s">
        <v>62</v>
      </c>
      <c r="D99" s="23" t="s">
        <v>2745</v>
      </c>
      <c r="E99" s="36" t="s">
        <v>2894</v>
      </c>
      <c r="F99" s="23" t="s">
        <v>103</v>
      </c>
      <c r="G99" s="23" t="s">
        <v>64</v>
      </c>
      <c r="H99" s="23">
        <v>10815</v>
      </c>
      <c r="I99" s="23">
        <v>25</v>
      </c>
      <c r="J99" s="23">
        <v>4321</v>
      </c>
      <c r="K99" s="23">
        <v>9646</v>
      </c>
      <c r="L99" s="23">
        <v>2</v>
      </c>
      <c r="M99" s="37">
        <v>4921.5948429999999</v>
      </c>
      <c r="N99" s="31"/>
      <c r="O99" s="32"/>
      <c r="P99" s="38" t="s">
        <v>445</v>
      </c>
      <c r="Q99" s="39" t="s">
        <v>314</v>
      </c>
      <c r="R99" s="40">
        <v>4921.5948429999999</v>
      </c>
      <c r="S99" s="29" t="b">
        <f t="shared" si="0"/>
        <v>1</v>
      </c>
      <c r="T99" s="35"/>
    </row>
    <row r="100" spans="1:20">
      <c r="A100" s="22" t="s">
        <v>2895</v>
      </c>
      <c r="B100" s="23" t="s">
        <v>44</v>
      </c>
      <c r="C100" s="23" t="s">
        <v>80</v>
      </c>
      <c r="D100" s="23" t="s">
        <v>2745</v>
      </c>
      <c r="E100" s="36" t="s">
        <v>2896</v>
      </c>
      <c r="F100" s="23" t="s">
        <v>317</v>
      </c>
      <c r="G100" s="23" t="s">
        <v>39</v>
      </c>
      <c r="H100" s="23">
        <v>9725</v>
      </c>
      <c r="I100" s="23">
        <v>80</v>
      </c>
      <c r="J100" s="23">
        <v>6616</v>
      </c>
      <c r="K100" s="23">
        <v>8778</v>
      </c>
      <c r="L100" s="23">
        <v>1</v>
      </c>
      <c r="M100" s="37">
        <v>4942.2839869999998</v>
      </c>
      <c r="N100" s="31"/>
      <c r="O100" s="32"/>
      <c r="P100" s="38" t="s">
        <v>985</v>
      </c>
      <c r="Q100" s="39" t="s">
        <v>987</v>
      </c>
      <c r="R100" s="40">
        <v>4942.2839869999998</v>
      </c>
      <c r="S100" s="29" t="b">
        <f t="shared" si="0"/>
        <v>1</v>
      </c>
      <c r="T100" s="35"/>
    </row>
    <row r="101" spans="1:20">
      <c r="A101" s="22" t="s">
        <v>2897</v>
      </c>
      <c r="B101" s="23" t="s">
        <v>44</v>
      </c>
      <c r="C101" s="23" t="s">
        <v>34</v>
      </c>
      <c r="D101" s="23" t="s">
        <v>2745</v>
      </c>
      <c r="E101" s="36" t="s">
        <v>2898</v>
      </c>
      <c r="F101" s="23" t="s">
        <v>50</v>
      </c>
      <c r="G101" s="23" t="s">
        <v>39</v>
      </c>
      <c r="H101" s="23">
        <v>470192</v>
      </c>
      <c r="I101" s="23">
        <v>940</v>
      </c>
      <c r="J101" s="23">
        <v>336480</v>
      </c>
      <c r="K101" s="23">
        <v>443202</v>
      </c>
      <c r="L101" s="23">
        <v>3</v>
      </c>
      <c r="M101" s="37">
        <v>4963.9662509999998</v>
      </c>
      <c r="N101" s="31"/>
      <c r="O101" s="32"/>
      <c r="P101" s="38" t="s">
        <v>974</v>
      </c>
      <c r="Q101" s="39" t="s">
        <v>977</v>
      </c>
      <c r="R101" s="40">
        <v>4963.9662509999998</v>
      </c>
      <c r="S101" s="29" t="b">
        <f t="shared" si="0"/>
        <v>1</v>
      </c>
      <c r="T101" s="35"/>
    </row>
    <row r="102" spans="1:20">
      <c r="A102" s="22" t="s">
        <v>2899</v>
      </c>
      <c r="B102" s="23" t="s">
        <v>44</v>
      </c>
      <c r="C102" s="23" t="s">
        <v>46</v>
      </c>
      <c r="D102" s="23" t="s">
        <v>2745</v>
      </c>
      <c r="E102" s="36" t="s">
        <v>2900</v>
      </c>
      <c r="F102" s="23" t="s">
        <v>186</v>
      </c>
      <c r="G102" s="23" t="s">
        <v>75</v>
      </c>
      <c r="H102" s="23">
        <v>25889</v>
      </c>
      <c r="I102" s="23">
        <v>110</v>
      </c>
      <c r="J102" s="23">
        <v>18382</v>
      </c>
      <c r="K102" s="23">
        <v>23328</v>
      </c>
      <c r="L102" s="23">
        <v>15</v>
      </c>
      <c r="M102" s="37">
        <v>4977.7847940000001</v>
      </c>
      <c r="N102" s="31"/>
      <c r="O102" s="32"/>
      <c r="P102" s="38" t="s">
        <v>624</v>
      </c>
      <c r="Q102" s="39" t="s">
        <v>626</v>
      </c>
      <c r="R102" s="40">
        <v>4977.7847940000001</v>
      </c>
      <c r="S102" s="29" t="b">
        <f t="shared" si="0"/>
        <v>1</v>
      </c>
      <c r="T102" s="35"/>
    </row>
    <row r="103" spans="1:20">
      <c r="A103" s="22" t="s">
        <v>2901</v>
      </c>
      <c r="B103" s="23" t="s">
        <v>32</v>
      </c>
      <c r="C103" s="23" t="s">
        <v>46</v>
      </c>
      <c r="D103" s="23" t="s">
        <v>2745</v>
      </c>
      <c r="E103" s="36" t="s">
        <v>2902</v>
      </c>
      <c r="F103" s="23" t="s">
        <v>50</v>
      </c>
      <c r="G103" s="23" t="s">
        <v>39</v>
      </c>
      <c r="H103" s="23">
        <v>9153</v>
      </c>
      <c r="I103" s="23">
        <v>23</v>
      </c>
      <c r="J103" s="23">
        <v>4345</v>
      </c>
      <c r="K103" s="23">
        <v>8376</v>
      </c>
      <c r="L103" s="23">
        <v>14</v>
      </c>
      <c r="M103" s="37">
        <v>5007.5258050000002</v>
      </c>
      <c r="N103" s="31"/>
      <c r="O103" s="32"/>
      <c r="P103" s="38" t="s">
        <v>913</v>
      </c>
      <c r="Q103" s="39" t="s">
        <v>916</v>
      </c>
      <c r="R103" s="40">
        <v>5007.5258050000002</v>
      </c>
      <c r="S103" s="29" t="b">
        <f t="shared" si="0"/>
        <v>1</v>
      </c>
      <c r="T103" s="35"/>
    </row>
    <row r="104" spans="1:20">
      <c r="A104" s="22" t="s">
        <v>2903</v>
      </c>
      <c r="B104" s="23" t="s">
        <v>32</v>
      </c>
      <c r="C104" s="23" t="s">
        <v>46</v>
      </c>
      <c r="D104" s="23" t="s">
        <v>2745</v>
      </c>
      <c r="E104" s="36" t="s">
        <v>2904</v>
      </c>
      <c r="F104" s="23" t="s">
        <v>186</v>
      </c>
      <c r="G104" s="23" t="s">
        <v>39</v>
      </c>
      <c r="H104" s="23">
        <v>115673</v>
      </c>
      <c r="I104" s="23">
        <v>410</v>
      </c>
      <c r="J104" s="23">
        <v>52475</v>
      </c>
      <c r="K104" s="23">
        <v>97166</v>
      </c>
      <c r="L104" s="23">
        <v>22</v>
      </c>
      <c r="M104" s="37">
        <v>5045.9379300000001</v>
      </c>
      <c r="N104" s="31"/>
      <c r="O104" s="32"/>
      <c r="P104" s="38" t="s">
        <v>1739</v>
      </c>
      <c r="Q104" s="39" t="s">
        <v>1161</v>
      </c>
      <c r="R104" s="40">
        <v>5045.9379300000001</v>
      </c>
      <c r="S104" s="29" t="b">
        <f t="shared" si="0"/>
        <v>1</v>
      </c>
      <c r="T104" s="35"/>
    </row>
    <row r="105" spans="1:20">
      <c r="A105" s="22" t="s">
        <v>2905</v>
      </c>
      <c r="B105" s="23" t="s">
        <v>44</v>
      </c>
      <c r="C105" s="23" t="s">
        <v>80</v>
      </c>
      <c r="D105" s="23" t="s">
        <v>2745</v>
      </c>
      <c r="E105" s="36" t="s">
        <v>2906</v>
      </c>
      <c r="F105" s="23" t="s">
        <v>186</v>
      </c>
      <c r="G105" s="23" t="s">
        <v>75</v>
      </c>
      <c r="H105" s="23">
        <v>17075</v>
      </c>
      <c r="I105" s="23">
        <v>44</v>
      </c>
      <c r="J105" s="23">
        <v>5508</v>
      </c>
      <c r="K105" s="23">
        <v>11539</v>
      </c>
      <c r="L105" s="23">
        <v>10</v>
      </c>
      <c r="M105" s="37">
        <v>5086.0899600000002</v>
      </c>
      <c r="N105" s="31"/>
      <c r="O105" s="32"/>
      <c r="P105" s="38" t="s">
        <v>1355</v>
      </c>
      <c r="Q105" s="39" t="s">
        <v>1357</v>
      </c>
      <c r="R105" s="40">
        <v>5086.0899600000002</v>
      </c>
      <c r="S105" s="29" t="b">
        <f t="shared" si="0"/>
        <v>1</v>
      </c>
      <c r="T105" s="35"/>
    </row>
    <row r="106" spans="1:20">
      <c r="A106" s="22" t="s">
        <v>2907</v>
      </c>
      <c r="B106" s="23" t="s">
        <v>32</v>
      </c>
      <c r="C106" s="23" t="s">
        <v>80</v>
      </c>
      <c r="D106" s="23" t="s">
        <v>2745</v>
      </c>
      <c r="E106" s="36" t="s">
        <v>2908</v>
      </c>
      <c r="F106" s="23" t="s">
        <v>50</v>
      </c>
      <c r="G106" s="23" t="s">
        <v>39</v>
      </c>
      <c r="H106" s="23">
        <v>18516</v>
      </c>
      <c r="I106" s="23">
        <v>68</v>
      </c>
      <c r="J106" s="23">
        <v>8191</v>
      </c>
      <c r="K106" s="23">
        <v>13641</v>
      </c>
      <c r="L106" s="23">
        <v>13</v>
      </c>
      <c r="M106" s="37">
        <v>5087.5617149999998</v>
      </c>
      <c r="N106" s="31"/>
      <c r="O106" s="32"/>
      <c r="P106" s="38" t="s">
        <v>1116</v>
      </c>
      <c r="Q106" s="39" t="s">
        <v>1119</v>
      </c>
      <c r="R106" s="40">
        <v>5087.5617149999998</v>
      </c>
      <c r="S106" s="29" t="b">
        <f t="shared" si="0"/>
        <v>1</v>
      </c>
      <c r="T106" s="35"/>
    </row>
    <row r="107" spans="1:20">
      <c r="A107" s="22" t="s">
        <v>2909</v>
      </c>
      <c r="B107" s="23" t="s">
        <v>32</v>
      </c>
      <c r="C107" s="23" t="s">
        <v>80</v>
      </c>
      <c r="D107" s="23" t="s">
        <v>2745</v>
      </c>
      <c r="E107" s="36" t="s">
        <v>2910</v>
      </c>
      <c r="F107" s="23" t="s">
        <v>50</v>
      </c>
      <c r="G107" s="23" t="s">
        <v>39</v>
      </c>
      <c r="H107" s="23">
        <v>21028</v>
      </c>
      <c r="I107" s="23">
        <v>10</v>
      </c>
      <c r="J107" s="23">
        <v>5781</v>
      </c>
      <c r="K107" s="23">
        <v>16134</v>
      </c>
      <c r="L107" s="23">
        <v>11</v>
      </c>
      <c r="M107" s="37">
        <v>5101.3216549999997</v>
      </c>
      <c r="N107" s="31"/>
      <c r="O107" s="32"/>
      <c r="P107" s="38" t="s">
        <v>1949</v>
      </c>
      <c r="Q107" s="39" t="s">
        <v>1951</v>
      </c>
      <c r="R107" s="40">
        <v>5101.3216549999997</v>
      </c>
      <c r="S107" s="29" t="b">
        <f t="shared" si="0"/>
        <v>1</v>
      </c>
      <c r="T107" s="35"/>
    </row>
    <row r="108" spans="1:20">
      <c r="A108" s="22" t="s">
        <v>2911</v>
      </c>
      <c r="B108" s="23" t="s">
        <v>44</v>
      </c>
      <c r="C108" s="23" t="s">
        <v>34</v>
      </c>
      <c r="D108" s="23" t="s">
        <v>2745</v>
      </c>
      <c r="E108" s="36" t="s">
        <v>2912</v>
      </c>
      <c r="F108" s="23" t="s">
        <v>50</v>
      </c>
      <c r="G108" s="23" t="s">
        <v>75</v>
      </c>
      <c r="H108" s="23">
        <v>113420</v>
      </c>
      <c r="I108" s="23">
        <v>333</v>
      </c>
      <c r="J108" s="23">
        <v>33557</v>
      </c>
      <c r="K108" s="23">
        <v>104929</v>
      </c>
      <c r="L108" s="23">
        <v>11</v>
      </c>
      <c r="M108" s="37">
        <v>5124.4359340000001</v>
      </c>
      <c r="N108" s="31"/>
      <c r="O108" s="32"/>
      <c r="P108" s="38" t="s">
        <v>656</v>
      </c>
      <c r="Q108" s="39" t="s">
        <v>659</v>
      </c>
      <c r="R108" s="40">
        <v>5124.4359340000001</v>
      </c>
      <c r="S108" s="29" t="b">
        <f t="shared" si="0"/>
        <v>1</v>
      </c>
      <c r="T108" s="35"/>
    </row>
    <row r="109" spans="1:20">
      <c r="A109" s="22" t="s">
        <v>2913</v>
      </c>
      <c r="B109" s="23" t="s">
        <v>44</v>
      </c>
      <c r="C109" s="23" t="s">
        <v>34</v>
      </c>
      <c r="D109" s="23" t="s">
        <v>2745</v>
      </c>
      <c r="E109" s="36" t="s">
        <v>2914</v>
      </c>
      <c r="F109" s="23" t="s">
        <v>186</v>
      </c>
      <c r="G109" s="23" t="s">
        <v>39</v>
      </c>
      <c r="H109" s="23">
        <v>56945</v>
      </c>
      <c r="I109" s="23">
        <v>152</v>
      </c>
      <c r="J109" s="23">
        <v>20750</v>
      </c>
      <c r="K109" s="23">
        <v>50714</v>
      </c>
      <c r="L109" s="23">
        <v>9</v>
      </c>
      <c r="M109" s="37">
        <v>5144.4743710000002</v>
      </c>
      <c r="N109" s="31"/>
      <c r="O109" s="32"/>
      <c r="P109" s="38" t="s">
        <v>2143</v>
      </c>
      <c r="Q109" s="39" t="s">
        <v>2145</v>
      </c>
      <c r="R109" s="40">
        <v>5144.4743710000002</v>
      </c>
      <c r="S109" s="29" t="b">
        <f t="shared" si="0"/>
        <v>1</v>
      </c>
      <c r="T109" s="35"/>
    </row>
    <row r="110" spans="1:20">
      <c r="A110" s="22" t="s">
        <v>2915</v>
      </c>
      <c r="B110" s="23" t="s">
        <v>44</v>
      </c>
      <c r="C110" s="23" t="s">
        <v>34</v>
      </c>
      <c r="D110" s="23" t="s">
        <v>2745</v>
      </c>
      <c r="E110" s="36" t="s">
        <v>2916</v>
      </c>
      <c r="F110" s="23" t="s">
        <v>50</v>
      </c>
      <c r="G110" s="23" t="s">
        <v>39</v>
      </c>
      <c r="H110" s="23">
        <v>262807</v>
      </c>
      <c r="I110" s="23">
        <v>684</v>
      </c>
      <c r="J110" s="23">
        <v>109871</v>
      </c>
      <c r="K110" s="23">
        <v>236426</v>
      </c>
      <c r="L110" s="23">
        <v>12</v>
      </c>
      <c r="M110" s="37">
        <v>5150.4689230000004</v>
      </c>
      <c r="N110" s="31"/>
      <c r="O110" s="32"/>
      <c r="P110" s="38" t="s">
        <v>828</v>
      </c>
      <c r="Q110" s="39" t="s">
        <v>830</v>
      </c>
      <c r="R110" s="40">
        <v>5150.4689230000004</v>
      </c>
      <c r="S110" s="29" t="b">
        <f t="shared" si="0"/>
        <v>1</v>
      </c>
      <c r="T110" s="35"/>
    </row>
    <row r="111" spans="1:20">
      <c r="A111" s="22" t="s">
        <v>2917</v>
      </c>
      <c r="B111" s="23" t="s">
        <v>32</v>
      </c>
      <c r="C111" s="23" t="s">
        <v>34</v>
      </c>
      <c r="D111" s="23" t="s">
        <v>2745</v>
      </c>
      <c r="E111" s="36" t="s">
        <v>2918</v>
      </c>
      <c r="F111" s="23" t="s">
        <v>50</v>
      </c>
      <c r="G111" s="23" t="s">
        <v>39</v>
      </c>
      <c r="H111" s="23">
        <v>25377</v>
      </c>
      <c r="I111" s="23">
        <v>101</v>
      </c>
      <c r="J111" s="23">
        <v>16698</v>
      </c>
      <c r="K111" s="23">
        <v>23798</v>
      </c>
      <c r="L111" s="23">
        <v>2</v>
      </c>
      <c r="M111" s="37">
        <v>5175.1429189999999</v>
      </c>
      <c r="N111" s="31"/>
      <c r="O111" s="32"/>
      <c r="P111" s="38" t="s">
        <v>1582</v>
      </c>
      <c r="Q111" s="39" t="s">
        <v>1584</v>
      </c>
      <c r="R111" s="40">
        <v>5175.1429189999999</v>
      </c>
      <c r="S111" s="29" t="b">
        <f t="shared" si="0"/>
        <v>1</v>
      </c>
      <c r="T111" s="35"/>
    </row>
    <row r="112" spans="1:20">
      <c r="A112" s="22" t="s">
        <v>2919</v>
      </c>
      <c r="B112" s="23" t="s">
        <v>44</v>
      </c>
      <c r="C112" s="23" t="s">
        <v>46</v>
      </c>
      <c r="D112" s="23" t="s">
        <v>2745</v>
      </c>
      <c r="E112" s="36" t="s">
        <v>2920</v>
      </c>
      <c r="F112" s="23" t="s">
        <v>157</v>
      </c>
      <c r="G112" s="23" t="s">
        <v>75</v>
      </c>
      <c r="H112" s="23">
        <v>18537</v>
      </c>
      <c r="I112" s="23">
        <v>95</v>
      </c>
      <c r="J112" s="23">
        <v>6473</v>
      </c>
      <c r="K112" s="23">
        <v>17081</v>
      </c>
      <c r="L112" s="23">
        <v>4</v>
      </c>
      <c r="M112" s="37">
        <v>5206.2389679999997</v>
      </c>
      <c r="N112" s="31"/>
      <c r="O112" s="32"/>
      <c r="P112" s="38" t="s">
        <v>1990</v>
      </c>
      <c r="Q112" s="39" t="s">
        <v>1992</v>
      </c>
      <c r="R112" s="40">
        <v>5206.2389679999997</v>
      </c>
      <c r="S112" s="29" t="b">
        <f t="shared" si="0"/>
        <v>1</v>
      </c>
      <c r="T112" s="35"/>
    </row>
    <row r="113" spans="1:20">
      <c r="A113" s="22" t="s">
        <v>2921</v>
      </c>
      <c r="B113" s="23" t="s">
        <v>44</v>
      </c>
      <c r="C113" s="23" t="s">
        <v>46</v>
      </c>
      <c r="D113" s="23" t="s">
        <v>2745</v>
      </c>
      <c r="E113" s="36" t="s">
        <v>2922</v>
      </c>
      <c r="F113" s="23" t="s">
        <v>103</v>
      </c>
      <c r="G113" s="23" t="s">
        <v>39</v>
      </c>
      <c r="H113" s="23">
        <v>11681</v>
      </c>
      <c r="I113" s="23">
        <v>88</v>
      </c>
      <c r="J113" s="23">
        <v>4713</v>
      </c>
      <c r="K113" s="23">
        <v>8230</v>
      </c>
      <c r="L113" s="23">
        <v>4</v>
      </c>
      <c r="M113" s="37">
        <v>5216.6488790000003</v>
      </c>
      <c r="N113" s="31"/>
      <c r="O113" s="32"/>
      <c r="P113" s="38" t="s">
        <v>252</v>
      </c>
      <c r="Q113" s="39" t="s">
        <v>256</v>
      </c>
      <c r="R113" s="40">
        <v>5216.6488790000003</v>
      </c>
      <c r="S113" s="29" t="b">
        <f t="shared" si="0"/>
        <v>1</v>
      </c>
      <c r="T113" s="35"/>
    </row>
    <row r="114" spans="1:20">
      <c r="A114" s="22" t="s">
        <v>2923</v>
      </c>
      <c r="B114" s="23" t="s">
        <v>44</v>
      </c>
      <c r="C114" s="23" t="s">
        <v>80</v>
      </c>
      <c r="D114" s="23" t="s">
        <v>2745</v>
      </c>
      <c r="E114" s="36" t="s">
        <v>2924</v>
      </c>
      <c r="F114" s="23" t="s">
        <v>74</v>
      </c>
      <c r="G114" s="23" t="s">
        <v>39</v>
      </c>
      <c r="H114" s="23">
        <v>12136</v>
      </c>
      <c r="I114" s="23">
        <v>97</v>
      </c>
      <c r="J114" s="23">
        <v>2089</v>
      </c>
      <c r="K114" s="23">
        <v>11500</v>
      </c>
      <c r="L114" s="23">
        <v>3</v>
      </c>
      <c r="M114" s="37">
        <v>5224.9324630000001</v>
      </c>
      <c r="N114" s="31"/>
      <c r="O114" s="32"/>
      <c r="P114" s="38" t="s">
        <v>777</v>
      </c>
      <c r="Q114" s="39" t="s">
        <v>510</v>
      </c>
      <c r="R114" s="40">
        <v>5224.9324630000001</v>
      </c>
      <c r="S114" s="29" t="b">
        <f t="shared" si="0"/>
        <v>1</v>
      </c>
      <c r="T114" s="35"/>
    </row>
    <row r="115" spans="1:20">
      <c r="A115" s="22" t="s">
        <v>2925</v>
      </c>
      <c r="B115" s="23" t="s">
        <v>32</v>
      </c>
      <c r="C115" s="23" t="s">
        <v>46</v>
      </c>
      <c r="D115" s="23" t="s">
        <v>2745</v>
      </c>
      <c r="E115" s="36" t="s">
        <v>2926</v>
      </c>
      <c r="F115" s="23" t="s">
        <v>74</v>
      </c>
      <c r="G115" s="23" t="s">
        <v>39</v>
      </c>
      <c r="H115" s="23">
        <v>27032</v>
      </c>
      <c r="I115" s="23">
        <v>110</v>
      </c>
      <c r="J115" s="23">
        <v>21893</v>
      </c>
      <c r="K115" s="23">
        <v>26127</v>
      </c>
      <c r="L115" s="23">
        <v>5</v>
      </c>
      <c r="M115" s="37">
        <v>5292.8969129999996</v>
      </c>
      <c r="N115" s="31"/>
      <c r="O115" s="32"/>
      <c r="P115" s="38" t="s">
        <v>476</v>
      </c>
      <c r="Q115" s="39" t="s">
        <v>478</v>
      </c>
      <c r="R115" s="40">
        <v>5292.8969129999996</v>
      </c>
      <c r="S115" s="29" t="b">
        <f t="shared" si="0"/>
        <v>1</v>
      </c>
      <c r="T115" s="35"/>
    </row>
    <row r="116" spans="1:20">
      <c r="A116" s="22" t="s">
        <v>2927</v>
      </c>
      <c r="B116" s="23" t="s">
        <v>44</v>
      </c>
      <c r="C116" s="23" t="s">
        <v>62</v>
      </c>
      <c r="D116" s="23" t="s">
        <v>2745</v>
      </c>
      <c r="E116" s="36" t="s">
        <v>2928</v>
      </c>
      <c r="F116" s="23" t="s">
        <v>74</v>
      </c>
      <c r="G116" s="23" t="s">
        <v>75</v>
      </c>
      <c r="H116" s="23">
        <v>26439</v>
      </c>
      <c r="I116" s="23">
        <v>95</v>
      </c>
      <c r="J116" s="23">
        <v>7093</v>
      </c>
      <c r="K116" s="23">
        <v>19681</v>
      </c>
      <c r="L116" s="23">
        <v>7</v>
      </c>
      <c r="M116" s="37">
        <v>5330.7819689999997</v>
      </c>
      <c r="N116" s="31"/>
      <c r="O116" s="32"/>
      <c r="P116" s="38" t="s">
        <v>1834</v>
      </c>
      <c r="Q116" s="39" t="s">
        <v>1041</v>
      </c>
      <c r="R116" s="40">
        <v>5330.7819689999997</v>
      </c>
      <c r="S116" s="29" t="b">
        <f t="shared" si="0"/>
        <v>1</v>
      </c>
      <c r="T116" s="35"/>
    </row>
    <row r="117" spans="1:20">
      <c r="A117" s="22" t="s">
        <v>2929</v>
      </c>
      <c r="B117" s="23" t="s">
        <v>32</v>
      </c>
      <c r="C117" s="23" t="s">
        <v>46</v>
      </c>
      <c r="D117" s="23" t="s">
        <v>2745</v>
      </c>
      <c r="E117" s="36" t="s">
        <v>2930</v>
      </c>
      <c r="F117" s="23" t="s">
        <v>50</v>
      </c>
      <c r="G117" s="23" t="s">
        <v>39</v>
      </c>
      <c r="H117" s="23">
        <v>232470</v>
      </c>
      <c r="I117" s="23">
        <v>504</v>
      </c>
      <c r="J117" s="23">
        <v>40870</v>
      </c>
      <c r="K117" s="23">
        <v>195447</v>
      </c>
      <c r="L117" s="23">
        <v>36</v>
      </c>
      <c r="M117" s="37">
        <v>5401.3650850000004</v>
      </c>
      <c r="N117" s="31"/>
      <c r="O117" s="32"/>
      <c r="P117" s="38" t="s">
        <v>2064</v>
      </c>
      <c r="Q117" s="39" t="s">
        <v>645</v>
      </c>
      <c r="R117" s="40">
        <v>5401.3650850000004</v>
      </c>
      <c r="S117" s="29" t="b">
        <f t="shared" si="0"/>
        <v>1</v>
      </c>
      <c r="T117" s="35"/>
    </row>
    <row r="118" spans="1:20">
      <c r="A118" s="22" t="s">
        <v>2931</v>
      </c>
      <c r="B118" s="23" t="s">
        <v>44</v>
      </c>
      <c r="C118" s="23" t="s">
        <v>62</v>
      </c>
      <c r="D118" s="23" t="s">
        <v>2745</v>
      </c>
      <c r="E118" s="36" t="s">
        <v>2932</v>
      </c>
      <c r="F118" s="23" t="s">
        <v>131</v>
      </c>
      <c r="G118" s="23" t="s">
        <v>64</v>
      </c>
      <c r="H118" s="23">
        <v>39314</v>
      </c>
      <c r="I118" s="23">
        <v>100</v>
      </c>
      <c r="J118" s="23">
        <v>27671</v>
      </c>
      <c r="K118" s="23">
        <v>35488</v>
      </c>
      <c r="L118" s="23">
        <v>8</v>
      </c>
      <c r="M118" s="37">
        <v>5530.8004579999997</v>
      </c>
      <c r="N118" s="31"/>
      <c r="O118" s="32"/>
      <c r="P118" s="38" t="s">
        <v>1997</v>
      </c>
      <c r="Q118" s="39" t="s">
        <v>1999</v>
      </c>
      <c r="R118" s="40">
        <v>5530.8004579999997</v>
      </c>
      <c r="S118" s="29" t="b">
        <f t="shared" si="0"/>
        <v>1</v>
      </c>
      <c r="T118" s="35"/>
    </row>
    <row r="119" spans="1:20">
      <c r="A119" s="22" t="s">
        <v>2933</v>
      </c>
      <c r="B119" s="23" t="s">
        <v>32</v>
      </c>
      <c r="C119" s="23" t="s">
        <v>34</v>
      </c>
      <c r="D119" s="23" t="s">
        <v>2745</v>
      </c>
      <c r="E119" s="36" t="s">
        <v>2934</v>
      </c>
      <c r="F119" s="23" t="s">
        <v>74</v>
      </c>
      <c r="G119" s="23" t="s">
        <v>39</v>
      </c>
      <c r="H119" s="23">
        <v>28553</v>
      </c>
      <c r="I119" s="23">
        <v>90</v>
      </c>
      <c r="J119" s="23">
        <v>11390</v>
      </c>
      <c r="K119" s="23">
        <v>23355</v>
      </c>
      <c r="L119" s="23">
        <v>13</v>
      </c>
      <c r="M119" s="37">
        <v>5573.1123960000004</v>
      </c>
      <c r="N119" s="31"/>
      <c r="O119" s="32"/>
      <c r="P119" s="38" t="s">
        <v>2100</v>
      </c>
      <c r="Q119" s="39" t="s">
        <v>1621</v>
      </c>
      <c r="R119" s="40">
        <v>5573.1123960000004</v>
      </c>
      <c r="S119" s="29" t="b">
        <f t="shared" si="0"/>
        <v>1</v>
      </c>
      <c r="T119" s="35"/>
    </row>
    <row r="120" spans="1:20">
      <c r="A120" s="22" t="s">
        <v>2935</v>
      </c>
      <c r="B120" s="23" t="s">
        <v>44</v>
      </c>
      <c r="C120" s="23" t="s">
        <v>62</v>
      </c>
      <c r="D120" s="23" t="s">
        <v>2745</v>
      </c>
      <c r="E120" s="36" t="s">
        <v>2936</v>
      </c>
      <c r="F120" s="23" t="s">
        <v>186</v>
      </c>
      <c r="G120" s="23" t="s">
        <v>64</v>
      </c>
      <c r="H120" s="23">
        <v>48707</v>
      </c>
      <c r="I120" s="23">
        <v>185</v>
      </c>
      <c r="J120" s="23">
        <v>25182</v>
      </c>
      <c r="K120" s="23">
        <v>44696</v>
      </c>
      <c r="L120" s="23">
        <v>13</v>
      </c>
      <c r="M120" s="37">
        <v>5600.3556429999999</v>
      </c>
      <c r="N120" s="31"/>
      <c r="O120" s="32"/>
      <c r="P120" s="38" t="s">
        <v>1793</v>
      </c>
      <c r="Q120" s="39" t="s">
        <v>1795</v>
      </c>
      <c r="R120" s="40">
        <v>5600.3556429999999</v>
      </c>
      <c r="S120" s="29" t="b">
        <f t="shared" si="0"/>
        <v>1</v>
      </c>
      <c r="T120" s="35"/>
    </row>
    <row r="121" spans="1:20">
      <c r="A121" s="22" t="s">
        <v>2937</v>
      </c>
      <c r="B121" s="23" t="s">
        <v>32</v>
      </c>
      <c r="C121" s="23" t="s">
        <v>62</v>
      </c>
      <c r="D121" s="23" t="s">
        <v>2745</v>
      </c>
      <c r="E121" s="36" t="s">
        <v>2938</v>
      </c>
      <c r="F121" s="23" t="s">
        <v>50</v>
      </c>
      <c r="G121" s="23" t="s">
        <v>39</v>
      </c>
      <c r="H121" s="23">
        <v>17317</v>
      </c>
      <c r="I121" s="23">
        <v>68</v>
      </c>
      <c r="J121" s="23">
        <v>8055</v>
      </c>
      <c r="K121" s="23">
        <v>12724</v>
      </c>
      <c r="L121" s="23">
        <v>12</v>
      </c>
      <c r="M121" s="37">
        <v>5668.8570790000003</v>
      </c>
      <c r="N121" s="31"/>
      <c r="O121" s="32"/>
      <c r="P121" s="38" t="s">
        <v>1639</v>
      </c>
      <c r="Q121" s="39" t="s">
        <v>1640</v>
      </c>
      <c r="R121" s="40">
        <v>5668.8570790000003</v>
      </c>
      <c r="S121" s="29" t="b">
        <f t="shared" si="0"/>
        <v>1</v>
      </c>
      <c r="T121" s="35"/>
    </row>
    <row r="122" spans="1:20">
      <c r="A122" s="22" t="s">
        <v>2939</v>
      </c>
      <c r="B122" s="23" t="s">
        <v>44</v>
      </c>
      <c r="C122" s="23" t="s">
        <v>34</v>
      </c>
      <c r="D122" s="23" t="s">
        <v>2745</v>
      </c>
      <c r="E122" s="36" t="s">
        <v>2940</v>
      </c>
      <c r="F122" s="23" t="s">
        <v>103</v>
      </c>
      <c r="G122" s="23" t="s">
        <v>39</v>
      </c>
      <c r="H122" s="23">
        <v>16503</v>
      </c>
      <c r="I122" s="23">
        <v>69</v>
      </c>
      <c r="J122" s="23">
        <v>8595</v>
      </c>
      <c r="K122" s="23">
        <v>14466</v>
      </c>
      <c r="L122" s="23">
        <v>7</v>
      </c>
      <c r="M122" s="37">
        <v>5714.5238669999999</v>
      </c>
      <c r="N122" s="31"/>
      <c r="O122" s="32"/>
      <c r="P122" s="38" t="s">
        <v>1525</v>
      </c>
      <c r="Q122" s="39" t="s">
        <v>1527</v>
      </c>
      <c r="R122" s="40">
        <v>5714.5238669999999</v>
      </c>
      <c r="S122" s="29" t="b">
        <f t="shared" si="0"/>
        <v>1</v>
      </c>
      <c r="T122" s="35"/>
    </row>
    <row r="123" spans="1:20">
      <c r="A123" s="22" t="s">
        <v>2941</v>
      </c>
      <c r="B123" s="23" t="s">
        <v>32</v>
      </c>
      <c r="C123" s="23" t="s">
        <v>34</v>
      </c>
      <c r="D123" s="23" t="s">
        <v>2745</v>
      </c>
      <c r="E123" s="36" t="s">
        <v>2942</v>
      </c>
      <c r="F123" s="23" t="s">
        <v>50</v>
      </c>
      <c r="G123" s="23" t="s">
        <v>39</v>
      </c>
      <c r="H123" s="23">
        <v>38396</v>
      </c>
      <c r="I123" s="23">
        <v>87</v>
      </c>
      <c r="J123" s="23">
        <v>6305</v>
      </c>
      <c r="K123" s="23">
        <v>35118</v>
      </c>
      <c r="L123" s="23">
        <v>9</v>
      </c>
      <c r="M123" s="37">
        <v>5740.164546</v>
      </c>
      <c r="N123" s="31"/>
      <c r="O123" s="32"/>
      <c r="P123" s="38" t="s">
        <v>2070</v>
      </c>
      <c r="Q123" s="39" t="s">
        <v>2072</v>
      </c>
      <c r="R123" s="40">
        <v>5740.164546</v>
      </c>
      <c r="S123" s="29" t="b">
        <f t="shared" si="0"/>
        <v>1</v>
      </c>
      <c r="T123" s="35"/>
    </row>
    <row r="124" spans="1:20">
      <c r="A124" s="22" t="s">
        <v>2943</v>
      </c>
      <c r="B124" s="23" t="s">
        <v>32</v>
      </c>
      <c r="C124" s="23" t="s">
        <v>46</v>
      </c>
      <c r="D124" s="23" t="s">
        <v>2745</v>
      </c>
      <c r="E124" s="36" t="s">
        <v>2944</v>
      </c>
      <c r="F124" s="23" t="s">
        <v>157</v>
      </c>
      <c r="G124" s="23" t="s">
        <v>39</v>
      </c>
      <c r="H124" s="23">
        <v>3196231</v>
      </c>
      <c r="I124" s="23">
        <v>8745</v>
      </c>
      <c r="J124" s="23">
        <v>2013324</v>
      </c>
      <c r="K124" s="23">
        <v>2669103</v>
      </c>
      <c r="L124" s="23">
        <v>70</v>
      </c>
      <c r="M124" s="37">
        <v>5756.2711719999998</v>
      </c>
      <c r="N124" s="31"/>
      <c r="O124" s="32"/>
      <c r="P124" s="38" t="s">
        <v>1858</v>
      </c>
      <c r="Q124" s="39" t="s">
        <v>1860</v>
      </c>
      <c r="R124" s="40">
        <v>5756.2711719999998</v>
      </c>
      <c r="S124" s="29" t="b">
        <f t="shared" si="0"/>
        <v>1</v>
      </c>
      <c r="T124" s="35"/>
    </row>
    <row r="125" spans="1:20">
      <c r="A125" s="22" t="s">
        <v>2945</v>
      </c>
      <c r="B125" s="23" t="s">
        <v>32</v>
      </c>
      <c r="C125" s="23" t="s">
        <v>62</v>
      </c>
      <c r="D125" s="23" t="s">
        <v>2745</v>
      </c>
      <c r="E125" s="36" t="s">
        <v>2946</v>
      </c>
      <c r="F125" s="23" t="s">
        <v>186</v>
      </c>
      <c r="G125" s="23" t="s">
        <v>39</v>
      </c>
      <c r="H125" s="23">
        <v>114384</v>
      </c>
      <c r="I125" s="23">
        <v>100</v>
      </c>
      <c r="J125" s="23">
        <v>61524</v>
      </c>
      <c r="K125" s="23">
        <v>105104</v>
      </c>
      <c r="L125" s="23">
        <v>12</v>
      </c>
      <c r="M125" s="37">
        <v>5803.3314540000001</v>
      </c>
      <c r="N125" s="31"/>
      <c r="O125" s="32"/>
      <c r="P125" s="38" t="s">
        <v>426</v>
      </c>
      <c r="Q125" s="39" t="s">
        <v>429</v>
      </c>
      <c r="R125" s="40">
        <v>5803.3314540000001</v>
      </c>
      <c r="S125" s="29" t="b">
        <f t="shared" si="0"/>
        <v>1</v>
      </c>
      <c r="T125" s="35"/>
    </row>
    <row r="126" spans="1:20">
      <c r="A126" s="22" t="s">
        <v>2947</v>
      </c>
      <c r="B126" s="23" t="s">
        <v>123</v>
      </c>
      <c r="C126" s="23" t="s">
        <v>62</v>
      </c>
      <c r="D126" s="23" t="s">
        <v>2745</v>
      </c>
      <c r="E126" s="36" t="s">
        <v>2948</v>
      </c>
      <c r="F126" s="23" t="s">
        <v>50</v>
      </c>
      <c r="G126" s="23" t="s">
        <v>39</v>
      </c>
      <c r="H126" s="23">
        <v>100058</v>
      </c>
      <c r="I126" s="23">
        <v>435</v>
      </c>
      <c r="J126" s="23">
        <v>73422</v>
      </c>
      <c r="K126" s="23">
        <v>91976</v>
      </c>
      <c r="L126" s="23">
        <v>8</v>
      </c>
      <c r="M126" s="37">
        <v>5831.2257929999996</v>
      </c>
      <c r="N126" s="31"/>
      <c r="O126" s="32"/>
      <c r="P126" s="38" t="s">
        <v>1541</v>
      </c>
      <c r="Q126" s="39" t="s">
        <v>1542</v>
      </c>
      <c r="R126" s="40">
        <v>5831.2257929999996</v>
      </c>
      <c r="S126" s="29" t="b">
        <f t="shared" si="0"/>
        <v>1</v>
      </c>
      <c r="T126" s="35"/>
    </row>
    <row r="127" spans="1:20">
      <c r="A127" s="22" t="s">
        <v>2949</v>
      </c>
      <c r="B127" s="23" t="s">
        <v>44</v>
      </c>
      <c r="C127" s="23" t="s">
        <v>62</v>
      </c>
      <c r="D127" s="23" t="s">
        <v>2745</v>
      </c>
      <c r="E127" s="36" t="s">
        <v>2950</v>
      </c>
      <c r="F127" s="23" t="s">
        <v>186</v>
      </c>
      <c r="G127" s="23" t="s">
        <v>75</v>
      </c>
      <c r="H127" s="23">
        <v>16978</v>
      </c>
      <c r="I127" s="23">
        <v>30</v>
      </c>
      <c r="J127" s="23">
        <v>8367</v>
      </c>
      <c r="K127" s="23">
        <v>15731</v>
      </c>
      <c r="L127" s="23">
        <v>9</v>
      </c>
      <c r="M127" s="37">
        <v>5886.0711460000002</v>
      </c>
      <c r="N127" s="31"/>
      <c r="O127" s="32"/>
      <c r="P127" s="38" t="s">
        <v>584</v>
      </c>
      <c r="Q127" s="39" t="s">
        <v>586</v>
      </c>
      <c r="R127" s="40">
        <v>5886.0711460000002</v>
      </c>
      <c r="S127" s="29" t="b">
        <f t="shared" si="0"/>
        <v>1</v>
      </c>
      <c r="T127" s="35"/>
    </row>
    <row r="128" spans="1:20">
      <c r="A128" s="22" t="s">
        <v>2951</v>
      </c>
      <c r="B128" s="23" t="s">
        <v>44</v>
      </c>
      <c r="C128" s="23" t="s">
        <v>46</v>
      </c>
      <c r="D128" s="23" t="s">
        <v>2745</v>
      </c>
      <c r="E128" s="36" t="s">
        <v>2952</v>
      </c>
      <c r="F128" s="23" t="s">
        <v>103</v>
      </c>
      <c r="G128" s="23" t="s">
        <v>39</v>
      </c>
      <c r="H128" s="23">
        <v>7691</v>
      </c>
      <c r="I128" s="23">
        <v>0</v>
      </c>
      <c r="J128" s="23">
        <v>3890</v>
      </c>
      <c r="K128" s="23">
        <v>5905</v>
      </c>
      <c r="L128" s="23">
        <v>1</v>
      </c>
      <c r="M128" s="37">
        <v>5927.8067879999999</v>
      </c>
      <c r="N128" s="31"/>
      <c r="O128" s="32"/>
      <c r="P128" s="38" t="s">
        <v>2953</v>
      </c>
      <c r="Q128" s="39" t="s">
        <v>1084</v>
      </c>
      <c r="R128" s="40">
        <v>5927.8067879999999</v>
      </c>
      <c r="S128" s="29" t="b">
        <f t="shared" si="0"/>
        <v>1</v>
      </c>
      <c r="T128" s="35"/>
    </row>
    <row r="129" spans="1:20">
      <c r="A129" s="22" t="s">
        <v>2954</v>
      </c>
      <c r="B129" s="23" t="s">
        <v>32</v>
      </c>
      <c r="C129" s="23" t="s">
        <v>80</v>
      </c>
      <c r="D129" s="23" t="s">
        <v>2745</v>
      </c>
      <c r="E129" s="36" t="s">
        <v>2955</v>
      </c>
      <c r="F129" s="23" t="s">
        <v>157</v>
      </c>
      <c r="G129" s="23" t="s">
        <v>39</v>
      </c>
      <c r="H129" s="23">
        <v>47016</v>
      </c>
      <c r="I129" s="23">
        <v>199</v>
      </c>
      <c r="J129" s="23">
        <v>12210</v>
      </c>
      <c r="K129" s="23">
        <v>38039</v>
      </c>
      <c r="L129" s="23">
        <v>13</v>
      </c>
      <c r="M129" s="37">
        <v>5974.8750799999998</v>
      </c>
      <c r="N129" s="31"/>
      <c r="O129" s="32"/>
      <c r="P129" s="38" t="s">
        <v>1381</v>
      </c>
      <c r="Q129" s="39" t="s">
        <v>1383</v>
      </c>
      <c r="R129" s="40">
        <v>5974.8750799999998</v>
      </c>
      <c r="S129" s="29" t="b">
        <f t="shared" si="0"/>
        <v>1</v>
      </c>
      <c r="T129" s="35"/>
    </row>
    <row r="130" spans="1:20">
      <c r="A130" s="22" t="s">
        <v>2956</v>
      </c>
      <c r="B130" s="23" t="s">
        <v>44</v>
      </c>
      <c r="C130" s="23" t="s">
        <v>34</v>
      </c>
      <c r="D130" s="23" t="s">
        <v>2745</v>
      </c>
      <c r="E130" s="36" t="s">
        <v>2957</v>
      </c>
      <c r="F130" s="23" t="s">
        <v>103</v>
      </c>
      <c r="G130" s="23" t="s">
        <v>39</v>
      </c>
      <c r="H130" s="23">
        <v>14083</v>
      </c>
      <c r="I130" s="23">
        <v>97</v>
      </c>
      <c r="J130" s="23">
        <v>9945</v>
      </c>
      <c r="K130" s="23">
        <v>12878</v>
      </c>
      <c r="L130" s="23">
        <v>11</v>
      </c>
      <c r="M130" s="37">
        <v>5979.67</v>
      </c>
      <c r="N130" s="31"/>
      <c r="O130" s="32"/>
      <c r="P130" s="38" t="s">
        <v>1334</v>
      </c>
      <c r="Q130" s="39" t="s">
        <v>1336</v>
      </c>
      <c r="R130" s="40">
        <v>5979.67</v>
      </c>
      <c r="S130" s="29" t="b">
        <f t="shared" si="0"/>
        <v>1</v>
      </c>
      <c r="T130" s="35"/>
    </row>
    <row r="131" spans="1:20">
      <c r="A131" s="22" t="s">
        <v>2958</v>
      </c>
      <c r="B131" s="23" t="s">
        <v>32</v>
      </c>
      <c r="C131" s="23" t="s">
        <v>34</v>
      </c>
      <c r="D131" s="23" t="s">
        <v>2745</v>
      </c>
      <c r="E131" s="36" t="s">
        <v>2959</v>
      </c>
      <c r="F131" s="23" t="s">
        <v>593</v>
      </c>
      <c r="G131" s="23" t="s">
        <v>39</v>
      </c>
      <c r="H131" s="23">
        <v>742281</v>
      </c>
      <c r="I131" s="23">
        <v>1999</v>
      </c>
      <c r="J131" s="23">
        <v>432673</v>
      </c>
      <c r="K131" s="23">
        <v>642404</v>
      </c>
      <c r="L131" s="23">
        <v>11</v>
      </c>
      <c r="M131" s="37">
        <v>6024.4224869999998</v>
      </c>
      <c r="N131" s="31"/>
      <c r="O131" s="32"/>
      <c r="P131" s="38" t="s">
        <v>591</v>
      </c>
      <c r="Q131" s="39" t="s">
        <v>528</v>
      </c>
      <c r="R131" s="40">
        <v>6024.4224869999998</v>
      </c>
      <c r="S131" s="29" t="b">
        <f t="shared" si="0"/>
        <v>1</v>
      </c>
      <c r="T131" s="35"/>
    </row>
    <row r="132" spans="1:20">
      <c r="A132" s="22" t="s">
        <v>2960</v>
      </c>
      <c r="B132" s="23" t="s">
        <v>44</v>
      </c>
      <c r="C132" s="23" t="s">
        <v>46</v>
      </c>
      <c r="D132" s="23" t="s">
        <v>2745</v>
      </c>
      <c r="E132" s="36" t="s">
        <v>2961</v>
      </c>
      <c r="F132" s="23" t="s">
        <v>50</v>
      </c>
      <c r="G132" s="23" t="s">
        <v>64</v>
      </c>
      <c r="H132" s="23">
        <v>29834</v>
      </c>
      <c r="I132" s="23">
        <v>99</v>
      </c>
      <c r="J132" s="23">
        <v>14599</v>
      </c>
      <c r="K132" s="23">
        <v>24656</v>
      </c>
      <c r="L132" s="23">
        <v>14</v>
      </c>
      <c r="M132" s="37">
        <v>6032.8371139999999</v>
      </c>
      <c r="N132" s="31"/>
      <c r="O132" s="32"/>
      <c r="P132" s="38" t="s">
        <v>1744</v>
      </c>
      <c r="Q132" s="39" t="s">
        <v>1745</v>
      </c>
      <c r="R132" s="40">
        <v>6032.8371139999999</v>
      </c>
      <c r="S132" s="29" t="b">
        <f t="shared" si="0"/>
        <v>1</v>
      </c>
      <c r="T132" s="35"/>
    </row>
    <row r="133" spans="1:20">
      <c r="A133" s="22" t="s">
        <v>2962</v>
      </c>
      <c r="B133" s="23" t="s">
        <v>123</v>
      </c>
      <c r="C133" s="23" t="s">
        <v>80</v>
      </c>
      <c r="D133" s="23" t="s">
        <v>2745</v>
      </c>
      <c r="E133" s="36" t="s">
        <v>2963</v>
      </c>
      <c r="F133" s="23" t="s">
        <v>50</v>
      </c>
      <c r="G133" s="23" t="s">
        <v>39</v>
      </c>
      <c r="H133" s="23">
        <v>207823</v>
      </c>
      <c r="I133" s="23">
        <v>600</v>
      </c>
      <c r="J133" s="23">
        <v>33602</v>
      </c>
      <c r="K133" s="23">
        <v>167814</v>
      </c>
      <c r="L133" s="23">
        <v>13</v>
      </c>
      <c r="M133" s="37">
        <v>6048.9556110000003</v>
      </c>
      <c r="N133" s="31"/>
      <c r="O133" s="32"/>
      <c r="P133" s="38" t="s">
        <v>1409</v>
      </c>
      <c r="Q133" s="39" t="s">
        <v>1411</v>
      </c>
      <c r="R133" s="40">
        <v>6048.9556110000003</v>
      </c>
      <c r="S133" s="29" t="b">
        <f t="shared" si="0"/>
        <v>1</v>
      </c>
      <c r="T133" s="35"/>
    </row>
    <row r="134" spans="1:20">
      <c r="A134" s="22" t="s">
        <v>2964</v>
      </c>
      <c r="B134" s="23" t="s">
        <v>44</v>
      </c>
      <c r="C134" s="23" t="s">
        <v>46</v>
      </c>
      <c r="D134" s="23" t="s">
        <v>2745</v>
      </c>
      <c r="E134" s="36" t="s">
        <v>2965</v>
      </c>
      <c r="F134" s="23" t="s">
        <v>103</v>
      </c>
      <c r="G134" s="23" t="s">
        <v>39</v>
      </c>
      <c r="H134" s="23">
        <v>8217</v>
      </c>
      <c r="I134" s="23">
        <v>25</v>
      </c>
      <c r="J134" s="23">
        <v>5740</v>
      </c>
      <c r="K134" s="23">
        <v>8009</v>
      </c>
      <c r="L134" s="23">
        <v>11</v>
      </c>
      <c r="M134" s="37">
        <v>6051.3346229999997</v>
      </c>
      <c r="N134" s="31"/>
      <c r="O134" s="32"/>
      <c r="P134" s="38" t="s">
        <v>1705</v>
      </c>
      <c r="Q134" s="39" t="s">
        <v>1707</v>
      </c>
      <c r="R134" s="40">
        <v>6051.3346229999997</v>
      </c>
      <c r="S134" s="29" t="b">
        <f t="shared" si="0"/>
        <v>1</v>
      </c>
      <c r="T134" s="35"/>
    </row>
    <row r="135" spans="1:20">
      <c r="A135" s="22" t="s">
        <v>2966</v>
      </c>
      <c r="B135" s="23" t="s">
        <v>44</v>
      </c>
      <c r="C135" s="23" t="s">
        <v>34</v>
      </c>
      <c r="D135" s="23" t="s">
        <v>2745</v>
      </c>
      <c r="E135" s="36" t="s">
        <v>2967</v>
      </c>
      <c r="F135" s="23" t="s">
        <v>131</v>
      </c>
      <c r="G135" s="23" t="s">
        <v>64</v>
      </c>
      <c r="H135" s="23">
        <v>23156</v>
      </c>
      <c r="I135" s="23">
        <v>73</v>
      </c>
      <c r="J135" s="23">
        <v>4468</v>
      </c>
      <c r="K135" s="23">
        <v>18821</v>
      </c>
      <c r="L135" s="23">
        <v>15</v>
      </c>
      <c r="M135" s="37">
        <v>6173.4128899999996</v>
      </c>
      <c r="N135" s="31"/>
      <c r="O135" s="32"/>
      <c r="P135" s="38" t="s">
        <v>529</v>
      </c>
      <c r="Q135" s="39" t="s">
        <v>532</v>
      </c>
      <c r="R135" s="40">
        <v>6173.4128899999996</v>
      </c>
      <c r="S135" s="29" t="b">
        <f t="shared" si="0"/>
        <v>1</v>
      </c>
      <c r="T135" s="35"/>
    </row>
    <row r="136" spans="1:20">
      <c r="A136" s="22" t="s">
        <v>2968</v>
      </c>
      <c r="B136" s="23" t="s">
        <v>32</v>
      </c>
      <c r="C136" s="23" t="s">
        <v>80</v>
      </c>
      <c r="D136" s="23" t="s">
        <v>2745</v>
      </c>
      <c r="E136" s="36" t="s">
        <v>2969</v>
      </c>
      <c r="F136" s="23" t="s">
        <v>74</v>
      </c>
      <c r="G136" s="23" t="s">
        <v>39</v>
      </c>
      <c r="H136" s="23">
        <v>192201</v>
      </c>
      <c r="I136" s="23">
        <v>489</v>
      </c>
      <c r="J136" s="23">
        <v>113707</v>
      </c>
      <c r="K136" s="23">
        <v>157940</v>
      </c>
      <c r="L136" s="23">
        <v>3</v>
      </c>
      <c r="M136" s="37">
        <v>6176.0041540000002</v>
      </c>
      <c r="N136" s="31"/>
      <c r="O136" s="32"/>
      <c r="P136" s="38" t="s">
        <v>473</v>
      </c>
      <c r="Q136" s="39" t="s">
        <v>475</v>
      </c>
      <c r="R136" s="40">
        <v>6176.0041540000002</v>
      </c>
      <c r="S136" s="29" t="b">
        <f t="shared" si="0"/>
        <v>1</v>
      </c>
      <c r="T136" s="35"/>
    </row>
    <row r="137" spans="1:20">
      <c r="A137" s="22" t="s">
        <v>2970</v>
      </c>
      <c r="B137" s="23" t="s">
        <v>44</v>
      </c>
      <c r="C137" s="23" t="s">
        <v>62</v>
      </c>
      <c r="D137" s="23" t="s">
        <v>2745</v>
      </c>
      <c r="E137" s="36" t="s">
        <v>2971</v>
      </c>
      <c r="F137" s="23" t="s">
        <v>131</v>
      </c>
      <c r="G137" s="23" t="s">
        <v>39</v>
      </c>
      <c r="H137" s="23">
        <v>11417</v>
      </c>
      <c r="I137" s="23">
        <v>78</v>
      </c>
      <c r="J137" s="23">
        <v>1387</v>
      </c>
      <c r="K137" s="23">
        <v>9924</v>
      </c>
      <c r="L137" s="23">
        <v>9</v>
      </c>
      <c r="M137" s="37">
        <v>6206.6371079999999</v>
      </c>
      <c r="N137" s="31"/>
      <c r="O137" s="32"/>
      <c r="P137" s="38" t="s">
        <v>909</v>
      </c>
      <c r="Q137" s="39" t="s">
        <v>911</v>
      </c>
      <c r="R137" s="40">
        <v>6206.6371079999999</v>
      </c>
      <c r="S137" s="29" t="b">
        <f t="shared" si="0"/>
        <v>1</v>
      </c>
      <c r="T137" s="35"/>
    </row>
    <row r="138" spans="1:20">
      <c r="A138" s="22" t="s">
        <v>2972</v>
      </c>
      <c r="B138" s="23" t="s">
        <v>44</v>
      </c>
      <c r="C138" s="23" t="s">
        <v>46</v>
      </c>
      <c r="D138" s="23" t="s">
        <v>2745</v>
      </c>
      <c r="E138" s="36" t="s">
        <v>2973</v>
      </c>
      <c r="F138" s="23" t="s">
        <v>50</v>
      </c>
      <c r="G138" s="23" t="s">
        <v>39</v>
      </c>
      <c r="H138" s="23">
        <v>182114</v>
      </c>
      <c r="I138" s="23">
        <v>500</v>
      </c>
      <c r="J138" s="23">
        <v>14477</v>
      </c>
      <c r="K138" s="23">
        <v>139167</v>
      </c>
      <c r="L138" s="23">
        <v>29</v>
      </c>
      <c r="M138" s="37">
        <v>6307.9007510000001</v>
      </c>
      <c r="N138" s="31"/>
      <c r="O138" s="32"/>
      <c r="P138" s="38" t="s">
        <v>1283</v>
      </c>
      <c r="Q138" s="39" t="s">
        <v>1285</v>
      </c>
      <c r="R138" s="40">
        <v>6307.9007510000001</v>
      </c>
      <c r="S138" s="29" t="b">
        <f t="shared" si="0"/>
        <v>1</v>
      </c>
      <c r="T138" s="35"/>
    </row>
    <row r="139" spans="1:20">
      <c r="A139" s="22" t="s">
        <v>2974</v>
      </c>
      <c r="B139" s="23" t="s">
        <v>32</v>
      </c>
      <c r="C139" s="23" t="s">
        <v>80</v>
      </c>
      <c r="D139" s="23" t="s">
        <v>2745</v>
      </c>
      <c r="E139" s="36" t="s">
        <v>2975</v>
      </c>
      <c r="F139" s="23" t="s">
        <v>50</v>
      </c>
      <c r="G139" s="23" t="s">
        <v>39</v>
      </c>
      <c r="H139" s="23">
        <v>42759</v>
      </c>
      <c r="I139" s="23">
        <v>177</v>
      </c>
      <c r="J139" s="23">
        <v>17744</v>
      </c>
      <c r="K139" s="23">
        <v>34812</v>
      </c>
      <c r="L139" s="23">
        <v>12</v>
      </c>
      <c r="M139" s="37">
        <v>6316.4880540000004</v>
      </c>
      <c r="N139" s="31"/>
      <c r="O139" s="32"/>
      <c r="P139" s="38" t="s">
        <v>640</v>
      </c>
      <c r="Q139" s="39" t="s">
        <v>433</v>
      </c>
      <c r="R139" s="40">
        <v>6316.4880540000004</v>
      </c>
      <c r="S139" s="29" t="b">
        <f t="shared" si="0"/>
        <v>1</v>
      </c>
      <c r="T139" s="35"/>
    </row>
    <row r="140" spans="1:20">
      <c r="A140" s="22" t="s">
        <v>2976</v>
      </c>
      <c r="B140" s="23" t="s">
        <v>44</v>
      </c>
      <c r="C140" s="23" t="s">
        <v>46</v>
      </c>
      <c r="D140" s="23" t="s">
        <v>2745</v>
      </c>
      <c r="E140" s="36" t="s">
        <v>2977</v>
      </c>
      <c r="F140" s="23" t="s">
        <v>74</v>
      </c>
      <c r="G140" s="23" t="s">
        <v>39</v>
      </c>
      <c r="H140" s="23">
        <v>14451</v>
      </c>
      <c r="I140" s="23">
        <v>50</v>
      </c>
      <c r="J140" s="23">
        <v>5606</v>
      </c>
      <c r="K140" s="23">
        <v>13461</v>
      </c>
      <c r="L140" s="23">
        <v>8</v>
      </c>
      <c r="M140" s="37">
        <v>6397.6025179999997</v>
      </c>
      <c r="N140" s="31"/>
      <c r="O140" s="32"/>
      <c r="P140" s="38" t="s">
        <v>1790</v>
      </c>
      <c r="Q140" s="39" t="s">
        <v>1791</v>
      </c>
      <c r="R140" s="40">
        <v>6397.6025179999997</v>
      </c>
      <c r="S140" s="29" t="b">
        <f t="shared" si="0"/>
        <v>1</v>
      </c>
      <c r="T140" s="35"/>
    </row>
    <row r="141" spans="1:20">
      <c r="A141" s="22" t="s">
        <v>2978</v>
      </c>
      <c r="B141" s="23" t="s">
        <v>44</v>
      </c>
      <c r="C141" s="23" t="s">
        <v>80</v>
      </c>
      <c r="D141" s="23" t="s">
        <v>2745</v>
      </c>
      <c r="E141" s="36" t="s">
        <v>2979</v>
      </c>
      <c r="F141" s="23" t="s">
        <v>50</v>
      </c>
      <c r="G141" s="23" t="s">
        <v>75</v>
      </c>
      <c r="H141" s="23">
        <v>26415</v>
      </c>
      <c r="I141" s="23">
        <v>60</v>
      </c>
      <c r="J141" s="23">
        <v>13791</v>
      </c>
      <c r="K141" s="23">
        <v>25315</v>
      </c>
      <c r="L141" s="23">
        <v>11</v>
      </c>
      <c r="M141" s="37">
        <v>6450.9186369999998</v>
      </c>
      <c r="N141" s="31"/>
      <c r="O141" s="32"/>
      <c r="P141" s="38" t="s">
        <v>1695</v>
      </c>
      <c r="Q141" s="39" t="s">
        <v>55</v>
      </c>
      <c r="R141" s="40">
        <v>6450.9186369999998</v>
      </c>
      <c r="S141" s="29" t="b">
        <f t="shared" si="0"/>
        <v>1</v>
      </c>
      <c r="T141" s="35"/>
    </row>
    <row r="142" spans="1:20">
      <c r="A142" s="22" t="s">
        <v>2980</v>
      </c>
      <c r="B142" s="23" t="s">
        <v>44</v>
      </c>
      <c r="C142" s="23" t="s">
        <v>62</v>
      </c>
      <c r="D142" s="23" t="s">
        <v>2745</v>
      </c>
      <c r="E142" s="36" t="s">
        <v>2981</v>
      </c>
      <c r="F142" s="23" t="s">
        <v>186</v>
      </c>
      <c r="G142" s="23" t="s">
        <v>64</v>
      </c>
      <c r="H142" s="23">
        <v>26212</v>
      </c>
      <c r="I142" s="23">
        <v>77</v>
      </c>
      <c r="J142" s="23">
        <v>12726</v>
      </c>
      <c r="K142" s="23">
        <v>24442</v>
      </c>
      <c r="L142" s="23">
        <v>15</v>
      </c>
      <c r="M142" s="37">
        <v>6452.9350100000001</v>
      </c>
      <c r="N142" s="31"/>
      <c r="O142" s="32"/>
      <c r="P142" s="38" t="s">
        <v>961</v>
      </c>
      <c r="Q142" s="39" t="s">
        <v>111</v>
      </c>
      <c r="R142" s="40">
        <v>6452.9350100000001</v>
      </c>
      <c r="S142" s="29" t="b">
        <f t="shared" si="0"/>
        <v>1</v>
      </c>
      <c r="T142" s="35"/>
    </row>
    <row r="143" spans="1:20">
      <c r="A143" s="22" t="s">
        <v>2982</v>
      </c>
      <c r="B143" s="23" t="s">
        <v>32</v>
      </c>
      <c r="C143" s="23" t="s">
        <v>80</v>
      </c>
      <c r="D143" s="23" t="s">
        <v>2745</v>
      </c>
      <c r="E143" s="36" t="s">
        <v>2983</v>
      </c>
      <c r="F143" s="23" t="s">
        <v>157</v>
      </c>
      <c r="G143" s="23" t="s">
        <v>39</v>
      </c>
      <c r="H143" s="23">
        <v>111624</v>
      </c>
      <c r="I143" s="23">
        <v>590</v>
      </c>
      <c r="J143" s="23">
        <v>40343</v>
      </c>
      <c r="K143" s="23">
        <v>101306</v>
      </c>
      <c r="L143" s="23">
        <v>21</v>
      </c>
      <c r="M143" s="37">
        <v>6510.4466560000001</v>
      </c>
      <c r="N143" s="31"/>
      <c r="O143" s="32"/>
      <c r="P143" s="38" t="s">
        <v>1961</v>
      </c>
      <c r="Q143" s="39" t="s">
        <v>1365</v>
      </c>
      <c r="R143" s="40">
        <v>6510.4466560000001</v>
      </c>
      <c r="S143" s="29" t="b">
        <f t="shared" si="0"/>
        <v>1</v>
      </c>
      <c r="T143" s="35"/>
    </row>
    <row r="144" spans="1:20">
      <c r="A144" s="22" t="s">
        <v>2984</v>
      </c>
      <c r="B144" s="23" t="s">
        <v>44</v>
      </c>
      <c r="C144" s="23" t="s">
        <v>46</v>
      </c>
      <c r="D144" s="23" t="s">
        <v>2745</v>
      </c>
      <c r="E144" s="36" t="s">
        <v>2985</v>
      </c>
      <c r="F144" s="23" t="s">
        <v>593</v>
      </c>
      <c r="G144" s="23" t="s">
        <v>64</v>
      </c>
      <c r="H144" s="23">
        <v>42755</v>
      </c>
      <c r="I144" s="23">
        <v>117</v>
      </c>
      <c r="J144" s="23">
        <v>36503</v>
      </c>
      <c r="K144" s="23">
        <v>40051</v>
      </c>
      <c r="L144" s="23">
        <v>12</v>
      </c>
      <c r="M144" s="37">
        <v>6550.3029699999997</v>
      </c>
      <c r="N144" s="31"/>
      <c r="O144" s="32"/>
      <c r="P144" s="38" t="s">
        <v>1926</v>
      </c>
      <c r="Q144" s="39" t="s">
        <v>1928</v>
      </c>
      <c r="R144" s="40">
        <v>6550.3029699999997</v>
      </c>
      <c r="S144" s="29" t="b">
        <f t="shared" si="0"/>
        <v>1</v>
      </c>
      <c r="T144" s="35"/>
    </row>
    <row r="145" spans="1:20">
      <c r="A145" s="22" t="s">
        <v>2986</v>
      </c>
      <c r="B145" s="23" t="s">
        <v>32</v>
      </c>
      <c r="C145" s="23" t="s">
        <v>62</v>
      </c>
      <c r="D145" s="23" t="s">
        <v>2745</v>
      </c>
      <c r="E145" s="36" t="s">
        <v>2987</v>
      </c>
      <c r="F145" s="23" t="s">
        <v>186</v>
      </c>
      <c r="G145" s="23" t="s">
        <v>39</v>
      </c>
      <c r="H145" s="23">
        <v>106151</v>
      </c>
      <c r="I145" s="23">
        <v>299</v>
      </c>
      <c r="J145" s="23">
        <v>75304</v>
      </c>
      <c r="K145" s="23">
        <v>99311</v>
      </c>
      <c r="L145" s="23">
        <v>9</v>
      </c>
      <c r="M145" s="37">
        <v>6616.8806599999998</v>
      </c>
      <c r="N145" s="31"/>
      <c r="O145" s="32"/>
      <c r="P145" s="38" t="s">
        <v>1450</v>
      </c>
      <c r="Q145" s="39" t="s">
        <v>1452</v>
      </c>
      <c r="R145" s="40">
        <v>6616.8806599999998</v>
      </c>
      <c r="S145" s="29" t="b">
        <f t="shared" si="0"/>
        <v>1</v>
      </c>
      <c r="T145" s="35"/>
    </row>
    <row r="146" spans="1:20">
      <c r="A146" s="22" t="s">
        <v>2988</v>
      </c>
      <c r="B146" s="23" t="s">
        <v>44</v>
      </c>
      <c r="C146" s="23" t="s">
        <v>80</v>
      </c>
      <c r="D146" s="23" t="s">
        <v>2745</v>
      </c>
      <c r="E146" s="36" t="s">
        <v>2989</v>
      </c>
      <c r="F146" s="23" t="s">
        <v>50</v>
      </c>
      <c r="G146" s="23" t="s">
        <v>39</v>
      </c>
      <c r="H146" s="23">
        <v>357707</v>
      </c>
      <c r="I146" s="23">
        <v>951</v>
      </c>
      <c r="J146" s="23">
        <v>203987</v>
      </c>
      <c r="K146" s="23">
        <v>338107</v>
      </c>
      <c r="L146" s="23">
        <v>74</v>
      </c>
      <c r="M146" s="37">
        <v>6749.2023529999997</v>
      </c>
      <c r="N146" s="31"/>
      <c r="O146" s="32"/>
      <c r="P146" s="38" t="s">
        <v>794</v>
      </c>
      <c r="Q146" s="39" t="s">
        <v>796</v>
      </c>
      <c r="R146" s="40">
        <v>6749.2023529999997</v>
      </c>
      <c r="S146" s="29" t="b">
        <f t="shared" si="0"/>
        <v>1</v>
      </c>
      <c r="T146" s="35"/>
    </row>
    <row r="147" spans="1:20">
      <c r="A147" s="22" t="s">
        <v>2990</v>
      </c>
      <c r="B147" s="23" t="s">
        <v>44</v>
      </c>
      <c r="C147" s="23" t="s">
        <v>80</v>
      </c>
      <c r="D147" s="23" t="s">
        <v>2745</v>
      </c>
      <c r="E147" s="36" t="s">
        <v>2991</v>
      </c>
      <c r="F147" s="23" t="s">
        <v>74</v>
      </c>
      <c r="G147" s="23" t="s">
        <v>64</v>
      </c>
      <c r="H147" s="23">
        <v>26558</v>
      </c>
      <c r="I147" s="23">
        <v>111</v>
      </c>
      <c r="J147" s="23">
        <v>15761</v>
      </c>
      <c r="K147" s="23">
        <v>23532</v>
      </c>
      <c r="L147" s="23">
        <v>14</v>
      </c>
      <c r="M147" s="37">
        <v>6751.5589810000001</v>
      </c>
      <c r="N147" s="31"/>
      <c r="O147" s="32"/>
      <c r="P147" s="38" t="s">
        <v>280</v>
      </c>
      <c r="Q147" s="39" t="s">
        <v>283</v>
      </c>
      <c r="R147" s="40">
        <v>6751.5589810000001</v>
      </c>
      <c r="S147" s="29" t="b">
        <f t="shared" si="0"/>
        <v>1</v>
      </c>
      <c r="T147" s="35"/>
    </row>
    <row r="148" spans="1:20">
      <c r="A148" s="22" t="s">
        <v>2992</v>
      </c>
      <c r="B148" s="23" t="s">
        <v>32</v>
      </c>
      <c r="C148" s="23" t="s">
        <v>34</v>
      </c>
      <c r="D148" s="23" t="s">
        <v>2745</v>
      </c>
      <c r="E148" s="36" t="s">
        <v>2993</v>
      </c>
      <c r="F148" s="23" t="s">
        <v>50</v>
      </c>
      <c r="G148" s="23" t="s">
        <v>39</v>
      </c>
      <c r="H148" s="23">
        <v>7514</v>
      </c>
      <c r="I148" s="23">
        <v>20</v>
      </c>
      <c r="J148" s="23">
        <v>2646</v>
      </c>
      <c r="K148" s="23">
        <v>3373</v>
      </c>
      <c r="L148" s="23">
        <v>3</v>
      </c>
      <c r="M148" s="37">
        <v>6756.2951789999997</v>
      </c>
      <c r="N148" s="31"/>
      <c r="O148" s="32"/>
      <c r="P148" s="38" t="s">
        <v>845</v>
      </c>
      <c r="Q148" s="39" t="s">
        <v>776</v>
      </c>
      <c r="R148" s="40">
        <v>6756.2951789999997</v>
      </c>
      <c r="S148" s="29" t="b">
        <f t="shared" si="0"/>
        <v>1</v>
      </c>
      <c r="T148" s="35"/>
    </row>
    <row r="149" spans="1:20">
      <c r="A149" s="22" t="s">
        <v>2994</v>
      </c>
      <c r="B149" s="23" t="s">
        <v>123</v>
      </c>
      <c r="C149" s="23" t="s">
        <v>46</v>
      </c>
      <c r="D149" s="23" t="s">
        <v>2745</v>
      </c>
      <c r="E149" s="36" t="s">
        <v>2995</v>
      </c>
      <c r="F149" s="23" t="s">
        <v>103</v>
      </c>
      <c r="G149" s="23" t="s">
        <v>39</v>
      </c>
      <c r="H149" s="23">
        <v>40929</v>
      </c>
      <c r="I149" s="23">
        <v>142</v>
      </c>
      <c r="J149" s="23">
        <v>9249</v>
      </c>
      <c r="K149" s="23">
        <v>31564</v>
      </c>
      <c r="L149" s="23">
        <v>8</v>
      </c>
      <c r="M149" s="37">
        <v>6764.5206369999996</v>
      </c>
      <c r="N149" s="31"/>
      <c r="O149" s="32"/>
      <c r="P149" s="38" t="s">
        <v>686</v>
      </c>
      <c r="Q149" s="39" t="s">
        <v>688</v>
      </c>
      <c r="R149" s="40">
        <v>6764.5206369999996</v>
      </c>
      <c r="S149" s="29" t="b">
        <f t="shared" si="0"/>
        <v>1</v>
      </c>
      <c r="T149" s="35"/>
    </row>
    <row r="150" spans="1:20">
      <c r="A150" s="22" t="s">
        <v>2996</v>
      </c>
      <c r="B150" s="23" t="s">
        <v>32</v>
      </c>
      <c r="C150" s="23" t="s">
        <v>34</v>
      </c>
      <c r="D150" s="23" t="s">
        <v>2745</v>
      </c>
      <c r="E150" s="36" t="s">
        <v>2997</v>
      </c>
      <c r="F150" s="23" t="s">
        <v>50</v>
      </c>
      <c r="G150" s="23" t="s">
        <v>39</v>
      </c>
      <c r="H150" s="23">
        <v>18095</v>
      </c>
      <c r="I150" s="23">
        <v>50</v>
      </c>
      <c r="J150" s="23">
        <v>10021</v>
      </c>
      <c r="K150" s="23">
        <v>16755</v>
      </c>
      <c r="L150" s="23">
        <v>24</v>
      </c>
      <c r="M150" s="37">
        <v>6768.7587679999997</v>
      </c>
      <c r="N150" s="31"/>
      <c r="O150" s="32"/>
      <c r="P150" s="38" t="s">
        <v>870</v>
      </c>
      <c r="Q150" s="39" t="s">
        <v>872</v>
      </c>
      <c r="R150" s="40">
        <v>6768.7587679999997</v>
      </c>
      <c r="S150" s="29" t="b">
        <f t="shared" si="0"/>
        <v>1</v>
      </c>
      <c r="T150" s="35"/>
    </row>
    <row r="151" spans="1:20">
      <c r="A151" s="22" t="s">
        <v>2998</v>
      </c>
      <c r="B151" s="23" t="s">
        <v>123</v>
      </c>
      <c r="C151" s="23" t="s">
        <v>34</v>
      </c>
      <c r="D151" s="23" t="s">
        <v>2745</v>
      </c>
      <c r="E151" s="36" t="s">
        <v>2999</v>
      </c>
      <c r="F151" s="23" t="s">
        <v>50</v>
      </c>
      <c r="G151" s="23" t="s">
        <v>39</v>
      </c>
      <c r="H151" s="23">
        <v>7822</v>
      </c>
      <c r="I151" s="23">
        <v>25</v>
      </c>
      <c r="J151" s="23">
        <v>3786</v>
      </c>
      <c r="K151" s="23">
        <v>7232</v>
      </c>
      <c r="L151" s="23">
        <v>13</v>
      </c>
      <c r="M151" s="37">
        <v>6781.8216469999998</v>
      </c>
      <c r="N151" s="31"/>
      <c r="O151" s="32"/>
      <c r="P151" s="38" t="s">
        <v>1109</v>
      </c>
      <c r="Q151" s="39" t="s">
        <v>1111</v>
      </c>
      <c r="R151" s="40">
        <v>6781.8216469999998</v>
      </c>
      <c r="S151" s="29" t="b">
        <f t="shared" si="0"/>
        <v>1</v>
      </c>
      <c r="T151" s="35"/>
    </row>
    <row r="152" spans="1:20">
      <c r="A152" s="22" t="s">
        <v>3000</v>
      </c>
      <c r="B152" s="23" t="s">
        <v>44</v>
      </c>
      <c r="C152" s="23" t="s">
        <v>62</v>
      </c>
      <c r="D152" s="23" t="s">
        <v>2745</v>
      </c>
      <c r="E152" s="36" t="s">
        <v>3001</v>
      </c>
      <c r="F152" s="23" t="s">
        <v>50</v>
      </c>
      <c r="G152" s="23" t="s">
        <v>75</v>
      </c>
      <c r="H152" s="23">
        <v>24962</v>
      </c>
      <c r="I152" s="23">
        <v>75</v>
      </c>
      <c r="J152" s="23">
        <v>18450</v>
      </c>
      <c r="K152" s="23">
        <v>24128</v>
      </c>
      <c r="L152" s="23">
        <v>16</v>
      </c>
      <c r="M152" s="37">
        <v>6809.0560509999996</v>
      </c>
      <c r="N152" s="31"/>
      <c r="O152" s="32"/>
      <c r="P152" s="38" t="s">
        <v>1255</v>
      </c>
      <c r="Q152" s="39" t="s">
        <v>649</v>
      </c>
      <c r="R152" s="40">
        <v>6809.0560509999996</v>
      </c>
      <c r="S152" s="29" t="b">
        <f t="shared" si="0"/>
        <v>1</v>
      </c>
      <c r="T152" s="35"/>
    </row>
    <row r="153" spans="1:20">
      <c r="A153" s="22" t="s">
        <v>3002</v>
      </c>
      <c r="B153" s="23" t="s">
        <v>44</v>
      </c>
      <c r="C153" s="23" t="s">
        <v>62</v>
      </c>
      <c r="D153" s="23" t="s">
        <v>2745</v>
      </c>
      <c r="E153" s="36" t="s">
        <v>3003</v>
      </c>
      <c r="F153" s="23" t="s">
        <v>131</v>
      </c>
      <c r="G153" s="23" t="s">
        <v>64</v>
      </c>
      <c r="H153" s="23">
        <v>27592</v>
      </c>
      <c r="I153" s="23">
        <v>80</v>
      </c>
      <c r="J153" s="23">
        <v>10901</v>
      </c>
      <c r="K153" s="23">
        <v>24980</v>
      </c>
      <c r="L153" s="23">
        <v>17</v>
      </c>
      <c r="M153" s="37">
        <v>6809.3560219999999</v>
      </c>
      <c r="N153" s="31"/>
      <c r="O153" s="32"/>
      <c r="P153" s="38" t="s">
        <v>1874</v>
      </c>
      <c r="Q153" s="39" t="s">
        <v>1229</v>
      </c>
      <c r="R153" s="40">
        <v>6809.3560219999999</v>
      </c>
      <c r="S153" s="29" t="b">
        <f t="shared" si="0"/>
        <v>1</v>
      </c>
      <c r="T153" s="35"/>
    </row>
    <row r="154" spans="1:20">
      <c r="A154" s="22" t="s">
        <v>3004</v>
      </c>
      <c r="B154" s="23" t="s">
        <v>32</v>
      </c>
      <c r="C154" s="23" t="s">
        <v>62</v>
      </c>
      <c r="D154" s="23" t="s">
        <v>2745</v>
      </c>
      <c r="E154" s="36" t="s">
        <v>3005</v>
      </c>
      <c r="F154" s="23" t="s">
        <v>2749</v>
      </c>
      <c r="G154" s="23" t="s">
        <v>39</v>
      </c>
      <c r="H154" s="23">
        <v>9867</v>
      </c>
      <c r="I154" s="23">
        <v>30</v>
      </c>
      <c r="J154" s="23">
        <v>6867</v>
      </c>
      <c r="K154" s="23">
        <v>9347</v>
      </c>
      <c r="L154" s="23">
        <v>12</v>
      </c>
      <c r="M154" s="37">
        <v>6839.5690860000004</v>
      </c>
      <c r="N154" s="31"/>
      <c r="O154" s="32"/>
      <c r="P154" s="38" t="s">
        <v>1219</v>
      </c>
      <c r="Q154" s="39" t="s">
        <v>1222</v>
      </c>
      <c r="R154" s="40">
        <v>6839.5690860000004</v>
      </c>
      <c r="S154" s="29" t="b">
        <f t="shared" si="0"/>
        <v>1</v>
      </c>
      <c r="T154" s="35"/>
    </row>
    <row r="155" spans="1:20">
      <c r="A155" s="22" t="s">
        <v>3006</v>
      </c>
      <c r="B155" s="23" t="s">
        <v>32</v>
      </c>
      <c r="C155" s="23" t="s">
        <v>62</v>
      </c>
      <c r="D155" s="23" t="s">
        <v>2745</v>
      </c>
      <c r="E155" s="36" t="s">
        <v>3007</v>
      </c>
      <c r="F155" s="23" t="s">
        <v>50</v>
      </c>
      <c r="G155" s="23" t="s">
        <v>39</v>
      </c>
      <c r="H155" s="23">
        <v>108559</v>
      </c>
      <c r="I155" s="23">
        <v>212</v>
      </c>
      <c r="J155" s="23">
        <v>79254</v>
      </c>
      <c r="K155" s="23">
        <v>100563</v>
      </c>
      <c r="L155" s="23">
        <v>7</v>
      </c>
      <c r="M155" s="37">
        <v>6850.5764829999998</v>
      </c>
      <c r="N155" s="31"/>
      <c r="O155" s="32"/>
      <c r="P155" s="38" t="s">
        <v>2289</v>
      </c>
      <c r="Q155" s="39" t="s">
        <v>928</v>
      </c>
      <c r="R155" s="40">
        <v>6850.5764829999998</v>
      </c>
      <c r="S155" s="29" t="b">
        <f t="shared" si="0"/>
        <v>1</v>
      </c>
      <c r="T155" s="35"/>
    </row>
    <row r="156" spans="1:20">
      <c r="A156" s="22" t="s">
        <v>3008</v>
      </c>
      <c r="B156" s="23" t="s">
        <v>32</v>
      </c>
      <c r="C156" s="23" t="s">
        <v>62</v>
      </c>
      <c r="D156" s="23" t="s">
        <v>2745</v>
      </c>
      <c r="E156" s="36" t="s">
        <v>3009</v>
      </c>
      <c r="F156" s="23" t="s">
        <v>50</v>
      </c>
      <c r="G156" s="23" t="s">
        <v>39</v>
      </c>
      <c r="H156" s="23">
        <v>9463</v>
      </c>
      <c r="I156" s="23">
        <v>56</v>
      </c>
      <c r="J156" s="23">
        <v>1518</v>
      </c>
      <c r="K156" s="23">
        <v>8191</v>
      </c>
      <c r="L156" s="23">
        <v>4</v>
      </c>
      <c r="M156" s="37">
        <v>6879.6017069999998</v>
      </c>
      <c r="N156" s="31"/>
      <c r="O156" s="32"/>
      <c r="P156" s="38" t="s">
        <v>2312</v>
      </c>
      <c r="Q156" s="39" t="s">
        <v>390</v>
      </c>
      <c r="R156" s="40">
        <v>6879.6017069999998</v>
      </c>
      <c r="S156" s="29" t="b">
        <f t="shared" si="0"/>
        <v>1</v>
      </c>
      <c r="T156" s="35"/>
    </row>
    <row r="157" spans="1:20">
      <c r="A157" s="22" t="s">
        <v>3010</v>
      </c>
      <c r="B157" s="23" t="s">
        <v>123</v>
      </c>
      <c r="C157" s="23" t="s">
        <v>46</v>
      </c>
      <c r="D157" s="23" t="s">
        <v>2745</v>
      </c>
      <c r="E157" s="36" t="s">
        <v>3011</v>
      </c>
      <c r="F157" s="23" t="s">
        <v>50</v>
      </c>
      <c r="G157" s="23" t="s">
        <v>39</v>
      </c>
      <c r="H157" s="42">
        <v>446774</v>
      </c>
      <c r="I157" s="23">
        <v>951</v>
      </c>
      <c r="J157" s="42">
        <v>196581</v>
      </c>
      <c r="K157" s="42">
        <v>379758</v>
      </c>
      <c r="L157" s="23">
        <v>33</v>
      </c>
      <c r="M157" s="37">
        <v>6956.6273659999997</v>
      </c>
      <c r="N157" s="31"/>
      <c r="O157" s="32"/>
      <c r="P157" s="38" t="s">
        <v>1578</v>
      </c>
      <c r="Q157" s="39" t="s">
        <v>397</v>
      </c>
      <c r="R157" s="40">
        <v>6956.6273659999997</v>
      </c>
      <c r="S157" s="29" t="b">
        <f t="shared" si="0"/>
        <v>1</v>
      </c>
      <c r="T157" s="35"/>
    </row>
    <row r="158" spans="1:20">
      <c r="A158" s="22" t="s">
        <v>3012</v>
      </c>
      <c r="B158" s="23" t="s">
        <v>44</v>
      </c>
      <c r="C158" s="23" t="s">
        <v>80</v>
      </c>
      <c r="D158" s="23" t="s">
        <v>2745</v>
      </c>
      <c r="E158" s="36" t="s">
        <v>3013</v>
      </c>
      <c r="F158" s="23" t="s">
        <v>103</v>
      </c>
      <c r="G158" s="23" t="s">
        <v>39</v>
      </c>
      <c r="H158" s="23">
        <v>8362</v>
      </c>
      <c r="I158" s="23">
        <v>31</v>
      </c>
      <c r="J158" s="23">
        <v>5959</v>
      </c>
      <c r="K158" s="23">
        <v>7947</v>
      </c>
      <c r="L158" s="23">
        <v>7</v>
      </c>
      <c r="M158" s="37">
        <v>6997.4689630000003</v>
      </c>
      <c r="N158" s="31"/>
      <c r="O158" s="32"/>
      <c r="P158" s="38" t="s">
        <v>1013</v>
      </c>
      <c r="Q158" s="39" t="s">
        <v>1015</v>
      </c>
      <c r="R158" s="40">
        <v>6997.4689630000003</v>
      </c>
      <c r="S158" s="29" t="b">
        <f t="shared" si="0"/>
        <v>1</v>
      </c>
      <c r="T158" s="35"/>
    </row>
    <row r="159" spans="1:20">
      <c r="A159" s="22" t="s">
        <v>3014</v>
      </c>
      <c r="B159" s="23" t="s">
        <v>44</v>
      </c>
      <c r="C159" s="23" t="s">
        <v>62</v>
      </c>
      <c r="D159" s="23" t="s">
        <v>2745</v>
      </c>
      <c r="E159" s="36" t="s">
        <v>3015</v>
      </c>
      <c r="F159" s="23" t="s">
        <v>131</v>
      </c>
      <c r="G159" s="23" t="s">
        <v>75</v>
      </c>
      <c r="H159" s="23">
        <v>81905</v>
      </c>
      <c r="I159" s="23">
        <v>220</v>
      </c>
      <c r="J159" s="23">
        <v>61995</v>
      </c>
      <c r="K159" s="23">
        <v>71110</v>
      </c>
      <c r="L159" s="23">
        <v>24</v>
      </c>
      <c r="M159" s="37">
        <v>7065.6692800000001</v>
      </c>
      <c r="N159" s="31"/>
      <c r="O159" s="32"/>
      <c r="P159" s="38" t="s">
        <v>1760</v>
      </c>
      <c r="Q159" s="39" t="s">
        <v>1762</v>
      </c>
      <c r="R159" s="40">
        <v>7065.6692800000001</v>
      </c>
      <c r="S159" s="29" t="b">
        <f t="shared" si="0"/>
        <v>1</v>
      </c>
      <c r="T159" s="35"/>
    </row>
    <row r="160" spans="1:20">
      <c r="A160" s="22" t="s">
        <v>3016</v>
      </c>
      <c r="B160" s="23" t="s">
        <v>32</v>
      </c>
      <c r="C160" s="23" t="s">
        <v>80</v>
      </c>
      <c r="D160" s="23" t="s">
        <v>2745</v>
      </c>
      <c r="E160" s="36" t="s">
        <v>3017</v>
      </c>
      <c r="F160" s="23" t="s">
        <v>2749</v>
      </c>
      <c r="G160" s="23" t="s">
        <v>39</v>
      </c>
      <c r="H160" s="23">
        <v>446774</v>
      </c>
      <c r="I160" s="23">
        <v>1245</v>
      </c>
      <c r="J160" s="23">
        <v>163786</v>
      </c>
      <c r="K160" s="23">
        <v>374116</v>
      </c>
      <c r="L160" s="23">
        <v>12</v>
      </c>
      <c r="M160" s="37">
        <v>7248.2316119999996</v>
      </c>
      <c r="N160" s="31"/>
      <c r="O160" s="32"/>
      <c r="P160" s="38" t="s">
        <v>1611</v>
      </c>
      <c r="Q160" s="39" t="s">
        <v>1613</v>
      </c>
      <c r="R160" s="40">
        <v>7248.2316119999996</v>
      </c>
      <c r="S160" s="29" t="b">
        <f t="shared" si="0"/>
        <v>1</v>
      </c>
      <c r="T160" s="35"/>
    </row>
    <row r="161" spans="1:20">
      <c r="A161" s="22" t="s">
        <v>3018</v>
      </c>
      <c r="B161" s="23" t="s">
        <v>44</v>
      </c>
      <c r="C161" s="23" t="s">
        <v>34</v>
      </c>
      <c r="D161" s="23" t="s">
        <v>2745</v>
      </c>
      <c r="E161" s="36" t="s">
        <v>3019</v>
      </c>
      <c r="F161" s="23" t="s">
        <v>50</v>
      </c>
      <c r="G161" s="23" t="s">
        <v>75</v>
      </c>
      <c r="H161" s="23">
        <v>27394</v>
      </c>
      <c r="I161" s="23">
        <v>74</v>
      </c>
      <c r="J161" s="23">
        <v>16144</v>
      </c>
      <c r="K161" s="23">
        <v>24752</v>
      </c>
      <c r="L161" s="23">
        <v>78</v>
      </c>
      <c r="M161" s="37">
        <v>7264.5876099999996</v>
      </c>
      <c r="N161" s="31"/>
      <c r="O161" s="32"/>
      <c r="P161" s="38" t="s">
        <v>1321</v>
      </c>
      <c r="Q161" s="39" t="s">
        <v>1323</v>
      </c>
      <c r="R161" s="40">
        <v>7264.5876099999996</v>
      </c>
      <c r="S161" s="29" t="b">
        <f t="shared" si="0"/>
        <v>1</v>
      </c>
      <c r="T161" s="35"/>
    </row>
    <row r="162" spans="1:20">
      <c r="A162" s="22" t="s">
        <v>3020</v>
      </c>
      <c r="B162" s="23" t="s">
        <v>123</v>
      </c>
      <c r="C162" s="23" t="s">
        <v>62</v>
      </c>
      <c r="D162" s="23" t="s">
        <v>2745</v>
      </c>
      <c r="E162" s="36" t="s">
        <v>3021</v>
      </c>
      <c r="F162" s="23" t="s">
        <v>50</v>
      </c>
      <c r="G162" s="23" t="s">
        <v>39</v>
      </c>
      <c r="H162" s="23">
        <v>19461</v>
      </c>
      <c r="I162" s="23">
        <v>74</v>
      </c>
      <c r="J162" s="23">
        <v>14647</v>
      </c>
      <c r="K162" s="23">
        <v>18731</v>
      </c>
      <c r="L162" s="23">
        <v>9</v>
      </c>
      <c r="M162" s="37">
        <v>7311.9987499999997</v>
      </c>
      <c r="N162" s="31"/>
      <c r="O162" s="32"/>
      <c r="P162" s="38" t="s">
        <v>1301</v>
      </c>
      <c r="Q162" s="39" t="s">
        <v>1303</v>
      </c>
      <c r="R162" s="40">
        <v>7311.9987499999997</v>
      </c>
      <c r="S162" s="29" t="b">
        <f t="shared" si="0"/>
        <v>1</v>
      </c>
      <c r="T162" s="35"/>
    </row>
    <row r="163" spans="1:20">
      <c r="A163" s="22" t="s">
        <v>3022</v>
      </c>
      <c r="B163" s="23" t="s">
        <v>123</v>
      </c>
      <c r="C163" s="23" t="s">
        <v>34</v>
      </c>
      <c r="D163" s="23" t="s">
        <v>2745</v>
      </c>
      <c r="E163" s="36" t="s">
        <v>3023</v>
      </c>
      <c r="F163" s="23" t="s">
        <v>131</v>
      </c>
      <c r="G163" s="23" t="s">
        <v>39</v>
      </c>
      <c r="H163" s="23">
        <v>1083050</v>
      </c>
      <c r="I163" s="23">
        <v>3984</v>
      </c>
      <c r="J163" s="23">
        <v>590156</v>
      </c>
      <c r="K163" s="23">
        <v>953556</v>
      </c>
      <c r="L163" s="23">
        <v>19</v>
      </c>
      <c r="M163" s="37">
        <v>7495.749847</v>
      </c>
      <c r="N163" s="31"/>
      <c r="O163" s="32"/>
      <c r="P163" s="38" t="s">
        <v>834</v>
      </c>
      <c r="Q163" s="39" t="s">
        <v>836</v>
      </c>
      <c r="R163" s="40">
        <v>7495.749847</v>
      </c>
      <c r="S163" s="29" t="b">
        <f t="shared" si="0"/>
        <v>1</v>
      </c>
      <c r="T163" s="35"/>
    </row>
    <row r="164" spans="1:20">
      <c r="A164" s="22" t="s">
        <v>3024</v>
      </c>
      <c r="B164" s="23" t="s">
        <v>44</v>
      </c>
      <c r="C164" s="23" t="s">
        <v>80</v>
      </c>
      <c r="D164" s="23" t="s">
        <v>2745</v>
      </c>
      <c r="E164" s="36" t="s">
        <v>3025</v>
      </c>
      <c r="F164" s="23" t="s">
        <v>593</v>
      </c>
      <c r="G164" s="23" t="s">
        <v>39</v>
      </c>
      <c r="H164" s="23">
        <v>1767940</v>
      </c>
      <c r="I164" s="23">
        <v>4852</v>
      </c>
      <c r="J164" s="23">
        <v>881525</v>
      </c>
      <c r="K164" s="23">
        <v>1550866</v>
      </c>
      <c r="L164" s="23">
        <v>78</v>
      </c>
      <c r="M164" s="37">
        <v>7511.656191</v>
      </c>
      <c r="N164" s="31"/>
      <c r="O164" s="32"/>
      <c r="P164" s="38" t="s">
        <v>1186</v>
      </c>
      <c r="Q164" s="39" t="s">
        <v>1187</v>
      </c>
      <c r="R164" s="40">
        <v>7511.656191</v>
      </c>
      <c r="S164" s="29" t="b">
        <f t="shared" si="0"/>
        <v>1</v>
      </c>
      <c r="T164" s="35"/>
    </row>
    <row r="165" spans="1:20">
      <c r="A165" s="22" t="s">
        <v>3026</v>
      </c>
      <c r="B165" s="23" t="s">
        <v>44</v>
      </c>
      <c r="C165" s="23" t="s">
        <v>34</v>
      </c>
      <c r="D165" s="23" t="s">
        <v>2745</v>
      </c>
      <c r="E165" s="36" t="s">
        <v>3027</v>
      </c>
      <c r="F165" s="23" t="s">
        <v>157</v>
      </c>
      <c r="G165" s="23" t="s">
        <v>39</v>
      </c>
      <c r="H165" s="23">
        <v>247106</v>
      </c>
      <c r="I165" s="23">
        <v>750</v>
      </c>
      <c r="J165" s="23">
        <v>159618</v>
      </c>
      <c r="K165" s="23">
        <v>233150</v>
      </c>
      <c r="L165" s="23">
        <v>32</v>
      </c>
      <c r="M165" s="37">
        <v>7629.94427</v>
      </c>
      <c r="N165" s="31"/>
      <c r="O165" s="32"/>
      <c r="P165" s="38" t="s">
        <v>1523</v>
      </c>
      <c r="Q165" s="39" t="s">
        <v>1078</v>
      </c>
      <c r="R165" s="40">
        <v>7629.94427</v>
      </c>
      <c r="S165" s="29" t="b">
        <f t="shared" si="0"/>
        <v>1</v>
      </c>
      <c r="T165" s="35"/>
    </row>
    <row r="166" spans="1:20">
      <c r="A166" s="22" t="s">
        <v>3028</v>
      </c>
      <c r="B166" s="23" t="s">
        <v>32</v>
      </c>
      <c r="C166" s="23" t="s">
        <v>34</v>
      </c>
      <c r="D166" s="23" t="s">
        <v>2745</v>
      </c>
      <c r="E166" s="36" t="s">
        <v>3029</v>
      </c>
      <c r="F166" s="23" t="s">
        <v>131</v>
      </c>
      <c r="G166" s="23" t="s">
        <v>39</v>
      </c>
      <c r="H166" s="23">
        <v>122086</v>
      </c>
      <c r="I166" s="23">
        <v>299</v>
      </c>
      <c r="J166" s="23">
        <v>82898</v>
      </c>
      <c r="K166" s="23">
        <v>116235</v>
      </c>
      <c r="L166" s="23">
        <v>16</v>
      </c>
      <c r="M166" s="37">
        <v>7663.6952940000001</v>
      </c>
      <c r="N166" s="31"/>
      <c r="O166" s="32"/>
      <c r="P166" s="38" t="s">
        <v>1299</v>
      </c>
      <c r="Q166" s="39" t="s">
        <v>1300</v>
      </c>
      <c r="R166" s="40">
        <v>7663.6952940000001</v>
      </c>
      <c r="S166" s="29" t="b">
        <f t="shared" si="0"/>
        <v>1</v>
      </c>
      <c r="T166" s="35"/>
    </row>
    <row r="167" spans="1:20">
      <c r="A167" s="22" t="s">
        <v>3030</v>
      </c>
      <c r="B167" s="23" t="s">
        <v>44</v>
      </c>
      <c r="C167" s="23" t="s">
        <v>80</v>
      </c>
      <c r="D167" s="23" t="s">
        <v>2745</v>
      </c>
      <c r="E167" s="36" t="s">
        <v>3031</v>
      </c>
      <c r="F167" s="23" t="s">
        <v>186</v>
      </c>
      <c r="G167" s="23" t="s">
        <v>39</v>
      </c>
      <c r="H167" s="23">
        <v>12710</v>
      </c>
      <c r="I167" s="23">
        <v>10</v>
      </c>
      <c r="J167" s="23">
        <v>8159</v>
      </c>
      <c r="K167" s="23">
        <v>11984</v>
      </c>
      <c r="L167" s="23">
        <v>11</v>
      </c>
      <c r="M167" s="37">
        <v>7851.3974779999999</v>
      </c>
      <c r="N167" s="31"/>
      <c r="O167" s="32"/>
      <c r="P167" s="38" t="s">
        <v>2158</v>
      </c>
      <c r="Q167" s="39" t="s">
        <v>999</v>
      </c>
      <c r="R167" s="40">
        <v>7851.3974779999999</v>
      </c>
      <c r="S167" s="29" t="b">
        <f t="shared" si="0"/>
        <v>1</v>
      </c>
      <c r="T167" s="35"/>
    </row>
    <row r="168" spans="1:20">
      <c r="A168" s="22" t="s">
        <v>3032</v>
      </c>
      <c r="B168" s="23" t="s">
        <v>44</v>
      </c>
      <c r="C168" s="23" t="s">
        <v>80</v>
      </c>
      <c r="D168" s="23" t="s">
        <v>2745</v>
      </c>
      <c r="E168" s="36" t="s">
        <v>3033</v>
      </c>
      <c r="F168" s="23" t="s">
        <v>50</v>
      </c>
      <c r="G168" s="23" t="s">
        <v>39</v>
      </c>
      <c r="H168" s="23">
        <v>1100942</v>
      </c>
      <c r="I168" s="23">
        <v>2984</v>
      </c>
      <c r="J168" s="23">
        <v>629973</v>
      </c>
      <c r="K168" s="23">
        <v>1041225</v>
      </c>
      <c r="L168" s="23">
        <v>147</v>
      </c>
      <c r="M168" s="37">
        <v>7979.3485890000002</v>
      </c>
      <c r="N168" s="31"/>
      <c r="O168" s="32"/>
      <c r="P168" s="38" t="s">
        <v>1162</v>
      </c>
      <c r="Q168" s="39" t="s">
        <v>1164</v>
      </c>
      <c r="R168" s="40">
        <v>7979.3485890000002</v>
      </c>
      <c r="S168" s="29" t="b">
        <f t="shared" si="0"/>
        <v>1</v>
      </c>
      <c r="T168" s="35"/>
    </row>
    <row r="169" spans="1:20">
      <c r="A169" s="22" t="s">
        <v>3034</v>
      </c>
      <c r="B169" s="23" t="s">
        <v>32</v>
      </c>
      <c r="C169" s="23" t="s">
        <v>62</v>
      </c>
      <c r="D169" s="23" t="s">
        <v>2745</v>
      </c>
      <c r="E169" s="36" t="s">
        <v>3035</v>
      </c>
      <c r="F169" s="23" t="s">
        <v>74</v>
      </c>
      <c r="G169" s="23" t="s">
        <v>39</v>
      </c>
      <c r="H169" s="23">
        <v>4154911</v>
      </c>
      <c r="I169" s="23">
        <v>1254</v>
      </c>
      <c r="J169" s="23">
        <v>2338732</v>
      </c>
      <c r="K169" s="23">
        <v>3445626</v>
      </c>
      <c r="L169" s="23">
        <v>154</v>
      </c>
      <c r="M169" s="37">
        <v>8038.5703709999998</v>
      </c>
      <c r="N169" s="31"/>
      <c r="O169" s="32"/>
      <c r="P169" s="38" t="s">
        <v>1130</v>
      </c>
      <c r="Q169" s="39" t="s">
        <v>1132</v>
      </c>
      <c r="R169" s="40">
        <v>8038.5703709999998</v>
      </c>
      <c r="S169" s="29" t="b">
        <f t="shared" si="0"/>
        <v>1</v>
      </c>
      <c r="T169" s="35"/>
    </row>
    <row r="170" spans="1:20">
      <c r="A170" s="22" t="s">
        <v>3036</v>
      </c>
      <c r="B170" s="23" t="s">
        <v>44</v>
      </c>
      <c r="C170" s="23" t="s">
        <v>62</v>
      </c>
      <c r="D170" s="23" t="s">
        <v>2745</v>
      </c>
      <c r="E170" s="36" t="s">
        <v>3037</v>
      </c>
      <c r="F170" s="23" t="s">
        <v>103</v>
      </c>
      <c r="G170" s="23" t="s">
        <v>39</v>
      </c>
      <c r="H170" s="23">
        <v>728841</v>
      </c>
      <c r="I170" s="23">
        <v>2174</v>
      </c>
      <c r="J170" s="23">
        <v>424340</v>
      </c>
      <c r="K170" s="23">
        <v>634059</v>
      </c>
      <c r="L170" s="23">
        <v>37</v>
      </c>
      <c r="M170" s="37">
        <v>8054.1413679999996</v>
      </c>
      <c r="N170" s="31"/>
      <c r="O170" s="32"/>
      <c r="P170" s="38" t="s">
        <v>1593</v>
      </c>
      <c r="Q170" s="39" t="s">
        <v>1594</v>
      </c>
      <c r="R170" s="40">
        <v>8054.1413679999996</v>
      </c>
      <c r="S170" s="29" t="b">
        <f t="shared" si="0"/>
        <v>1</v>
      </c>
      <c r="T170" s="35"/>
    </row>
    <row r="171" spans="1:20">
      <c r="A171" s="22" t="s">
        <v>3038</v>
      </c>
      <c r="B171" s="23" t="s">
        <v>32</v>
      </c>
      <c r="C171" s="23" t="s">
        <v>46</v>
      </c>
      <c r="D171" s="23" t="s">
        <v>2745</v>
      </c>
      <c r="E171" s="36" t="s">
        <v>3039</v>
      </c>
      <c r="F171" s="23" t="s">
        <v>74</v>
      </c>
      <c r="G171" s="23" t="s">
        <v>39</v>
      </c>
      <c r="H171" s="23">
        <v>888037</v>
      </c>
      <c r="I171" s="23">
        <v>2841</v>
      </c>
      <c r="J171" s="23">
        <v>370429</v>
      </c>
      <c r="K171" s="23">
        <v>820340</v>
      </c>
      <c r="L171" s="23">
        <v>42</v>
      </c>
      <c r="M171" s="37">
        <v>8134.3505240000004</v>
      </c>
      <c r="N171" s="31"/>
      <c r="O171" s="32"/>
      <c r="P171" s="38" t="s">
        <v>1481</v>
      </c>
      <c r="Q171" s="39" t="s">
        <v>221</v>
      </c>
      <c r="R171" s="40">
        <v>8134.3505240000004</v>
      </c>
      <c r="S171" s="29" t="b">
        <f t="shared" si="0"/>
        <v>1</v>
      </c>
      <c r="T171" s="35"/>
    </row>
    <row r="172" spans="1:20">
      <c r="A172" s="22" t="s">
        <v>3040</v>
      </c>
      <c r="B172" s="23" t="s">
        <v>32</v>
      </c>
      <c r="C172" s="23" t="s">
        <v>62</v>
      </c>
      <c r="D172" s="23" t="s">
        <v>2745</v>
      </c>
      <c r="E172" s="36" t="s">
        <v>3041</v>
      </c>
      <c r="F172" s="23" t="s">
        <v>2749</v>
      </c>
      <c r="G172" s="23" t="s">
        <v>39</v>
      </c>
      <c r="H172" s="23">
        <v>1323451</v>
      </c>
      <c r="I172" s="23">
        <v>3414</v>
      </c>
      <c r="J172" s="23">
        <v>737990</v>
      </c>
      <c r="K172" s="23">
        <v>1177859</v>
      </c>
      <c r="L172" s="23">
        <v>123</v>
      </c>
      <c r="M172" s="37">
        <v>8187.1145409999999</v>
      </c>
      <c r="N172" s="31"/>
      <c r="O172" s="32"/>
      <c r="P172" s="38" t="s">
        <v>2288</v>
      </c>
      <c r="Q172" s="39" t="s">
        <v>1638</v>
      </c>
      <c r="R172" s="40">
        <v>8187.1145409999999</v>
      </c>
      <c r="S172" s="29" t="b">
        <f t="shared" si="0"/>
        <v>1</v>
      </c>
      <c r="T172" s="35"/>
    </row>
    <row r="173" spans="1:20">
      <c r="A173" s="22" t="s">
        <v>3042</v>
      </c>
      <c r="B173" s="23" t="s">
        <v>32</v>
      </c>
      <c r="C173" s="23" t="s">
        <v>34</v>
      </c>
      <c r="D173" s="23" t="s">
        <v>3043</v>
      </c>
      <c r="E173" s="36" t="s">
        <v>3044</v>
      </c>
      <c r="F173" s="23" t="s">
        <v>50</v>
      </c>
      <c r="G173" s="23" t="s">
        <v>39</v>
      </c>
      <c r="H173" s="23">
        <v>36543</v>
      </c>
      <c r="I173" s="23">
        <v>147</v>
      </c>
      <c r="J173" s="23">
        <v>18046</v>
      </c>
      <c r="K173" s="23">
        <v>27358</v>
      </c>
      <c r="L173" s="23">
        <v>6</v>
      </c>
      <c r="M173" s="37">
        <v>1513.0887279999999</v>
      </c>
      <c r="N173" s="31"/>
      <c r="O173" s="32"/>
      <c r="P173" s="38" t="s">
        <v>1156</v>
      </c>
      <c r="Q173" s="39" t="s">
        <v>1158</v>
      </c>
      <c r="R173" s="40">
        <v>1513.0887279999999</v>
      </c>
      <c r="S173" s="29" t="b">
        <f t="shared" si="0"/>
        <v>1</v>
      </c>
      <c r="T173" s="35"/>
    </row>
    <row r="174" spans="1:20">
      <c r="A174" s="22" t="s">
        <v>3045</v>
      </c>
      <c r="B174" s="23" t="s">
        <v>32</v>
      </c>
      <c r="C174" s="23" t="s">
        <v>80</v>
      </c>
      <c r="D174" s="23" t="s">
        <v>3046</v>
      </c>
      <c r="E174" s="36" t="s">
        <v>3047</v>
      </c>
      <c r="F174" s="23" t="s">
        <v>74</v>
      </c>
      <c r="G174" s="23" t="s">
        <v>39</v>
      </c>
      <c r="H174" s="23">
        <v>19344</v>
      </c>
      <c r="I174" s="23">
        <v>68</v>
      </c>
      <c r="J174" s="23">
        <v>2353</v>
      </c>
      <c r="K174" s="23">
        <v>18261</v>
      </c>
      <c r="L174" s="23">
        <v>10</v>
      </c>
      <c r="M174" s="37">
        <v>1500.722291</v>
      </c>
      <c r="N174" s="31"/>
      <c r="O174" s="32"/>
      <c r="P174" s="38" t="s">
        <v>2291</v>
      </c>
      <c r="Q174" s="39" t="s">
        <v>1374</v>
      </c>
      <c r="R174" s="40">
        <v>1500.722291</v>
      </c>
      <c r="S174" s="29" t="b">
        <f t="shared" si="0"/>
        <v>1</v>
      </c>
      <c r="T174" s="35"/>
    </row>
    <row r="175" spans="1:20">
      <c r="A175" s="22" t="s">
        <v>3048</v>
      </c>
      <c r="B175" s="23" t="s">
        <v>123</v>
      </c>
      <c r="C175" s="23" t="s">
        <v>46</v>
      </c>
      <c r="D175" s="23" t="s">
        <v>3046</v>
      </c>
      <c r="E175" s="36" t="s">
        <v>3049</v>
      </c>
      <c r="F175" s="23" t="s">
        <v>819</v>
      </c>
      <c r="G175" s="23" t="s">
        <v>39</v>
      </c>
      <c r="H175" s="23">
        <v>130602</v>
      </c>
      <c r="I175" s="23">
        <v>269</v>
      </c>
      <c r="J175" s="23">
        <v>11736</v>
      </c>
      <c r="K175" s="23">
        <v>113735</v>
      </c>
      <c r="L175" s="23">
        <v>4</v>
      </c>
      <c r="M175" s="37">
        <v>1507.8471199999999</v>
      </c>
      <c r="N175" s="31"/>
      <c r="O175" s="32"/>
      <c r="P175" s="38" t="s">
        <v>1923</v>
      </c>
      <c r="Q175" s="39" t="s">
        <v>155</v>
      </c>
      <c r="R175" s="40">
        <v>1507.8471199999999</v>
      </c>
      <c r="S175" s="29" t="b">
        <f t="shared" si="0"/>
        <v>1</v>
      </c>
      <c r="T175" s="35"/>
    </row>
    <row r="176" spans="1:20">
      <c r="A176" s="22" t="s">
        <v>3050</v>
      </c>
      <c r="B176" s="23" t="s">
        <v>44</v>
      </c>
      <c r="C176" s="23" t="s">
        <v>62</v>
      </c>
      <c r="D176" s="23" t="s">
        <v>3046</v>
      </c>
      <c r="E176" s="36" t="s">
        <v>3051</v>
      </c>
      <c r="F176" s="23" t="s">
        <v>50</v>
      </c>
      <c r="G176" s="23" t="s">
        <v>64</v>
      </c>
      <c r="H176" s="23">
        <v>16236</v>
      </c>
      <c r="I176" s="23">
        <v>50</v>
      </c>
      <c r="J176" s="23">
        <v>8669</v>
      </c>
      <c r="K176" s="23">
        <v>15208</v>
      </c>
      <c r="L176" s="23">
        <v>11</v>
      </c>
      <c r="M176" s="37">
        <v>1639.8136959999999</v>
      </c>
      <c r="N176" s="31"/>
      <c r="O176" s="32"/>
      <c r="P176" s="38" t="s">
        <v>1616</v>
      </c>
      <c r="Q176" s="39" t="s">
        <v>1617</v>
      </c>
      <c r="R176" s="40">
        <v>1639.8136959999999</v>
      </c>
      <c r="S176" s="29" t="b">
        <f t="shared" si="0"/>
        <v>1</v>
      </c>
      <c r="T176" s="35"/>
    </row>
    <row r="177" spans="1:20">
      <c r="A177" s="22" t="s">
        <v>3052</v>
      </c>
      <c r="B177" s="23" t="s">
        <v>32</v>
      </c>
      <c r="C177" s="23" t="s">
        <v>80</v>
      </c>
      <c r="D177" s="23" t="s">
        <v>3046</v>
      </c>
      <c r="E177" s="36" t="s">
        <v>3053</v>
      </c>
      <c r="F177" s="23" t="s">
        <v>50</v>
      </c>
      <c r="G177" s="23" t="s">
        <v>39</v>
      </c>
      <c r="H177" s="23">
        <v>77313</v>
      </c>
      <c r="I177" s="23">
        <v>191</v>
      </c>
      <c r="J177" s="23">
        <v>40366</v>
      </c>
      <c r="K177" s="23">
        <v>71128</v>
      </c>
      <c r="L177" s="23">
        <v>3</v>
      </c>
      <c r="M177" s="37">
        <v>1790.3901980000001</v>
      </c>
      <c r="N177" s="31"/>
      <c r="O177" s="32"/>
      <c r="P177" s="38" t="s">
        <v>1053</v>
      </c>
      <c r="Q177" s="39" t="s">
        <v>1055</v>
      </c>
      <c r="R177" s="40">
        <v>1790.3901980000001</v>
      </c>
      <c r="S177" s="29" t="b">
        <f t="shared" si="0"/>
        <v>1</v>
      </c>
      <c r="T177" s="35"/>
    </row>
    <row r="178" spans="1:20">
      <c r="A178" s="22" t="s">
        <v>3054</v>
      </c>
      <c r="B178" s="23" t="s">
        <v>44</v>
      </c>
      <c r="C178" s="23" t="s">
        <v>62</v>
      </c>
      <c r="D178" s="23" t="s">
        <v>3046</v>
      </c>
      <c r="E178" s="36" t="s">
        <v>3055</v>
      </c>
      <c r="F178" s="23" t="s">
        <v>74</v>
      </c>
      <c r="G178" s="23" t="s">
        <v>75</v>
      </c>
      <c r="H178" s="23">
        <v>70506</v>
      </c>
      <c r="I178" s="23">
        <v>270</v>
      </c>
      <c r="J178" s="23">
        <v>26779</v>
      </c>
      <c r="K178" s="23">
        <v>48902</v>
      </c>
      <c r="L178" s="23">
        <v>3</v>
      </c>
      <c r="M178" s="37">
        <v>1912.9668819999999</v>
      </c>
      <c r="N178" s="31"/>
      <c r="O178" s="32"/>
      <c r="P178" s="38" t="s">
        <v>669</v>
      </c>
      <c r="Q178" s="39" t="s">
        <v>671</v>
      </c>
      <c r="R178" s="40">
        <v>1912.9668819999999</v>
      </c>
      <c r="S178" s="29" t="b">
        <f t="shared" si="0"/>
        <v>1</v>
      </c>
      <c r="T178" s="35"/>
    </row>
    <row r="179" spans="1:20">
      <c r="A179" s="22" t="s">
        <v>3056</v>
      </c>
      <c r="B179" s="23" t="s">
        <v>123</v>
      </c>
      <c r="C179" s="23" t="s">
        <v>62</v>
      </c>
      <c r="D179" s="23" t="s">
        <v>3046</v>
      </c>
      <c r="E179" s="36" t="s">
        <v>3057</v>
      </c>
      <c r="F179" s="23" t="s">
        <v>74</v>
      </c>
      <c r="G179" s="23" t="s">
        <v>39</v>
      </c>
      <c r="H179" s="23">
        <v>23410</v>
      </c>
      <c r="I179" s="23">
        <v>66</v>
      </c>
      <c r="J179" s="23">
        <v>13626</v>
      </c>
      <c r="K179" s="23">
        <v>22109</v>
      </c>
      <c r="L179" s="23">
        <v>6</v>
      </c>
      <c r="M179" s="37">
        <v>1930.180523</v>
      </c>
      <c r="N179" s="31"/>
      <c r="O179" s="32"/>
      <c r="P179" s="38" t="s">
        <v>2239</v>
      </c>
      <c r="Q179" s="39" t="s">
        <v>1444</v>
      </c>
      <c r="R179" s="40">
        <v>1930.180523</v>
      </c>
      <c r="S179" s="29" t="b">
        <f t="shared" si="0"/>
        <v>1</v>
      </c>
      <c r="T179" s="35"/>
    </row>
    <row r="180" spans="1:20">
      <c r="A180" s="22" t="s">
        <v>3058</v>
      </c>
      <c r="B180" s="23" t="s">
        <v>32</v>
      </c>
      <c r="C180" s="23" t="s">
        <v>80</v>
      </c>
      <c r="D180" s="23" t="s">
        <v>3046</v>
      </c>
      <c r="E180" s="36" t="s">
        <v>3059</v>
      </c>
      <c r="F180" s="23" t="s">
        <v>50</v>
      </c>
      <c r="G180" s="23" t="s">
        <v>39</v>
      </c>
      <c r="H180" s="23">
        <v>268811</v>
      </c>
      <c r="I180" s="23">
        <v>799</v>
      </c>
      <c r="J180" s="23">
        <v>95989</v>
      </c>
      <c r="K180" s="23">
        <v>173923</v>
      </c>
      <c r="L180" s="23">
        <v>4</v>
      </c>
      <c r="M180" s="37">
        <v>2549.1151580000001</v>
      </c>
      <c r="N180" s="31"/>
      <c r="O180" s="32"/>
      <c r="P180" s="38" t="s">
        <v>2102</v>
      </c>
      <c r="Q180" s="39" t="s">
        <v>1197</v>
      </c>
      <c r="R180" s="40">
        <v>2549.1151580000001</v>
      </c>
      <c r="S180" s="29" t="b">
        <f t="shared" si="0"/>
        <v>1</v>
      </c>
      <c r="T180" s="35"/>
    </row>
    <row r="181" spans="1:20">
      <c r="A181" s="22" t="s">
        <v>3060</v>
      </c>
      <c r="B181" s="23" t="s">
        <v>44</v>
      </c>
      <c r="C181" s="23" t="s">
        <v>46</v>
      </c>
      <c r="D181" s="23" t="s">
        <v>3046</v>
      </c>
      <c r="E181" s="36" t="s">
        <v>3061</v>
      </c>
      <c r="F181" s="23" t="s">
        <v>50</v>
      </c>
      <c r="G181" s="23" t="s">
        <v>39</v>
      </c>
      <c r="H181" s="23">
        <v>14730</v>
      </c>
      <c r="I181" s="23">
        <v>86</v>
      </c>
      <c r="J181" s="23">
        <v>6410</v>
      </c>
      <c r="K181" s="23">
        <v>10860</v>
      </c>
      <c r="L181" s="23">
        <v>6</v>
      </c>
      <c r="M181" s="37">
        <v>5287.5675279999996</v>
      </c>
      <c r="N181" s="31"/>
      <c r="O181" s="32"/>
      <c r="P181" s="38" t="s">
        <v>40</v>
      </c>
      <c r="Q181" s="39" t="s">
        <v>45</v>
      </c>
      <c r="R181" s="40">
        <v>5287.5675279999996</v>
      </c>
      <c r="S181" s="29" t="b">
        <f t="shared" si="0"/>
        <v>1</v>
      </c>
      <c r="T181" s="35"/>
    </row>
    <row r="182" spans="1:20">
      <c r="A182" s="22" t="s">
        <v>3062</v>
      </c>
      <c r="B182" s="23" t="s">
        <v>32</v>
      </c>
      <c r="C182" s="23" t="s">
        <v>80</v>
      </c>
      <c r="D182" s="23" t="s">
        <v>3046</v>
      </c>
      <c r="E182" s="36" t="s">
        <v>3063</v>
      </c>
      <c r="F182" s="23" t="s">
        <v>74</v>
      </c>
      <c r="G182" s="23" t="s">
        <v>39</v>
      </c>
      <c r="H182" s="23">
        <v>24100</v>
      </c>
      <c r="I182" s="23">
        <v>110</v>
      </c>
      <c r="J182" s="23">
        <v>11355</v>
      </c>
      <c r="K182" s="23">
        <v>21740</v>
      </c>
      <c r="L182" s="23">
        <v>5</v>
      </c>
      <c r="M182" s="37">
        <v>5912.2609750000001</v>
      </c>
      <c r="N182" s="31"/>
      <c r="O182" s="32"/>
      <c r="P182" s="38" t="s">
        <v>1397</v>
      </c>
      <c r="Q182" s="39" t="s">
        <v>147</v>
      </c>
      <c r="R182" s="40">
        <v>5912.2609750000001</v>
      </c>
      <c r="S182" s="29" t="b">
        <f t="shared" si="0"/>
        <v>1</v>
      </c>
      <c r="T182" s="35"/>
    </row>
    <row r="183" spans="1:20">
      <c r="A183" s="22" t="s">
        <v>3064</v>
      </c>
      <c r="B183" s="23" t="s">
        <v>32</v>
      </c>
      <c r="C183" s="23" t="s">
        <v>80</v>
      </c>
      <c r="D183" s="23" t="s">
        <v>3046</v>
      </c>
      <c r="E183" s="36" t="s">
        <v>3065</v>
      </c>
      <c r="F183" s="23" t="s">
        <v>103</v>
      </c>
      <c r="G183" s="23" t="s">
        <v>39</v>
      </c>
      <c r="H183" s="23">
        <v>26784</v>
      </c>
      <c r="I183" s="23">
        <v>85</v>
      </c>
      <c r="J183" s="23">
        <v>12708</v>
      </c>
      <c r="K183" s="23">
        <v>22261</v>
      </c>
      <c r="L183" s="23">
        <v>9</v>
      </c>
      <c r="M183" s="37">
        <v>6643.1616469999999</v>
      </c>
      <c r="N183" s="31"/>
      <c r="O183" s="32"/>
      <c r="P183" s="38" t="s">
        <v>1330</v>
      </c>
      <c r="Q183" s="39" t="s">
        <v>217</v>
      </c>
      <c r="R183" s="40">
        <v>6643.1616469999999</v>
      </c>
      <c r="S183" s="29" t="b">
        <f t="shared" si="0"/>
        <v>1</v>
      </c>
      <c r="T183" s="35"/>
    </row>
    <row r="184" spans="1:20">
      <c r="A184" s="22" t="s">
        <v>3066</v>
      </c>
      <c r="B184" s="23" t="s">
        <v>32</v>
      </c>
      <c r="C184" s="23" t="s">
        <v>80</v>
      </c>
      <c r="D184" s="23" t="s">
        <v>3067</v>
      </c>
      <c r="E184" s="36" t="s">
        <v>3068</v>
      </c>
      <c r="F184" s="23" t="s">
        <v>74</v>
      </c>
      <c r="G184" s="23" t="s">
        <v>39</v>
      </c>
      <c r="H184" s="23">
        <v>12592</v>
      </c>
      <c r="I184" s="23">
        <v>63</v>
      </c>
      <c r="J184" s="23">
        <v>7472</v>
      </c>
      <c r="K184" s="23">
        <v>11687</v>
      </c>
      <c r="L184" s="23">
        <v>4</v>
      </c>
      <c r="M184" s="37">
        <v>1521.185189</v>
      </c>
      <c r="N184" s="31"/>
      <c r="O184" s="32"/>
      <c r="P184" s="38" t="s">
        <v>1783</v>
      </c>
      <c r="Q184" s="39" t="s">
        <v>1785</v>
      </c>
      <c r="R184" s="40">
        <v>1521.185189</v>
      </c>
      <c r="S184" s="29" t="b">
        <f t="shared" si="0"/>
        <v>1</v>
      </c>
      <c r="T184" s="35"/>
    </row>
    <row r="185" spans="1:20">
      <c r="A185" s="22" t="s">
        <v>3069</v>
      </c>
      <c r="B185" s="23" t="s">
        <v>123</v>
      </c>
      <c r="C185" s="23" t="s">
        <v>46</v>
      </c>
      <c r="D185" s="23" t="s">
        <v>3067</v>
      </c>
      <c r="E185" s="36" t="s">
        <v>3070</v>
      </c>
      <c r="F185" s="23" t="s">
        <v>50</v>
      </c>
      <c r="G185" s="23" t="s">
        <v>39</v>
      </c>
      <c r="H185" s="23">
        <v>81054</v>
      </c>
      <c r="I185" s="23">
        <v>265</v>
      </c>
      <c r="J185" s="23">
        <v>56762</v>
      </c>
      <c r="K185" s="23">
        <v>76198</v>
      </c>
      <c r="L185" s="23">
        <v>16</v>
      </c>
      <c r="M185" s="37">
        <v>1532.357841</v>
      </c>
      <c r="N185" s="31"/>
      <c r="O185" s="32"/>
      <c r="P185" s="38" t="s">
        <v>2022</v>
      </c>
      <c r="Q185" s="39" t="s">
        <v>2027</v>
      </c>
      <c r="R185" s="40">
        <v>1532.357841</v>
      </c>
      <c r="S185" s="29" t="b">
        <f t="shared" si="0"/>
        <v>1</v>
      </c>
      <c r="T185" s="35"/>
    </row>
    <row r="186" spans="1:20">
      <c r="A186" s="22" t="s">
        <v>3071</v>
      </c>
      <c r="B186" s="23" t="s">
        <v>44</v>
      </c>
      <c r="C186" s="23" t="s">
        <v>34</v>
      </c>
      <c r="D186" s="23" t="s">
        <v>3067</v>
      </c>
      <c r="E186" s="36" t="s">
        <v>3072</v>
      </c>
      <c r="F186" s="23" t="s">
        <v>103</v>
      </c>
      <c r="G186" s="23" t="s">
        <v>75</v>
      </c>
      <c r="H186" s="23">
        <v>59296</v>
      </c>
      <c r="I186" s="23">
        <v>170</v>
      </c>
      <c r="J186" s="23">
        <v>25482</v>
      </c>
      <c r="K186" s="23">
        <v>54149</v>
      </c>
      <c r="L186" s="23">
        <v>4</v>
      </c>
      <c r="M186" s="37">
        <v>1568.7152590000001</v>
      </c>
      <c r="N186" s="31"/>
      <c r="O186" s="32"/>
      <c r="P186" s="38" t="s">
        <v>2066</v>
      </c>
      <c r="Q186" s="39" t="s">
        <v>2068</v>
      </c>
      <c r="R186" s="40">
        <v>1568.7152590000001</v>
      </c>
      <c r="S186" s="29" t="b">
        <f t="shared" si="0"/>
        <v>1</v>
      </c>
      <c r="T186" s="35"/>
    </row>
    <row r="187" spans="1:20">
      <c r="A187" s="22" t="s">
        <v>3073</v>
      </c>
      <c r="B187" s="23" t="s">
        <v>123</v>
      </c>
      <c r="C187" s="23" t="s">
        <v>46</v>
      </c>
      <c r="D187" s="23" t="s">
        <v>3067</v>
      </c>
      <c r="E187" s="36" t="s">
        <v>3074</v>
      </c>
      <c r="F187" s="23" t="s">
        <v>2318</v>
      </c>
      <c r="G187" s="23" t="s">
        <v>39</v>
      </c>
      <c r="H187" s="23">
        <v>12459</v>
      </c>
      <c r="I187" s="23">
        <v>84</v>
      </c>
      <c r="J187" s="23">
        <v>7290</v>
      </c>
      <c r="K187" s="23">
        <v>11731</v>
      </c>
      <c r="L187" s="23">
        <v>14</v>
      </c>
      <c r="M187" s="37">
        <v>1593.010399</v>
      </c>
      <c r="N187" s="31"/>
      <c r="O187" s="32"/>
      <c r="P187" s="38" t="s">
        <v>2316</v>
      </c>
      <c r="Q187" s="39" t="s">
        <v>1314</v>
      </c>
      <c r="R187" s="40">
        <v>1593.010399</v>
      </c>
      <c r="S187" s="29" t="b">
        <f t="shared" si="0"/>
        <v>1</v>
      </c>
      <c r="T187" s="35"/>
    </row>
    <row r="188" spans="1:20">
      <c r="A188" s="41" t="s">
        <v>3075</v>
      </c>
      <c r="B188" s="23" t="s">
        <v>44</v>
      </c>
      <c r="C188" s="23" t="s">
        <v>34</v>
      </c>
      <c r="D188" s="23" t="s">
        <v>3067</v>
      </c>
      <c r="E188" s="36" t="s">
        <v>3076</v>
      </c>
      <c r="F188" s="23" t="s">
        <v>50</v>
      </c>
      <c r="G188" s="23" t="s">
        <v>75</v>
      </c>
      <c r="H188" s="23">
        <v>20348</v>
      </c>
      <c r="I188" s="23">
        <v>101</v>
      </c>
      <c r="J188" s="23">
        <v>14945</v>
      </c>
      <c r="K188" s="23">
        <v>19548</v>
      </c>
      <c r="L188" s="23">
        <v>6</v>
      </c>
      <c r="M188" s="37">
        <v>1596.552373</v>
      </c>
      <c r="N188" s="31"/>
      <c r="O188" s="32"/>
      <c r="P188" s="38" t="s">
        <v>1276</v>
      </c>
      <c r="Q188" s="39" t="s">
        <v>1278</v>
      </c>
      <c r="R188" s="40">
        <v>1596.552373</v>
      </c>
      <c r="S188" s="29" t="b">
        <f t="shared" si="0"/>
        <v>1</v>
      </c>
      <c r="T188" s="35"/>
    </row>
    <row r="189" spans="1:20">
      <c r="A189" s="22" t="s">
        <v>3077</v>
      </c>
      <c r="B189" s="23" t="s">
        <v>32</v>
      </c>
      <c r="C189" s="23" t="s">
        <v>62</v>
      </c>
      <c r="D189" s="23" t="s">
        <v>3067</v>
      </c>
      <c r="E189" s="36" t="s">
        <v>3078</v>
      </c>
      <c r="F189" s="23" t="s">
        <v>50</v>
      </c>
      <c r="G189" s="23" t="s">
        <v>39</v>
      </c>
      <c r="H189" s="23">
        <v>97346</v>
      </c>
      <c r="I189" s="23">
        <v>790</v>
      </c>
      <c r="J189" s="23">
        <v>44118</v>
      </c>
      <c r="K189" s="23">
        <v>91080</v>
      </c>
      <c r="L189" s="23">
        <v>19</v>
      </c>
      <c r="M189" s="37">
        <v>1657.5648699999999</v>
      </c>
      <c r="N189" s="31"/>
      <c r="O189" s="32"/>
      <c r="P189" s="38" t="s">
        <v>296</v>
      </c>
      <c r="Q189" s="39" t="s">
        <v>298</v>
      </c>
      <c r="R189" s="40">
        <v>1657.5648699999999</v>
      </c>
      <c r="S189" s="29" t="b">
        <f t="shared" si="0"/>
        <v>1</v>
      </c>
      <c r="T189" s="35"/>
    </row>
    <row r="190" spans="1:20">
      <c r="A190" s="22" t="s">
        <v>3079</v>
      </c>
      <c r="B190" s="23" t="s">
        <v>44</v>
      </c>
      <c r="C190" s="23" t="s">
        <v>46</v>
      </c>
      <c r="D190" s="23" t="s">
        <v>3067</v>
      </c>
      <c r="E190" s="36" t="s">
        <v>3080</v>
      </c>
      <c r="F190" s="23" t="s">
        <v>38</v>
      </c>
      <c r="G190" s="23" t="s">
        <v>75</v>
      </c>
      <c r="H190" s="23">
        <v>15904</v>
      </c>
      <c r="I190" s="23">
        <v>190</v>
      </c>
      <c r="J190" s="23">
        <v>7523</v>
      </c>
      <c r="K190" s="23">
        <v>14815</v>
      </c>
      <c r="L190" s="23">
        <v>2</v>
      </c>
      <c r="M190" s="37">
        <v>1825.7257079999999</v>
      </c>
      <c r="N190" s="31"/>
      <c r="O190" s="32"/>
      <c r="P190" s="38" t="s">
        <v>399</v>
      </c>
      <c r="Q190" s="39" t="s">
        <v>217</v>
      </c>
      <c r="R190" s="40">
        <v>1825.7257079999999</v>
      </c>
      <c r="S190" s="29" t="b">
        <f t="shared" si="0"/>
        <v>1</v>
      </c>
      <c r="T190" s="35"/>
    </row>
    <row r="191" spans="1:20">
      <c r="A191" s="22" t="s">
        <v>3081</v>
      </c>
      <c r="B191" s="23" t="s">
        <v>123</v>
      </c>
      <c r="C191" s="23" t="s">
        <v>80</v>
      </c>
      <c r="D191" s="23" t="s">
        <v>3067</v>
      </c>
      <c r="E191" s="36" t="s">
        <v>3082</v>
      </c>
      <c r="F191" s="23" t="s">
        <v>50</v>
      </c>
      <c r="G191" s="23" t="s">
        <v>39</v>
      </c>
      <c r="H191" s="23">
        <v>63415</v>
      </c>
      <c r="I191" s="23">
        <v>185</v>
      </c>
      <c r="J191" s="23">
        <v>28161</v>
      </c>
      <c r="K191" s="23">
        <v>59169</v>
      </c>
      <c r="L191" s="23">
        <v>9</v>
      </c>
      <c r="M191" s="37">
        <v>1924.162675</v>
      </c>
      <c r="N191" s="31"/>
      <c r="O191" s="32"/>
      <c r="P191" s="38" t="s">
        <v>2047</v>
      </c>
      <c r="Q191" s="39" t="s">
        <v>1238</v>
      </c>
      <c r="R191" s="40">
        <v>1924.162675</v>
      </c>
      <c r="S191" s="29" t="b">
        <f t="shared" si="0"/>
        <v>1</v>
      </c>
      <c r="T191" s="35"/>
    </row>
    <row r="192" spans="1:20">
      <c r="A192" s="22" t="s">
        <v>3083</v>
      </c>
      <c r="B192" s="23" t="s">
        <v>32</v>
      </c>
      <c r="C192" s="23" t="s">
        <v>34</v>
      </c>
      <c r="D192" s="23" t="s">
        <v>3067</v>
      </c>
      <c r="E192" s="36" t="s">
        <v>3084</v>
      </c>
      <c r="F192" s="23" t="s">
        <v>103</v>
      </c>
      <c r="G192" s="23" t="s">
        <v>39</v>
      </c>
      <c r="H192" s="23">
        <v>213699</v>
      </c>
      <c r="I192" s="23">
        <v>270</v>
      </c>
      <c r="J192" s="23">
        <v>18395</v>
      </c>
      <c r="K192" s="23">
        <v>164487</v>
      </c>
      <c r="L192" s="23">
        <v>4</v>
      </c>
      <c r="M192" s="37">
        <v>2194.9871250000001</v>
      </c>
      <c r="N192" s="31"/>
      <c r="O192" s="32"/>
      <c r="P192" s="38" t="s">
        <v>790</v>
      </c>
      <c r="Q192" s="39" t="s">
        <v>793</v>
      </c>
      <c r="R192" s="40">
        <v>2194.9871250000001</v>
      </c>
      <c r="S192" s="29" t="b">
        <f t="shared" si="0"/>
        <v>1</v>
      </c>
      <c r="T192" s="35"/>
    </row>
    <row r="193" spans="1:20">
      <c r="A193" s="22" t="s">
        <v>3085</v>
      </c>
      <c r="B193" s="23" t="s">
        <v>32</v>
      </c>
      <c r="C193" s="23" t="s">
        <v>46</v>
      </c>
      <c r="D193" s="23" t="s">
        <v>3067</v>
      </c>
      <c r="E193" s="36" t="s">
        <v>3086</v>
      </c>
      <c r="F193" s="23" t="s">
        <v>103</v>
      </c>
      <c r="G193" s="23" t="s">
        <v>39</v>
      </c>
      <c r="H193" s="23">
        <v>38408</v>
      </c>
      <c r="I193" s="23">
        <v>101</v>
      </c>
      <c r="J193" s="23">
        <v>23557</v>
      </c>
      <c r="K193" s="23">
        <v>35247</v>
      </c>
      <c r="L193" s="23">
        <v>7</v>
      </c>
      <c r="M193" s="37">
        <v>5343.4594310000002</v>
      </c>
      <c r="N193" s="31"/>
      <c r="O193" s="32"/>
      <c r="P193" s="38" t="s">
        <v>899</v>
      </c>
      <c r="Q193" s="39" t="s">
        <v>307</v>
      </c>
      <c r="R193" s="40">
        <v>5343.4594310000002</v>
      </c>
      <c r="S193" s="29" t="b">
        <f t="shared" si="0"/>
        <v>1</v>
      </c>
      <c r="T193" s="35"/>
    </row>
    <row r="194" spans="1:20">
      <c r="A194" s="22" t="s">
        <v>3087</v>
      </c>
      <c r="B194" s="23" t="s">
        <v>44</v>
      </c>
      <c r="C194" s="23" t="s">
        <v>80</v>
      </c>
      <c r="D194" s="23" t="s">
        <v>3067</v>
      </c>
      <c r="E194" s="36" t="s">
        <v>3088</v>
      </c>
      <c r="F194" s="23" t="s">
        <v>50</v>
      </c>
      <c r="G194" s="23" t="s">
        <v>39</v>
      </c>
      <c r="H194" s="23">
        <v>766674</v>
      </c>
      <c r="I194" s="23">
        <v>1984</v>
      </c>
      <c r="J194" s="23">
        <v>344201</v>
      </c>
      <c r="K194" s="23">
        <v>720606</v>
      </c>
      <c r="L194" s="23">
        <v>17</v>
      </c>
      <c r="M194" s="37">
        <v>5816.2346189999998</v>
      </c>
      <c r="N194" s="31"/>
      <c r="O194" s="32"/>
      <c r="P194" s="38" t="s">
        <v>822</v>
      </c>
      <c r="Q194" s="39" t="s">
        <v>824</v>
      </c>
      <c r="R194" s="40">
        <v>5816.2346189999998</v>
      </c>
      <c r="S194" s="29" t="b">
        <f t="shared" si="0"/>
        <v>1</v>
      </c>
      <c r="T194" s="35"/>
    </row>
    <row r="195" spans="1:20">
      <c r="A195" s="22" t="s">
        <v>3089</v>
      </c>
      <c r="B195" s="23" t="s">
        <v>44</v>
      </c>
      <c r="C195" s="23" t="s">
        <v>80</v>
      </c>
      <c r="D195" s="23" t="s">
        <v>3067</v>
      </c>
      <c r="E195" s="36" t="s">
        <v>3090</v>
      </c>
      <c r="F195" s="23" t="s">
        <v>50</v>
      </c>
      <c r="G195" s="23" t="s">
        <v>39</v>
      </c>
      <c r="H195" s="23">
        <v>7789</v>
      </c>
      <c r="I195" s="23">
        <v>30</v>
      </c>
      <c r="J195" s="23">
        <v>4655</v>
      </c>
      <c r="K195" s="23">
        <v>7434</v>
      </c>
      <c r="L195" s="23">
        <v>1</v>
      </c>
      <c r="M195" s="37">
        <v>6396.8687630000004</v>
      </c>
      <c r="N195" s="31"/>
      <c r="O195" s="32"/>
      <c r="P195" s="38" t="s">
        <v>1128</v>
      </c>
      <c r="Q195" s="39" t="s">
        <v>809</v>
      </c>
      <c r="R195" s="40">
        <v>6396.8687630000004</v>
      </c>
      <c r="S195" s="29" t="b">
        <f t="shared" si="0"/>
        <v>1</v>
      </c>
      <c r="T195" s="35"/>
    </row>
    <row r="196" spans="1:20">
      <c r="A196" s="22" t="s">
        <v>3091</v>
      </c>
      <c r="B196" s="23" t="s">
        <v>32</v>
      </c>
      <c r="C196" s="23" t="s">
        <v>46</v>
      </c>
      <c r="D196" s="23" t="s">
        <v>3067</v>
      </c>
      <c r="E196" s="36" t="s">
        <v>3092</v>
      </c>
      <c r="F196" s="23" t="s">
        <v>50</v>
      </c>
      <c r="G196" s="23" t="s">
        <v>39</v>
      </c>
      <c r="H196" s="23">
        <v>26270</v>
      </c>
      <c r="I196" s="23">
        <v>63</v>
      </c>
      <c r="J196" s="23">
        <v>12813</v>
      </c>
      <c r="K196" s="23">
        <v>21893</v>
      </c>
      <c r="L196" s="23">
        <v>12</v>
      </c>
      <c r="M196" s="37">
        <v>6417.2645640000001</v>
      </c>
      <c r="N196" s="31"/>
      <c r="O196" s="32"/>
      <c r="P196" s="38" t="s">
        <v>1698</v>
      </c>
      <c r="Q196" s="39" t="s">
        <v>1699</v>
      </c>
      <c r="R196" s="40">
        <v>6417.2645640000001</v>
      </c>
      <c r="S196" s="29" t="b">
        <f t="shared" si="0"/>
        <v>1</v>
      </c>
      <c r="T196" s="35"/>
    </row>
    <row r="197" spans="1:20">
      <c r="A197" s="22" t="s">
        <v>3093</v>
      </c>
      <c r="B197" s="23" t="s">
        <v>32</v>
      </c>
      <c r="C197" s="23" t="s">
        <v>46</v>
      </c>
      <c r="D197" s="23" t="s">
        <v>3067</v>
      </c>
      <c r="E197" s="36" t="s">
        <v>3094</v>
      </c>
      <c r="F197" s="23" t="s">
        <v>103</v>
      </c>
      <c r="G197" s="23" t="s">
        <v>39</v>
      </c>
      <c r="H197" s="23">
        <v>120603</v>
      </c>
      <c r="I197" s="23">
        <v>298</v>
      </c>
      <c r="J197" s="23">
        <v>47405</v>
      </c>
      <c r="K197" s="23">
        <v>100881</v>
      </c>
      <c r="L197" s="23">
        <v>10</v>
      </c>
      <c r="M197" s="37">
        <v>6633.5326349999996</v>
      </c>
      <c r="N197" s="31"/>
      <c r="O197" s="32"/>
      <c r="P197" s="38" t="s">
        <v>901</v>
      </c>
      <c r="Q197" s="39" t="s">
        <v>903</v>
      </c>
      <c r="R197" s="40">
        <v>6633.5326349999996</v>
      </c>
      <c r="S197" s="29" t="b">
        <f t="shared" si="0"/>
        <v>1</v>
      </c>
      <c r="T197" s="35"/>
    </row>
    <row r="198" spans="1:20">
      <c r="A198" s="22" t="s">
        <v>3095</v>
      </c>
      <c r="B198" s="23" t="s">
        <v>32</v>
      </c>
      <c r="C198" s="23" t="s">
        <v>34</v>
      </c>
      <c r="D198" s="23" t="s">
        <v>3096</v>
      </c>
      <c r="E198" s="36" t="s">
        <v>3097</v>
      </c>
      <c r="F198" s="23" t="s">
        <v>50</v>
      </c>
      <c r="G198" s="23" t="s">
        <v>39</v>
      </c>
      <c r="H198" s="23">
        <v>74516</v>
      </c>
      <c r="I198" s="23">
        <v>200</v>
      </c>
      <c r="J198" s="23">
        <v>23985</v>
      </c>
      <c r="K198" s="23">
        <v>63853</v>
      </c>
      <c r="L198" s="23">
        <v>24</v>
      </c>
      <c r="M198" s="37">
        <v>1523.783909</v>
      </c>
      <c r="N198" s="31"/>
      <c r="O198" s="32"/>
      <c r="P198" s="38" t="s">
        <v>1972</v>
      </c>
      <c r="Q198" s="39" t="s">
        <v>836</v>
      </c>
      <c r="R198" s="40">
        <v>1523.783909</v>
      </c>
      <c r="S198" s="29" t="b">
        <f t="shared" si="0"/>
        <v>1</v>
      </c>
      <c r="T198" s="35"/>
    </row>
    <row r="199" spans="1:20">
      <c r="A199" s="22" t="s">
        <v>3098</v>
      </c>
      <c r="B199" s="23" t="s">
        <v>44</v>
      </c>
      <c r="C199" s="23" t="s">
        <v>62</v>
      </c>
      <c r="D199" s="23" t="s">
        <v>3096</v>
      </c>
      <c r="E199" s="36" t="s">
        <v>3099</v>
      </c>
      <c r="F199" s="23" t="s">
        <v>74</v>
      </c>
      <c r="G199" s="23" t="s">
        <v>39</v>
      </c>
      <c r="H199" s="23">
        <v>14922</v>
      </c>
      <c r="I199" s="23">
        <v>99</v>
      </c>
      <c r="J199" s="23">
        <v>10713</v>
      </c>
      <c r="K199" s="23">
        <v>13992</v>
      </c>
      <c r="L199" s="23">
        <v>5</v>
      </c>
      <c r="M199" s="37">
        <v>1578.876432</v>
      </c>
      <c r="N199" s="31"/>
      <c r="O199" s="32"/>
      <c r="P199" s="38" t="s">
        <v>1746</v>
      </c>
      <c r="Q199" s="39" t="s">
        <v>1748</v>
      </c>
      <c r="R199" s="40">
        <v>1578.876432</v>
      </c>
      <c r="S199" s="29" t="b">
        <f t="shared" si="0"/>
        <v>1</v>
      </c>
      <c r="T199" s="35"/>
    </row>
    <row r="200" spans="1:20">
      <c r="A200" s="22" t="s">
        <v>3100</v>
      </c>
      <c r="B200" s="23" t="s">
        <v>32</v>
      </c>
      <c r="C200" s="23" t="s">
        <v>46</v>
      </c>
      <c r="D200" s="23" t="s">
        <v>3096</v>
      </c>
      <c r="E200" s="36" t="s">
        <v>3101</v>
      </c>
      <c r="F200" s="23" t="s">
        <v>725</v>
      </c>
      <c r="G200" s="23" t="s">
        <v>39</v>
      </c>
      <c r="H200" s="23">
        <v>12148</v>
      </c>
      <c r="I200" s="23">
        <v>40</v>
      </c>
      <c r="J200" s="23">
        <v>7950</v>
      </c>
      <c r="K200" s="23">
        <v>11360</v>
      </c>
      <c r="L200" s="23">
        <v>9</v>
      </c>
      <c r="M200" s="37">
        <v>1936.008049</v>
      </c>
      <c r="N200" s="31"/>
      <c r="O200" s="32"/>
      <c r="P200" s="38" t="s">
        <v>891</v>
      </c>
      <c r="Q200" s="39" t="s">
        <v>894</v>
      </c>
      <c r="R200" s="40">
        <v>1936.008049</v>
      </c>
      <c r="S200" s="29" t="b">
        <f t="shared" si="0"/>
        <v>1</v>
      </c>
      <c r="T200" s="35"/>
    </row>
    <row r="201" spans="1:20">
      <c r="A201" s="22" t="s">
        <v>3102</v>
      </c>
      <c r="B201" s="23" t="s">
        <v>44</v>
      </c>
      <c r="C201" s="23" t="s">
        <v>80</v>
      </c>
      <c r="D201" s="23" t="s">
        <v>3096</v>
      </c>
      <c r="E201" s="36" t="s">
        <v>3103</v>
      </c>
      <c r="F201" s="23" t="s">
        <v>74</v>
      </c>
      <c r="G201" s="23" t="s">
        <v>39</v>
      </c>
      <c r="H201" s="23">
        <v>276716</v>
      </c>
      <c r="I201" s="23">
        <v>799</v>
      </c>
      <c r="J201" s="23">
        <v>114927</v>
      </c>
      <c r="K201" s="23">
        <v>255481</v>
      </c>
      <c r="L201" s="23">
        <v>49</v>
      </c>
      <c r="M201" s="37">
        <v>2276.2774709999999</v>
      </c>
      <c r="N201" s="31"/>
      <c r="O201" s="32"/>
      <c r="P201" s="38" t="s">
        <v>2048</v>
      </c>
      <c r="Q201" s="39" t="s">
        <v>1034</v>
      </c>
      <c r="R201" s="40">
        <v>2276.2774709999999</v>
      </c>
      <c r="S201" s="29" t="b">
        <f t="shared" si="0"/>
        <v>1</v>
      </c>
      <c r="T201" s="35"/>
    </row>
    <row r="202" spans="1:20">
      <c r="A202" s="22" t="s">
        <v>3104</v>
      </c>
      <c r="B202" s="23" t="s">
        <v>32</v>
      </c>
      <c r="C202" s="23" t="s">
        <v>80</v>
      </c>
      <c r="D202" s="23" t="s">
        <v>3096</v>
      </c>
      <c r="E202" s="36" t="s">
        <v>3105</v>
      </c>
      <c r="F202" s="23" t="s">
        <v>50</v>
      </c>
      <c r="G202" s="23" t="s">
        <v>39</v>
      </c>
      <c r="H202" s="23">
        <v>18412</v>
      </c>
      <c r="I202" s="23">
        <v>140</v>
      </c>
      <c r="J202" s="23">
        <v>5668</v>
      </c>
      <c r="K202" s="23">
        <v>16711</v>
      </c>
      <c r="L202" s="23">
        <v>12</v>
      </c>
      <c r="M202" s="37">
        <v>5244.3417399999998</v>
      </c>
      <c r="N202" s="31"/>
      <c r="O202" s="32"/>
      <c r="P202" s="38" t="s">
        <v>930</v>
      </c>
      <c r="Q202" s="39" t="s">
        <v>598</v>
      </c>
      <c r="R202" s="40">
        <v>5244.3417399999998</v>
      </c>
      <c r="S202" s="29" t="b">
        <f t="shared" si="0"/>
        <v>1</v>
      </c>
      <c r="T202" s="35"/>
    </row>
    <row r="203" spans="1:20">
      <c r="A203" s="22" t="s">
        <v>3106</v>
      </c>
      <c r="B203" s="23" t="s">
        <v>32</v>
      </c>
      <c r="C203" s="23" t="s">
        <v>46</v>
      </c>
      <c r="D203" s="23" t="s">
        <v>3096</v>
      </c>
      <c r="E203" s="36" t="s">
        <v>3107</v>
      </c>
      <c r="F203" s="23" t="s">
        <v>131</v>
      </c>
      <c r="G203" s="23" t="s">
        <v>39</v>
      </c>
      <c r="H203" s="23">
        <v>189571</v>
      </c>
      <c r="I203" s="23">
        <v>500</v>
      </c>
      <c r="J203" s="23">
        <v>130676</v>
      </c>
      <c r="K203" s="23">
        <v>183688</v>
      </c>
      <c r="L203" s="23">
        <v>39</v>
      </c>
      <c r="M203" s="37">
        <v>6335.9483879999998</v>
      </c>
      <c r="N203" s="31"/>
      <c r="O203" s="32"/>
      <c r="P203" s="38" t="s">
        <v>1896</v>
      </c>
      <c r="Q203" s="39" t="s">
        <v>1899</v>
      </c>
      <c r="R203" s="40">
        <v>6335.9483879999998</v>
      </c>
      <c r="S203" s="29" t="b">
        <f t="shared" si="0"/>
        <v>1</v>
      </c>
      <c r="T203" s="35"/>
    </row>
    <row r="204" spans="1:20">
      <c r="A204" s="22" t="s">
        <v>3108</v>
      </c>
      <c r="B204" s="23" t="s">
        <v>32</v>
      </c>
      <c r="C204" s="23" t="s">
        <v>80</v>
      </c>
      <c r="D204" s="23" t="s">
        <v>3109</v>
      </c>
      <c r="E204" s="36" t="s">
        <v>3110</v>
      </c>
      <c r="F204" s="23" t="s">
        <v>103</v>
      </c>
      <c r="G204" s="23" t="s">
        <v>39</v>
      </c>
      <c r="H204" s="23">
        <v>37269</v>
      </c>
      <c r="I204" s="23">
        <v>106</v>
      </c>
      <c r="J204" s="23">
        <v>11667</v>
      </c>
      <c r="K204" s="23">
        <v>33260</v>
      </c>
      <c r="L204" s="23">
        <v>6</v>
      </c>
      <c r="M204" s="37">
        <v>1453.075462</v>
      </c>
      <c r="N204" s="31"/>
      <c r="O204" s="32"/>
      <c r="P204" s="38" t="s">
        <v>760</v>
      </c>
      <c r="Q204" s="39" t="s">
        <v>763</v>
      </c>
      <c r="R204" s="40">
        <v>1453.075462</v>
      </c>
      <c r="S204" s="29" t="b">
        <f t="shared" si="0"/>
        <v>1</v>
      </c>
      <c r="T204" s="35"/>
    </row>
    <row r="205" spans="1:20">
      <c r="A205" s="22" t="s">
        <v>3111</v>
      </c>
      <c r="B205" s="23" t="s">
        <v>44</v>
      </c>
      <c r="C205" s="23" t="s">
        <v>46</v>
      </c>
      <c r="D205" s="23" t="s">
        <v>3109</v>
      </c>
      <c r="E205" s="36" t="s">
        <v>3112</v>
      </c>
      <c r="F205" s="23" t="s">
        <v>131</v>
      </c>
      <c r="G205" s="23" t="s">
        <v>39</v>
      </c>
      <c r="H205" s="23">
        <v>14136</v>
      </c>
      <c r="I205" s="23">
        <v>88</v>
      </c>
      <c r="J205" s="23">
        <v>4683</v>
      </c>
      <c r="K205" s="23">
        <v>13273</v>
      </c>
      <c r="L205" s="23">
        <v>3</v>
      </c>
      <c r="M205" s="37">
        <v>1476.5368410000001</v>
      </c>
      <c r="N205" s="31"/>
      <c r="O205" s="32"/>
      <c r="P205" s="38" t="s">
        <v>2177</v>
      </c>
      <c r="Q205" s="39" t="s">
        <v>2178</v>
      </c>
      <c r="R205" s="40">
        <v>1476.5368410000001</v>
      </c>
      <c r="S205" s="29" t="b">
        <f t="shared" si="0"/>
        <v>1</v>
      </c>
      <c r="T205" s="35"/>
    </row>
    <row r="206" spans="1:20">
      <c r="A206" s="22" t="s">
        <v>3113</v>
      </c>
      <c r="B206" s="23" t="s">
        <v>32</v>
      </c>
      <c r="C206" s="23" t="s">
        <v>80</v>
      </c>
      <c r="D206" s="23" t="s">
        <v>3109</v>
      </c>
      <c r="E206" s="36" t="s">
        <v>3114</v>
      </c>
      <c r="F206" s="23" t="s">
        <v>157</v>
      </c>
      <c r="G206" s="23" t="s">
        <v>39</v>
      </c>
      <c r="H206" s="23">
        <v>13713</v>
      </c>
      <c r="I206" s="23">
        <v>151</v>
      </c>
      <c r="J206" s="23">
        <v>8339</v>
      </c>
      <c r="K206" s="23">
        <v>13051</v>
      </c>
      <c r="L206" s="23">
        <v>5</v>
      </c>
      <c r="M206" s="37">
        <v>1490.0061969999999</v>
      </c>
      <c r="N206" s="31"/>
      <c r="O206" s="32"/>
      <c r="P206" s="38" t="s">
        <v>968</v>
      </c>
      <c r="Q206" s="39" t="s">
        <v>558</v>
      </c>
      <c r="R206" s="40">
        <v>1490.0061969999999</v>
      </c>
      <c r="S206" s="29" t="b">
        <f t="shared" si="0"/>
        <v>1</v>
      </c>
      <c r="T206" s="35"/>
    </row>
    <row r="207" spans="1:20">
      <c r="A207" s="22" t="s">
        <v>3115</v>
      </c>
      <c r="B207" s="23" t="s">
        <v>44</v>
      </c>
      <c r="C207" s="23" t="s">
        <v>80</v>
      </c>
      <c r="D207" s="23" t="s">
        <v>3109</v>
      </c>
      <c r="E207" s="36" t="s">
        <v>3116</v>
      </c>
      <c r="F207" s="23" t="s">
        <v>103</v>
      </c>
      <c r="G207" s="23" t="s">
        <v>39</v>
      </c>
      <c r="H207" s="23">
        <v>30714</v>
      </c>
      <c r="I207" s="23">
        <v>111</v>
      </c>
      <c r="J207" s="23">
        <v>12531</v>
      </c>
      <c r="K207" s="23">
        <v>28461</v>
      </c>
      <c r="L207" s="23">
        <v>9</v>
      </c>
      <c r="M207" s="37">
        <v>1503.4843109999999</v>
      </c>
      <c r="N207" s="31"/>
      <c r="O207" s="32"/>
      <c r="P207" s="38" t="s">
        <v>2107</v>
      </c>
      <c r="Q207" s="39" t="s">
        <v>1383</v>
      </c>
      <c r="R207" s="40">
        <v>1503.4843109999999</v>
      </c>
      <c r="S207" s="29" t="b">
        <f t="shared" si="0"/>
        <v>1</v>
      </c>
      <c r="T207" s="35"/>
    </row>
    <row r="208" spans="1:20">
      <c r="A208" s="22" t="s">
        <v>3117</v>
      </c>
      <c r="B208" s="23" t="s">
        <v>44</v>
      </c>
      <c r="C208" s="23" t="s">
        <v>46</v>
      </c>
      <c r="D208" s="23" t="s">
        <v>3109</v>
      </c>
      <c r="E208" s="36" t="s">
        <v>3118</v>
      </c>
      <c r="F208" s="23" t="s">
        <v>103</v>
      </c>
      <c r="G208" s="23" t="s">
        <v>39</v>
      </c>
      <c r="H208" s="23">
        <v>13347</v>
      </c>
      <c r="I208" s="23">
        <v>80</v>
      </c>
      <c r="J208" s="23">
        <v>8357</v>
      </c>
      <c r="K208" s="23">
        <v>11461</v>
      </c>
      <c r="L208" s="23">
        <v>10</v>
      </c>
      <c r="M208" s="37">
        <v>1543.6614199999999</v>
      </c>
      <c r="N208" s="31"/>
      <c r="O208" s="32"/>
      <c r="P208" s="38" t="s">
        <v>1350</v>
      </c>
      <c r="Q208" s="39" t="s">
        <v>116</v>
      </c>
      <c r="R208" s="40">
        <v>1543.6614199999999</v>
      </c>
      <c r="S208" s="29" t="b">
        <f t="shared" si="0"/>
        <v>1</v>
      </c>
      <c r="T208" s="35"/>
    </row>
    <row r="209" spans="1:20">
      <c r="A209" s="22" t="s">
        <v>3119</v>
      </c>
      <c r="B209" s="23" t="s">
        <v>44</v>
      </c>
      <c r="C209" s="23" t="s">
        <v>80</v>
      </c>
      <c r="D209" s="23" t="s">
        <v>3109</v>
      </c>
      <c r="E209" s="36" t="s">
        <v>3120</v>
      </c>
      <c r="F209" s="23" t="s">
        <v>50</v>
      </c>
      <c r="G209" s="23" t="s">
        <v>39</v>
      </c>
      <c r="H209" s="23">
        <v>11214</v>
      </c>
      <c r="I209" s="23">
        <v>49</v>
      </c>
      <c r="J209" s="23">
        <v>5523</v>
      </c>
      <c r="K209" s="23">
        <v>10267</v>
      </c>
      <c r="L209" s="23">
        <v>2</v>
      </c>
      <c r="M209" s="37">
        <v>1554.3892149999999</v>
      </c>
      <c r="N209" s="31"/>
      <c r="O209" s="32"/>
      <c r="P209" s="38" t="s">
        <v>1482</v>
      </c>
      <c r="Q209" s="39" t="s">
        <v>1485</v>
      </c>
      <c r="R209" s="40">
        <v>1554.3892149999999</v>
      </c>
      <c r="S209" s="29" t="b">
        <f t="shared" si="0"/>
        <v>1</v>
      </c>
      <c r="T209" s="35"/>
    </row>
    <row r="210" spans="1:20">
      <c r="A210" s="22" t="s">
        <v>3121</v>
      </c>
      <c r="B210" s="23" t="s">
        <v>44</v>
      </c>
      <c r="C210" s="23" t="s">
        <v>80</v>
      </c>
      <c r="D210" s="23" t="s">
        <v>3109</v>
      </c>
      <c r="E210" s="36" t="s">
        <v>3122</v>
      </c>
      <c r="F210" s="23" t="s">
        <v>74</v>
      </c>
      <c r="G210" s="23" t="s">
        <v>64</v>
      </c>
      <c r="H210" s="23">
        <v>11269</v>
      </c>
      <c r="I210" s="23">
        <v>63</v>
      </c>
      <c r="J210" s="23">
        <v>4992</v>
      </c>
      <c r="K210" s="23">
        <v>10245</v>
      </c>
      <c r="L210" s="23">
        <v>3</v>
      </c>
      <c r="M210" s="37">
        <v>1576.38921</v>
      </c>
      <c r="N210" s="31"/>
      <c r="O210" s="32"/>
      <c r="P210" s="38" t="s">
        <v>2345</v>
      </c>
      <c r="Q210" s="39" t="s">
        <v>1300</v>
      </c>
      <c r="R210" s="40">
        <v>1576.38921</v>
      </c>
      <c r="S210" s="29" t="b">
        <f t="shared" si="0"/>
        <v>1</v>
      </c>
      <c r="T210" s="35"/>
    </row>
    <row r="211" spans="1:20">
      <c r="A211" s="22" t="s">
        <v>3123</v>
      </c>
      <c r="B211" s="23" t="s">
        <v>32</v>
      </c>
      <c r="C211" s="23" t="s">
        <v>34</v>
      </c>
      <c r="D211" s="23" t="s">
        <v>3109</v>
      </c>
      <c r="E211" s="36" t="s">
        <v>3124</v>
      </c>
      <c r="F211" s="23" t="s">
        <v>103</v>
      </c>
      <c r="G211" s="23" t="s">
        <v>39</v>
      </c>
      <c r="H211" s="23">
        <v>14917</v>
      </c>
      <c r="I211" s="23">
        <v>10</v>
      </c>
      <c r="J211" s="23">
        <v>3065</v>
      </c>
      <c r="K211" s="23">
        <v>13109</v>
      </c>
      <c r="L211" s="23">
        <v>3</v>
      </c>
      <c r="M211" s="37">
        <v>1583.537104</v>
      </c>
      <c r="N211" s="31"/>
      <c r="O211" s="32"/>
      <c r="P211" s="38" t="s">
        <v>704</v>
      </c>
      <c r="Q211" s="39" t="s">
        <v>706</v>
      </c>
      <c r="R211" s="40">
        <v>1583.537104</v>
      </c>
      <c r="S211" s="29" t="b">
        <f t="shared" si="0"/>
        <v>1</v>
      </c>
      <c r="T211" s="35"/>
    </row>
    <row r="212" spans="1:20">
      <c r="A212" s="22" t="s">
        <v>3125</v>
      </c>
      <c r="B212" s="23" t="s">
        <v>32</v>
      </c>
      <c r="C212" s="23" t="s">
        <v>34</v>
      </c>
      <c r="D212" s="23" t="s">
        <v>3109</v>
      </c>
      <c r="E212" s="36" t="s">
        <v>3126</v>
      </c>
      <c r="F212" s="23" t="s">
        <v>103</v>
      </c>
      <c r="G212" s="23" t="s">
        <v>39</v>
      </c>
      <c r="H212" s="23">
        <v>10707</v>
      </c>
      <c r="I212" s="23">
        <v>57</v>
      </c>
      <c r="J212" s="23">
        <v>6300</v>
      </c>
      <c r="K212" s="23">
        <v>10089</v>
      </c>
      <c r="L212" s="23">
        <v>3</v>
      </c>
      <c r="M212" s="37">
        <v>1603.8592639999999</v>
      </c>
      <c r="N212" s="31"/>
      <c r="O212" s="32"/>
      <c r="P212" s="38" t="s">
        <v>512</v>
      </c>
      <c r="Q212" s="39" t="s">
        <v>515</v>
      </c>
      <c r="R212" s="40">
        <v>1603.8592639999999</v>
      </c>
      <c r="S212" s="29" t="b">
        <f t="shared" si="0"/>
        <v>1</v>
      </c>
      <c r="T212" s="35"/>
    </row>
    <row r="213" spans="1:20">
      <c r="A213" s="22" t="s">
        <v>3127</v>
      </c>
      <c r="B213" s="23" t="s">
        <v>32</v>
      </c>
      <c r="C213" s="23" t="s">
        <v>80</v>
      </c>
      <c r="D213" s="23" t="s">
        <v>3109</v>
      </c>
      <c r="E213" s="36" t="s">
        <v>3128</v>
      </c>
      <c r="F213" s="23" t="s">
        <v>186</v>
      </c>
      <c r="G213" s="23" t="s">
        <v>39</v>
      </c>
      <c r="H213" s="23">
        <v>31359</v>
      </c>
      <c r="I213" s="23">
        <v>66</v>
      </c>
      <c r="J213" s="23">
        <v>18348</v>
      </c>
      <c r="K213" s="23">
        <v>25950</v>
      </c>
      <c r="L213" s="23">
        <v>24</v>
      </c>
      <c r="M213" s="37">
        <v>1623.614838</v>
      </c>
      <c r="N213" s="31"/>
      <c r="O213" s="32"/>
      <c r="P213" s="38" t="s">
        <v>2044</v>
      </c>
      <c r="Q213" s="39" t="s">
        <v>1600</v>
      </c>
      <c r="R213" s="40">
        <v>1623.614838</v>
      </c>
      <c r="S213" s="29" t="b">
        <f t="shared" si="0"/>
        <v>1</v>
      </c>
      <c r="T213" s="35"/>
    </row>
    <row r="214" spans="1:20">
      <c r="A214" s="22" t="s">
        <v>3129</v>
      </c>
      <c r="B214" s="23" t="s">
        <v>44</v>
      </c>
      <c r="C214" s="23" t="s">
        <v>80</v>
      </c>
      <c r="D214" s="23" t="s">
        <v>3109</v>
      </c>
      <c r="E214" s="36" t="s">
        <v>3130</v>
      </c>
      <c r="F214" s="23" t="s">
        <v>50</v>
      </c>
      <c r="G214" s="23" t="s">
        <v>39</v>
      </c>
      <c r="H214" s="23">
        <v>9130</v>
      </c>
      <c r="I214" s="23">
        <v>33</v>
      </c>
      <c r="J214" s="23">
        <v>3721</v>
      </c>
      <c r="K214" s="23">
        <v>5564</v>
      </c>
      <c r="L214" s="23">
        <v>1</v>
      </c>
      <c r="M214" s="37">
        <v>1655.7928569999999</v>
      </c>
      <c r="N214" s="31"/>
      <c r="O214" s="32"/>
      <c r="P214" s="38" t="s">
        <v>1537</v>
      </c>
      <c r="Q214" s="39" t="s">
        <v>1093</v>
      </c>
      <c r="R214" s="40">
        <v>1655.7928569999999</v>
      </c>
      <c r="S214" s="29" t="b">
        <f t="shared" si="0"/>
        <v>1</v>
      </c>
      <c r="T214" s="35"/>
    </row>
    <row r="215" spans="1:20">
      <c r="A215" s="22" t="s">
        <v>3131</v>
      </c>
      <c r="B215" s="23" t="s">
        <v>32</v>
      </c>
      <c r="C215" s="23" t="s">
        <v>46</v>
      </c>
      <c r="D215" s="23" t="s">
        <v>3109</v>
      </c>
      <c r="E215" s="36" t="s">
        <v>3132</v>
      </c>
      <c r="F215" s="23" t="s">
        <v>131</v>
      </c>
      <c r="G215" s="23" t="s">
        <v>39</v>
      </c>
      <c r="H215" s="23">
        <v>16151</v>
      </c>
      <c r="I215" s="23">
        <v>54</v>
      </c>
      <c r="J215" s="23">
        <v>4360</v>
      </c>
      <c r="K215" s="23">
        <v>11358</v>
      </c>
      <c r="L215" s="23">
        <v>3</v>
      </c>
      <c r="M215" s="37">
        <v>1706.224318</v>
      </c>
      <c r="N215" s="31"/>
      <c r="O215" s="32"/>
      <c r="P215" s="38" t="s">
        <v>1960</v>
      </c>
      <c r="Q215" s="39" t="s">
        <v>554</v>
      </c>
      <c r="R215" s="40">
        <v>1706.224318</v>
      </c>
      <c r="S215" s="29" t="b">
        <f t="shared" si="0"/>
        <v>1</v>
      </c>
      <c r="T215" s="35"/>
    </row>
    <row r="216" spans="1:20">
      <c r="A216" s="22" t="s">
        <v>3133</v>
      </c>
      <c r="B216" s="23" t="s">
        <v>123</v>
      </c>
      <c r="C216" s="23" t="s">
        <v>62</v>
      </c>
      <c r="D216" s="23" t="s">
        <v>3109</v>
      </c>
      <c r="E216" s="36" t="s">
        <v>3134</v>
      </c>
      <c r="F216" s="23" t="s">
        <v>74</v>
      </c>
      <c r="G216" s="23" t="s">
        <v>39</v>
      </c>
      <c r="H216" s="23">
        <v>13608</v>
      </c>
      <c r="I216" s="23">
        <v>66</v>
      </c>
      <c r="J216" s="23">
        <v>2714</v>
      </c>
      <c r="K216" s="23">
        <v>9332</v>
      </c>
      <c r="L216" s="23">
        <v>1</v>
      </c>
      <c r="M216" s="37">
        <v>1762.663235</v>
      </c>
      <c r="N216" s="31"/>
      <c r="O216" s="32"/>
      <c r="P216" s="38" t="s">
        <v>767</v>
      </c>
      <c r="Q216" s="39" t="s">
        <v>772</v>
      </c>
      <c r="R216" s="40">
        <v>1762.663235</v>
      </c>
      <c r="S216" s="29" t="b">
        <f t="shared" si="0"/>
        <v>1</v>
      </c>
      <c r="T216" s="35"/>
    </row>
    <row r="217" spans="1:20">
      <c r="A217" s="22" t="s">
        <v>3135</v>
      </c>
      <c r="B217" s="23" t="s">
        <v>32</v>
      </c>
      <c r="C217" s="23" t="s">
        <v>46</v>
      </c>
      <c r="D217" s="23" t="s">
        <v>3109</v>
      </c>
      <c r="E217" s="36" t="s">
        <v>3136</v>
      </c>
      <c r="F217" s="23" t="s">
        <v>157</v>
      </c>
      <c r="G217" s="23" t="s">
        <v>39</v>
      </c>
      <c r="H217" s="23">
        <v>49936</v>
      </c>
      <c r="I217" s="23">
        <v>126</v>
      </c>
      <c r="J217" s="23">
        <v>25461</v>
      </c>
      <c r="K217" s="23">
        <v>44751</v>
      </c>
      <c r="L217" s="23">
        <v>13</v>
      </c>
      <c r="M217" s="37">
        <v>2025.7840189999999</v>
      </c>
      <c r="N217" s="31"/>
      <c r="O217" s="32"/>
      <c r="P217" s="38" t="s">
        <v>1372</v>
      </c>
      <c r="Q217" s="39" t="s">
        <v>1374</v>
      </c>
      <c r="R217" s="40">
        <v>2025.7840189999999</v>
      </c>
      <c r="S217" s="29" t="b">
        <f t="shared" si="0"/>
        <v>1</v>
      </c>
      <c r="T217" s="35"/>
    </row>
    <row r="218" spans="1:20">
      <c r="A218" s="22" t="s">
        <v>3137</v>
      </c>
      <c r="B218" s="23" t="s">
        <v>32</v>
      </c>
      <c r="C218" s="23" t="s">
        <v>34</v>
      </c>
      <c r="D218" s="23" t="s">
        <v>3109</v>
      </c>
      <c r="E218" s="36" t="s">
        <v>3138</v>
      </c>
      <c r="F218" s="23" t="s">
        <v>118</v>
      </c>
      <c r="G218" s="23" t="s">
        <v>39</v>
      </c>
      <c r="H218" s="23">
        <v>16288</v>
      </c>
      <c r="I218" s="23">
        <v>56</v>
      </c>
      <c r="J218" s="23">
        <v>5304</v>
      </c>
      <c r="K218" s="23">
        <v>10731</v>
      </c>
      <c r="L218" s="23">
        <v>3</v>
      </c>
      <c r="M218" s="37">
        <v>2030.142709</v>
      </c>
      <c r="N218" s="31"/>
      <c r="O218" s="32"/>
      <c r="P218" s="38" t="s">
        <v>270</v>
      </c>
      <c r="Q218" s="39" t="s">
        <v>273</v>
      </c>
      <c r="R218" s="40">
        <v>2030.142709</v>
      </c>
      <c r="S218" s="29" t="b">
        <f t="shared" si="0"/>
        <v>1</v>
      </c>
      <c r="T218" s="35"/>
    </row>
    <row r="219" spans="1:20">
      <c r="A219" s="22" t="s">
        <v>3139</v>
      </c>
      <c r="B219" s="23" t="s">
        <v>32</v>
      </c>
      <c r="C219" s="23" t="s">
        <v>62</v>
      </c>
      <c r="D219" s="23" t="s">
        <v>3109</v>
      </c>
      <c r="E219" s="36" t="s">
        <v>3140</v>
      </c>
      <c r="F219" s="23" t="s">
        <v>50</v>
      </c>
      <c r="G219" s="23" t="s">
        <v>39</v>
      </c>
      <c r="H219" s="23">
        <v>42833</v>
      </c>
      <c r="I219" s="23">
        <v>120</v>
      </c>
      <c r="J219" s="23">
        <v>37438</v>
      </c>
      <c r="K219" s="23">
        <v>40447</v>
      </c>
      <c r="L219" s="23">
        <v>9</v>
      </c>
      <c r="M219" s="37">
        <v>2040.9348190000001</v>
      </c>
      <c r="N219" s="31"/>
      <c r="O219" s="32"/>
      <c r="P219" s="38" t="s">
        <v>2055</v>
      </c>
      <c r="Q219" s="39" t="s">
        <v>2030</v>
      </c>
      <c r="R219" s="40">
        <v>2040.9348190000001</v>
      </c>
      <c r="S219" s="29" t="b">
        <f t="shared" si="0"/>
        <v>1</v>
      </c>
      <c r="T219" s="35"/>
    </row>
    <row r="220" spans="1:20">
      <c r="A220" s="22" t="s">
        <v>3141</v>
      </c>
      <c r="B220" s="23" t="s">
        <v>44</v>
      </c>
      <c r="C220" s="23" t="s">
        <v>34</v>
      </c>
      <c r="D220" s="23" t="s">
        <v>3109</v>
      </c>
      <c r="E220" s="36" t="s">
        <v>3142</v>
      </c>
      <c r="F220" s="23" t="s">
        <v>50</v>
      </c>
      <c r="G220" s="23" t="s">
        <v>39</v>
      </c>
      <c r="H220" s="23">
        <v>22444</v>
      </c>
      <c r="I220" s="23">
        <v>160</v>
      </c>
      <c r="J220" s="23">
        <v>12672</v>
      </c>
      <c r="K220" s="23">
        <v>21345</v>
      </c>
      <c r="L220" s="23">
        <v>5</v>
      </c>
      <c r="M220" s="37">
        <v>2539.2005629999999</v>
      </c>
      <c r="N220" s="31"/>
      <c r="O220" s="32"/>
      <c r="P220" s="38" t="s">
        <v>673</v>
      </c>
      <c r="Q220" s="39" t="s">
        <v>675</v>
      </c>
      <c r="R220" s="40">
        <v>2539.2005629999999</v>
      </c>
      <c r="S220" s="29" t="b">
        <f t="shared" si="0"/>
        <v>1</v>
      </c>
      <c r="T220" s="35"/>
    </row>
    <row r="221" spans="1:20">
      <c r="A221" s="22" t="s">
        <v>3143</v>
      </c>
      <c r="B221" s="23" t="s">
        <v>123</v>
      </c>
      <c r="C221" s="23" t="s">
        <v>46</v>
      </c>
      <c r="D221" s="23" t="s">
        <v>3109</v>
      </c>
      <c r="E221" s="36" t="s">
        <v>3144</v>
      </c>
      <c r="F221" s="23" t="s">
        <v>74</v>
      </c>
      <c r="G221" s="23" t="s">
        <v>39</v>
      </c>
      <c r="H221" s="23">
        <v>114723</v>
      </c>
      <c r="I221" s="23">
        <v>350</v>
      </c>
      <c r="J221" s="23">
        <v>14623</v>
      </c>
      <c r="K221" s="23">
        <v>92063</v>
      </c>
      <c r="L221" s="23">
        <v>6</v>
      </c>
      <c r="M221" s="37">
        <v>4742.0086369999999</v>
      </c>
      <c r="N221" s="31"/>
      <c r="O221" s="32"/>
      <c r="P221" s="38" t="s">
        <v>1771</v>
      </c>
      <c r="Q221" s="39" t="s">
        <v>911</v>
      </c>
      <c r="R221" s="40">
        <v>4742.0086369999999</v>
      </c>
      <c r="S221" s="29" t="b">
        <f t="shared" si="0"/>
        <v>1</v>
      </c>
      <c r="T221" s="35"/>
    </row>
    <row r="222" spans="1:20">
      <c r="A222" s="22" t="s">
        <v>3145</v>
      </c>
      <c r="B222" s="23" t="s">
        <v>44</v>
      </c>
      <c r="C222" s="23" t="s">
        <v>80</v>
      </c>
      <c r="D222" s="23" t="s">
        <v>3109</v>
      </c>
      <c r="E222" s="36" t="s">
        <v>3146</v>
      </c>
      <c r="F222" s="23" t="s">
        <v>50</v>
      </c>
      <c r="G222" s="23" t="s">
        <v>39</v>
      </c>
      <c r="H222" s="23">
        <v>310255</v>
      </c>
      <c r="I222" s="23">
        <v>970</v>
      </c>
      <c r="J222" s="23">
        <v>105054</v>
      </c>
      <c r="K222" s="23">
        <v>260998</v>
      </c>
      <c r="L222" s="23">
        <v>14</v>
      </c>
      <c r="M222" s="37">
        <v>6057.8567220000004</v>
      </c>
      <c r="N222" s="31"/>
      <c r="O222" s="32"/>
      <c r="P222" s="38" t="s">
        <v>1059</v>
      </c>
      <c r="Q222" s="39" t="s">
        <v>1061</v>
      </c>
      <c r="R222" s="40">
        <v>6057.8567220000004</v>
      </c>
      <c r="S222" s="29" t="b">
        <f t="shared" si="0"/>
        <v>1</v>
      </c>
      <c r="T222" s="35"/>
    </row>
    <row r="223" spans="1:20">
      <c r="A223" s="22" t="s">
        <v>3147</v>
      </c>
      <c r="B223" s="23" t="s">
        <v>44</v>
      </c>
      <c r="C223" s="23" t="s">
        <v>34</v>
      </c>
      <c r="D223" s="23" t="s">
        <v>3109</v>
      </c>
      <c r="E223" s="36" t="s">
        <v>3148</v>
      </c>
      <c r="F223" s="23" t="s">
        <v>2749</v>
      </c>
      <c r="G223" s="23" t="s">
        <v>39</v>
      </c>
      <c r="H223" s="23">
        <v>10501</v>
      </c>
      <c r="I223" s="23">
        <v>90</v>
      </c>
      <c r="J223" s="23">
        <v>4126</v>
      </c>
      <c r="K223" s="23">
        <v>7654</v>
      </c>
      <c r="L223" s="23">
        <v>8</v>
      </c>
      <c r="M223" s="37">
        <v>6244.5179209999997</v>
      </c>
      <c r="N223" s="31"/>
      <c r="O223" s="32"/>
      <c r="P223" s="38" t="s">
        <v>2179</v>
      </c>
      <c r="Q223" s="39" t="s">
        <v>2181</v>
      </c>
      <c r="R223" s="40">
        <v>6244.5179209999997</v>
      </c>
      <c r="S223" s="29" t="b">
        <f t="shared" si="0"/>
        <v>1</v>
      </c>
      <c r="T223" s="35"/>
    </row>
    <row r="224" spans="1:20">
      <c r="A224" s="22" t="s">
        <v>3149</v>
      </c>
      <c r="B224" s="23" t="s">
        <v>44</v>
      </c>
      <c r="C224" s="23" t="s">
        <v>62</v>
      </c>
      <c r="D224" s="23" t="s">
        <v>3109</v>
      </c>
      <c r="E224" s="36" t="s">
        <v>3150</v>
      </c>
      <c r="F224" s="23" t="s">
        <v>74</v>
      </c>
      <c r="G224" s="23" t="s">
        <v>75</v>
      </c>
      <c r="H224" s="23">
        <v>48562</v>
      </c>
      <c r="I224" s="23">
        <v>150</v>
      </c>
      <c r="J224" s="23">
        <v>29108</v>
      </c>
      <c r="K224" s="23">
        <v>45570</v>
      </c>
      <c r="L224" s="23">
        <v>11</v>
      </c>
      <c r="M224" s="37">
        <v>6346.6330239999998</v>
      </c>
      <c r="N224" s="31"/>
      <c r="O224" s="32"/>
      <c r="P224" s="38" t="s">
        <v>1571</v>
      </c>
      <c r="Q224" s="39" t="s">
        <v>1573</v>
      </c>
      <c r="R224" s="40">
        <v>6346.6330239999998</v>
      </c>
      <c r="S224" s="29" t="b">
        <f t="shared" si="0"/>
        <v>1</v>
      </c>
      <c r="T224" s="35"/>
    </row>
    <row r="225" spans="1:20">
      <c r="A225" s="22" t="s">
        <v>3151</v>
      </c>
      <c r="B225" s="23" t="s">
        <v>44</v>
      </c>
      <c r="C225" s="23" t="s">
        <v>46</v>
      </c>
      <c r="D225" s="23" t="s">
        <v>3109</v>
      </c>
      <c r="E225" s="36" t="s">
        <v>3152</v>
      </c>
      <c r="F225" s="23" t="s">
        <v>3153</v>
      </c>
      <c r="G225" s="23" t="s">
        <v>75</v>
      </c>
      <c r="H225" s="23">
        <v>30460</v>
      </c>
      <c r="I225" s="23">
        <v>95</v>
      </c>
      <c r="J225" s="23">
        <v>21830</v>
      </c>
      <c r="K225" s="23">
        <v>27750</v>
      </c>
      <c r="L225" s="23">
        <v>25</v>
      </c>
      <c r="M225" s="37">
        <v>6643.9665420000001</v>
      </c>
      <c r="N225" s="31"/>
      <c r="O225" s="32"/>
      <c r="P225" s="38" t="s">
        <v>1644</v>
      </c>
      <c r="Q225" s="39" t="s">
        <v>607</v>
      </c>
      <c r="R225" s="40">
        <v>6643.9665420000001</v>
      </c>
      <c r="S225" s="29" t="b">
        <f t="shared" si="0"/>
        <v>1</v>
      </c>
      <c r="T225" s="35"/>
    </row>
    <row r="226" spans="1:20">
      <c r="A226" s="22" t="s">
        <v>3154</v>
      </c>
      <c r="B226" s="23" t="s">
        <v>32</v>
      </c>
      <c r="C226" s="23" t="s">
        <v>80</v>
      </c>
      <c r="D226" s="23" t="s">
        <v>3109</v>
      </c>
      <c r="E226" s="36" t="s">
        <v>3155</v>
      </c>
      <c r="F226" s="23" t="s">
        <v>118</v>
      </c>
      <c r="G226" s="23" t="s">
        <v>39</v>
      </c>
      <c r="H226" s="23">
        <v>41513</v>
      </c>
      <c r="I226" s="23">
        <v>113</v>
      </c>
      <c r="J226" s="23">
        <v>20872</v>
      </c>
      <c r="K226" s="23">
        <v>39250</v>
      </c>
      <c r="L226" s="23">
        <v>9</v>
      </c>
      <c r="M226" s="37">
        <v>6789.5334009999997</v>
      </c>
      <c r="N226" s="31"/>
      <c r="O226" s="32"/>
      <c r="P226" s="38" t="s">
        <v>1462</v>
      </c>
      <c r="Q226" s="39" t="s">
        <v>147</v>
      </c>
      <c r="R226" s="40">
        <v>6789.5334009999997</v>
      </c>
      <c r="S226" s="29" t="b">
        <f t="shared" si="0"/>
        <v>1</v>
      </c>
      <c r="T226" s="35"/>
    </row>
    <row r="227" spans="1:20">
      <c r="A227" s="22" t="s">
        <v>3156</v>
      </c>
      <c r="B227" s="23" t="s">
        <v>44</v>
      </c>
      <c r="C227" s="23" t="s">
        <v>80</v>
      </c>
      <c r="D227" s="23" t="s">
        <v>3109</v>
      </c>
      <c r="E227" s="36" t="s">
        <v>3157</v>
      </c>
      <c r="F227" s="23" t="s">
        <v>186</v>
      </c>
      <c r="G227" s="23" t="s">
        <v>64</v>
      </c>
      <c r="H227" s="23">
        <v>123430</v>
      </c>
      <c r="I227" s="23">
        <v>360</v>
      </c>
      <c r="J227" s="23">
        <v>45294</v>
      </c>
      <c r="K227" s="23">
        <v>77646</v>
      </c>
      <c r="L227" s="23">
        <v>15</v>
      </c>
      <c r="M227" s="37">
        <v>6808.5625840000002</v>
      </c>
      <c r="N227" s="31"/>
      <c r="O227" s="32"/>
      <c r="P227" s="38" t="s">
        <v>2277</v>
      </c>
      <c r="Q227" s="39" t="s">
        <v>2157</v>
      </c>
      <c r="R227" s="40">
        <v>6808.5625840000002</v>
      </c>
      <c r="S227" s="29" t="b">
        <f t="shared" si="0"/>
        <v>1</v>
      </c>
      <c r="T227" s="35"/>
    </row>
    <row r="228" spans="1:20">
      <c r="A228" s="22" t="s">
        <v>3158</v>
      </c>
      <c r="B228" s="23" t="s">
        <v>32</v>
      </c>
      <c r="C228" s="23" t="s">
        <v>46</v>
      </c>
      <c r="D228" s="23" t="s">
        <v>3109</v>
      </c>
      <c r="E228" s="36" t="s">
        <v>3159</v>
      </c>
      <c r="F228" s="23" t="s">
        <v>50</v>
      </c>
      <c r="G228" s="23" t="s">
        <v>39</v>
      </c>
      <c r="H228" s="23">
        <v>17582</v>
      </c>
      <c r="I228" s="23">
        <v>56</v>
      </c>
      <c r="J228" s="23">
        <v>9848</v>
      </c>
      <c r="K228" s="23">
        <v>16558</v>
      </c>
      <c r="L228" s="23">
        <v>12</v>
      </c>
      <c r="M228" s="37">
        <v>6846.4479149999997</v>
      </c>
      <c r="N228" s="31"/>
      <c r="O228" s="32"/>
      <c r="P228" s="38" t="s">
        <v>1315</v>
      </c>
      <c r="Q228" s="39" t="s">
        <v>483</v>
      </c>
      <c r="R228" s="40">
        <v>6846.4479149999997</v>
      </c>
      <c r="S228" s="29" t="b">
        <f t="shared" si="0"/>
        <v>1</v>
      </c>
      <c r="T228" s="35"/>
    </row>
    <row r="229" spans="1:20">
      <c r="A229" s="22" t="s">
        <v>3160</v>
      </c>
      <c r="B229" s="23" t="s">
        <v>32</v>
      </c>
      <c r="C229" s="23" t="s">
        <v>46</v>
      </c>
      <c r="D229" s="23" t="s">
        <v>3109</v>
      </c>
      <c r="E229" s="36" t="s">
        <v>3161</v>
      </c>
      <c r="F229" s="23" t="s">
        <v>50</v>
      </c>
      <c r="G229" s="23" t="s">
        <v>39</v>
      </c>
      <c r="H229" s="23">
        <v>12161</v>
      </c>
      <c r="I229" s="23">
        <v>20</v>
      </c>
      <c r="J229" s="23">
        <v>6284</v>
      </c>
      <c r="K229" s="23">
        <v>10919</v>
      </c>
      <c r="L229" s="23">
        <v>4</v>
      </c>
      <c r="M229" s="37">
        <v>7273.2659880000001</v>
      </c>
      <c r="N229" s="31"/>
      <c r="O229" s="32"/>
      <c r="P229" s="38" t="s">
        <v>2233</v>
      </c>
      <c r="Q229" s="39" t="s">
        <v>1986</v>
      </c>
      <c r="R229" s="40">
        <v>7273.2659880000001</v>
      </c>
      <c r="S229" s="29" t="b">
        <f t="shared" si="0"/>
        <v>1</v>
      </c>
      <c r="T229" s="35"/>
    </row>
    <row r="230" spans="1:20">
      <c r="A230" s="22" t="s">
        <v>3162</v>
      </c>
      <c r="B230" s="23" t="s">
        <v>32</v>
      </c>
      <c r="C230" s="23" t="s">
        <v>62</v>
      </c>
      <c r="D230" s="23" t="s">
        <v>3163</v>
      </c>
      <c r="E230" s="36" t="s">
        <v>3164</v>
      </c>
      <c r="F230" s="23" t="s">
        <v>131</v>
      </c>
      <c r="G230" s="23" t="s">
        <v>39</v>
      </c>
      <c r="H230" s="23">
        <v>19829</v>
      </c>
      <c r="I230" s="23">
        <v>42</v>
      </c>
      <c r="J230" s="23">
        <v>15071</v>
      </c>
      <c r="K230" s="23">
        <v>19095</v>
      </c>
      <c r="L230" s="23">
        <v>2</v>
      </c>
      <c r="M230" s="37">
        <v>1952.4637729999999</v>
      </c>
      <c r="N230" s="31"/>
      <c r="O230" s="32"/>
      <c r="P230" s="38" t="s">
        <v>2108</v>
      </c>
      <c r="Q230" s="39" t="s">
        <v>598</v>
      </c>
      <c r="R230" s="40">
        <v>1952.4637729999999</v>
      </c>
      <c r="S230" s="29" t="b">
        <f t="shared" si="0"/>
        <v>1</v>
      </c>
      <c r="T230" s="35"/>
    </row>
    <row r="231" spans="1:20">
      <c r="A231" s="22" t="s">
        <v>3165</v>
      </c>
      <c r="B231" s="23" t="s">
        <v>32</v>
      </c>
      <c r="C231" s="23" t="s">
        <v>80</v>
      </c>
      <c r="D231" s="23" t="s">
        <v>3166</v>
      </c>
      <c r="E231" s="36" t="s">
        <v>3167</v>
      </c>
      <c r="F231" s="23" t="s">
        <v>186</v>
      </c>
      <c r="G231" s="23" t="s">
        <v>39</v>
      </c>
      <c r="H231" s="23">
        <v>16227</v>
      </c>
      <c r="I231" s="23">
        <v>40</v>
      </c>
      <c r="J231" s="23">
        <v>9438</v>
      </c>
      <c r="K231" s="23">
        <v>15611</v>
      </c>
      <c r="L231" s="23">
        <v>3</v>
      </c>
      <c r="M231" s="37">
        <v>1991.9438399999999</v>
      </c>
      <c r="N231" s="31"/>
      <c r="O231" s="32"/>
      <c r="P231" s="38" t="s">
        <v>1824</v>
      </c>
      <c r="Q231" s="39" t="s">
        <v>1680</v>
      </c>
      <c r="R231" s="40">
        <v>1991.9438399999999</v>
      </c>
      <c r="S231" s="29" t="b">
        <f t="shared" si="0"/>
        <v>1</v>
      </c>
      <c r="T231" s="35"/>
    </row>
    <row r="232" spans="1:20">
      <c r="A232" s="22" t="s">
        <v>3168</v>
      </c>
      <c r="B232" s="23" t="s">
        <v>32</v>
      </c>
      <c r="C232" s="23" t="s">
        <v>46</v>
      </c>
      <c r="D232" s="23" t="s">
        <v>3166</v>
      </c>
      <c r="E232" s="36" t="s">
        <v>3169</v>
      </c>
      <c r="F232" s="23" t="s">
        <v>50</v>
      </c>
      <c r="G232" s="23" t="s">
        <v>39</v>
      </c>
      <c r="H232" s="23">
        <v>14509</v>
      </c>
      <c r="I232" s="23">
        <v>90</v>
      </c>
      <c r="J232" s="23">
        <v>866</v>
      </c>
      <c r="K232" s="23">
        <v>13268</v>
      </c>
      <c r="L232" s="23">
        <v>8</v>
      </c>
      <c r="M232" s="37">
        <v>5521.1891299999997</v>
      </c>
      <c r="N232" s="31"/>
      <c r="O232" s="32"/>
      <c r="P232" s="38" t="s">
        <v>355</v>
      </c>
      <c r="Q232" s="39" t="s">
        <v>357</v>
      </c>
      <c r="R232" s="40">
        <v>5521.1891299999997</v>
      </c>
      <c r="S232" s="29" t="b">
        <f t="shared" si="0"/>
        <v>1</v>
      </c>
      <c r="T232" s="35"/>
    </row>
    <row r="233" spans="1:20">
      <c r="A233" s="22" t="s">
        <v>3170</v>
      </c>
      <c r="B233" s="23" t="s">
        <v>32</v>
      </c>
      <c r="C233" s="23" t="s">
        <v>80</v>
      </c>
      <c r="D233" s="23" t="s">
        <v>3171</v>
      </c>
      <c r="E233" s="36" t="s">
        <v>3172</v>
      </c>
      <c r="F233" s="23" t="s">
        <v>2749</v>
      </c>
      <c r="G233" s="23" t="s">
        <v>39</v>
      </c>
      <c r="H233" s="23">
        <v>171575</v>
      </c>
      <c r="I233" s="23">
        <v>499</v>
      </c>
      <c r="J233" s="23">
        <v>101487</v>
      </c>
      <c r="K233" s="23">
        <v>136036</v>
      </c>
      <c r="L233" s="23">
        <v>8</v>
      </c>
      <c r="M233" s="37">
        <v>1658.3324259999999</v>
      </c>
      <c r="N233" s="31"/>
      <c r="O233" s="32"/>
      <c r="P233" s="38" t="s">
        <v>223</v>
      </c>
      <c r="Q233" s="39" t="s">
        <v>226</v>
      </c>
      <c r="R233" s="40">
        <v>1658.3324259999999</v>
      </c>
      <c r="S233" s="29" t="b">
        <f t="shared" si="0"/>
        <v>1</v>
      </c>
      <c r="T233" s="35"/>
    </row>
    <row r="234" spans="1:20">
      <c r="A234" s="22" t="s">
        <v>3173</v>
      </c>
      <c r="B234" s="23" t="s">
        <v>32</v>
      </c>
      <c r="C234" s="23" t="s">
        <v>80</v>
      </c>
      <c r="D234" s="23" t="s">
        <v>3171</v>
      </c>
      <c r="E234" s="36" t="s">
        <v>3174</v>
      </c>
      <c r="F234" s="23" t="s">
        <v>103</v>
      </c>
      <c r="G234" s="23" t="s">
        <v>39</v>
      </c>
      <c r="H234" s="23">
        <v>19549</v>
      </c>
      <c r="I234" s="23">
        <v>84</v>
      </c>
      <c r="J234" s="23">
        <v>6187</v>
      </c>
      <c r="K234" s="23">
        <v>17166</v>
      </c>
      <c r="L234" s="23">
        <v>2</v>
      </c>
      <c r="M234" s="37">
        <v>1844.9869209999999</v>
      </c>
      <c r="N234" s="31"/>
      <c r="O234" s="32"/>
      <c r="P234" s="38" t="s">
        <v>1902</v>
      </c>
      <c r="Q234" s="39" t="s">
        <v>1904</v>
      </c>
      <c r="R234" s="40">
        <v>1844.9869209999999</v>
      </c>
      <c r="S234" s="29" t="b">
        <f t="shared" si="0"/>
        <v>1</v>
      </c>
      <c r="T234" s="35"/>
    </row>
    <row r="235" spans="1:20">
      <c r="A235" s="22" t="s">
        <v>3175</v>
      </c>
      <c r="B235" s="23" t="s">
        <v>32</v>
      </c>
      <c r="C235" s="23" t="s">
        <v>62</v>
      </c>
      <c r="D235" s="23" t="s">
        <v>3171</v>
      </c>
      <c r="E235" s="36" t="s">
        <v>3176</v>
      </c>
      <c r="F235" s="23" t="s">
        <v>103</v>
      </c>
      <c r="G235" s="23" t="s">
        <v>39</v>
      </c>
      <c r="H235" s="23">
        <v>69523</v>
      </c>
      <c r="I235" s="23">
        <v>174</v>
      </c>
      <c r="J235" s="23">
        <v>48273</v>
      </c>
      <c r="K235" s="23">
        <v>65800</v>
      </c>
      <c r="L235" s="23">
        <v>9</v>
      </c>
      <c r="M235" s="37">
        <v>2649.9978030000002</v>
      </c>
      <c r="N235" s="31"/>
      <c r="O235" s="32"/>
      <c r="P235" s="38" t="s">
        <v>394</v>
      </c>
      <c r="Q235" s="39" t="s">
        <v>397</v>
      </c>
      <c r="R235" s="40">
        <v>2649.9978030000002</v>
      </c>
      <c r="S235" s="29" t="b">
        <f t="shared" si="0"/>
        <v>1</v>
      </c>
      <c r="T235" s="35"/>
    </row>
    <row r="236" spans="1:20">
      <c r="A236" s="22" t="s">
        <v>3177</v>
      </c>
      <c r="B236" s="23" t="s">
        <v>32</v>
      </c>
      <c r="C236" s="23" t="s">
        <v>62</v>
      </c>
      <c r="D236" s="23" t="s">
        <v>3171</v>
      </c>
      <c r="E236" s="36" t="s">
        <v>3178</v>
      </c>
      <c r="F236" s="23" t="s">
        <v>50</v>
      </c>
      <c r="G236" s="23" t="s">
        <v>39</v>
      </c>
      <c r="H236" s="23">
        <v>109709</v>
      </c>
      <c r="I236" s="23">
        <v>278</v>
      </c>
      <c r="J236" s="23">
        <v>3064</v>
      </c>
      <c r="K236" s="23">
        <v>15428</v>
      </c>
      <c r="L236" s="23">
        <v>20</v>
      </c>
      <c r="M236" s="37">
        <v>5409.0839550000001</v>
      </c>
      <c r="N236" s="31"/>
      <c r="O236" s="32"/>
      <c r="P236" s="38" t="s">
        <v>1366</v>
      </c>
      <c r="Q236" s="39" t="s">
        <v>1368</v>
      </c>
      <c r="R236" s="40">
        <v>5409.0839550000001</v>
      </c>
      <c r="S236" s="29" t="b">
        <f t="shared" si="0"/>
        <v>1</v>
      </c>
      <c r="T236" s="35"/>
    </row>
    <row r="237" spans="1:20">
      <c r="A237" s="22" t="s">
        <v>3179</v>
      </c>
      <c r="B237" s="23" t="s">
        <v>32</v>
      </c>
      <c r="C237" s="23" t="s">
        <v>34</v>
      </c>
      <c r="D237" s="23" t="s">
        <v>3180</v>
      </c>
      <c r="E237" s="36" t="s">
        <v>3181</v>
      </c>
      <c r="F237" s="23" t="s">
        <v>50</v>
      </c>
      <c r="G237" s="23" t="s">
        <v>39</v>
      </c>
      <c r="H237" s="23">
        <v>54134</v>
      </c>
      <c r="I237" s="23">
        <v>155</v>
      </c>
      <c r="J237" s="23">
        <v>37418</v>
      </c>
      <c r="K237" s="23">
        <v>51299</v>
      </c>
      <c r="L237" s="23">
        <v>4</v>
      </c>
      <c r="M237" s="37">
        <v>1502.01775</v>
      </c>
      <c r="N237" s="31"/>
      <c r="O237" s="32"/>
      <c r="P237" s="38" t="s">
        <v>1969</v>
      </c>
      <c r="Q237" s="39" t="s">
        <v>1292</v>
      </c>
      <c r="R237" s="40">
        <v>1502.01775</v>
      </c>
      <c r="S237" s="29" t="b">
        <f t="shared" si="0"/>
        <v>1</v>
      </c>
      <c r="T237" s="35"/>
    </row>
    <row r="238" spans="1:20">
      <c r="A238" s="22" t="s">
        <v>3182</v>
      </c>
      <c r="B238" s="23" t="s">
        <v>32</v>
      </c>
      <c r="C238" s="23" t="s">
        <v>46</v>
      </c>
      <c r="D238" s="23" t="s">
        <v>3180</v>
      </c>
      <c r="E238" s="36" t="s">
        <v>3183</v>
      </c>
      <c r="F238" s="23" t="s">
        <v>703</v>
      </c>
      <c r="G238" s="23" t="s">
        <v>39</v>
      </c>
      <c r="H238" s="23">
        <v>16956</v>
      </c>
      <c r="I238" s="23">
        <v>65</v>
      </c>
      <c r="J238" s="23">
        <v>7553</v>
      </c>
      <c r="K238" s="23">
        <v>15201</v>
      </c>
      <c r="L238" s="23">
        <v>3</v>
      </c>
      <c r="M238" s="37">
        <v>1502.6801390000001</v>
      </c>
      <c r="N238" s="31"/>
      <c r="O238" s="32"/>
      <c r="P238" s="38" t="s">
        <v>699</v>
      </c>
      <c r="Q238" s="39" t="s">
        <v>701</v>
      </c>
      <c r="R238" s="40">
        <v>1502.6801390000001</v>
      </c>
      <c r="S238" s="29" t="b">
        <f t="shared" si="0"/>
        <v>1</v>
      </c>
      <c r="T238" s="35"/>
    </row>
    <row r="239" spans="1:20">
      <c r="A239" s="22" t="s">
        <v>3184</v>
      </c>
      <c r="B239" s="23" t="s">
        <v>32</v>
      </c>
      <c r="C239" s="23" t="s">
        <v>80</v>
      </c>
      <c r="D239" s="23" t="s">
        <v>3180</v>
      </c>
      <c r="E239" s="36" t="s">
        <v>3185</v>
      </c>
      <c r="F239" s="23" t="s">
        <v>103</v>
      </c>
      <c r="G239" s="23" t="s">
        <v>39</v>
      </c>
      <c r="H239" s="23">
        <v>13466</v>
      </c>
      <c r="I239" s="23">
        <v>150</v>
      </c>
      <c r="J239" s="23">
        <v>8684</v>
      </c>
      <c r="K239" s="23">
        <v>11766</v>
      </c>
      <c r="L239" s="23">
        <v>1</v>
      </c>
      <c r="M239" s="37">
        <v>1527.1762739999999</v>
      </c>
      <c r="N239" s="31"/>
      <c r="O239" s="32"/>
      <c r="P239" s="38" t="s">
        <v>1915</v>
      </c>
      <c r="Q239" s="39" t="s">
        <v>1917</v>
      </c>
      <c r="R239" s="40">
        <v>1527.1762739999999</v>
      </c>
      <c r="S239" s="29" t="b">
        <f t="shared" si="0"/>
        <v>1</v>
      </c>
      <c r="T239" s="35"/>
    </row>
    <row r="240" spans="1:20">
      <c r="A240" s="22" t="s">
        <v>3186</v>
      </c>
      <c r="B240" s="23" t="s">
        <v>44</v>
      </c>
      <c r="C240" s="23" t="s">
        <v>62</v>
      </c>
      <c r="D240" s="23" t="s">
        <v>3180</v>
      </c>
      <c r="E240" s="36" t="s">
        <v>3187</v>
      </c>
      <c r="F240" s="23" t="s">
        <v>103</v>
      </c>
      <c r="G240" s="23" t="s">
        <v>39</v>
      </c>
      <c r="H240" s="23">
        <v>9790</v>
      </c>
      <c r="I240" s="23">
        <v>24</v>
      </c>
      <c r="J240" s="23">
        <v>1295</v>
      </c>
      <c r="K240" s="23">
        <v>9196</v>
      </c>
      <c r="L240" s="23">
        <v>2</v>
      </c>
      <c r="M240" s="37">
        <v>1532.1488810000001</v>
      </c>
      <c r="N240" s="31"/>
      <c r="O240" s="32"/>
      <c r="P240" s="38" t="s">
        <v>197</v>
      </c>
      <c r="Q240" s="39" t="s">
        <v>201</v>
      </c>
      <c r="R240" s="40">
        <v>1532.1488810000001</v>
      </c>
      <c r="S240" s="29" t="b">
        <f t="shared" si="0"/>
        <v>1</v>
      </c>
      <c r="T240" s="35"/>
    </row>
    <row r="241" spans="1:20">
      <c r="A241" s="22" t="s">
        <v>3188</v>
      </c>
      <c r="B241" s="23" t="s">
        <v>44</v>
      </c>
      <c r="C241" s="23" t="s">
        <v>62</v>
      </c>
      <c r="D241" s="23" t="s">
        <v>3180</v>
      </c>
      <c r="E241" s="36" t="s">
        <v>3189</v>
      </c>
      <c r="F241" s="23" t="s">
        <v>103</v>
      </c>
      <c r="G241" s="23" t="s">
        <v>75</v>
      </c>
      <c r="H241" s="23">
        <v>74436</v>
      </c>
      <c r="I241" s="23">
        <v>175</v>
      </c>
      <c r="J241" s="23">
        <v>30158</v>
      </c>
      <c r="K241" s="23">
        <v>69150</v>
      </c>
      <c r="L241" s="23">
        <v>21</v>
      </c>
      <c r="M241" s="37">
        <v>1558.5491380000001</v>
      </c>
      <c r="N241" s="31"/>
      <c r="O241" s="32"/>
      <c r="P241" s="38" t="s">
        <v>1377</v>
      </c>
      <c r="Q241" s="39" t="s">
        <v>1139</v>
      </c>
      <c r="R241" s="40">
        <v>1558.5491380000001</v>
      </c>
      <c r="S241" s="29" t="b">
        <f t="shared" si="0"/>
        <v>1</v>
      </c>
      <c r="T241" s="35"/>
    </row>
    <row r="242" spans="1:20">
      <c r="A242" s="22" t="s">
        <v>3190</v>
      </c>
      <c r="B242" s="23" t="s">
        <v>32</v>
      </c>
      <c r="C242" s="23" t="s">
        <v>80</v>
      </c>
      <c r="D242" s="23" t="s">
        <v>3180</v>
      </c>
      <c r="E242" s="36" t="s">
        <v>3191</v>
      </c>
      <c r="F242" s="23" t="s">
        <v>50</v>
      </c>
      <c r="G242" s="23" t="s">
        <v>39</v>
      </c>
      <c r="H242" s="23">
        <v>304377</v>
      </c>
      <c r="I242" s="23">
        <v>801</v>
      </c>
      <c r="J242" s="23">
        <v>27519</v>
      </c>
      <c r="K242" s="23">
        <v>270098</v>
      </c>
      <c r="L242" s="23">
        <v>63</v>
      </c>
      <c r="M242" s="37">
        <v>1595.48714</v>
      </c>
      <c r="N242" s="31"/>
      <c r="O242" s="32"/>
      <c r="P242" s="38" t="s">
        <v>618</v>
      </c>
      <c r="Q242" s="39" t="s">
        <v>457</v>
      </c>
      <c r="R242" s="40">
        <v>1595.48714</v>
      </c>
      <c r="S242" s="29" t="b">
        <f t="shared" si="0"/>
        <v>1</v>
      </c>
      <c r="T242" s="35"/>
    </row>
    <row r="243" spans="1:20">
      <c r="A243" s="22" t="s">
        <v>3192</v>
      </c>
      <c r="B243" s="23" t="s">
        <v>44</v>
      </c>
      <c r="C243" s="23" t="s">
        <v>62</v>
      </c>
      <c r="D243" s="23" t="s">
        <v>3180</v>
      </c>
      <c r="E243" s="36" t="s">
        <v>3193</v>
      </c>
      <c r="F243" s="23" t="s">
        <v>131</v>
      </c>
      <c r="G243" s="23" t="s">
        <v>39</v>
      </c>
      <c r="H243" s="23">
        <v>188170</v>
      </c>
      <c r="I243" s="23">
        <v>490</v>
      </c>
      <c r="J243" s="23">
        <v>155266</v>
      </c>
      <c r="K243" s="23">
        <v>176562</v>
      </c>
      <c r="L243" s="23">
        <v>6</v>
      </c>
      <c r="M243" s="37">
        <v>1599.7150690000001</v>
      </c>
      <c r="N243" s="31"/>
      <c r="O243" s="32"/>
      <c r="P243" s="38" t="s">
        <v>2175</v>
      </c>
      <c r="Q243" s="39" t="s">
        <v>1588</v>
      </c>
      <c r="R243" s="40">
        <v>1599.7150690000001</v>
      </c>
      <c r="S243" s="29" t="b">
        <f t="shared" si="0"/>
        <v>1</v>
      </c>
      <c r="T243" s="35"/>
    </row>
    <row r="244" spans="1:20">
      <c r="A244" s="22" t="s">
        <v>3194</v>
      </c>
      <c r="B244" s="23" t="s">
        <v>32</v>
      </c>
      <c r="C244" s="23" t="s">
        <v>62</v>
      </c>
      <c r="D244" s="23" t="s">
        <v>3180</v>
      </c>
      <c r="E244" s="36" t="s">
        <v>3195</v>
      </c>
      <c r="F244" s="23" t="s">
        <v>50</v>
      </c>
      <c r="G244" s="23" t="s">
        <v>39</v>
      </c>
      <c r="H244" s="23">
        <v>52582</v>
      </c>
      <c r="I244" s="23">
        <v>140</v>
      </c>
      <c r="J244" s="23">
        <v>22065</v>
      </c>
      <c r="K244" s="23">
        <v>46126</v>
      </c>
      <c r="L244" s="23">
        <v>10</v>
      </c>
      <c r="M244" s="37">
        <v>1631.741712</v>
      </c>
      <c r="N244" s="31"/>
      <c r="O244" s="32"/>
      <c r="P244" s="38" t="s">
        <v>1700</v>
      </c>
      <c r="Q244" s="39" t="s">
        <v>1673</v>
      </c>
      <c r="R244" s="40">
        <v>1631.741712</v>
      </c>
      <c r="S244" s="29" t="b">
        <f t="shared" si="0"/>
        <v>1</v>
      </c>
      <c r="T244" s="35"/>
    </row>
    <row r="245" spans="1:20">
      <c r="A245" s="22" t="s">
        <v>3196</v>
      </c>
      <c r="B245" s="23" t="s">
        <v>44</v>
      </c>
      <c r="C245" s="23" t="s">
        <v>80</v>
      </c>
      <c r="D245" s="23" t="s">
        <v>3180</v>
      </c>
      <c r="E245" s="36" t="s">
        <v>3197</v>
      </c>
      <c r="F245" s="23" t="s">
        <v>186</v>
      </c>
      <c r="G245" s="23" t="s">
        <v>39</v>
      </c>
      <c r="H245" s="23">
        <v>15033</v>
      </c>
      <c r="I245" s="23">
        <v>76</v>
      </c>
      <c r="J245" s="23">
        <v>5495</v>
      </c>
      <c r="K245" s="23">
        <v>7050</v>
      </c>
      <c r="L245" s="23">
        <v>3</v>
      </c>
      <c r="M245" s="37">
        <v>1650.7230099999999</v>
      </c>
      <c r="N245" s="31"/>
      <c r="O245" s="32"/>
      <c r="P245" s="38" t="s">
        <v>932</v>
      </c>
      <c r="Q245" s="39" t="s">
        <v>935</v>
      </c>
      <c r="R245" s="40">
        <v>1650.7230099999999</v>
      </c>
      <c r="S245" s="29" t="b">
        <f t="shared" si="0"/>
        <v>1</v>
      </c>
      <c r="T245" s="35"/>
    </row>
    <row r="246" spans="1:20">
      <c r="A246" s="22" t="s">
        <v>3198</v>
      </c>
      <c r="B246" s="23" t="s">
        <v>32</v>
      </c>
      <c r="C246" s="23" t="s">
        <v>46</v>
      </c>
      <c r="D246" s="23" t="s">
        <v>3180</v>
      </c>
      <c r="E246" s="36" t="s">
        <v>3199</v>
      </c>
      <c r="F246" s="23" t="s">
        <v>186</v>
      </c>
      <c r="G246" s="23" t="s">
        <v>39</v>
      </c>
      <c r="H246" s="23">
        <v>21903</v>
      </c>
      <c r="I246" s="23">
        <v>124</v>
      </c>
      <c r="J246" s="23">
        <v>18831</v>
      </c>
      <c r="K246" s="23">
        <v>20922</v>
      </c>
      <c r="L246" s="23">
        <v>4</v>
      </c>
      <c r="M246" s="37">
        <v>1661.167909</v>
      </c>
      <c r="N246" s="31"/>
      <c r="O246" s="32"/>
      <c r="P246" s="38" t="s">
        <v>1039</v>
      </c>
      <c r="Q246" s="39" t="s">
        <v>1041</v>
      </c>
      <c r="R246" s="40">
        <v>1661.167909</v>
      </c>
      <c r="S246" s="29" t="b">
        <f t="shared" si="0"/>
        <v>1</v>
      </c>
      <c r="T246" s="35"/>
    </row>
    <row r="247" spans="1:20">
      <c r="A247" s="22" t="s">
        <v>3200</v>
      </c>
      <c r="B247" s="23" t="s">
        <v>44</v>
      </c>
      <c r="C247" s="23" t="s">
        <v>34</v>
      </c>
      <c r="D247" s="23" t="s">
        <v>3180</v>
      </c>
      <c r="E247" s="36" t="s">
        <v>3201</v>
      </c>
      <c r="F247" s="23" t="s">
        <v>50</v>
      </c>
      <c r="G247" s="23" t="s">
        <v>64</v>
      </c>
      <c r="H247" s="23">
        <v>7470</v>
      </c>
      <c r="I247" s="23">
        <v>0</v>
      </c>
      <c r="J247" s="23">
        <v>6753</v>
      </c>
      <c r="K247" s="23">
        <v>7229</v>
      </c>
      <c r="L247" s="23">
        <v>1</v>
      </c>
      <c r="M247" s="37">
        <v>1738.9952820000001</v>
      </c>
      <c r="N247" s="31"/>
      <c r="O247" s="32"/>
      <c r="P247" s="38" t="s">
        <v>3202</v>
      </c>
      <c r="Q247" s="39" t="s">
        <v>2287</v>
      </c>
      <c r="R247" s="40">
        <v>1738.9952820000001</v>
      </c>
      <c r="S247" s="29" t="b">
        <f t="shared" si="0"/>
        <v>1</v>
      </c>
      <c r="T247" s="35"/>
    </row>
    <row r="248" spans="1:20">
      <c r="A248" s="22" t="s">
        <v>3203</v>
      </c>
      <c r="B248" s="23" t="s">
        <v>32</v>
      </c>
      <c r="C248" s="23" t="s">
        <v>34</v>
      </c>
      <c r="D248" s="23" t="s">
        <v>3180</v>
      </c>
      <c r="E248" s="36" t="s">
        <v>3204</v>
      </c>
      <c r="F248" s="23" t="s">
        <v>725</v>
      </c>
      <c r="G248" s="23" t="s">
        <v>39</v>
      </c>
      <c r="H248" s="23">
        <v>22175</v>
      </c>
      <c r="I248" s="23">
        <v>140</v>
      </c>
      <c r="J248" s="23">
        <v>14910</v>
      </c>
      <c r="K248" s="23">
        <v>20074</v>
      </c>
      <c r="L248" s="23">
        <v>6</v>
      </c>
      <c r="M248" s="37">
        <v>1909.2774830000001</v>
      </c>
      <c r="N248" s="31"/>
      <c r="O248" s="32"/>
      <c r="P248" s="38" t="s">
        <v>1379</v>
      </c>
      <c r="Q248" s="39" t="s">
        <v>180</v>
      </c>
      <c r="R248" s="40">
        <v>1909.2774830000001</v>
      </c>
      <c r="S248" s="29" t="b">
        <f t="shared" si="0"/>
        <v>1</v>
      </c>
      <c r="T248" s="35"/>
    </row>
    <row r="249" spans="1:20">
      <c r="A249" s="22" t="s">
        <v>3205</v>
      </c>
      <c r="B249" s="23" t="s">
        <v>44</v>
      </c>
      <c r="C249" s="23" t="s">
        <v>80</v>
      </c>
      <c r="D249" s="23" t="s">
        <v>3180</v>
      </c>
      <c r="E249" s="36" t="s">
        <v>3206</v>
      </c>
      <c r="F249" s="23" t="s">
        <v>50</v>
      </c>
      <c r="G249" s="23" t="s">
        <v>75</v>
      </c>
      <c r="H249" s="23">
        <v>56737</v>
      </c>
      <c r="I249" s="23">
        <v>145</v>
      </c>
      <c r="J249" s="23">
        <v>41296</v>
      </c>
      <c r="K249" s="23">
        <v>53472</v>
      </c>
      <c r="L249" s="23">
        <v>5</v>
      </c>
      <c r="M249" s="37">
        <v>2028.370144</v>
      </c>
      <c r="N249" s="31"/>
      <c r="O249" s="32"/>
      <c r="P249" s="38" t="s">
        <v>1446</v>
      </c>
      <c r="Q249" s="39" t="s">
        <v>1449</v>
      </c>
      <c r="R249" s="40">
        <v>2028.370144</v>
      </c>
      <c r="S249" s="29" t="b">
        <f t="shared" si="0"/>
        <v>1</v>
      </c>
      <c r="T249" s="35"/>
    </row>
    <row r="250" spans="1:20">
      <c r="A250" s="22" t="s">
        <v>3207</v>
      </c>
      <c r="B250" s="23" t="s">
        <v>32</v>
      </c>
      <c r="C250" s="23" t="s">
        <v>46</v>
      </c>
      <c r="D250" s="23" t="s">
        <v>3180</v>
      </c>
      <c r="E250" s="36" t="s">
        <v>3208</v>
      </c>
      <c r="F250" s="23" t="s">
        <v>50</v>
      </c>
      <c r="G250" s="23" t="s">
        <v>39</v>
      </c>
      <c r="H250" s="23">
        <v>98509</v>
      </c>
      <c r="I250" s="23">
        <v>299</v>
      </c>
      <c r="J250" s="23">
        <v>30688</v>
      </c>
      <c r="K250" s="23">
        <v>109518</v>
      </c>
      <c r="L250" s="23">
        <v>15</v>
      </c>
      <c r="M250" s="37">
        <v>2059.2702939999999</v>
      </c>
      <c r="N250" s="31"/>
      <c r="O250" s="32"/>
      <c r="P250" s="38" t="s">
        <v>1877</v>
      </c>
      <c r="Q250" s="39" t="s">
        <v>1879</v>
      </c>
      <c r="R250" s="40">
        <v>2059.2702939999999</v>
      </c>
      <c r="S250" s="29" t="b">
        <f t="shared" si="0"/>
        <v>1</v>
      </c>
      <c r="T250" s="35"/>
    </row>
    <row r="251" spans="1:20">
      <c r="A251" s="22" t="s">
        <v>3209</v>
      </c>
      <c r="B251" s="23" t="s">
        <v>44</v>
      </c>
      <c r="C251" s="23" t="s">
        <v>62</v>
      </c>
      <c r="D251" s="23" t="s">
        <v>3180</v>
      </c>
      <c r="E251" s="36" t="s">
        <v>3210</v>
      </c>
      <c r="F251" s="23" t="s">
        <v>50</v>
      </c>
      <c r="G251" s="23" t="s">
        <v>39</v>
      </c>
      <c r="H251" s="23">
        <v>8716</v>
      </c>
      <c r="I251" s="23">
        <v>40</v>
      </c>
      <c r="J251" s="23">
        <v>6490</v>
      </c>
      <c r="K251" s="23">
        <v>7862</v>
      </c>
      <c r="L251" s="23">
        <v>2</v>
      </c>
      <c r="M251" s="37">
        <v>2100.8201370000002</v>
      </c>
      <c r="N251" s="31"/>
      <c r="O251" s="32"/>
      <c r="P251" s="38" t="s">
        <v>1821</v>
      </c>
      <c r="Q251" s="39" t="s">
        <v>1823</v>
      </c>
      <c r="R251" s="40">
        <v>2100.8201370000002</v>
      </c>
      <c r="S251" s="29" t="b">
        <f t="shared" si="0"/>
        <v>1</v>
      </c>
      <c r="T251" s="35"/>
    </row>
    <row r="252" spans="1:20">
      <c r="A252" s="22" t="s">
        <v>3211</v>
      </c>
      <c r="B252" s="23" t="s">
        <v>32</v>
      </c>
      <c r="C252" s="23" t="s">
        <v>80</v>
      </c>
      <c r="D252" s="23" t="s">
        <v>3180</v>
      </c>
      <c r="E252" s="36" t="s">
        <v>3212</v>
      </c>
      <c r="F252" s="23" t="s">
        <v>131</v>
      </c>
      <c r="G252" s="23" t="s">
        <v>39</v>
      </c>
      <c r="H252" s="23">
        <v>12451</v>
      </c>
      <c r="I252" s="23">
        <v>30</v>
      </c>
      <c r="J252" s="23">
        <v>2987</v>
      </c>
      <c r="K252" s="23">
        <v>11295</v>
      </c>
      <c r="L252" s="23">
        <v>4</v>
      </c>
      <c r="M252" s="37">
        <v>2127.323828</v>
      </c>
      <c r="N252" s="31"/>
      <c r="O252" s="32"/>
      <c r="P252" s="38" t="s">
        <v>1796</v>
      </c>
      <c r="Q252" s="39" t="s">
        <v>616</v>
      </c>
      <c r="R252" s="40">
        <v>2127.323828</v>
      </c>
      <c r="S252" s="29" t="b">
        <f t="shared" si="0"/>
        <v>1</v>
      </c>
      <c r="T252" s="35"/>
    </row>
    <row r="253" spans="1:20">
      <c r="A253" s="22" t="s">
        <v>3213</v>
      </c>
      <c r="B253" s="23" t="s">
        <v>44</v>
      </c>
      <c r="C253" s="23" t="s">
        <v>62</v>
      </c>
      <c r="D253" s="23" t="s">
        <v>3180</v>
      </c>
      <c r="E253" s="36" t="s">
        <v>3214</v>
      </c>
      <c r="F253" s="23" t="s">
        <v>131</v>
      </c>
      <c r="G253" s="23" t="s">
        <v>39</v>
      </c>
      <c r="H253" s="23">
        <v>8545</v>
      </c>
      <c r="I253" s="23">
        <v>20</v>
      </c>
      <c r="J253" s="23">
        <v>3454</v>
      </c>
      <c r="K253" s="23">
        <v>5510</v>
      </c>
      <c r="L253" s="23">
        <v>2</v>
      </c>
      <c r="M253" s="37">
        <v>2181.2479490000001</v>
      </c>
      <c r="N253" s="31"/>
      <c r="O253" s="32"/>
      <c r="P253" s="38" t="s">
        <v>2236</v>
      </c>
      <c r="Q253" s="39" t="s">
        <v>2238</v>
      </c>
      <c r="R253" s="40">
        <v>2181.2479490000001</v>
      </c>
      <c r="S253" s="29" t="b">
        <f t="shared" si="0"/>
        <v>1</v>
      </c>
      <c r="T253" s="35"/>
    </row>
    <row r="254" spans="1:20">
      <c r="A254" s="22" t="s">
        <v>3215</v>
      </c>
      <c r="B254" s="23" t="s">
        <v>32</v>
      </c>
      <c r="C254" s="23" t="s">
        <v>46</v>
      </c>
      <c r="D254" s="23" t="s">
        <v>3180</v>
      </c>
      <c r="E254" s="36" t="s">
        <v>3216</v>
      </c>
      <c r="F254" s="23" t="s">
        <v>50</v>
      </c>
      <c r="G254" s="23" t="s">
        <v>39</v>
      </c>
      <c r="H254" s="23">
        <v>61474</v>
      </c>
      <c r="I254" s="23">
        <v>250</v>
      </c>
      <c r="J254" s="23">
        <v>31245</v>
      </c>
      <c r="K254" s="23">
        <v>49089</v>
      </c>
      <c r="L254" s="23">
        <v>15</v>
      </c>
      <c r="M254" s="37">
        <v>2189.3413489999998</v>
      </c>
      <c r="N254" s="31"/>
      <c r="O254" s="32"/>
      <c r="P254" s="38" t="s">
        <v>2342</v>
      </c>
      <c r="Q254" s="39" t="s">
        <v>2238</v>
      </c>
      <c r="R254" s="40">
        <v>2189.3413489999998</v>
      </c>
      <c r="S254" s="29" t="b">
        <f t="shared" si="0"/>
        <v>1</v>
      </c>
      <c r="T254" s="35"/>
    </row>
    <row r="255" spans="1:20">
      <c r="A255" s="22" t="s">
        <v>3217</v>
      </c>
      <c r="B255" s="23" t="s">
        <v>32</v>
      </c>
      <c r="C255" s="23" t="s">
        <v>80</v>
      </c>
      <c r="D255" s="23" t="s">
        <v>3180</v>
      </c>
      <c r="E255" s="36" t="s">
        <v>3218</v>
      </c>
      <c r="F255" s="23" t="s">
        <v>186</v>
      </c>
      <c r="G255" s="23" t="s">
        <v>39</v>
      </c>
      <c r="H255" s="23">
        <v>13293</v>
      </c>
      <c r="I255" s="23">
        <v>74</v>
      </c>
      <c r="J255" s="23">
        <v>9054</v>
      </c>
      <c r="K255" s="23">
        <v>12676</v>
      </c>
      <c r="L255" s="23">
        <v>5</v>
      </c>
      <c r="M255" s="37">
        <v>2901.2095089999998</v>
      </c>
      <c r="N255" s="31"/>
      <c r="O255" s="32"/>
      <c r="P255" s="38" t="s">
        <v>1165</v>
      </c>
      <c r="Q255" s="39" t="s">
        <v>1167</v>
      </c>
      <c r="R255" s="40">
        <v>2901.2095089999998</v>
      </c>
      <c r="S255" s="29" t="b">
        <f t="shared" si="0"/>
        <v>1</v>
      </c>
      <c r="T255" s="35"/>
    </row>
    <row r="256" spans="1:20">
      <c r="A256" s="22" t="s">
        <v>3219</v>
      </c>
      <c r="B256" s="23" t="s">
        <v>44</v>
      </c>
      <c r="C256" s="23" t="s">
        <v>34</v>
      </c>
      <c r="D256" s="23" t="s">
        <v>3180</v>
      </c>
      <c r="E256" s="36" t="s">
        <v>3220</v>
      </c>
      <c r="F256" s="23" t="s">
        <v>74</v>
      </c>
      <c r="G256" s="23" t="s">
        <v>39</v>
      </c>
      <c r="H256" s="23">
        <v>121991</v>
      </c>
      <c r="I256" s="23">
        <v>369</v>
      </c>
      <c r="J256" s="23">
        <v>43079</v>
      </c>
      <c r="K256" s="23">
        <v>99312</v>
      </c>
      <c r="L256" s="23">
        <v>4</v>
      </c>
      <c r="M256" s="37">
        <v>3993.2145850000002</v>
      </c>
      <c r="N256" s="31"/>
      <c r="O256" s="32"/>
      <c r="P256" s="38" t="s">
        <v>1453</v>
      </c>
      <c r="Q256" s="39" t="s">
        <v>1455</v>
      </c>
      <c r="R256" s="40">
        <v>3993.2145850000002</v>
      </c>
      <c r="S256" s="29" t="b">
        <f t="shared" si="0"/>
        <v>1</v>
      </c>
      <c r="T256" s="35"/>
    </row>
    <row r="257" spans="1:20">
      <c r="A257" s="22" t="s">
        <v>3221</v>
      </c>
      <c r="B257" s="23" t="s">
        <v>44</v>
      </c>
      <c r="C257" s="23" t="s">
        <v>34</v>
      </c>
      <c r="D257" s="23" t="s">
        <v>3180</v>
      </c>
      <c r="E257" s="36" t="s">
        <v>3222</v>
      </c>
      <c r="F257" s="23" t="s">
        <v>50</v>
      </c>
      <c r="G257" s="23" t="s">
        <v>64</v>
      </c>
      <c r="H257" s="23">
        <v>104538</v>
      </c>
      <c r="I257" s="23">
        <v>347</v>
      </c>
      <c r="J257" s="23">
        <v>49049</v>
      </c>
      <c r="K257" s="23">
        <v>97093</v>
      </c>
      <c r="L257" s="23">
        <v>2</v>
      </c>
      <c r="M257" s="37">
        <v>5266.4242329999997</v>
      </c>
      <c r="N257" s="31"/>
      <c r="O257" s="32"/>
      <c r="P257" s="38" t="s">
        <v>800</v>
      </c>
      <c r="Q257" s="39" t="s">
        <v>802</v>
      </c>
      <c r="R257" s="40">
        <v>5266.4242329999997</v>
      </c>
      <c r="S257" s="29" t="b">
        <f t="shared" ref="S257:S511" si="1">M257=R257</f>
        <v>1</v>
      </c>
      <c r="T257" s="35"/>
    </row>
    <row r="258" spans="1:20">
      <c r="A258" s="22" t="s">
        <v>3223</v>
      </c>
      <c r="B258" s="23" t="s">
        <v>123</v>
      </c>
      <c r="C258" s="23" t="s">
        <v>46</v>
      </c>
      <c r="D258" s="23" t="s">
        <v>3180</v>
      </c>
      <c r="E258" s="36" t="s">
        <v>3224</v>
      </c>
      <c r="F258" s="23" t="s">
        <v>131</v>
      </c>
      <c r="G258" s="23" t="s">
        <v>39</v>
      </c>
      <c r="H258" s="23">
        <v>19408</v>
      </c>
      <c r="I258" s="23">
        <v>58</v>
      </c>
      <c r="J258" s="23">
        <v>6596</v>
      </c>
      <c r="K258" s="23">
        <v>13880</v>
      </c>
      <c r="L258" s="23">
        <v>2</v>
      </c>
      <c r="M258" s="37">
        <v>5492.8216480000001</v>
      </c>
      <c r="N258" s="31"/>
      <c r="O258" s="32"/>
      <c r="P258" s="38" t="s">
        <v>1312</v>
      </c>
      <c r="Q258" s="39" t="s">
        <v>1314</v>
      </c>
      <c r="R258" s="40">
        <v>5492.8216480000001</v>
      </c>
      <c r="S258" s="29" t="b">
        <f t="shared" si="1"/>
        <v>1</v>
      </c>
      <c r="T258" s="35"/>
    </row>
    <row r="259" spans="1:20">
      <c r="A259" s="22" t="s">
        <v>3225</v>
      </c>
      <c r="B259" s="23" t="s">
        <v>44</v>
      </c>
      <c r="C259" s="23" t="s">
        <v>46</v>
      </c>
      <c r="D259" s="23" t="s">
        <v>3180</v>
      </c>
      <c r="E259" s="36" t="s">
        <v>3226</v>
      </c>
      <c r="F259" s="23" t="s">
        <v>103</v>
      </c>
      <c r="G259" s="23" t="s">
        <v>39</v>
      </c>
      <c r="H259" s="23">
        <v>9702</v>
      </c>
      <c r="I259" s="23">
        <v>40</v>
      </c>
      <c r="J259" s="23">
        <v>5564</v>
      </c>
      <c r="K259" s="23">
        <v>8210</v>
      </c>
      <c r="L259" s="23">
        <v>1</v>
      </c>
      <c r="M259" s="37">
        <v>5711.3920099999996</v>
      </c>
      <c r="N259" s="31"/>
      <c r="O259" s="32"/>
      <c r="P259" s="38" t="s">
        <v>620</v>
      </c>
      <c r="Q259" s="39" t="s">
        <v>622</v>
      </c>
      <c r="R259" s="40">
        <v>5711.3920099999996</v>
      </c>
      <c r="S259" s="29" t="b">
        <f t="shared" si="1"/>
        <v>1</v>
      </c>
      <c r="T259" s="35"/>
    </row>
    <row r="260" spans="1:20">
      <c r="A260" s="22" t="s">
        <v>3227</v>
      </c>
      <c r="B260" s="23" t="s">
        <v>44</v>
      </c>
      <c r="C260" s="23" t="s">
        <v>80</v>
      </c>
      <c r="D260" s="23" t="s">
        <v>3180</v>
      </c>
      <c r="E260" s="36" t="s">
        <v>3228</v>
      </c>
      <c r="F260" s="23" t="s">
        <v>103</v>
      </c>
      <c r="G260" s="23" t="s">
        <v>39</v>
      </c>
      <c r="H260" s="23">
        <v>14350</v>
      </c>
      <c r="I260" s="23">
        <v>60</v>
      </c>
      <c r="J260" s="23">
        <v>8228</v>
      </c>
      <c r="K260" s="23">
        <v>13396</v>
      </c>
      <c r="L260" s="23">
        <v>6</v>
      </c>
      <c r="M260" s="37">
        <v>6114.034936</v>
      </c>
      <c r="N260" s="31"/>
      <c r="O260" s="32"/>
      <c r="P260" s="38" t="s">
        <v>2115</v>
      </c>
      <c r="Q260" s="39" t="s">
        <v>311</v>
      </c>
      <c r="R260" s="40">
        <v>6114.034936</v>
      </c>
      <c r="S260" s="29" t="b">
        <f t="shared" si="1"/>
        <v>1</v>
      </c>
      <c r="T260" s="35"/>
    </row>
    <row r="261" spans="1:20">
      <c r="A261" s="22" t="s">
        <v>3229</v>
      </c>
      <c r="B261" s="23" t="s">
        <v>32</v>
      </c>
      <c r="C261" s="23" t="s">
        <v>34</v>
      </c>
      <c r="D261" s="23" t="s">
        <v>3180</v>
      </c>
      <c r="E261" s="36" t="s">
        <v>3230</v>
      </c>
      <c r="F261" s="23" t="s">
        <v>50</v>
      </c>
      <c r="G261" s="23" t="s">
        <v>39</v>
      </c>
      <c r="H261" s="23">
        <v>7687</v>
      </c>
      <c r="I261" s="23">
        <v>10</v>
      </c>
      <c r="J261" s="23">
        <v>5311</v>
      </c>
      <c r="K261" s="23">
        <v>7266</v>
      </c>
      <c r="L261" s="23">
        <v>6</v>
      </c>
      <c r="M261" s="37">
        <v>6486.8539090000004</v>
      </c>
      <c r="N261" s="31"/>
      <c r="O261" s="32"/>
      <c r="P261" s="38" t="s">
        <v>1626</v>
      </c>
      <c r="Q261" s="39" t="s">
        <v>1627</v>
      </c>
      <c r="R261" s="40">
        <v>6486.8539090000004</v>
      </c>
      <c r="S261" s="29" t="b">
        <f t="shared" si="1"/>
        <v>1</v>
      </c>
      <c r="T261" s="35"/>
    </row>
    <row r="262" spans="1:20">
      <c r="A262" s="22" t="s">
        <v>3231</v>
      </c>
      <c r="B262" s="23" t="s">
        <v>32</v>
      </c>
      <c r="C262" s="23" t="s">
        <v>62</v>
      </c>
      <c r="D262" s="23" t="s">
        <v>3180</v>
      </c>
      <c r="E262" s="36" t="s">
        <v>3232</v>
      </c>
      <c r="F262" s="23" t="s">
        <v>131</v>
      </c>
      <c r="G262" s="23" t="s">
        <v>39</v>
      </c>
      <c r="H262" s="23">
        <v>149618</v>
      </c>
      <c r="I262" s="23">
        <v>260</v>
      </c>
      <c r="J262" s="23">
        <v>126031</v>
      </c>
      <c r="K262" s="23">
        <v>140596</v>
      </c>
      <c r="L262" s="23">
        <v>26</v>
      </c>
      <c r="M262" s="37">
        <v>6605.5861580000001</v>
      </c>
      <c r="N262" s="31"/>
      <c r="O262" s="32"/>
      <c r="P262" s="38" t="s">
        <v>788</v>
      </c>
      <c r="Q262" s="39" t="s">
        <v>748</v>
      </c>
      <c r="R262" s="40">
        <v>6605.5861580000001</v>
      </c>
      <c r="S262" s="29" t="b">
        <f t="shared" si="1"/>
        <v>1</v>
      </c>
      <c r="T262" s="35"/>
    </row>
    <row r="263" spans="1:20">
      <c r="A263" s="22" t="s">
        <v>3233</v>
      </c>
      <c r="B263" s="23" t="s">
        <v>44</v>
      </c>
      <c r="C263" s="23" t="s">
        <v>46</v>
      </c>
      <c r="D263" s="23" t="s">
        <v>3180</v>
      </c>
      <c r="E263" s="36" t="s">
        <v>3234</v>
      </c>
      <c r="F263" s="23" t="s">
        <v>50</v>
      </c>
      <c r="G263" s="23" t="s">
        <v>39</v>
      </c>
      <c r="H263" s="23">
        <v>7628</v>
      </c>
      <c r="I263" s="23">
        <v>19</v>
      </c>
      <c r="J263" s="23">
        <v>5048</v>
      </c>
      <c r="K263" s="23">
        <v>7154</v>
      </c>
      <c r="L263" s="23">
        <v>5</v>
      </c>
      <c r="M263" s="37">
        <v>6684.0628040000001</v>
      </c>
      <c r="N263" s="31"/>
      <c r="O263" s="32"/>
      <c r="P263" s="38" t="s">
        <v>192</v>
      </c>
      <c r="Q263" s="39" t="s">
        <v>195</v>
      </c>
      <c r="R263" s="40">
        <v>6684.0628040000001</v>
      </c>
      <c r="S263" s="29" t="b">
        <f t="shared" si="1"/>
        <v>1</v>
      </c>
      <c r="T263" s="35"/>
    </row>
    <row r="264" spans="1:20">
      <c r="A264" s="22" t="s">
        <v>3235</v>
      </c>
      <c r="B264" s="23" t="s">
        <v>44</v>
      </c>
      <c r="C264" s="23" t="s">
        <v>46</v>
      </c>
      <c r="D264" s="23" t="s">
        <v>3180</v>
      </c>
      <c r="E264" s="36" t="s">
        <v>3236</v>
      </c>
      <c r="F264" s="23" t="s">
        <v>74</v>
      </c>
      <c r="G264" s="23" t="s">
        <v>39</v>
      </c>
      <c r="H264" s="23">
        <v>21280</v>
      </c>
      <c r="I264" s="23">
        <v>70</v>
      </c>
      <c r="J264" s="23">
        <v>15309</v>
      </c>
      <c r="K264" s="23">
        <v>20244</v>
      </c>
      <c r="L264" s="23">
        <v>6</v>
      </c>
      <c r="M264" s="37">
        <v>6837.5106020000003</v>
      </c>
      <c r="N264" s="31"/>
      <c r="O264" s="32"/>
      <c r="P264" s="38" t="s">
        <v>1731</v>
      </c>
      <c r="Q264" s="39" t="s">
        <v>1627</v>
      </c>
      <c r="R264" s="40">
        <v>6837.5106020000003</v>
      </c>
      <c r="S264" s="29" t="b">
        <f t="shared" si="1"/>
        <v>1</v>
      </c>
      <c r="T264" s="35"/>
    </row>
    <row r="265" spans="1:20">
      <c r="A265" s="22" t="s">
        <v>3237</v>
      </c>
      <c r="B265" s="23" t="s">
        <v>32</v>
      </c>
      <c r="C265" s="23" t="s">
        <v>34</v>
      </c>
      <c r="D265" s="23" t="s">
        <v>3180</v>
      </c>
      <c r="E265" s="36" t="s">
        <v>3238</v>
      </c>
      <c r="F265" s="23" t="s">
        <v>593</v>
      </c>
      <c r="G265" s="23" t="s">
        <v>39</v>
      </c>
      <c r="H265" s="23">
        <v>18136</v>
      </c>
      <c r="I265" s="23">
        <v>69</v>
      </c>
      <c r="J265" s="23">
        <v>10842</v>
      </c>
      <c r="K265" s="23">
        <v>14953</v>
      </c>
      <c r="L265" s="23">
        <v>9</v>
      </c>
      <c r="M265" s="37">
        <v>6860.3595969999997</v>
      </c>
      <c r="N265" s="31"/>
      <c r="O265" s="32"/>
      <c r="P265" s="38" t="s">
        <v>660</v>
      </c>
      <c r="Q265" s="39" t="s">
        <v>663</v>
      </c>
      <c r="R265" s="40">
        <v>6860.3595969999997</v>
      </c>
      <c r="S265" s="29" t="b">
        <f t="shared" si="1"/>
        <v>1</v>
      </c>
      <c r="T265" s="35"/>
    </row>
    <row r="266" spans="1:20">
      <c r="A266" s="22" t="s">
        <v>3239</v>
      </c>
      <c r="B266" s="23" t="s">
        <v>32</v>
      </c>
      <c r="C266" s="23" t="s">
        <v>46</v>
      </c>
      <c r="D266" s="23" t="s">
        <v>3180</v>
      </c>
      <c r="E266" s="36" t="s">
        <v>3240</v>
      </c>
      <c r="F266" s="23" t="s">
        <v>50</v>
      </c>
      <c r="G266" s="23" t="s">
        <v>39</v>
      </c>
      <c r="H266" s="23">
        <v>9709</v>
      </c>
      <c r="I266" s="23">
        <v>58</v>
      </c>
      <c r="J266" s="23">
        <v>3339</v>
      </c>
      <c r="K266" s="23">
        <v>7891</v>
      </c>
      <c r="L266" s="23">
        <v>3</v>
      </c>
      <c r="M266" s="37">
        <v>6994.0853530000004</v>
      </c>
      <c r="N266" s="31"/>
      <c r="O266" s="32"/>
      <c r="P266" s="38" t="s">
        <v>167</v>
      </c>
      <c r="Q266" s="39" t="s">
        <v>169</v>
      </c>
      <c r="R266" s="40">
        <v>6994.0853530000004</v>
      </c>
      <c r="S266" s="29" t="b">
        <f t="shared" si="1"/>
        <v>1</v>
      </c>
      <c r="T266" s="35"/>
    </row>
    <row r="267" spans="1:20">
      <c r="A267" s="22" t="s">
        <v>3241</v>
      </c>
      <c r="B267" s="23" t="s">
        <v>32</v>
      </c>
      <c r="C267" s="23" t="s">
        <v>62</v>
      </c>
      <c r="D267" s="23" t="s">
        <v>3180</v>
      </c>
      <c r="E267" s="36" t="s">
        <v>3242</v>
      </c>
      <c r="F267" s="23" t="s">
        <v>186</v>
      </c>
      <c r="G267" s="23" t="s">
        <v>39</v>
      </c>
      <c r="H267" s="23">
        <v>113262</v>
      </c>
      <c r="I267" s="23">
        <v>380</v>
      </c>
      <c r="J267" s="23">
        <v>95762</v>
      </c>
      <c r="K267" s="23">
        <v>104612</v>
      </c>
      <c r="L267" s="23">
        <v>4</v>
      </c>
      <c r="M267" s="37">
        <v>7443.4832329999999</v>
      </c>
      <c r="N267" s="31"/>
      <c r="O267" s="32"/>
      <c r="P267" s="38" t="s">
        <v>1890</v>
      </c>
      <c r="Q267" s="39" t="s">
        <v>466</v>
      </c>
      <c r="R267" s="40">
        <v>7443.4832329999999</v>
      </c>
      <c r="S267" s="29" t="b">
        <f t="shared" si="1"/>
        <v>1</v>
      </c>
      <c r="T267" s="35"/>
    </row>
    <row r="268" spans="1:20">
      <c r="A268" s="22" t="s">
        <v>3243</v>
      </c>
      <c r="B268" s="23" t="s">
        <v>44</v>
      </c>
      <c r="C268" s="23" t="s">
        <v>62</v>
      </c>
      <c r="D268" s="23" t="s">
        <v>3244</v>
      </c>
      <c r="E268" s="36" t="s">
        <v>3245</v>
      </c>
      <c r="F268" s="23" t="s">
        <v>38</v>
      </c>
      <c r="G268" s="23" t="s">
        <v>75</v>
      </c>
      <c r="H268" s="23">
        <v>35043</v>
      </c>
      <c r="I268" s="23">
        <v>140</v>
      </c>
      <c r="J268" s="23">
        <v>20942</v>
      </c>
      <c r="K268" s="23">
        <v>33479</v>
      </c>
      <c r="L268" s="23">
        <v>24</v>
      </c>
      <c r="M268" s="37">
        <v>1527.9762800000001</v>
      </c>
      <c r="N268" s="31"/>
      <c r="O268" s="32"/>
      <c r="P268" s="38" t="s">
        <v>681</v>
      </c>
      <c r="Q268" s="39" t="s">
        <v>260</v>
      </c>
      <c r="R268" s="40">
        <v>1527.9762800000001</v>
      </c>
      <c r="S268" s="29" t="b">
        <f t="shared" si="1"/>
        <v>1</v>
      </c>
      <c r="T268" s="35"/>
    </row>
    <row r="269" spans="1:20">
      <c r="A269" s="22" t="s">
        <v>3246</v>
      </c>
      <c r="B269" s="23" t="s">
        <v>32</v>
      </c>
      <c r="C269" s="23" t="s">
        <v>46</v>
      </c>
      <c r="D269" s="23" t="s">
        <v>3244</v>
      </c>
      <c r="E269" s="36" t="s">
        <v>3247</v>
      </c>
      <c r="F269" s="23" t="s">
        <v>725</v>
      </c>
      <c r="G269" s="23" t="s">
        <v>39</v>
      </c>
      <c r="H269" s="23">
        <v>9014</v>
      </c>
      <c r="I269" s="23">
        <v>26</v>
      </c>
      <c r="J269" s="23">
        <v>5054</v>
      </c>
      <c r="K269" s="23">
        <v>7227</v>
      </c>
      <c r="L269" s="23">
        <v>4</v>
      </c>
      <c r="M269" s="37">
        <v>1539.60069</v>
      </c>
      <c r="N269" s="31"/>
      <c r="O269" s="32"/>
      <c r="P269" s="38" t="s">
        <v>1412</v>
      </c>
      <c r="Q269" s="39" t="s">
        <v>1414</v>
      </c>
      <c r="R269" s="40">
        <v>1539.60069</v>
      </c>
      <c r="S269" s="29" t="b">
        <f t="shared" si="1"/>
        <v>1</v>
      </c>
      <c r="T269" s="35"/>
    </row>
    <row r="270" spans="1:20">
      <c r="A270" s="22" t="s">
        <v>3248</v>
      </c>
      <c r="B270" s="23" t="s">
        <v>32</v>
      </c>
      <c r="C270" s="23" t="s">
        <v>46</v>
      </c>
      <c r="D270" s="23" t="s">
        <v>3244</v>
      </c>
      <c r="E270" s="36" t="s">
        <v>3249</v>
      </c>
      <c r="F270" s="23" t="s">
        <v>50</v>
      </c>
      <c r="G270" s="23" t="s">
        <v>39</v>
      </c>
      <c r="H270" s="23">
        <v>254780</v>
      </c>
      <c r="I270" s="23">
        <v>699</v>
      </c>
      <c r="J270" s="23">
        <v>19169</v>
      </c>
      <c r="K270" s="23">
        <v>182583</v>
      </c>
      <c r="L270" s="23">
        <v>4</v>
      </c>
      <c r="M270" s="37">
        <v>1561.021915</v>
      </c>
      <c r="N270" s="31"/>
      <c r="O270" s="32"/>
      <c r="P270" s="38" t="s">
        <v>172</v>
      </c>
      <c r="Q270" s="39" t="s">
        <v>175</v>
      </c>
      <c r="R270" s="40">
        <v>1561.021915</v>
      </c>
      <c r="S270" s="29" t="b">
        <f t="shared" si="1"/>
        <v>1</v>
      </c>
      <c r="T270" s="35"/>
    </row>
    <row r="271" spans="1:20">
      <c r="A271" s="22" t="s">
        <v>3250</v>
      </c>
      <c r="B271" s="23" t="s">
        <v>44</v>
      </c>
      <c r="C271" s="23" t="s">
        <v>34</v>
      </c>
      <c r="D271" s="23" t="s">
        <v>3244</v>
      </c>
      <c r="E271" s="36" t="s">
        <v>3251</v>
      </c>
      <c r="F271" s="23" t="s">
        <v>103</v>
      </c>
      <c r="G271" s="23" t="s">
        <v>64</v>
      </c>
      <c r="H271" s="23">
        <v>17645</v>
      </c>
      <c r="I271" s="23">
        <v>40</v>
      </c>
      <c r="J271" s="23">
        <v>9673</v>
      </c>
      <c r="K271" s="23">
        <v>15088</v>
      </c>
      <c r="L271" s="23">
        <v>15</v>
      </c>
      <c r="M271" s="37">
        <v>1591.772246</v>
      </c>
      <c r="N271" s="31"/>
      <c r="O271" s="32"/>
      <c r="P271" s="38" t="s">
        <v>1650</v>
      </c>
      <c r="Q271" s="39" t="s">
        <v>1652</v>
      </c>
      <c r="R271" s="40">
        <v>1591.772246</v>
      </c>
      <c r="S271" s="29" t="b">
        <f t="shared" si="1"/>
        <v>1</v>
      </c>
      <c r="T271" s="35"/>
    </row>
    <row r="272" spans="1:20">
      <c r="A272" s="22" t="s">
        <v>3252</v>
      </c>
      <c r="B272" s="23" t="s">
        <v>44</v>
      </c>
      <c r="C272" s="23" t="s">
        <v>80</v>
      </c>
      <c r="D272" s="23" t="s">
        <v>3244</v>
      </c>
      <c r="E272" s="36" t="s">
        <v>3253</v>
      </c>
      <c r="F272" s="23" t="s">
        <v>74</v>
      </c>
      <c r="G272" s="23" t="s">
        <v>64</v>
      </c>
      <c r="H272" s="23">
        <v>65043</v>
      </c>
      <c r="I272" s="23">
        <v>160</v>
      </c>
      <c r="J272" s="23">
        <v>25871</v>
      </c>
      <c r="K272" s="23">
        <v>53969</v>
      </c>
      <c r="L272" s="23">
        <v>4</v>
      </c>
      <c r="M272" s="37">
        <v>2347.9185309999998</v>
      </c>
      <c r="N272" s="31"/>
      <c r="O272" s="32"/>
      <c r="P272" s="38" t="s">
        <v>2304</v>
      </c>
      <c r="Q272" s="39" t="s">
        <v>1795</v>
      </c>
      <c r="R272" s="40">
        <v>2347.9185309999998</v>
      </c>
      <c r="S272" s="29" t="b">
        <f t="shared" si="1"/>
        <v>1</v>
      </c>
      <c r="T272" s="35"/>
    </row>
    <row r="273" spans="1:20">
      <c r="A273" s="22" t="s">
        <v>3254</v>
      </c>
      <c r="B273" s="23" t="s">
        <v>32</v>
      </c>
      <c r="C273" s="23" t="s">
        <v>46</v>
      </c>
      <c r="D273" s="23" t="s">
        <v>3244</v>
      </c>
      <c r="E273" s="36" t="s">
        <v>3255</v>
      </c>
      <c r="F273" s="23" t="s">
        <v>50</v>
      </c>
      <c r="G273" s="23" t="s">
        <v>39</v>
      </c>
      <c r="H273" s="23">
        <v>70134</v>
      </c>
      <c r="I273" s="23">
        <v>169</v>
      </c>
      <c r="J273" s="23">
        <v>48862</v>
      </c>
      <c r="K273" s="23">
        <v>66739</v>
      </c>
      <c r="L273" s="23">
        <v>14</v>
      </c>
      <c r="M273" s="37">
        <v>2514.8681160000001</v>
      </c>
      <c r="N273" s="31"/>
      <c r="O273" s="32"/>
      <c r="P273" s="38" t="s">
        <v>732</v>
      </c>
      <c r="Q273" s="39" t="s">
        <v>735</v>
      </c>
      <c r="R273" s="40">
        <v>2514.8681160000001</v>
      </c>
      <c r="S273" s="29" t="b">
        <f t="shared" si="1"/>
        <v>1</v>
      </c>
      <c r="T273" s="35"/>
    </row>
    <row r="274" spans="1:20">
      <c r="A274" s="22" t="s">
        <v>3256</v>
      </c>
      <c r="B274" s="23" t="s">
        <v>44</v>
      </c>
      <c r="C274" s="23" t="s">
        <v>80</v>
      </c>
      <c r="D274" s="23" t="s">
        <v>3244</v>
      </c>
      <c r="E274" s="36" t="s">
        <v>3257</v>
      </c>
      <c r="F274" s="23" t="s">
        <v>50</v>
      </c>
      <c r="G274" s="23" t="s">
        <v>39</v>
      </c>
      <c r="H274" s="23">
        <v>7583</v>
      </c>
      <c r="I274" s="23">
        <v>45</v>
      </c>
      <c r="J274" s="23">
        <v>4608</v>
      </c>
      <c r="K274" s="23">
        <v>5881</v>
      </c>
      <c r="L274" s="23">
        <v>1</v>
      </c>
      <c r="M274" s="37">
        <v>5033.4825780000001</v>
      </c>
      <c r="N274" s="31"/>
      <c r="O274" s="32"/>
      <c r="P274" s="38" t="s">
        <v>1741</v>
      </c>
      <c r="Q274" s="39" t="s">
        <v>675</v>
      </c>
      <c r="R274" s="40">
        <v>5033.4825780000001</v>
      </c>
      <c r="S274" s="29" t="b">
        <f t="shared" si="1"/>
        <v>1</v>
      </c>
      <c r="T274" s="35"/>
    </row>
    <row r="275" spans="1:20">
      <c r="A275" s="22" t="s">
        <v>3258</v>
      </c>
      <c r="B275" s="23" t="s">
        <v>32</v>
      </c>
      <c r="C275" s="23" t="s">
        <v>62</v>
      </c>
      <c r="D275" s="23" t="s">
        <v>3244</v>
      </c>
      <c r="E275" s="36" t="s">
        <v>3259</v>
      </c>
      <c r="F275" s="23" t="s">
        <v>74</v>
      </c>
      <c r="G275" s="23" t="s">
        <v>39</v>
      </c>
      <c r="H275" s="23">
        <v>12214</v>
      </c>
      <c r="I275" s="23">
        <v>50</v>
      </c>
      <c r="J275" s="23">
        <v>5376</v>
      </c>
      <c r="K275" s="23">
        <v>11490</v>
      </c>
      <c r="L275" s="23">
        <v>7</v>
      </c>
      <c r="M275" s="37">
        <v>5616.3094019999999</v>
      </c>
      <c r="N275" s="31"/>
      <c r="O275" s="32"/>
      <c r="P275" s="38" t="s">
        <v>991</v>
      </c>
      <c r="Q275" s="39" t="s">
        <v>993</v>
      </c>
      <c r="R275" s="40">
        <v>5616.3094019999999</v>
      </c>
      <c r="S275" s="29" t="b">
        <f t="shared" si="1"/>
        <v>1</v>
      </c>
      <c r="T275" s="35"/>
    </row>
    <row r="276" spans="1:20">
      <c r="A276" s="22" t="s">
        <v>3260</v>
      </c>
      <c r="B276" s="23" t="s">
        <v>44</v>
      </c>
      <c r="C276" s="23" t="s">
        <v>46</v>
      </c>
      <c r="D276" s="23" t="s">
        <v>3244</v>
      </c>
      <c r="E276" s="36" t="s">
        <v>3261</v>
      </c>
      <c r="F276" s="23" t="s">
        <v>131</v>
      </c>
      <c r="G276" s="23" t="s">
        <v>39</v>
      </c>
      <c r="H276" s="23">
        <v>150457</v>
      </c>
      <c r="I276" s="23">
        <v>420</v>
      </c>
      <c r="J276" s="23">
        <v>58372</v>
      </c>
      <c r="K276" s="23">
        <v>135099</v>
      </c>
      <c r="L276" s="23">
        <v>14</v>
      </c>
      <c r="M276" s="37">
        <v>5906.8300060000001</v>
      </c>
      <c r="N276" s="31"/>
      <c r="O276" s="32"/>
      <c r="P276" s="38" t="s">
        <v>318</v>
      </c>
      <c r="Q276" s="39" t="s">
        <v>322</v>
      </c>
      <c r="R276" s="40">
        <v>5906.8300060000001</v>
      </c>
      <c r="S276" s="29" t="b">
        <f t="shared" si="1"/>
        <v>1</v>
      </c>
      <c r="T276" s="35"/>
    </row>
    <row r="277" spans="1:20">
      <c r="A277" s="22" t="s">
        <v>3262</v>
      </c>
      <c r="B277" s="23" t="s">
        <v>32</v>
      </c>
      <c r="C277" s="23" t="s">
        <v>62</v>
      </c>
      <c r="D277" s="23" t="s">
        <v>3244</v>
      </c>
      <c r="E277" s="36" t="s">
        <v>3263</v>
      </c>
      <c r="F277" s="23" t="s">
        <v>50</v>
      </c>
      <c r="G277" s="23" t="s">
        <v>39</v>
      </c>
      <c r="H277" s="23">
        <v>29251</v>
      </c>
      <c r="I277" s="23">
        <v>95</v>
      </c>
      <c r="J277" s="23">
        <v>25060</v>
      </c>
      <c r="K277" s="23">
        <v>28038</v>
      </c>
      <c r="L277" s="23">
        <v>8</v>
      </c>
      <c r="M277" s="37">
        <v>5994.7468339999996</v>
      </c>
      <c r="N277" s="31"/>
      <c r="O277" s="32"/>
      <c r="P277" s="38" t="s">
        <v>2041</v>
      </c>
      <c r="Q277" s="39" t="s">
        <v>2043</v>
      </c>
      <c r="R277" s="40">
        <v>5994.7468339999996</v>
      </c>
      <c r="S277" s="29" t="b">
        <f t="shared" si="1"/>
        <v>1</v>
      </c>
      <c r="T277" s="35"/>
    </row>
    <row r="278" spans="1:20">
      <c r="A278" s="22" t="s">
        <v>3264</v>
      </c>
      <c r="B278" s="23" t="s">
        <v>32</v>
      </c>
      <c r="C278" s="23" t="s">
        <v>46</v>
      </c>
      <c r="D278" s="23" t="s">
        <v>3244</v>
      </c>
      <c r="E278" s="36" t="s">
        <v>3265</v>
      </c>
      <c r="F278" s="23" t="s">
        <v>593</v>
      </c>
      <c r="G278" s="23" t="s">
        <v>39</v>
      </c>
      <c r="H278" s="23">
        <v>16644</v>
      </c>
      <c r="I278" s="23">
        <v>10</v>
      </c>
      <c r="J278" s="23">
        <v>5055</v>
      </c>
      <c r="K278" s="23">
        <v>15831</v>
      </c>
      <c r="L278" s="23">
        <v>5</v>
      </c>
      <c r="M278" s="37">
        <v>6386.4642320000003</v>
      </c>
      <c r="N278" s="31"/>
      <c r="O278" s="32"/>
      <c r="P278" s="38" t="s">
        <v>1304</v>
      </c>
      <c r="Q278" s="39" t="s">
        <v>1306</v>
      </c>
      <c r="R278" s="40">
        <v>6386.4642320000003</v>
      </c>
      <c r="S278" s="29" t="b">
        <f t="shared" si="1"/>
        <v>1</v>
      </c>
      <c r="T278" s="35"/>
    </row>
    <row r="279" spans="1:20">
      <c r="A279" s="22" t="s">
        <v>3266</v>
      </c>
      <c r="B279" s="23" t="s">
        <v>32</v>
      </c>
      <c r="C279" s="23" t="s">
        <v>80</v>
      </c>
      <c r="D279" s="23" t="s">
        <v>3244</v>
      </c>
      <c r="E279" s="36" t="s">
        <v>3267</v>
      </c>
      <c r="F279" s="23" t="s">
        <v>157</v>
      </c>
      <c r="G279" s="23" t="s">
        <v>39</v>
      </c>
      <c r="H279" s="23">
        <v>44505</v>
      </c>
      <c r="I279" s="23">
        <v>125</v>
      </c>
      <c r="J279" s="23">
        <v>18993</v>
      </c>
      <c r="K279" s="23">
        <v>39522</v>
      </c>
      <c r="L279" s="23">
        <v>16</v>
      </c>
      <c r="M279" s="37">
        <v>6766.4753680000003</v>
      </c>
      <c r="N279" s="31"/>
      <c r="O279" s="32"/>
      <c r="P279" s="38" t="s">
        <v>1337</v>
      </c>
      <c r="Q279" s="39" t="s">
        <v>1339</v>
      </c>
      <c r="R279" s="40">
        <v>6766.4753680000003</v>
      </c>
      <c r="S279" s="29" t="b">
        <f t="shared" si="1"/>
        <v>1</v>
      </c>
      <c r="T279" s="35"/>
    </row>
    <row r="280" spans="1:20">
      <c r="A280" s="22" t="s">
        <v>3268</v>
      </c>
      <c r="B280" s="23" t="s">
        <v>32</v>
      </c>
      <c r="C280" s="23" t="s">
        <v>62</v>
      </c>
      <c r="D280" s="23" t="s">
        <v>3269</v>
      </c>
      <c r="E280" s="36" t="s">
        <v>3270</v>
      </c>
      <c r="F280" s="23" t="s">
        <v>103</v>
      </c>
      <c r="G280" s="23" t="s">
        <v>39</v>
      </c>
      <c r="H280" s="23">
        <v>507889</v>
      </c>
      <c r="I280" s="23">
        <v>823</v>
      </c>
      <c r="J280" s="23">
        <v>176329</v>
      </c>
      <c r="K280" s="23">
        <v>450103</v>
      </c>
      <c r="L280" s="23">
        <v>78</v>
      </c>
      <c r="M280" s="37">
        <v>1440.7453620000001</v>
      </c>
      <c r="N280" s="31"/>
      <c r="O280" s="32"/>
      <c r="P280" s="38" t="s">
        <v>1227</v>
      </c>
      <c r="Q280" s="39" t="s">
        <v>1229</v>
      </c>
      <c r="R280" s="40">
        <v>1440.7453620000001</v>
      </c>
      <c r="S280" s="29" t="b">
        <f t="shared" si="1"/>
        <v>1</v>
      </c>
      <c r="T280" s="35"/>
    </row>
    <row r="281" spans="1:20">
      <c r="A281" s="22" t="s">
        <v>3271</v>
      </c>
      <c r="B281" s="23" t="s">
        <v>44</v>
      </c>
      <c r="C281" s="23" t="s">
        <v>62</v>
      </c>
      <c r="D281" s="23" t="s">
        <v>3269</v>
      </c>
      <c r="E281" s="36" t="s">
        <v>3272</v>
      </c>
      <c r="F281" s="23" t="s">
        <v>103</v>
      </c>
      <c r="G281" s="23" t="s">
        <v>75</v>
      </c>
      <c r="H281" s="23">
        <v>307888</v>
      </c>
      <c r="I281" s="23">
        <v>863</v>
      </c>
      <c r="J281" s="23">
        <v>134959</v>
      </c>
      <c r="K281" s="23">
        <v>274790</v>
      </c>
      <c r="L281" s="23">
        <v>11</v>
      </c>
      <c r="M281" s="37">
        <v>1559.643865</v>
      </c>
      <c r="N281" s="31"/>
      <c r="O281" s="32"/>
      <c r="P281" s="38" t="s">
        <v>1827</v>
      </c>
      <c r="Q281" s="39" t="s">
        <v>1829</v>
      </c>
      <c r="R281" s="40">
        <v>1559.643865</v>
      </c>
      <c r="S281" s="29" t="b">
        <f t="shared" si="1"/>
        <v>1</v>
      </c>
      <c r="T281" s="35"/>
    </row>
    <row r="282" spans="1:20">
      <c r="A282" s="22" t="s">
        <v>3273</v>
      </c>
      <c r="B282" s="23" t="s">
        <v>32</v>
      </c>
      <c r="C282" s="23" t="s">
        <v>34</v>
      </c>
      <c r="D282" s="23" t="s">
        <v>3269</v>
      </c>
      <c r="E282" s="36" t="s">
        <v>3274</v>
      </c>
      <c r="F282" s="23" t="s">
        <v>50</v>
      </c>
      <c r="G282" s="23" t="s">
        <v>39</v>
      </c>
      <c r="H282" s="23">
        <v>111884</v>
      </c>
      <c r="I282" s="23">
        <v>220</v>
      </c>
      <c r="J282" s="23">
        <v>53017</v>
      </c>
      <c r="K282" s="23">
        <v>106432</v>
      </c>
      <c r="L282" s="23">
        <v>7</v>
      </c>
      <c r="M282" s="37">
        <v>1786.1051219999999</v>
      </c>
      <c r="N282" s="31"/>
      <c r="O282" s="32"/>
      <c r="P282" s="38" t="s">
        <v>635</v>
      </c>
      <c r="Q282" s="39" t="s">
        <v>638</v>
      </c>
      <c r="R282" s="40">
        <v>1786.1051219999999</v>
      </c>
      <c r="S282" s="29" t="b">
        <f t="shared" si="1"/>
        <v>1</v>
      </c>
      <c r="T282" s="35"/>
    </row>
    <row r="283" spans="1:20">
      <c r="A283" s="22" t="s">
        <v>3275</v>
      </c>
      <c r="B283" s="23" t="s">
        <v>44</v>
      </c>
      <c r="C283" s="23" t="s">
        <v>62</v>
      </c>
      <c r="D283" s="23" t="s">
        <v>3276</v>
      </c>
      <c r="E283" s="36" t="s">
        <v>3277</v>
      </c>
      <c r="F283" s="23" t="s">
        <v>50</v>
      </c>
      <c r="G283" s="23" t="s">
        <v>75</v>
      </c>
      <c r="H283" s="23">
        <v>34278</v>
      </c>
      <c r="I283" s="23">
        <v>100</v>
      </c>
      <c r="J283" s="23">
        <v>3704</v>
      </c>
      <c r="K283" s="23">
        <v>30227</v>
      </c>
      <c r="L283" s="23">
        <v>6</v>
      </c>
      <c r="M283" s="37">
        <v>1689.0831860000001</v>
      </c>
      <c r="N283" s="31"/>
      <c r="O283" s="32"/>
      <c r="P283" s="38" t="s">
        <v>2117</v>
      </c>
      <c r="Q283" s="39" t="s">
        <v>2119</v>
      </c>
      <c r="R283" s="40">
        <v>1689.0831860000001</v>
      </c>
      <c r="S283" s="29" t="b">
        <f t="shared" si="1"/>
        <v>1</v>
      </c>
      <c r="T283" s="35"/>
    </row>
    <row r="284" spans="1:20">
      <c r="A284" s="22" t="s">
        <v>3278</v>
      </c>
      <c r="B284" s="23" t="s">
        <v>44</v>
      </c>
      <c r="C284" s="23" t="s">
        <v>62</v>
      </c>
      <c r="D284" s="23" t="s">
        <v>3276</v>
      </c>
      <c r="E284" s="36" t="s">
        <v>3279</v>
      </c>
      <c r="F284" s="23" t="s">
        <v>103</v>
      </c>
      <c r="G284" s="23" t="s">
        <v>39</v>
      </c>
      <c r="H284" s="23">
        <v>510778</v>
      </c>
      <c r="I284" s="23">
        <v>1290</v>
      </c>
      <c r="J284" s="23">
        <v>70777</v>
      </c>
      <c r="K284" s="23">
        <v>436133</v>
      </c>
      <c r="L284" s="23">
        <v>6</v>
      </c>
      <c r="M284" s="37">
        <v>3870.2538669999999</v>
      </c>
      <c r="N284" s="31"/>
      <c r="O284" s="32"/>
      <c r="P284" s="38" t="s">
        <v>177</v>
      </c>
      <c r="Q284" s="39" t="s">
        <v>180</v>
      </c>
      <c r="R284" s="40">
        <v>3870.2538669999999</v>
      </c>
      <c r="S284" s="29" t="b">
        <f t="shared" si="1"/>
        <v>1</v>
      </c>
      <c r="T284" s="35"/>
    </row>
    <row r="285" spans="1:20">
      <c r="A285" s="22" t="s">
        <v>3280</v>
      </c>
      <c r="B285" s="23" t="s">
        <v>32</v>
      </c>
      <c r="C285" s="23" t="s">
        <v>62</v>
      </c>
      <c r="D285" s="23" t="s">
        <v>3276</v>
      </c>
      <c r="E285" s="36" t="s">
        <v>3281</v>
      </c>
      <c r="F285" s="23" t="s">
        <v>50</v>
      </c>
      <c r="G285" s="23" t="s">
        <v>39</v>
      </c>
      <c r="H285" s="23">
        <v>96508</v>
      </c>
      <c r="I285" s="23">
        <v>351</v>
      </c>
      <c r="J285" s="23">
        <v>47065</v>
      </c>
      <c r="K285" s="23">
        <v>73640</v>
      </c>
      <c r="L285" s="23">
        <v>15</v>
      </c>
      <c r="M285" s="37">
        <v>5310.7695720000002</v>
      </c>
      <c r="N285" s="31"/>
      <c r="O285" s="32"/>
      <c r="P285" s="38" t="s">
        <v>373</v>
      </c>
      <c r="Q285" s="39" t="s">
        <v>376</v>
      </c>
      <c r="R285" s="40">
        <v>5310.7695720000002</v>
      </c>
      <c r="S285" s="29" t="b">
        <f t="shared" si="1"/>
        <v>1</v>
      </c>
      <c r="T285" s="35"/>
    </row>
    <row r="286" spans="1:20">
      <c r="A286" s="22" t="s">
        <v>3282</v>
      </c>
      <c r="B286" s="23" t="s">
        <v>32</v>
      </c>
      <c r="C286" s="23" t="s">
        <v>80</v>
      </c>
      <c r="D286" s="23" t="s">
        <v>3276</v>
      </c>
      <c r="E286" s="36" t="s">
        <v>3283</v>
      </c>
      <c r="F286" s="23" t="s">
        <v>186</v>
      </c>
      <c r="G286" s="23" t="s">
        <v>39</v>
      </c>
      <c r="H286" s="23">
        <v>42459</v>
      </c>
      <c r="I286" s="23">
        <v>121</v>
      </c>
      <c r="J286" s="23">
        <v>15187</v>
      </c>
      <c r="K286" s="23">
        <v>37408</v>
      </c>
      <c r="L286" s="23">
        <v>11</v>
      </c>
      <c r="M286" s="37">
        <v>6321.4916890000004</v>
      </c>
      <c r="N286" s="31"/>
      <c r="O286" s="32"/>
      <c r="P286" s="38" t="s">
        <v>2120</v>
      </c>
      <c r="Q286" s="39" t="s">
        <v>2122</v>
      </c>
      <c r="R286" s="40">
        <v>6321.4916890000004</v>
      </c>
      <c r="S286" s="29" t="b">
        <f t="shared" si="1"/>
        <v>1</v>
      </c>
      <c r="T286" s="35"/>
    </row>
    <row r="287" spans="1:20">
      <c r="A287" s="22" t="s">
        <v>3284</v>
      </c>
      <c r="B287" s="23" t="s">
        <v>32</v>
      </c>
      <c r="C287" s="23" t="s">
        <v>46</v>
      </c>
      <c r="D287" s="23" t="s">
        <v>3285</v>
      </c>
      <c r="E287" s="36" t="s">
        <v>3286</v>
      </c>
      <c r="F287" s="23" t="s">
        <v>131</v>
      </c>
      <c r="G287" s="23" t="s">
        <v>39</v>
      </c>
      <c r="H287" s="23">
        <v>9319</v>
      </c>
      <c r="I287" s="23">
        <v>30</v>
      </c>
      <c r="J287" s="23">
        <v>6193</v>
      </c>
      <c r="K287" s="23">
        <v>8682</v>
      </c>
      <c r="L287" s="23">
        <v>12</v>
      </c>
      <c r="M287" s="37">
        <v>4594.6040030000004</v>
      </c>
      <c r="N287" s="31"/>
      <c r="O287" s="32"/>
      <c r="P287" s="38" t="s">
        <v>1199</v>
      </c>
      <c r="Q287" s="39" t="s">
        <v>1201</v>
      </c>
      <c r="R287" s="40">
        <v>4594.6040030000004</v>
      </c>
      <c r="S287" s="29" t="b">
        <f t="shared" si="1"/>
        <v>1</v>
      </c>
      <c r="T287" s="35"/>
    </row>
    <row r="288" spans="1:20">
      <c r="A288" s="22" t="s">
        <v>3287</v>
      </c>
      <c r="B288" s="23" t="s">
        <v>44</v>
      </c>
      <c r="C288" s="23" t="s">
        <v>46</v>
      </c>
      <c r="D288" s="23" t="s">
        <v>3288</v>
      </c>
      <c r="E288" s="36" t="s">
        <v>3289</v>
      </c>
      <c r="F288" s="23" t="s">
        <v>74</v>
      </c>
      <c r="G288" s="23" t="s">
        <v>39</v>
      </c>
      <c r="H288" s="23">
        <v>13326</v>
      </c>
      <c r="I288" s="23">
        <v>98</v>
      </c>
      <c r="J288" s="23">
        <v>3568</v>
      </c>
      <c r="K288" s="23">
        <v>11388</v>
      </c>
      <c r="L288" s="23">
        <v>2</v>
      </c>
      <c r="M288" s="37">
        <v>1442.032183</v>
      </c>
      <c r="N288" s="31"/>
      <c r="O288" s="32"/>
      <c r="P288" s="38" t="s">
        <v>1262</v>
      </c>
      <c r="Q288" s="39" t="s">
        <v>1191</v>
      </c>
      <c r="R288" s="40">
        <v>1442.032183</v>
      </c>
      <c r="S288" s="29" t="b">
        <f t="shared" si="1"/>
        <v>1</v>
      </c>
      <c r="T288" s="35"/>
    </row>
    <row r="289" spans="1:20">
      <c r="A289" s="22" t="s">
        <v>3290</v>
      </c>
      <c r="B289" s="23" t="s">
        <v>32</v>
      </c>
      <c r="C289" s="23" t="s">
        <v>62</v>
      </c>
      <c r="D289" s="23" t="s">
        <v>3288</v>
      </c>
      <c r="E289" s="36" t="s">
        <v>3291</v>
      </c>
      <c r="F289" s="23" t="s">
        <v>157</v>
      </c>
      <c r="G289" s="23" t="s">
        <v>39</v>
      </c>
      <c r="H289" s="23">
        <v>19826</v>
      </c>
      <c r="I289" s="23">
        <v>39</v>
      </c>
      <c r="J289" s="23">
        <v>6511</v>
      </c>
      <c r="K289" s="23">
        <v>15752</v>
      </c>
      <c r="L289" s="23">
        <v>10</v>
      </c>
      <c r="M289" s="37">
        <v>1447.873298</v>
      </c>
      <c r="N289" s="31"/>
      <c r="O289" s="32"/>
      <c r="P289" s="38" t="s">
        <v>2152</v>
      </c>
      <c r="Q289" s="39" t="s">
        <v>2155</v>
      </c>
      <c r="R289" s="40">
        <v>1447.873298</v>
      </c>
      <c r="S289" s="29" t="b">
        <f t="shared" si="1"/>
        <v>1</v>
      </c>
      <c r="T289" s="35"/>
    </row>
    <row r="290" spans="1:20">
      <c r="A290" s="22" t="s">
        <v>3292</v>
      </c>
      <c r="B290" s="23" t="s">
        <v>32</v>
      </c>
      <c r="C290" s="23" t="s">
        <v>80</v>
      </c>
      <c r="D290" s="23" t="s">
        <v>3288</v>
      </c>
      <c r="E290" s="36" t="s">
        <v>3293</v>
      </c>
      <c r="F290" s="23" t="s">
        <v>50</v>
      </c>
      <c r="G290" s="23" t="s">
        <v>39</v>
      </c>
      <c r="H290" s="23">
        <v>59782</v>
      </c>
      <c r="I290" s="23">
        <v>212</v>
      </c>
      <c r="J290" s="23">
        <v>28235</v>
      </c>
      <c r="K290" s="23">
        <v>57543</v>
      </c>
      <c r="L290" s="23">
        <v>13</v>
      </c>
      <c r="M290" s="37">
        <v>1455.7035539999999</v>
      </c>
      <c r="N290" s="31"/>
      <c r="O290" s="32"/>
      <c r="P290" s="38" t="s">
        <v>580</v>
      </c>
      <c r="Q290" s="39" t="s">
        <v>583</v>
      </c>
      <c r="R290" s="40">
        <v>1455.7035539999999</v>
      </c>
      <c r="S290" s="29" t="b">
        <f t="shared" si="1"/>
        <v>1</v>
      </c>
      <c r="T290" s="35"/>
    </row>
    <row r="291" spans="1:20">
      <c r="A291" s="22" t="s">
        <v>3294</v>
      </c>
      <c r="B291" s="23" t="s">
        <v>44</v>
      </c>
      <c r="C291" s="23" t="s">
        <v>46</v>
      </c>
      <c r="D291" s="23" t="s">
        <v>3288</v>
      </c>
      <c r="E291" s="36" t="s">
        <v>3295</v>
      </c>
      <c r="F291" s="23" t="s">
        <v>186</v>
      </c>
      <c r="G291" s="23" t="s">
        <v>39</v>
      </c>
      <c r="H291" s="23">
        <v>144088</v>
      </c>
      <c r="I291" s="23">
        <v>490</v>
      </c>
      <c r="J291" s="23">
        <v>26416</v>
      </c>
      <c r="K291" s="23">
        <v>137369</v>
      </c>
      <c r="L291" s="23">
        <v>7</v>
      </c>
      <c r="M291" s="37">
        <v>1464.0642350000001</v>
      </c>
      <c r="N291" s="31"/>
      <c r="O291" s="32"/>
      <c r="P291" s="38" t="s">
        <v>1233</v>
      </c>
      <c r="Q291" s="39" t="s">
        <v>1235</v>
      </c>
      <c r="R291" s="40">
        <v>1464.0642350000001</v>
      </c>
      <c r="S291" s="29" t="b">
        <f t="shared" si="1"/>
        <v>1</v>
      </c>
      <c r="T291" s="35"/>
    </row>
    <row r="292" spans="1:20">
      <c r="A292" s="22" t="s">
        <v>3296</v>
      </c>
      <c r="B292" s="23" t="s">
        <v>32</v>
      </c>
      <c r="C292" s="23" t="s">
        <v>34</v>
      </c>
      <c r="D292" s="23" t="s">
        <v>3288</v>
      </c>
      <c r="E292" s="36" t="s">
        <v>3297</v>
      </c>
      <c r="F292" s="23" t="s">
        <v>74</v>
      </c>
      <c r="G292" s="23" t="s">
        <v>39</v>
      </c>
      <c r="H292" s="23">
        <v>73544</v>
      </c>
      <c r="I292" s="23">
        <v>223</v>
      </c>
      <c r="J292" s="23">
        <v>40405</v>
      </c>
      <c r="K292" s="23">
        <v>67406</v>
      </c>
      <c r="L292" s="23">
        <v>1</v>
      </c>
      <c r="M292" s="37">
        <v>1465.8722660000001</v>
      </c>
      <c r="N292" s="31"/>
      <c r="O292" s="32"/>
      <c r="P292" s="38" t="s">
        <v>1634</v>
      </c>
      <c r="Q292" s="39" t="s">
        <v>490</v>
      </c>
      <c r="R292" s="40">
        <v>1465.8722660000001</v>
      </c>
      <c r="S292" s="29" t="b">
        <f t="shared" si="1"/>
        <v>1</v>
      </c>
      <c r="T292" s="35"/>
    </row>
    <row r="293" spans="1:20">
      <c r="A293" s="22" t="s">
        <v>3298</v>
      </c>
      <c r="B293" s="23" t="s">
        <v>44</v>
      </c>
      <c r="C293" s="23" t="s">
        <v>62</v>
      </c>
      <c r="D293" s="23" t="s">
        <v>3288</v>
      </c>
      <c r="E293" s="36" t="s">
        <v>3299</v>
      </c>
      <c r="F293" s="23" t="s">
        <v>3153</v>
      </c>
      <c r="G293" s="23" t="s">
        <v>75</v>
      </c>
      <c r="H293" s="23">
        <v>49415</v>
      </c>
      <c r="I293" s="23">
        <v>144</v>
      </c>
      <c r="J293" s="23">
        <v>24692</v>
      </c>
      <c r="K293" s="23">
        <v>45565</v>
      </c>
      <c r="L293" s="23">
        <v>3</v>
      </c>
      <c r="M293" s="37">
        <v>1471.1757279999999</v>
      </c>
      <c r="N293" s="31"/>
      <c r="O293" s="32"/>
      <c r="P293" s="38" t="s">
        <v>344</v>
      </c>
      <c r="Q293" s="39" t="s">
        <v>347</v>
      </c>
      <c r="R293" s="40">
        <v>1471.1757279999999</v>
      </c>
      <c r="S293" s="29" t="b">
        <f t="shared" si="1"/>
        <v>1</v>
      </c>
      <c r="T293" s="35"/>
    </row>
    <row r="294" spans="1:20">
      <c r="A294" s="22" t="s">
        <v>3300</v>
      </c>
      <c r="B294" s="23" t="s">
        <v>123</v>
      </c>
      <c r="C294" s="23" t="s">
        <v>80</v>
      </c>
      <c r="D294" s="23" t="s">
        <v>3288</v>
      </c>
      <c r="E294" s="36" t="s">
        <v>3301</v>
      </c>
      <c r="F294" s="23" t="s">
        <v>50</v>
      </c>
      <c r="G294" s="23" t="s">
        <v>39</v>
      </c>
      <c r="H294" s="23">
        <v>9178</v>
      </c>
      <c r="I294" s="23">
        <v>25</v>
      </c>
      <c r="J294" s="23">
        <v>4644</v>
      </c>
      <c r="K294" s="23">
        <v>8462</v>
      </c>
      <c r="L294" s="23">
        <v>2</v>
      </c>
      <c r="M294" s="37">
        <v>1503.205183</v>
      </c>
      <c r="N294" s="31"/>
      <c r="O294" s="32"/>
      <c r="P294" s="38" t="s">
        <v>1384</v>
      </c>
      <c r="Q294" s="39" t="s">
        <v>999</v>
      </c>
      <c r="R294" s="40">
        <v>1503.205183</v>
      </c>
      <c r="S294" s="29" t="b">
        <f t="shared" si="1"/>
        <v>1</v>
      </c>
      <c r="T294" s="35"/>
    </row>
    <row r="295" spans="1:20">
      <c r="A295" s="22" t="s">
        <v>3302</v>
      </c>
      <c r="B295" s="23" t="s">
        <v>32</v>
      </c>
      <c r="C295" s="23" t="s">
        <v>80</v>
      </c>
      <c r="D295" s="23" t="s">
        <v>3288</v>
      </c>
      <c r="E295" s="36" t="s">
        <v>3303</v>
      </c>
      <c r="F295" s="23" t="s">
        <v>74</v>
      </c>
      <c r="G295" s="23" t="s">
        <v>39</v>
      </c>
      <c r="H295" s="23">
        <v>50838</v>
      </c>
      <c r="I295" s="23">
        <v>130</v>
      </c>
      <c r="J295" s="23">
        <v>23274</v>
      </c>
      <c r="K295" s="23">
        <v>35934</v>
      </c>
      <c r="L295" s="23">
        <v>11</v>
      </c>
      <c r="M295" s="37">
        <v>1521.372273</v>
      </c>
      <c r="N295" s="31"/>
      <c r="O295" s="32"/>
      <c r="P295" s="38" t="s">
        <v>2112</v>
      </c>
      <c r="Q295" s="39" t="s">
        <v>2114</v>
      </c>
      <c r="R295" s="40">
        <v>1521.372273</v>
      </c>
      <c r="S295" s="29" t="b">
        <f t="shared" si="1"/>
        <v>1</v>
      </c>
      <c r="T295" s="35"/>
    </row>
    <row r="296" spans="1:20">
      <c r="A296" s="22" t="s">
        <v>3304</v>
      </c>
      <c r="B296" s="23" t="s">
        <v>32</v>
      </c>
      <c r="C296" s="23" t="s">
        <v>34</v>
      </c>
      <c r="D296" s="23" t="s">
        <v>3288</v>
      </c>
      <c r="E296" s="36" t="s">
        <v>3305</v>
      </c>
      <c r="F296" s="23" t="s">
        <v>157</v>
      </c>
      <c r="G296" s="23" t="s">
        <v>39</v>
      </c>
      <c r="H296" s="23">
        <v>21737</v>
      </c>
      <c r="I296" s="23">
        <v>80</v>
      </c>
      <c r="J296" s="23">
        <v>11206</v>
      </c>
      <c r="K296" s="23">
        <v>19459</v>
      </c>
      <c r="L296" s="23">
        <v>4</v>
      </c>
      <c r="M296" s="37">
        <v>1521.576648</v>
      </c>
      <c r="N296" s="31"/>
      <c r="O296" s="32"/>
      <c r="P296" s="38" t="s">
        <v>1848</v>
      </c>
      <c r="Q296" s="39" t="s">
        <v>1699</v>
      </c>
      <c r="R296" s="40">
        <v>1521.576648</v>
      </c>
      <c r="S296" s="29" t="b">
        <f t="shared" si="1"/>
        <v>1</v>
      </c>
      <c r="T296" s="35"/>
    </row>
    <row r="297" spans="1:20">
      <c r="A297" s="22" t="s">
        <v>3306</v>
      </c>
      <c r="B297" s="23" t="s">
        <v>32</v>
      </c>
      <c r="C297" s="23" t="s">
        <v>34</v>
      </c>
      <c r="D297" s="23" t="s">
        <v>3288</v>
      </c>
      <c r="E297" s="36" t="s">
        <v>3307</v>
      </c>
      <c r="F297" s="23" t="s">
        <v>103</v>
      </c>
      <c r="G297" s="23" t="s">
        <v>39</v>
      </c>
      <c r="H297" s="23">
        <v>13779</v>
      </c>
      <c r="I297" s="23">
        <v>96</v>
      </c>
      <c r="J297" s="23">
        <v>3482</v>
      </c>
      <c r="K297" s="23">
        <v>12487</v>
      </c>
      <c r="L297" s="23">
        <v>4</v>
      </c>
      <c r="M297" s="37">
        <v>1530.041892</v>
      </c>
      <c r="N297" s="31"/>
      <c r="O297" s="32"/>
      <c r="P297" s="38" t="s">
        <v>301</v>
      </c>
      <c r="Q297" s="39" t="s">
        <v>302</v>
      </c>
      <c r="R297" s="40">
        <v>1530.041892</v>
      </c>
      <c r="S297" s="29" t="b">
        <f t="shared" si="1"/>
        <v>1</v>
      </c>
      <c r="T297" s="35"/>
    </row>
    <row r="298" spans="1:20">
      <c r="A298" s="22" t="s">
        <v>3308</v>
      </c>
      <c r="B298" s="23" t="s">
        <v>32</v>
      </c>
      <c r="C298" s="23" t="s">
        <v>34</v>
      </c>
      <c r="D298" s="23" t="s">
        <v>3288</v>
      </c>
      <c r="E298" s="36" t="s">
        <v>3309</v>
      </c>
      <c r="F298" s="23" t="s">
        <v>3153</v>
      </c>
      <c r="G298" s="23" t="s">
        <v>39</v>
      </c>
      <c r="H298" s="23">
        <v>13592</v>
      </c>
      <c r="I298" s="23">
        <v>85</v>
      </c>
      <c r="J298" s="23">
        <v>7747</v>
      </c>
      <c r="K298" s="23">
        <v>10690</v>
      </c>
      <c r="L298" s="23">
        <v>1</v>
      </c>
      <c r="M298" s="37">
        <v>1555.1120780000001</v>
      </c>
      <c r="N298" s="31"/>
      <c r="O298" s="32"/>
      <c r="P298" s="38" t="s">
        <v>1779</v>
      </c>
      <c r="Q298" s="39" t="s">
        <v>1781</v>
      </c>
      <c r="R298" s="40">
        <v>1555.1120780000001</v>
      </c>
      <c r="S298" s="29" t="b">
        <f t="shared" si="1"/>
        <v>1</v>
      </c>
      <c r="T298" s="35"/>
    </row>
    <row r="299" spans="1:20">
      <c r="A299" s="22" t="s">
        <v>3310</v>
      </c>
      <c r="B299" s="23" t="s">
        <v>44</v>
      </c>
      <c r="C299" s="23" t="s">
        <v>34</v>
      </c>
      <c r="D299" s="23" t="s">
        <v>3288</v>
      </c>
      <c r="E299" s="36" t="s">
        <v>3311</v>
      </c>
      <c r="F299" s="23" t="s">
        <v>74</v>
      </c>
      <c r="G299" s="23" t="s">
        <v>39</v>
      </c>
      <c r="H299" s="23">
        <v>67752</v>
      </c>
      <c r="I299" s="23">
        <v>174</v>
      </c>
      <c r="J299" s="23">
        <v>47126</v>
      </c>
      <c r="K299" s="23">
        <v>65080</v>
      </c>
      <c r="L299" s="23">
        <v>3</v>
      </c>
      <c r="M299" s="37">
        <v>1557.0157300000001</v>
      </c>
      <c r="N299" s="31"/>
      <c r="O299" s="32"/>
      <c r="P299" s="38" t="s">
        <v>936</v>
      </c>
      <c r="Q299" s="39" t="s">
        <v>347</v>
      </c>
      <c r="R299" s="40">
        <v>1557.0157300000001</v>
      </c>
      <c r="S299" s="29" t="b">
        <f t="shared" si="1"/>
        <v>1</v>
      </c>
      <c r="T299" s="35"/>
    </row>
    <row r="300" spans="1:20">
      <c r="A300" s="22" t="s">
        <v>3312</v>
      </c>
      <c r="B300" s="23" t="s">
        <v>44</v>
      </c>
      <c r="C300" s="23" t="s">
        <v>80</v>
      </c>
      <c r="D300" s="23" t="s">
        <v>3288</v>
      </c>
      <c r="E300" s="36" t="s">
        <v>3313</v>
      </c>
      <c r="F300" s="23" t="s">
        <v>103</v>
      </c>
      <c r="G300" s="23" t="s">
        <v>39</v>
      </c>
      <c r="H300" s="23">
        <v>77703</v>
      </c>
      <c r="I300" s="23">
        <v>204</v>
      </c>
      <c r="J300" s="23">
        <v>33478</v>
      </c>
      <c r="K300" s="23">
        <v>72874</v>
      </c>
      <c r="L300" s="23">
        <v>3</v>
      </c>
      <c r="M300" s="37">
        <v>1566.9124059999999</v>
      </c>
      <c r="N300" s="31"/>
      <c r="O300" s="32"/>
      <c r="P300" s="38" t="s">
        <v>308</v>
      </c>
      <c r="Q300" s="39" t="s">
        <v>311</v>
      </c>
      <c r="R300" s="40">
        <v>1566.9124059999999</v>
      </c>
      <c r="S300" s="29" t="b">
        <f t="shared" si="1"/>
        <v>1</v>
      </c>
      <c r="T300" s="35"/>
    </row>
    <row r="301" spans="1:20">
      <c r="A301" s="22" t="s">
        <v>3314</v>
      </c>
      <c r="B301" s="23" t="s">
        <v>44</v>
      </c>
      <c r="C301" s="23" t="s">
        <v>46</v>
      </c>
      <c r="D301" s="23" t="s">
        <v>3288</v>
      </c>
      <c r="E301" s="36" t="s">
        <v>3315</v>
      </c>
      <c r="F301" s="23" t="s">
        <v>50</v>
      </c>
      <c r="G301" s="23" t="s">
        <v>75</v>
      </c>
      <c r="H301" s="23">
        <v>16808</v>
      </c>
      <c r="I301" s="23">
        <v>43</v>
      </c>
      <c r="J301" s="23">
        <v>9211</v>
      </c>
      <c r="K301" s="23">
        <v>13372</v>
      </c>
      <c r="L301" s="23">
        <v>3</v>
      </c>
      <c r="M301" s="37">
        <v>1574.7912799999999</v>
      </c>
      <c r="N301" s="31"/>
      <c r="O301" s="32"/>
      <c r="P301" s="38" t="s">
        <v>1486</v>
      </c>
      <c r="Q301" s="39" t="s">
        <v>96</v>
      </c>
      <c r="R301" s="40">
        <v>1574.7912799999999</v>
      </c>
      <c r="S301" s="29" t="b">
        <f t="shared" si="1"/>
        <v>1</v>
      </c>
      <c r="T301" s="35"/>
    </row>
    <row r="302" spans="1:20">
      <c r="A302" s="22" t="s">
        <v>3316</v>
      </c>
      <c r="B302" s="23" t="s">
        <v>44</v>
      </c>
      <c r="C302" s="23" t="s">
        <v>34</v>
      </c>
      <c r="D302" s="23" t="s">
        <v>3288</v>
      </c>
      <c r="E302" s="36" t="s">
        <v>3317</v>
      </c>
      <c r="F302" s="23" t="s">
        <v>50</v>
      </c>
      <c r="G302" s="23" t="s">
        <v>39</v>
      </c>
      <c r="H302" s="23">
        <v>321263</v>
      </c>
      <c r="I302" s="23">
        <v>852</v>
      </c>
      <c r="J302" s="23">
        <v>172887</v>
      </c>
      <c r="K302" s="23">
        <v>263424</v>
      </c>
      <c r="L302" s="23">
        <v>6</v>
      </c>
      <c r="M302" s="37">
        <v>1576.051434</v>
      </c>
      <c r="N302" s="31"/>
      <c r="O302" s="32"/>
      <c r="P302" s="38" t="s">
        <v>2039</v>
      </c>
      <c r="Q302" s="39" t="s">
        <v>1086</v>
      </c>
      <c r="R302" s="40">
        <v>1576.051434</v>
      </c>
      <c r="S302" s="29" t="b">
        <f t="shared" si="1"/>
        <v>1</v>
      </c>
      <c r="T302" s="35"/>
    </row>
    <row r="303" spans="1:20">
      <c r="A303" s="22" t="s">
        <v>3318</v>
      </c>
      <c r="B303" s="23" t="s">
        <v>32</v>
      </c>
      <c r="C303" s="23" t="s">
        <v>80</v>
      </c>
      <c r="D303" s="23" t="s">
        <v>3288</v>
      </c>
      <c r="E303" s="36" t="s">
        <v>3319</v>
      </c>
      <c r="F303" s="23" t="s">
        <v>157</v>
      </c>
      <c r="G303" s="23" t="s">
        <v>39</v>
      </c>
      <c r="H303" s="23">
        <v>37617</v>
      </c>
      <c r="I303" s="23">
        <v>85</v>
      </c>
      <c r="J303" s="23">
        <v>5092</v>
      </c>
      <c r="K303" s="23">
        <v>34373</v>
      </c>
      <c r="L303" s="23">
        <v>6</v>
      </c>
      <c r="M303" s="37">
        <v>1608.8829519999999</v>
      </c>
      <c r="N303" s="31"/>
      <c r="O303" s="32"/>
      <c r="P303" s="38" t="s">
        <v>2001</v>
      </c>
      <c r="Q303" s="39" t="s">
        <v>240</v>
      </c>
      <c r="R303" s="40">
        <v>1608.8829519999999</v>
      </c>
      <c r="S303" s="29" t="b">
        <f t="shared" si="1"/>
        <v>1</v>
      </c>
      <c r="T303" s="35"/>
    </row>
    <row r="304" spans="1:20">
      <c r="A304" s="22" t="s">
        <v>3320</v>
      </c>
      <c r="B304" s="23" t="s">
        <v>123</v>
      </c>
      <c r="C304" s="23" t="s">
        <v>34</v>
      </c>
      <c r="D304" s="23" t="s">
        <v>3288</v>
      </c>
      <c r="E304" s="36" t="s">
        <v>3321</v>
      </c>
      <c r="F304" s="23" t="s">
        <v>50</v>
      </c>
      <c r="G304" s="23" t="s">
        <v>39</v>
      </c>
      <c r="H304" s="23">
        <v>20537</v>
      </c>
      <c r="I304" s="23">
        <v>84</v>
      </c>
      <c r="J304" s="23">
        <v>15587</v>
      </c>
      <c r="K304" s="23">
        <v>19288</v>
      </c>
      <c r="L304" s="23">
        <v>10</v>
      </c>
      <c r="M304" s="37">
        <v>1609.880674</v>
      </c>
      <c r="N304" s="31"/>
      <c r="O304" s="32"/>
      <c r="P304" s="38" t="s">
        <v>143</v>
      </c>
      <c r="Q304" s="39" t="s">
        <v>147</v>
      </c>
      <c r="R304" s="40">
        <v>1609.880674</v>
      </c>
      <c r="S304" s="29" t="b">
        <f t="shared" si="1"/>
        <v>1</v>
      </c>
      <c r="T304" s="35"/>
    </row>
    <row r="305" spans="1:20">
      <c r="A305" s="22" t="s">
        <v>3322</v>
      </c>
      <c r="B305" s="23" t="s">
        <v>44</v>
      </c>
      <c r="C305" s="23" t="s">
        <v>62</v>
      </c>
      <c r="D305" s="23" t="s">
        <v>3288</v>
      </c>
      <c r="E305" s="36" t="s">
        <v>3323</v>
      </c>
      <c r="F305" s="23" t="s">
        <v>50</v>
      </c>
      <c r="G305" s="23" t="s">
        <v>39</v>
      </c>
      <c r="H305" s="23">
        <v>21088</v>
      </c>
      <c r="I305" s="23">
        <v>60</v>
      </c>
      <c r="J305" s="23">
        <v>17930</v>
      </c>
      <c r="K305" s="23">
        <v>19822</v>
      </c>
      <c r="L305" s="23">
        <v>4</v>
      </c>
      <c r="M305" s="37">
        <v>1623.681601</v>
      </c>
      <c r="N305" s="31"/>
      <c r="O305" s="32"/>
      <c r="P305" s="38" t="s">
        <v>1532</v>
      </c>
      <c r="Q305" s="39" t="s">
        <v>1536</v>
      </c>
      <c r="R305" s="40">
        <v>1623.681601</v>
      </c>
      <c r="S305" s="29" t="b">
        <f t="shared" si="1"/>
        <v>1</v>
      </c>
      <c r="T305" s="35"/>
    </row>
    <row r="306" spans="1:20">
      <c r="A306" s="22" t="s">
        <v>3324</v>
      </c>
      <c r="B306" s="23" t="s">
        <v>44</v>
      </c>
      <c r="C306" s="23" t="s">
        <v>62</v>
      </c>
      <c r="D306" s="23" t="s">
        <v>3288</v>
      </c>
      <c r="E306" s="36" t="s">
        <v>3325</v>
      </c>
      <c r="F306" s="23" t="s">
        <v>103</v>
      </c>
      <c r="G306" s="23" t="s">
        <v>64</v>
      </c>
      <c r="H306" s="23">
        <v>12001</v>
      </c>
      <c r="I306" s="23">
        <v>40</v>
      </c>
      <c r="J306" s="23">
        <v>7173</v>
      </c>
      <c r="K306" s="23">
        <v>11432</v>
      </c>
      <c r="L306" s="23">
        <v>2</v>
      </c>
      <c r="M306" s="37">
        <v>1659.9327129999999</v>
      </c>
      <c r="N306" s="31"/>
      <c r="O306" s="32"/>
      <c r="P306" s="38" t="s">
        <v>1020</v>
      </c>
      <c r="Q306" s="39" t="s">
        <v>206</v>
      </c>
      <c r="R306" s="40">
        <v>1659.9327129999999</v>
      </c>
      <c r="S306" s="29" t="b">
        <f t="shared" si="1"/>
        <v>1</v>
      </c>
      <c r="T306" s="35"/>
    </row>
    <row r="307" spans="1:20">
      <c r="A307" s="22" t="s">
        <v>3326</v>
      </c>
      <c r="B307" s="23" t="s">
        <v>44</v>
      </c>
      <c r="C307" s="23" t="s">
        <v>80</v>
      </c>
      <c r="D307" s="23" t="s">
        <v>3288</v>
      </c>
      <c r="E307" s="36" t="s">
        <v>3327</v>
      </c>
      <c r="F307" s="23" t="s">
        <v>131</v>
      </c>
      <c r="G307" s="23" t="s">
        <v>75</v>
      </c>
      <c r="H307" s="23">
        <v>22934</v>
      </c>
      <c r="I307" s="23">
        <v>81</v>
      </c>
      <c r="J307" s="23">
        <v>18536</v>
      </c>
      <c r="K307" s="23">
        <v>21019</v>
      </c>
      <c r="L307" s="23">
        <v>5</v>
      </c>
      <c r="M307" s="37">
        <v>1711.1063380000001</v>
      </c>
      <c r="N307" s="31"/>
      <c r="O307" s="32"/>
      <c r="P307" s="38" t="s">
        <v>1428</v>
      </c>
      <c r="Q307" s="39" t="s">
        <v>1431</v>
      </c>
      <c r="R307" s="40">
        <v>1711.1063380000001</v>
      </c>
      <c r="S307" s="29" t="b">
        <f t="shared" si="1"/>
        <v>1</v>
      </c>
      <c r="T307" s="35"/>
    </row>
    <row r="308" spans="1:20">
      <c r="A308" s="22" t="s">
        <v>3328</v>
      </c>
      <c r="B308" s="23" t="s">
        <v>44</v>
      </c>
      <c r="C308" s="23" t="s">
        <v>34</v>
      </c>
      <c r="D308" s="23" t="s">
        <v>3288</v>
      </c>
      <c r="E308" s="43" t="s">
        <v>599</v>
      </c>
      <c r="F308" s="23" t="s">
        <v>50</v>
      </c>
      <c r="G308" s="23" t="s">
        <v>39</v>
      </c>
      <c r="H308" s="23">
        <v>8944</v>
      </c>
      <c r="I308" s="23">
        <v>45</v>
      </c>
      <c r="J308" s="23">
        <v>3002</v>
      </c>
      <c r="K308" s="23">
        <v>6361</v>
      </c>
      <c r="L308" s="23">
        <v>6</v>
      </c>
      <c r="M308" s="37">
        <v>1755.4845419999999</v>
      </c>
      <c r="N308" s="31"/>
      <c r="O308" s="32"/>
      <c r="P308" s="38" t="s">
        <v>594</v>
      </c>
      <c r="Q308" s="39" t="s">
        <v>598</v>
      </c>
      <c r="R308" s="40">
        <v>1755.4845419999999</v>
      </c>
      <c r="S308" s="29" t="b">
        <f t="shared" si="1"/>
        <v>1</v>
      </c>
      <c r="T308" s="35"/>
    </row>
    <row r="309" spans="1:20">
      <c r="A309" s="22" t="s">
        <v>1500</v>
      </c>
      <c r="B309" s="23" t="s">
        <v>44</v>
      </c>
      <c r="C309" s="23" t="s">
        <v>62</v>
      </c>
      <c r="D309" s="23" t="s">
        <v>3288</v>
      </c>
      <c r="E309" s="36" t="s">
        <v>3329</v>
      </c>
      <c r="F309" s="23" t="s">
        <v>725</v>
      </c>
      <c r="G309" s="23" t="s">
        <v>39</v>
      </c>
      <c r="H309" s="23">
        <v>9149</v>
      </c>
      <c r="I309" s="23">
        <v>40</v>
      </c>
      <c r="J309" s="23">
        <v>4568</v>
      </c>
      <c r="K309" s="23">
        <v>8648</v>
      </c>
      <c r="L309" s="23">
        <v>4</v>
      </c>
      <c r="M309" s="37">
        <v>1758.0983650000001</v>
      </c>
      <c r="N309" s="31"/>
      <c r="O309" s="32"/>
      <c r="P309" s="38" t="s">
        <v>1499</v>
      </c>
      <c r="Q309" s="39" t="s">
        <v>649</v>
      </c>
      <c r="R309" s="40">
        <v>1758.0983650000001</v>
      </c>
      <c r="S309" s="29" t="b">
        <f t="shared" si="1"/>
        <v>1</v>
      </c>
      <c r="T309" s="35"/>
    </row>
    <row r="310" spans="1:20">
      <c r="A310" s="22" t="s">
        <v>3330</v>
      </c>
      <c r="B310" s="23" t="s">
        <v>123</v>
      </c>
      <c r="C310" s="23" t="s">
        <v>80</v>
      </c>
      <c r="D310" s="23" t="s">
        <v>3288</v>
      </c>
      <c r="E310" s="36" t="s">
        <v>3331</v>
      </c>
      <c r="F310" s="23" t="s">
        <v>50</v>
      </c>
      <c r="G310" s="23" t="s">
        <v>39</v>
      </c>
      <c r="H310" s="23">
        <v>9730</v>
      </c>
      <c r="I310" s="23">
        <v>45</v>
      </c>
      <c r="J310" s="23">
        <v>2971</v>
      </c>
      <c r="K310" s="23">
        <v>5102</v>
      </c>
      <c r="L310" s="23">
        <v>3</v>
      </c>
      <c r="M310" s="37">
        <v>1778.9379349999999</v>
      </c>
      <c r="N310" s="31"/>
      <c r="O310" s="32"/>
      <c r="P310" s="38" t="s">
        <v>520</v>
      </c>
      <c r="Q310" s="39" t="s">
        <v>525</v>
      </c>
      <c r="R310" s="40">
        <v>1778.9379349999999</v>
      </c>
      <c r="S310" s="29" t="b">
        <f t="shared" si="1"/>
        <v>1</v>
      </c>
      <c r="T310" s="35"/>
    </row>
    <row r="311" spans="1:20">
      <c r="A311" s="22" t="s">
        <v>3332</v>
      </c>
      <c r="B311" s="23" t="s">
        <v>44</v>
      </c>
      <c r="C311" s="23" t="s">
        <v>80</v>
      </c>
      <c r="D311" s="23" t="s">
        <v>3288</v>
      </c>
      <c r="E311" s="36" t="s">
        <v>3333</v>
      </c>
      <c r="F311" s="23" t="s">
        <v>50</v>
      </c>
      <c r="G311" s="23" t="s">
        <v>39</v>
      </c>
      <c r="H311" s="23">
        <v>88499</v>
      </c>
      <c r="I311" s="23">
        <v>186</v>
      </c>
      <c r="J311" s="23">
        <v>18950</v>
      </c>
      <c r="K311" s="23">
        <v>71458</v>
      </c>
      <c r="L311" s="23">
        <v>5</v>
      </c>
      <c r="M311" s="37">
        <v>1803.1398119999999</v>
      </c>
      <c r="N311" s="31"/>
      <c r="O311" s="32"/>
      <c r="P311" s="38" t="s">
        <v>1528</v>
      </c>
      <c r="Q311" s="39" t="s">
        <v>1531</v>
      </c>
      <c r="R311" s="40">
        <v>1803.1398119999999</v>
      </c>
      <c r="S311" s="29" t="b">
        <f t="shared" si="1"/>
        <v>1</v>
      </c>
      <c r="T311" s="35"/>
    </row>
    <row r="312" spans="1:20">
      <c r="A312" s="22" t="s">
        <v>3334</v>
      </c>
      <c r="B312" s="23" t="s">
        <v>44</v>
      </c>
      <c r="C312" s="23" t="s">
        <v>62</v>
      </c>
      <c r="D312" s="23" t="s">
        <v>3288</v>
      </c>
      <c r="E312" s="36" t="s">
        <v>3335</v>
      </c>
      <c r="F312" s="23" t="s">
        <v>74</v>
      </c>
      <c r="G312" s="23" t="s">
        <v>39</v>
      </c>
      <c r="H312" s="23">
        <v>556152</v>
      </c>
      <c r="I312" s="23">
        <v>1867</v>
      </c>
      <c r="J312" s="23">
        <v>221833</v>
      </c>
      <c r="K312" s="23">
        <v>480882</v>
      </c>
      <c r="L312" s="23">
        <v>7</v>
      </c>
      <c r="M312" s="37">
        <v>1818.100044</v>
      </c>
      <c r="N312" s="31"/>
      <c r="O312" s="32"/>
      <c r="P312" s="38" t="s">
        <v>2034</v>
      </c>
      <c r="Q312" s="39" t="s">
        <v>1444</v>
      </c>
      <c r="R312" s="40">
        <v>1818.100044</v>
      </c>
      <c r="S312" s="29" t="b">
        <f t="shared" si="1"/>
        <v>1</v>
      </c>
      <c r="T312" s="35"/>
    </row>
    <row r="313" spans="1:20">
      <c r="A313" s="22" t="s">
        <v>3336</v>
      </c>
      <c r="B313" s="23" t="s">
        <v>44</v>
      </c>
      <c r="C313" s="23" t="s">
        <v>46</v>
      </c>
      <c r="D313" s="23" t="s">
        <v>3288</v>
      </c>
      <c r="E313" s="36" t="s">
        <v>3337</v>
      </c>
      <c r="F313" s="23" t="s">
        <v>118</v>
      </c>
      <c r="G313" s="23" t="s">
        <v>39</v>
      </c>
      <c r="H313" s="23">
        <v>8437</v>
      </c>
      <c r="I313" s="23">
        <v>63</v>
      </c>
      <c r="J313" s="23">
        <v>5271</v>
      </c>
      <c r="K313" s="23">
        <v>7065</v>
      </c>
      <c r="L313" s="23">
        <v>2</v>
      </c>
      <c r="M313" s="37">
        <v>1880.5331679999999</v>
      </c>
      <c r="N313" s="31"/>
      <c r="O313" s="32"/>
      <c r="P313" s="38" t="s">
        <v>2080</v>
      </c>
      <c r="Q313" s="39" t="s">
        <v>124</v>
      </c>
      <c r="R313" s="40">
        <v>1880.5331679999999</v>
      </c>
      <c r="S313" s="29" t="b">
        <f t="shared" si="1"/>
        <v>1</v>
      </c>
      <c r="T313" s="35"/>
    </row>
    <row r="314" spans="1:20">
      <c r="A314" s="22" t="s">
        <v>3338</v>
      </c>
      <c r="B314" s="23" t="s">
        <v>44</v>
      </c>
      <c r="C314" s="23" t="s">
        <v>46</v>
      </c>
      <c r="D314" s="23" t="s">
        <v>3288</v>
      </c>
      <c r="E314" s="36" t="s">
        <v>3339</v>
      </c>
      <c r="F314" s="23" t="s">
        <v>50</v>
      </c>
      <c r="G314" s="23" t="s">
        <v>75</v>
      </c>
      <c r="H314" s="23">
        <v>74164</v>
      </c>
      <c r="I314" s="23">
        <v>241</v>
      </c>
      <c r="J314" s="23">
        <v>25104</v>
      </c>
      <c r="K314" s="23">
        <v>61242</v>
      </c>
      <c r="L314" s="23">
        <v>19</v>
      </c>
      <c r="M314" s="37">
        <v>1902.3014430000001</v>
      </c>
      <c r="N314" s="31"/>
      <c r="O314" s="32"/>
      <c r="P314" s="38" t="s">
        <v>1136</v>
      </c>
      <c r="Q314" s="39" t="s">
        <v>1139</v>
      </c>
      <c r="R314" s="40">
        <v>1902.3014430000001</v>
      </c>
      <c r="S314" s="29" t="b">
        <f t="shared" si="1"/>
        <v>1</v>
      </c>
      <c r="T314" s="35"/>
    </row>
    <row r="315" spans="1:20">
      <c r="A315" s="22" t="s">
        <v>3340</v>
      </c>
      <c r="B315" s="23" t="s">
        <v>44</v>
      </c>
      <c r="C315" s="23" t="s">
        <v>62</v>
      </c>
      <c r="D315" s="23" t="s">
        <v>3288</v>
      </c>
      <c r="E315" s="36" t="s">
        <v>3341</v>
      </c>
      <c r="F315" s="23" t="s">
        <v>50</v>
      </c>
      <c r="G315" s="23" t="s">
        <v>39</v>
      </c>
      <c r="H315" s="23">
        <v>12864</v>
      </c>
      <c r="I315" s="23">
        <v>84</v>
      </c>
      <c r="J315" s="23">
        <v>5549</v>
      </c>
      <c r="K315" s="23">
        <v>11852</v>
      </c>
      <c r="L315" s="23">
        <v>5</v>
      </c>
      <c r="M315" s="37">
        <v>1905.8896930000001</v>
      </c>
      <c r="N315" s="31"/>
      <c r="O315" s="32"/>
      <c r="P315" s="38" t="s">
        <v>329</v>
      </c>
      <c r="Q315" s="39" t="s">
        <v>331</v>
      </c>
      <c r="R315" s="40">
        <v>1905.8896930000001</v>
      </c>
      <c r="S315" s="29" t="b">
        <f t="shared" si="1"/>
        <v>1</v>
      </c>
      <c r="T315" s="35"/>
    </row>
    <row r="316" spans="1:20">
      <c r="A316" s="22" t="s">
        <v>3342</v>
      </c>
      <c r="B316" s="23" t="s">
        <v>32</v>
      </c>
      <c r="C316" s="23" t="s">
        <v>80</v>
      </c>
      <c r="D316" s="23" t="s">
        <v>3288</v>
      </c>
      <c r="E316" s="36" t="s">
        <v>3343</v>
      </c>
      <c r="F316" s="23" t="s">
        <v>118</v>
      </c>
      <c r="G316" s="23" t="s">
        <v>39</v>
      </c>
      <c r="H316" s="23">
        <v>11561</v>
      </c>
      <c r="I316" s="23">
        <v>87</v>
      </c>
      <c r="J316" s="23">
        <v>4063</v>
      </c>
      <c r="K316" s="23">
        <v>9941</v>
      </c>
      <c r="L316" s="23">
        <v>5</v>
      </c>
      <c r="M316" s="37">
        <v>1911.931953</v>
      </c>
      <c r="N316" s="31"/>
      <c r="O316" s="32"/>
      <c r="P316" s="38" t="s">
        <v>873</v>
      </c>
      <c r="Q316" s="39" t="s">
        <v>877</v>
      </c>
      <c r="R316" s="40">
        <v>1911.931953</v>
      </c>
      <c r="S316" s="29" t="b">
        <f t="shared" si="1"/>
        <v>1</v>
      </c>
      <c r="T316" s="35"/>
    </row>
    <row r="317" spans="1:20">
      <c r="A317" s="22" t="s">
        <v>3344</v>
      </c>
      <c r="B317" s="23" t="s">
        <v>32</v>
      </c>
      <c r="C317" s="23" t="s">
        <v>80</v>
      </c>
      <c r="D317" s="23" t="s">
        <v>3288</v>
      </c>
      <c r="E317" s="36" t="s">
        <v>3345</v>
      </c>
      <c r="F317" s="23" t="s">
        <v>50</v>
      </c>
      <c r="G317" s="23" t="s">
        <v>39</v>
      </c>
      <c r="H317" s="23">
        <v>68008</v>
      </c>
      <c r="I317" s="23">
        <v>204</v>
      </c>
      <c r="J317" s="23">
        <v>2996</v>
      </c>
      <c r="K317" s="23">
        <v>49686</v>
      </c>
      <c r="L317" s="23">
        <v>9</v>
      </c>
      <c r="M317" s="37">
        <v>1923.808141</v>
      </c>
      <c r="N317" s="31"/>
      <c r="O317" s="32"/>
      <c r="P317" s="38" t="s">
        <v>730</v>
      </c>
      <c r="Q317" s="39" t="s">
        <v>731</v>
      </c>
      <c r="R317" s="40">
        <v>1923.808141</v>
      </c>
      <c r="S317" s="29" t="b">
        <f t="shared" si="1"/>
        <v>1</v>
      </c>
      <c r="T317" s="35"/>
    </row>
    <row r="318" spans="1:20">
      <c r="A318" s="22" t="s">
        <v>3346</v>
      </c>
      <c r="B318" s="23" t="s">
        <v>44</v>
      </c>
      <c r="C318" s="23" t="s">
        <v>46</v>
      </c>
      <c r="D318" s="23" t="s">
        <v>3288</v>
      </c>
      <c r="E318" s="36" t="s">
        <v>3347</v>
      </c>
      <c r="F318" s="23" t="s">
        <v>103</v>
      </c>
      <c r="G318" s="23" t="s">
        <v>64</v>
      </c>
      <c r="H318" s="23">
        <v>63460</v>
      </c>
      <c r="I318" s="23">
        <v>212</v>
      </c>
      <c r="J318" s="23">
        <v>26978</v>
      </c>
      <c r="K318" s="23">
        <v>59516</v>
      </c>
      <c r="L318" s="23">
        <v>4</v>
      </c>
      <c r="M318" s="37">
        <v>1945.433188</v>
      </c>
      <c r="N318" s="31"/>
      <c r="O318" s="32"/>
      <c r="P318" s="38" t="s">
        <v>494</v>
      </c>
      <c r="Q318" s="39" t="s">
        <v>496</v>
      </c>
      <c r="R318" s="40">
        <v>1945.433188</v>
      </c>
      <c r="S318" s="29" t="b">
        <f t="shared" si="1"/>
        <v>1</v>
      </c>
      <c r="T318" s="35"/>
    </row>
    <row r="319" spans="1:20">
      <c r="A319" s="22" t="s">
        <v>3348</v>
      </c>
      <c r="B319" s="23" t="s">
        <v>44</v>
      </c>
      <c r="C319" s="23" t="s">
        <v>80</v>
      </c>
      <c r="D319" s="23" t="s">
        <v>3288</v>
      </c>
      <c r="E319" s="36" t="s">
        <v>3349</v>
      </c>
      <c r="F319" s="23" t="s">
        <v>103</v>
      </c>
      <c r="G319" s="23" t="s">
        <v>39</v>
      </c>
      <c r="H319" s="23">
        <v>136733</v>
      </c>
      <c r="I319" s="23">
        <v>110</v>
      </c>
      <c r="J319" s="23">
        <v>102728</v>
      </c>
      <c r="K319" s="23">
        <v>127130</v>
      </c>
      <c r="L319" s="23">
        <v>4</v>
      </c>
      <c r="M319" s="37">
        <v>1946.0504470000001</v>
      </c>
      <c r="N319" s="31"/>
      <c r="O319" s="32"/>
      <c r="P319" s="38" t="s">
        <v>2244</v>
      </c>
      <c r="Q319" s="39" t="s">
        <v>1762</v>
      </c>
      <c r="R319" s="40">
        <v>1946.0504470000001</v>
      </c>
      <c r="S319" s="29" t="b">
        <f t="shared" si="1"/>
        <v>1</v>
      </c>
      <c r="T319" s="35"/>
    </row>
    <row r="320" spans="1:20">
      <c r="A320" s="22" t="s">
        <v>3350</v>
      </c>
      <c r="B320" s="23" t="s">
        <v>44</v>
      </c>
      <c r="C320" s="23" t="s">
        <v>46</v>
      </c>
      <c r="D320" s="23" t="s">
        <v>3288</v>
      </c>
      <c r="E320" s="36" t="s">
        <v>3351</v>
      </c>
      <c r="F320" s="23" t="s">
        <v>593</v>
      </c>
      <c r="G320" s="23" t="s">
        <v>39</v>
      </c>
      <c r="H320" s="23">
        <v>15200</v>
      </c>
      <c r="I320" s="23">
        <v>60</v>
      </c>
      <c r="J320" s="23">
        <v>5375</v>
      </c>
      <c r="K320" s="23">
        <v>12040</v>
      </c>
      <c r="L320" s="23">
        <v>4</v>
      </c>
      <c r="M320" s="37">
        <v>1970.3573449999999</v>
      </c>
      <c r="N320" s="31"/>
      <c r="O320" s="32"/>
      <c r="P320" s="38" t="s">
        <v>2096</v>
      </c>
      <c r="Q320" s="39" t="s">
        <v>607</v>
      </c>
      <c r="R320" s="40">
        <v>1970.3573449999999</v>
      </c>
      <c r="S320" s="29" t="b">
        <f t="shared" si="1"/>
        <v>1</v>
      </c>
      <c r="T320" s="35"/>
    </row>
    <row r="321" spans="1:20">
      <c r="A321" s="22" t="s">
        <v>3352</v>
      </c>
      <c r="B321" s="23" t="s">
        <v>44</v>
      </c>
      <c r="C321" s="23" t="s">
        <v>46</v>
      </c>
      <c r="D321" s="23" t="s">
        <v>3288</v>
      </c>
      <c r="E321" s="36" t="s">
        <v>3353</v>
      </c>
      <c r="F321" s="23" t="s">
        <v>50</v>
      </c>
      <c r="G321" s="23" t="s">
        <v>75</v>
      </c>
      <c r="H321" s="23">
        <v>55692</v>
      </c>
      <c r="I321" s="23">
        <v>184</v>
      </c>
      <c r="J321" s="23">
        <v>3596</v>
      </c>
      <c r="K321" s="23">
        <v>51209</v>
      </c>
      <c r="L321" s="23">
        <v>9</v>
      </c>
      <c r="M321" s="37">
        <v>1981.0502879999999</v>
      </c>
      <c r="N321" s="31"/>
      <c r="O321" s="32"/>
      <c r="P321" s="38" t="s">
        <v>1875</v>
      </c>
      <c r="Q321" s="39" t="s">
        <v>1067</v>
      </c>
      <c r="R321" s="40">
        <v>1981.0502879999999</v>
      </c>
      <c r="S321" s="29" t="b">
        <f t="shared" si="1"/>
        <v>1</v>
      </c>
      <c r="T321" s="35"/>
    </row>
    <row r="322" spans="1:20">
      <c r="A322" s="22" t="s">
        <v>3354</v>
      </c>
      <c r="B322" s="23" t="s">
        <v>44</v>
      </c>
      <c r="C322" s="23" t="s">
        <v>46</v>
      </c>
      <c r="D322" s="23" t="s">
        <v>3288</v>
      </c>
      <c r="E322" s="36" t="s">
        <v>3355</v>
      </c>
      <c r="F322" s="23" t="s">
        <v>50</v>
      </c>
      <c r="G322" s="23" t="s">
        <v>75</v>
      </c>
      <c r="H322" s="23">
        <v>51889</v>
      </c>
      <c r="I322" s="23">
        <v>174</v>
      </c>
      <c r="J322" s="23">
        <v>33879</v>
      </c>
      <c r="K322" s="23">
        <v>49382</v>
      </c>
      <c r="L322" s="23">
        <v>5</v>
      </c>
      <c r="M322" s="37">
        <v>2172.8417469999999</v>
      </c>
      <c r="N322" s="31"/>
      <c r="O322" s="32"/>
      <c r="P322" s="38" t="s">
        <v>1865</v>
      </c>
      <c r="Q322" s="39" t="s">
        <v>1867</v>
      </c>
      <c r="R322" s="40">
        <v>2172.8417469999999</v>
      </c>
      <c r="S322" s="29" t="b">
        <f t="shared" si="1"/>
        <v>1</v>
      </c>
      <c r="T322" s="35"/>
    </row>
    <row r="323" spans="1:20">
      <c r="A323" s="22" t="s">
        <v>3356</v>
      </c>
      <c r="B323" s="23" t="s">
        <v>44</v>
      </c>
      <c r="C323" s="23" t="s">
        <v>62</v>
      </c>
      <c r="D323" s="23" t="s">
        <v>3288</v>
      </c>
      <c r="E323" s="36" t="s">
        <v>3357</v>
      </c>
      <c r="F323" s="23" t="s">
        <v>50</v>
      </c>
      <c r="G323" s="23" t="s">
        <v>39</v>
      </c>
      <c r="H323" s="23">
        <v>130796</v>
      </c>
      <c r="I323" s="23">
        <v>300</v>
      </c>
      <c r="J323" s="23">
        <v>109118</v>
      </c>
      <c r="K323" s="23">
        <v>122937</v>
      </c>
      <c r="L323" s="23">
        <v>6</v>
      </c>
      <c r="M323" s="37">
        <v>2196.6612319999999</v>
      </c>
      <c r="N323" s="31"/>
      <c r="O323" s="32"/>
      <c r="P323" s="38" t="s">
        <v>2230</v>
      </c>
      <c r="Q323" s="39" t="s">
        <v>2232</v>
      </c>
      <c r="R323" s="40">
        <v>2196.6612319999999</v>
      </c>
      <c r="S323" s="29" t="b">
        <f t="shared" si="1"/>
        <v>1</v>
      </c>
      <c r="T323" s="35"/>
    </row>
    <row r="324" spans="1:20">
      <c r="A324" s="22" t="s">
        <v>3358</v>
      </c>
      <c r="B324" s="23" t="s">
        <v>44</v>
      </c>
      <c r="C324" s="23" t="s">
        <v>46</v>
      </c>
      <c r="D324" s="23" t="s">
        <v>3288</v>
      </c>
      <c r="E324" s="36" t="s">
        <v>3359</v>
      </c>
      <c r="F324" s="23" t="s">
        <v>50</v>
      </c>
      <c r="G324" s="23" t="s">
        <v>75</v>
      </c>
      <c r="H324" s="23">
        <v>31625</v>
      </c>
      <c r="I324" s="23">
        <v>99</v>
      </c>
      <c r="J324" s="23">
        <v>23764</v>
      </c>
      <c r="K324" s="23">
        <v>29364</v>
      </c>
      <c r="L324" s="23">
        <v>6</v>
      </c>
      <c r="M324" s="37">
        <v>2360.5552440000001</v>
      </c>
      <c r="N324" s="31"/>
      <c r="O324" s="32"/>
      <c r="P324" s="38" t="s">
        <v>556</v>
      </c>
      <c r="Q324" s="39" t="s">
        <v>558</v>
      </c>
      <c r="R324" s="40">
        <v>2360.5552440000001</v>
      </c>
      <c r="S324" s="29" t="b">
        <f t="shared" si="1"/>
        <v>1</v>
      </c>
      <c r="T324" s="35"/>
    </row>
    <row r="325" spans="1:20">
      <c r="A325" s="22" t="s">
        <v>3360</v>
      </c>
      <c r="B325" s="23" t="s">
        <v>44</v>
      </c>
      <c r="C325" s="23" t="s">
        <v>34</v>
      </c>
      <c r="D325" s="23" t="s">
        <v>3288</v>
      </c>
      <c r="E325" s="36" t="s">
        <v>3361</v>
      </c>
      <c r="F325" s="23" t="s">
        <v>50</v>
      </c>
      <c r="G325" s="23" t="s">
        <v>39</v>
      </c>
      <c r="H325" s="23">
        <v>183208</v>
      </c>
      <c r="I325" s="23">
        <v>620</v>
      </c>
      <c r="J325" s="23">
        <v>131164</v>
      </c>
      <c r="K325" s="23">
        <v>177952</v>
      </c>
      <c r="L325" s="23">
        <v>43</v>
      </c>
      <c r="M325" s="37">
        <v>2682.4366230000001</v>
      </c>
      <c r="N325" s="31"/>
      <c r="O325" s="32"/>
      <c r="P325" s="38" t="s">
        <v>1855</v>
      </c>
      <c r="Q325" s="39" t="s">
        <v>1673</v>
      </c>
      <c r="R325" s="40">
        <v>2682.4366230000001</v>
      </c>
      <c r="S325" s="29" t="b">
        <f t="shared" si="1"/>
        <v>1</v>
      </c>
      <c r="T325" s="35"/>
    </row>
    <row r="326" spans="1:20">
      <c r="A326" s="22" t="s">
        <v>3362</v>
      </c>
      <c r="B326" s="23" t="s">
        <v>44</v>
      </c>
      <c r="C326" s="23" t="s">
        <v>34</v>
      </c>
      <c r="D326" s="23" t="s">
        <v>3288</v>
      </c>
      <c r="E326" s="36" t="s">
        <v>3363</v>
      </c>
      <c r="F326" s="23" t="s">
        <v>103</v>
      </c>
      <c r="G326" s="23" t="s">
        <v>39</v>
      </c>
      <c r="H326" s="23">
        <v>20278</v>
      </c>
      <c r="I326" s="23">
        <v>74</v>
      </c>
      <c r="J326" s="23">
        <v>14227</v>
      </c>
      <c r="K326" s="23">
        <v>19480</v>
      </c>
      <c r="L326" s="23">
        <v>3</v>
      </c>
      <c r="M326" s="37">
        <v>2921.1102070000002</v>
      </c>
      <c r="N326" s="31"/>
      <c r="O326" s="32"/>
      <c r="P326" s="38" t="s">
        <v>276</v>
      </c>
      <c r="Q326" s="39" t="s">
        <v>278</v>
      </c>
      <c r="R326" s="40">
        <v>2921.1102070000002</v>
      </c>
      <c r="S326" s="29" t="b">
        <f t="shared" si="1"/>
        <v>1</v>
      </c>
      <c r="T326" s="35"/>
    </row>
    <row r="327" spans="1:20">
      <c r="A327" s="22" t="s">
        <v>3364</v>
      </c>
      <c r="B327" s="23" t="s">
        <v>44</v>
      </c>
      <c r="C327" s="23" t="s">
        <v>46</v>
      </c>
      <c r="D327" s="23" t="s">
        <v>3288</v>
      </c>
      <c r="E327" s="36" t="s">
        <v>3365</v>
      </c>
      <c r="F327" s="23" t="s">
        <v>50</v>
      </c>
      <c r="G327" s="23" t="s">
        <v>39</v>
      </c>
      <c r="H327" s="23">
        <v>12391</v>
      </c>
      <c r="I327" s="23">
        <v>40</v>
      </c>
      <c r="J327" s="23">
        <v>5756</v>
      </c>
      <c r="K327" s="23">
        <v>11636</v>
      </c>
      <c r="L327" s="23">
        <v>4</v>
      </c>
      <c r="M327" s="37">
        <v>3069.1234829999999</v>
      </c>
      <c r="N327" s="31"/>
      <c r="O327" s="32"/>
      <c r="P327" s="38" t="s">
        <v>1241</v>
      </c>
      <c r="Q327" s="39" t="s">
        <v>1244</v>
      </c>
      <c r="R327" s="40">
        <v>3069.1234829999999</v>
      </c>
      <c r="S327" s="29" t="b">
        <f t="shared" si="1"/>
        <v>1</v>
      </c>
      <c r="T327" s="35"/>
    </row>
    <row r="328" spans="1:20">
      <c r="A328" s="22" t="s">
        <v>3366</v>
      </c>
      <c r="B328" s="23" t="s">
        <v>32</v>
      </c>
      <c r="C328" s="23" t="s">
        <v>80</v>
      </c>
      <c r="D328" s="23" t="s">
        <v>3288</v>
      </c>
      <c r="E328" s="36" t="s">
        <v>3367</v>
      </c>
      <c r="F328" s="23" t="s">
        <v>2749</v>
      </c>
      <c r="G328" s="23" t="s">
        <v>39</v>
      </c>
      <c r="H328" s="23">
        <v>39212</v>
      </c>
      <c r="I328" s="23">
        <v>260</v>
      </c>
      <c r="J328" s="23">
        <v>31317</v>
      </c>
      <c r="K328" s="23">
        <v>37660</v>
      </c>
      <c r="L328" s="23">
        <v>1</v>
      </c>
      <c r="M328" s="37">
        <v>3621.4177030000001</v>
      </c>
      <c r="N328" s="31"/>
      <c r="O328" s="32"/>
      <c r="P328" s="38" t="s">
        <v>745</v>
      </c>
      <c r="Q328" s="39" t="s">
        <v>748</v>
      </c>
      <c r="R328" s="40">
        <v>3621.4177030000001</v>
      </c>
      <c r="S328" s="29" t="b">
        <f t="shared" si="1"/>
        <v>1</v>
      </c>
      <c r="T328" s="35"/>
    </row>
    <row r="329" spans="1:20">
      <c r="A329" s="22" t="s">
        <v>3368</v>
      </c>
      <c r="B329" s="23" t="s">
        <v>44</v>
      </c>
      <c r="C329" s="23" t="s">
        <v>46</v>
      </c>
      <c r="D329" s="23" t="s">
        <v>3288</v>
      </c>
      <c r="E329" s="36" t="s">
        <v>3369</v>
      </c>
      <c r="F329" s="23" t="s">
        <v>103</v>
      </c>
      <c r="G329" s="23" t="s">
        <v>75</v>
      </c>
      <c r="H329" s="23">
        <v>65243</v>
      </c>
      <c r="I329" s="23">
        <v>120</v>
      </c>
      <c r="J329" s="23">
        <v>39543</v>
      </c>
      <c r="K329" s="23">
        <v>54290</v>
      </c>
      <c r="L329" s="23">
        <v>4</v>
      </c>
      <c r="M329" s="37">
        <v>3754.6852469999999</v>
      </c>
      <c r="N329" s="31"/>
      <c r="O329" s="32"/>
      <c r="P329" s="38" t="s">
        <v>1861</v>
      </c>
      <c r="Q329" s="39" t="s">
        <v>245</v>
      </c>
      <c r="R329" s="40">
        <v>3754.6852469999999</v>
      </c>
      <c r="S329" s="29" t="b">
        <f t="shared" si="1"/>
        <v>1</v>
      </c>
      <c r="T329" s="35"/>
    </row>
    <row r="330" spans="1:20">
      <c r="A330" s="22" t="s">
        <v>3370</v>
      </c>
      <c r="B330" s="23" t="s">
        <v>44</v>
      </c>
      <c r="C330" s="23" t="s">
        <v>46</v>
      </c>
      <c r="D330" s="23" t="s">
        <v>3288</v>
      </c>
      <c r="E330" s="36" t="s">
        <v>3371</v>
      </c>
      <c r="F330" s="23" t="s">
        <v>50</v>
      </c>
      <c r="G330" s="23" t="s">
        <v>39</v>
      </c>
      <c r="H330" s="23">
        <v>224359</v>
      </c>
      <c r="I330" s="23">
        <v>480</v>
      </c>
      <c r="J330" s="23">
        <v>163149</v>
      </c>
      <c r="K330" s="23">
        <v>200859</v>
      </c>
      <c r="L330" s="23">
        <v>5</v>
      </c>
      <c r="M330" s="37">
        <v>4196.9367769999999</v>
      </c>
      <c r="N330" s="31"/>
      <c r="O330" s="32"/>
      <c r="P330" s="38" t="s">
        <v>677</v>
      </c>
      <c r="Q330" s="39" t="s">
        <v>283</v>
      </c>
      <c r="R330" s="40">
        <v>4196.9367769999999</v>
      </c>
      <c r="S330" s="29" t="b">
        <f t="shared" si="1"/>
        <v>1</v>
      </c>
      <c r="T330" s="35"/>
    </row>
    <row r="331" spans="1:20">
      <c r="A331" s="22" t="s">
        <v>3372</v>
      </c>
      <c r="B331" s="23" t="s">
        <v>32</v>
      </c>
      <c r="C331" s="23" t="s">
        <v>80</v>
      </c>
      <c r="D331" s="23" t="s">
        <v>3288</v>
      </c>
      <c r="E331" s="36" t="s">
        <v>3373</v>
      </c>
      <c r="F331" s="23" t="s">
        <v>50</v>
      </c>
      <c r="G331" s="23" t="s">
        <v>39</v>
      </c>
      <c r="H331" s="23">
        <v>43117</v>
      </c>
      <c r="I331" s="23">
        <v>100</v>
      </c>
      <c r="J331" s="23">
        <v>6478</v>
      </c>
      <c r="K331" s="23">
        <v>27405</v>
      </c>
      <c r="L331" s="23">
        <v>8</v>
      </c>
      <c r="M331" s="37">
        <v>4250.4304389999998</v>
      </c>
      <c r="N331" s="31"/>
      <c r="O331" s="32"/>
      <c r="P331" s="38" t="s">
        <v>2340</v>
      </c>
      <c r="Q331" s="39" t="s">
        <v>2338</v>
      </c>
      <c r="R331" s="40">
        <v>4250.4304389999998</v>
      </c>
      <c r="S331" s="29" t="b">
        <f t="shared" si="1"/>
        <v>1</v>
      </c>
      <c r="T331" s="35"/>
    </row>
    <row r="332" spans="1:20">
      <c r="A332" s="22" t="s">
        <v>3374</v>
      </c>
      <c r="B332" s="23" t="s">
        <v>44</v>
      </c>
      <c r="C332" s="23" t="s">
        <v>80</v>
      </c>
      <c r="D332" s="23" t="s">
        <v>3288</v>
      </c>
      <c r="E332" s="36" t="s">
        <v>3375</v>
      </c>
      <c r="F332" s="23" t="s">
        <v>103</v>
      </c>
      <c r="G332" s="23" t="s">
        <v>64</v>
      </c>
      <c r="H332" s="23">
        <v>120902</v>
      </c>
      <c r="I332" s="23">
        <v>333</v>
      </c>
      <c r="J332" s="23">
        <v>9964</v>
      </c>
      <c r="K332" s="23">
        <v>70015</v>
      </c>
      <c r="L332" s="23">
        <v>15</v>
      </c>
      <c r="M332" s="37">
        <v>4669.0136689999999</v>
      </c>
      <c r="N332" s="31"/>
      <c r="O332" s="32"/>
      <c r="P332" s="38" t="s">
        <v>1678</v>
      </c>
      <c r="Q332" s="39" t="s">
        <v>1680</v>
      </c>
      <c r="R332" s="40">
        <v>4669.0136689999999</v>
      </c>
      <c r="S332" s="29" t="b">
        <f t="shared" si="1"/>
        <v>1</v>
      </c>
      <c r="T332" s="35"/>
    </row>
    <row r="333" spans="1:20">
      <c r="A333" s="22" t="s">
        <v>3376</v>
      </c>
      <c r="B333" s="23" t="s">
        <v>44</v>
      </c>
      <c r="C333" s="23" t="s">
        <v>62</v>
      </c>
      <c r="D333" s="23" t="s">
        <v>3288</v>
      </c>
      <c r="E333" s="36" t="s">
        <v>3377</v>
      </c>
      <c r="F333" s="23" t="s">
        <v>186</v>
      </c>
      <c r="G333" s="23" t="s">
        <v>39</v>
      </c>
      <c r="H333" s="23">
        <v>8273</v>
      </c>
      <c r="I333" s="23">
        <v>24</v>
      </c>
      <c r="J333" s="23">
        <v>1929</v>
      </c>
      <c r="K333" s="23">
        <v>7441</v>
      </c>
      <c r="L333" s="23">
        <v>3</v>
      </c>
      <c r="M333" s="37">
        <v>4689.5210239999997</v>
      </c>
      <c r="N333" s="31"/>
      <c r="O333" s="32"/>
      <c r="P333" s="38" t="s">
        <v>1604</v>
      </c>
      <c r="Q333" s="39" t="s">
        <v>1606</v>
      </c>
      <c r="R333" s="40">
        <v>4689.5210239999997</v>
      </c>
      <c r="S333" s="29" t="b">
        <f t="shared" si="1"/>
        <v>1</v>
      </c>
      <c r="T333" s="35"/>
    </row>
    <row r="334" spans="1:20">
      <c r="A334" s="22" t="s">
        <v>3378</v>
      </c>
      <c r="B334" s="23" t="s">
        <v>32</v>
      </c>
      <c r="C334" s="23" t="s">
        <v>34</v>
      </c>
      <c r="D334" s="23" t="s">
        <v>3288</v>
      </c>
      <c r="E334" s="36" t="s">
        <v>3379</v>
      </c>
      <c r="F334" s="23" t="s">
        <v>74</v>
      </c>
      <c r="G334" s="23" t="s">
        <v>39</v>
      </c>
      <c r="H334" s="23">
        <v>9060</v>
      </c>
      <c r="I334" s="23">
        <v>30</v>
      </c>
      <c r="J334" s="23">
        <v>5190</v>
      </c>
      <c r="K334" s="23">
        <v>8621</v>
      </c>
      <c r="L334" s="23">
        <v>14</v>
      </c>
      <c r="M334" s="37">
        <v>4934.8515630000002</v>
      </c>
      <c r="N334" s="31"/>
      <c r="O334" s="32"/>
      <c r="P334" s="38" t="s">
        <v>1389</v>
      </c>
      <c r="Q334" s="39" t="s">
        <v>817</v>
      </c>
      <c r="R334" s="40">
        <v>4934.8515630000002</v>
      </c>
      <c r="S334" s="29" t="b">
        <f t="shared" si="1"/>
        <v>1</v>
      </c>
      <c r="T334" s="35"/>
    </row>
    <row r="335" spans="1:20">
      <c r="A335" s="22" t="s">
        <v>3380</v>
      </c>
      <c r="B335" s="23" t="s">
        <v>44</v>
      </c>
      <c r="C335" s="23" t="s">
        <v>34</v>
      </c>
      <c r="D335" s="23" t="s">
        <v>3288</v>
      </c>
      <c r="E335" s="36" t="s">
        <v>3381</v>
      </c>
      <c r="F335" s="23" t="s">
        <v>103</v>
      </c>
      <c r="G335" s="23" t="s">
        <v>75</v>
      </c>
      <c r="H335" s="23">
        <v>25021</v>
      </c>
      <c r="I335" s="23">
        <v>50</v>
      </c>
      <c r="J335" s="23">
        <v>11084</v>
      </c>
      <c r="K335" s="23">
        <v>18079</v>
      </c>
      <c r="L335" s="23">
        <v>9</v>
      </c>
      <c r="M335" s="37">
        <v>4961.4788840000001</v>
      </c>
      <c r="N335" s="31"/>
      <c r="O335" s="32"/>
      <c r="P335" s="38" t="s">
        <v>1595</v>
      </c>
      <c r="Q335" s="39" t="s">
        <v>1597</v>
      </c>
      <c r="R335" s="40">
        <v>4961.4788840000001</v>
      </c>
      <c r="S335" s="29" t="b">
        <f t="shared" si="1"/>
        <v>1</v>
      </c>
      <c r="T335" s="35"/>
    </row>
    <row r="336" spans="1:20">
      <c r="A336" s="22" t="s">
        <v>3382</v>
      </c>
      <c r="B336" s="23" t="s">
        <v>32</v>
      </c>
      <c r="C336" s="23" t="s">
        <v>34</v>
      </c>
      <c r="D336" s="23" t="s">
        <v>3288</v>
      </c>
      <c r="E336" s="36" t="s">
        <v>3383</v>
      </c>
      <c r="F336" s="23" t="s">
        <v>157</v>
      </c>
      <c r="G336" s="23" t="s">
        <v>39</v>
      </c>
      <c r="H336" s="23">
        <v>40447</v>
      </c>
      <c r="I336" s="23">
        <v>177</v>
      </c>
      <c r="J336" s="23">
        <v>16663</v>
      </c>
      <c r="K336" s="23">
        <v>29774</v>
      </c>
      <c r="L336" s="23">
        <v>12</v>
      </c>
      <c r="M336" s="37">
        <v>5083.8862730000001</v>
      </c>
      <c r="N336" s="31"/>
      <c r="O336" s="32"/>
      <c r="P336" s="38" t="s">
        <v>1079</v>
      </c>
      <c r="Q336" s="39" t="s">
        <v>943</v>
      </c>
      <c r="R336" s="40">
        <v>5083.8862730000001</v>
      </c>
      <c r="S336" s="29" t="b">
        <f t="shared" si="1"/>
        <v>1</v>
      </c>
      <c r="T336" s="35"/>
    </row>
    <row r="337" spans="1:20">
      <c r="A337" s="22" t="s">
        <v>3384</v>
      </c>
      <c r="B337" s="23" t="s">
        <v>44</v>
      </c>
      <c r="C337" s="23" t="s">
        <v>46</v>
      </c>
      <c r="D337" s="23" t="s">
        <v>3288</v>
      </c>
      <c r="E337" s="36" t="s">
        <v>3385</v>
      </c>
      <c r="F337" s="23" t="s">
        <v>819</v>
      </c>
      <c r="G337" s="23" t="s">
        <v>39</v>
      </c>
      <c r="H337" s="23">
        <v>908899</v>
      </c>
      <c r="I337" s="23">
        <v>1984</v>
      </c>
      <c r="J337" s="23">
        <v>644697</v>
      </c>
      <c r="K337" s="23">
        <v>853964</v>
      </c>
      <c r="L337" s="23">
        <v>32</v>
      </c>
      <c r="M337" s="37">
        <v>5181.087383</v>
      </c>
      <c r="N337" s="31"/>
      <c r="O337" s="32"/>
      <c r="P337" s="38" t="s">
        <v>818</v>
      </c>
      <c r="Q337" s="39" t="s">
        <v>302</v>
      </c>
      <c r="R337" s="40">
        <v>5181.087383</v>
      </c>
      <c r="S337" s="29" t="b">
        <f t="shared" si="1"/>
        <v>1</v>
      </c>
      <c r="T337" s="35"/>
    </row>
    <row r="338" spans="1:20">
      <c r="A338" s="22" t="s">
        <v>3386</v>
      </c>
      <c r="B338" s="23" t="s">
        <v>44</v>
      </c>
      <c r="C338" s="23" t="s">
        <v>80</v>
      </c>
      <c r="D338" s="23" t="s">
        <v>3288</v>
      </c>
      <c r="E338" s="36" t="s">
        <v>3387</v>
      </c>
      <c r="F338" s="23" t="s">
        <v>50</v>
      </c>
      <c r="G338" s="23" t="s">
        <v>39</v>
      </c>
      <c r="H338" s="23">
        <v>52006</v>
      </c>
      <c r="I338" s="23">
        <v>160</v>
      </c>
      <c r="J338" s="23">
        <v>24711</v>
      </c>
      <c r="K338" s="23">
        <v>48019</v>
      </c>
      <c r="L338" s="23">
        <v>12</v>
      </c>
      <c r="M338" s="37">
        <v>5200.0101180000001</v>
      </c>
      <c r="N338" s="31"/>
      <c r="O338" s="32"/>
      <c r="P338" s="38" t="s">
        <v>213</v>
      </c>
      <c r="Q338" s="39" t="s">
        <v>217</v>
      </c>
      <c r="R338" s="40">
        <v>5200.0101180000001</v>
      </c>
      <c r="S338" s="29" t="b">
        <f t="shared" si="1"/>
        <v>1</v>
      </c>
      <c r="T338" s="35"/>
    </row>
    <row r="339" spans="1:20">
      <c r="A339" s="22" t="s">
        <v>3388</v>
      </c>
      <c r="B339" s="23" t="s">
        <v>44</v>
      </c>
      <c r="C339" s="23" t="s">
        <v>80</v>
      </c>
      <c r="D339" s="23" t="s">
        <v>3288</v>
      </c>
      <c r="E339" s="36" t="s">
        <v>3389</v>
      </c>
      <c r="F339" s="23" t="s">
        <v>74</v>
      </c>
      <c r="G339" s="23" t="s">
        <v>39</v>
      </c>
      <c r="H339" s="23">
        <v>103665</v>
      </c>
      <c r="I339" s="23">
        <v>270</v>
      </c>
      <c r="J339" s="23">
        <v>77283</v>
      </c>
      <c r="K339" s="23">
        <v>94019</v>
      </c>
      <c r="L339" s="23">
        <v>4</v>
      </c>
      <c r="M339" s="37">
        <v>5284.6855649999998</v>
      </c>
      <c r="N339" s="31"/>
      <c r="O339" s="32"/>
      <c r="P339" s="38" t="s">
        <v>2017</v>
      </c>
      <c r="Q339" s="39" t="s">
        <v>2019</v>
      </c>
      <c r="R339" s="40">
        <v>5284.6855649999998</v>
      </c>
      <c r="S339" s="29" t="b">
        <f t="shared" si="1"/>
        <v>1</v>
      </c>
      <c r="T339" s="35"/>
    </row>
    <row r="340" spans="1:20">
      <c r="A340" s="22" t="s">
        <v>3390</v>
      </c>
      <c r="B340" s="23" t="s">
        <v>44</v>
      </c>
      <c r="C340" s="23" t="s">
        <v>62</v>
      </c>
      <c r="D340" s="23" t="s">
        <v>3288</v>
      </c>
      <c r="E340" s="36" t="s">
        <v>3391</v>
      </c>
      <c r="F340" s="23" t="s">
        <v>50</v>
      </c>
      <c r="G340" s="23" t="s">
        <v>39</v>
      </c>
      <c r="H340" s="23">
        <v>7921</v>
      </c>
      <c r="I340" s="23">
        <v>50</v>
      </c>
      <c r="J340" s="23">
        <v>4727</v>
      </c>
      <c r="K340" s="23">
        <v>6513</v>
      </c>
      <c r="L340" s="23">
        <v>11</v>
      </c>
      <c r="M340" s="37">
        <v>5379.00144</v>
      </c>
      <c r="N340" s="31"/>
      <c r="O340" s="32"/>
      <c r="P340" s="38" t="s">
        <v>1032</v>
      </c>
      <c r="Q340" s="39" t="s">
        <v>1034</v>
      </c>
      <c r="R340" s="40">
        <v>5379.00144</v>
      </c>
      <c r="S340" s="29" t="b">
        <f t="shared" si="1"/>
        <v>1</v>
      </c>
      <c r="T340" s="35"/>
    </row>
    <row r="341" spans="1:20">
      <c r="A341" s="22" t="s">
        <v>3392</v>
      </c>
      <c r="B341" s="23" t="s">
        <v>44</v>
      </c>
      <c r="C341" s="23" t="s">
        <v>80</v>
      </c>
      <c r="D341" s="23" t="s">
        <v>3288</v>
      </c>
      <c r="E341" s="36" t="s">
        <v>3393</v>
      </c>
      <c r="F341" s="23" t="s">
        <v>50</v>
      </c>
      <c r="G341" s="23" t="s">
        <v>64</v>
      </c>
      <c r="H341" s="23">
        <v>20833</v>
      </c>
      <c r="I341" s="23">
        <v>87</v>
      </c>
      <c r="J341" s="23">
        <v>1777</v>
      </c>
      <c r="K341" s="23">
        <v>17211</v>
      </c>
      <c r="L341" s="23">
        <v>9</v>
      </c>
      <c r="M341" s="37">
        <v>5542.5121810000001</v>
      </c>
      <c r="N341" s="31"/>
      <c r="O341" s="32"/>
      <c r="P341" s="38" t="s">
        <v>266</v>
      </c>
      <c r="Q341" s="39" t="s">
        <v>269</v>
      </c>
      <c r="R341" s="40">
        <v>5542.5121810000001</v>
      </c>
      <c r="S341" s="29" t="b">
        <f t="shared" si="1"/>
        <v>1</v>
      </c>
      <c r="T341" s="35"/>
    </row>
    <row r="342" spans="1:20">
      <c r="A342" s="22" t="s">
        <v>3394</v>
      </c>
      <c r="B342" s="23" t="s">
        <v>32</v>
      </c>
      <c r="C342" s="23" t="s">
        <v>34</v>
      </c>
      <c r="D342" s="23" t="s">
        <v>3288</v>
      </c>
      <c r="E342" s="36" t="s">
        <v>3395</v>
      </c>
      <c r="F342" s="23" t="s">
        <v>50</v>
      </c>
      <c r="G342" s="23" t="s">
        <v>39</v>
      </c>
      <c r="H342" s="23">
        <v>23711</v>
      </c>
      <c r="I342" s="23">
        <v>69</v>
      </c>
      <c r="J342" s="23">
        <v>4337</v>
      </c>
      <c r="K342" s="23">
        <v>17211</v>
      </c>
      <c r="L342" s="23">
        <v>8</v>
      </c>
      <c r="M342" s="37">
        <v>5740.9522189999998</v>
      </c>
      <c r="N342" s="31"/>
      <c r="O342" s="32"/>
      <c r="P342" s="38" t="s">
        <v>369</v>
      </c>
      <c r="Q342" s="39" t="s">
        <v>371</v>
      </c>
      <c r="R342" s="40">
        <v>5740.9522189999998</v>
      </c>
      <c r="S342" s="29" t="b">
        <f t="shared" si="1"/>
        <v>1</v>
      </c>
      <c r="T342" s="35"/>
    </row>
    <row r="343" spans="1:20">
      <c r="A343" s="22" t="s">
        <v>3396</v>
      </c>
      <c r="B343" s="23" t="s">
        <v>44</v>
      </c>
      <c r="C343" s="23" t="s">
        <v>34</v>
      </c>
      <c r="D343" s="23" t="s">
        <v>3288</v>
      </c>
      <c r="E343" s="36" t="s">
        <v>3397</v>
      </c>
      <c r="F343" s="23" t="s">
        <v>131</v>
      </c>
      <c r="G343" s="23" t="s">
        <v>64</v>
      </c>
      <c r="H343" s="23">
        <v>161222</v>
      </c>
      <c r="I343" s="23">
        <v>500</v>
      </c>
      <c r="J343" s="23">
        <v>66740</v>
      </c>
      <c r="K343" s="23">
        <v>149743</v>
      </c>
      <c r="L343" s="23">
        <v>19</v>
      </c>
      <c r="M343" s="37">
        <v>5767.7973810000003</v>
      </c>
      <c r="N343" s="31"/>
      <c r="O343" s="32"/>
      <c r="P343" s="38" t="s">
        <v>230</v>
      </c>
      <c r="Q343" s="39" t="s">
        <v>232</v>
      </c>
      <c r="R343" s="40">
        <v>5767.7973810000003</v>
      </c>
      <c r="S343" s="29" t="b">
        <f t="shared" si="1"/>
        <v>1</v>
      </c>
      <c r="T343" s="35"/>
    </row>
    <row r="344" spans="1:20">
      <c r="A344" s="22" t="s">
        <v>3398</v>
      </c>
      <c r="B344" s="23" t="s">
        <v>123</v>
      </c>
      <c r="C344" s="23" t="s">
        <v>46</v>
      </c>
      <c r="D344" s="23" t="s">
        <v>3288</v>
      </c>
      <c r="E344" s="36" t="s">
        <v>3399</v>
      </c>
      <c r="F344" s="23" t="s">
        <v>50</v>
      </c>
      <c r="G344" s="23" t="s">
        <v>39</v>
      </c>
      <c r="H344" s="23">
        <v>17382</v>
      </c>
      <c r="I344" s="23">
        <v>100</v>
      </c>
      <c r="J344" s="23">
        <v>7411</v>
      </c>
      <c r="K344" s="23">
        <v>16576</v>
      </c>
      <c r="L344" s="23">
        <v>8</v>
      </c>
      <c r="M344" s="37">
        <v>5797.2199769999997</v>
      </c>
      <c r="N344" s="31"/>
      <c r="O344" s="32"/>
      <c r="P344" s="38" t="s">
        <v>605</v>
      </c>
      <c r="Q344" s="39" t="s">
        <v>607</v>
      </c>
      <c r="R344" s="40">
        <v>5797.2199769999997</v>
      </c>
      <c r="S344" s="29" t="b">
        <f t="shared" si="1"/>
        <v>1</v>
      </c>
      <c r="T344" s="35"/>
    </row>
    <row r="345" spans="1:20">
      <c r="A345" s="22" t="s">
        <v>3400</v>
      </c>
      <c r="B345" s="23" t="s">
        <v>32</v>
      </c>
      <c r="C345" s="23" t="s">
        <v>34</v>
      </c>
      <c r="D345" s="23" t="s">
        <v>3288</v>
      </c>
      <c r="E345" s="36" t="s">
        <v>3401</v>
      </c>
      <c r="F345" s="23" t="s">
        <v>50</v>
      </c>
      <c r="G345" s="23" t="s">
        <v>39</v>
      </c>
      <c r="H345" s="23">
        <v>405957</v>
      </c>
      <c r="I345" s="23">
        <v>874</v>
      </c>
      <c r="J345" s="23">
        <v>204189</v>
      </c>
      <c r="K345" s="23">
        <v>385654</v>
      </c>
      <c r="L345" s="23">
        <v>16</v>
      </c>
      <c r="M345" s="37">
        <v>5864.1264929999998</v>
      </c>
      <c r="N345" s="31"/>
      <c r="O345" s="32"/>
      <c r="P345" s="38" t="s">
        <v>1863</v>
      </c>
      <c r="Q345" s="39" t="s">
        <v>357</v>
      </c>
      <c r="R345" s="40">
        <v>5864.1264929999998</v>
      </c>
      <c r="S345" s="29" t="b">
        <f t="shared" si="1"/>
        <v>1</v>
      </c>
      <c r="T345" s="35"/>
    </row>
    <row r="346" spans="1:20">
      <c r="A346" s="22" t="s">
        <v>3402</v>
      </c>
      <c r="B346" s="23" t="s">
        <v>44</v>
      </c>
      <c r="C346" s="23" t="s">
        <v>80</v>
      </c>
      <c r="D346" s="23" t="s">
        <v>3288</v>
      </c>
      <c r="E346" s="36" t="s">
        <v>3403</v>
      </c>
      <c r="F346" s="23" t="s">
        <v>74</v>
      </c>
      <c r="G346" s="23" t="s">
        <v>39</v>
      </c>
      <c r="H346" s="23">
        <v>1720462</v>
      </c>
      <c r="I346" s="23">
        <v>4865</v>
      </c>
      <c r="J346" s="23">
        <v>940296</v>
      </c>
      <c r="K346" s="23">
        <v>1516537</v>
      </c>
      <c r="L346" s="23">
        <v>20</v>
      </c>
      <c r="M346" s="37">
        <v>5906.4649669999999</v>
      </c>
      <c r="N346" s="31"/>
      <c r="O346" s="32"/>
      <c r="P346" s="38" t="s">
        <v>2220</v>
      </c>
      <c r="Q346" s="39" t="s">
        <v>232</v>
      </c>
      <c r="R346" s="40">
        <v>5906.4649669999999</v>
      </c>
      <c r="S346" s="29" t="b">
        <f t="shared" si="1"/>
        <v>1</v>
      </c>
      <c r="T346" s="35"/>
    </row>
    <row r="347" spans="1:20">
      <c r="A347" s="22" t="s">
        <v>3404</v>
      </c>
      <c r="B347" s="23" t="s">
        <v>32</v>
      </c>
      <c r="C347" s="23" t="s">
        <v>34</v>
      </c>
      <c r="D347" s="23" t="s">
        <v>3288</v>
      </c>
      <c r="E347" s="36" t="s">
        <v>3405</v>
      </c>
      <c r="F347" s="23" t="s">
        <v>50</v>
      </c>
      <c r="G347" s="23" t="s">
        <v>39</v>
      </c>
      <c r="H347" s="23">
        <v>40859</v>
      </c>
      <c r="I347" s="23">
        <v>144</v>
      </c>
      <c r="J347" s="23">
        <v>17695</v>
      </c>
      <c r="K347" s="23">
        <v>37108</v>
      </c>
      <c r="L347" s="23">
        <v>4</v>
      </c>
      <c r="M347" s="37">
        <v>6130.3684249999997</v>
      </c>
      <c r="N347" s="31"/>
      <c r="O347" s="32"/>
      <c r="P347" s="38" t="s">
        <v>997</v>
      </c>
      <c r="Q347" s="39" t="s">
        <v>999</v>
      </c>
      <c r="R347" s="40">
        <v>6130.3684249999997</v>
      </c>
      <c r="S347" s="29" t="b">
        <f t="shared" si="1"/>
        <v>1</v>
      </c>
      <c r="T347" s="35"/>
    </row>
    <row r="348" spans="1:20">
      <c r="A348" s="22" t="s">
        <v>3406</v>
      </c>
      <c r="B348" s="23" t="s">
        <v>44</v>
      </c>
      <c r="C348" s="23" t="s">
        <v>80</v>
      </c>
      <c r="D348" s="23" t="s">
        <v>3288</v>
      </c>
      <c r="E348" s="36" t="s">
        <v>3407</v>
      </c>
      <c r="F348" s="23" t="s">
        <v>50</v>
      </c>
      <c r="G348" s="23" t="s">
        <v>64</v>
      </c>
      <c r="H348" s="23">
        <v>10524</v>
      </c>
      <c r="I348" s="23">
        <v>55</v>
      </c>
      <c r="J348" s="23">
        <v>7601</v>
      </c>
      <c r="K348" s="23">
        <v>10242</v>
      </c>
      <c r="L348" s="23">
        <v>11</v>
      </c>
      <c r="M348" s="37">
        <v>6136.1339019999996</v>
      </c>
      <c r="N348" s="31"/>
      <c r="O348" s="32"/>
      <c r="P348" s="38" t="s">
        <v>1424</v>
      </c>
      <c r="Q348" s="39" t="s">
        <v>1426</v>
      </c>
      <c r="R348" s="40">
        <v>6136.1339019999996</v>
      </c>
      <c r="S348" s="29" t="b">
        <f t="shared" si="1"/>
        <v>1</v>
      </c>
      <c r="T348" s="35"/>
    </row>
    <row r="349" spans="1:20">
      <c r="A349" s="22" t="s">
        <v>3408</v>
      </c>
      <c r="B349" s="23" t="s">
        <v>32</v>
      </c>
      <c r="C349" s="23" t="s">
        <v>34</v>
      </c>
      <c r="D349" s="23" t="s">
        <v>3288</v>
      </c>
      <c r="E349" s="36" t="s">
        <v>3409</v>
      </c>
      <c r="F349" s="23" t="s">
        <v>74</v>
      </c>
      <c r="G349" s="23" t="s">
        <v>39</v>
      </c>
      <c r="H349" s="23">
        <v>14489</v>
      </c>
      <c r="I349" s="23">
        <v>37</v>
      </c>
      <c r="J349" s="23">
        <v>12453</v>
      </c>
      <c r="K349" s="23">
        <v>13873</v>
      </c>
      <c r="L349" s="23">
        <v>10</v>
      </c>
      <c r="M349" s="37">
        <v>6195.8407340000003</v>
      </c>
      <c r="N349" s="31"/>
      <c r="O349" s="32"/>
      <c r="P349" s="38" t="s">
        <v>1286</v>
      </c>
      <c r="Q349" s="39" t="s">
        <v>1288</v>
      </c>
      <c r="R349" s="40">
        <v>6195.8407340000003</v>
      </c>
      <c r="S349" s="29" t="b">
        <f t="shared" si="1"/>
        <v>1</v>
      </c>
      <c r="T349" s="35"/>
    </row>
    <row r="350" spans="1:20">
      <c r="A350" s="22" t="s">
        <v>3410</v>
      </c>
      <c r="B350" s="23" t="s">
        <v>32</v>
      </c>
      <c r="C350" s="23" t="s">
        <v>62</v>
      </c>
      <c r="D350" s="23" t="s">
        <v>3288</v>
      </c>
      <c r="E350" s="36" t="s">
        <v>3411</v>
      </c>
      <c r="F350" s="23" t="s">
        <v>2749</v>
      </c>
      <c r="G350" s="23" t="s">
        <v>39</v>
      </c>
      <c r="H350" s="23">
        <v>15252</v>
      </c>
      <c r="I350" s="23">
        <v>55</v>
      </c>
      <c r="J350" s="23">
        <v>2152</v>
      </c>
      <c r="K350" s="23">
        <v>3482</v>
      </c>
      <c r="L350" s="23">
        <v>7</v>
      </c>
      <c r="M350" s="37">
        <v>6211.2001469999996</v>
      </c>
      <c r="N350" s="31"/>
      <c r="O350" s="32"/>
      <c r="P350" s="38" t="s">
        <v>938</v>
      </c>
      <c r="Q350" s="39" t="s">
        <v>940</v>
      </c>
      <c r="R350" s="40">
        <v>6211.2001469999996</v>
      </c>
      <c r="S350" s="29" t="b">
        <f t="shared" si="1"/>
        <v>1</v>
      </c>
      <c r="T350" s="35"/>
    </row>
    <row r="351" spans="1:20">
      <c r="A351" s="22" t="s">
        <v>3412</v>
      </c>
      <c r="B351" s="23" t="s">
        <v>123</v>
      </c>
      <c r="C351" s="23" t="s">
        <v>80</v>
      </c>
      <c r="D351" s="23" t="s">
        <v>3288</v>
      </c>
      <c r="E351" s="36" t="s">
        <v>3413</v>
      </c>
      <c r="F351" s="23" t="s">
        <v>74</v>
      </c>
      <c r="G351" s="23" t="s">
        <v>39</v>
      </c>
      <c r="H351" s="23">
        <v>10565</v>
      </c>
      <c r="I351" s="23">
        <v>66</v>
      </c>
      <c r="J351" s="23">
        <v>6248</v>
      </c>
      <c r="K351" s="23">
        <v>10141</v>
      </c>
      <c r="L351" s="23">
        <v>9</v>
      </c>
      <c r="M351" s="37">
        <v>6236.1130940000003</v>
      </c>
      <c r="N351" s="31"/>
      <c r="O351" s="32"/>
      <c r="P351" s="38" t="s">
        <v>1205</v>
      </c>
      <c r="Q351" s="39" t="s">
        <v>1207</v>
      </c>
      <c r="R351" s="40">
        <v>6236.1130940000003</v>
      </c>
      <c r="S351" s="29" t="b">
        <f t="shared" si="1"/>
        <v>1</v>
      </c>
      <c r="T351" s="35"/>
    </row>
    <row r="352" spans="1:20">
      <c r="A352" s="22" t="s">
        <v>3414</v>
      </c>
      <c r="B352" s="23" t="s">
        <v>32</v>
      </c>
      <c r="C352" s="23" t="s">
        <v>34</v>
      </c>
      <c r="D352" s="23" t="s">
        <v>3288</v>
      </c>
      <c r="E352" s="36" t="s">
        <v>3415</v>
      </c>
      <c r="F352" s="23" t="s">
        <v>50</v>
      </c>
      <c r="G352" s="23" t="s">
        <v>39</v>
      </c>
      <c r="H352" s="23">
        <v>42830</v>
      </c>
      <c r="I352" s="23">
        <v>160</v>
      </c>
      <c r="J352" s="23">
        <v>24499</v>
      </c>
      <c r="K352" s="23">
        <v>34496</v>
      </c>
      <c r="L352" s="23">
        <v>5</v>
      </c>
      <c r="M352" s="37">
        <v>6261.5757240000003</v>
      </c>
      <c r="N352" s="31"/>
      <c r="O352" s="32"/>
      <c r="P352" s="38" t="s">
        <v>1470</v>
      </c>
      <c r="Q352" s="39" t="s">
        <v>1471</v>
      </c>
      <c r="R352" s="40">
        <v>6261.5757240000003</v>
      </c>
      <c r="S352" s="29" t="b">
        <f t="shared" si="1"/>
        <v>1</v>
      </c>
      <c r="T352" s="35"/>
    </row>
    <row r="353" spans="1:20">
      <c r="A353" s="22" t="s">
        <v>3416</v>
      </c>
      <c r="B353" s="23" t="s">
        <v>44</v>
      </c>
      <c r="C353" s="23" t="s">
        <v>46</v>
      </c>
      <c r="D353" s="23" t="s">
        <v>3288</v>
      </c>
      <c r="E353" s="36" t="s">
        <v>3417</v>
      </c>
      <c r="F353" s="23" t="s">
        <v>131</v>
      </c>
      <c r="G353" s="23" t="s">
        <v>64</v>
      </c>
      <c r="H353" s="23">
        <v>7965</v>
      </c>
      <c r="I353" s="23">
        <v>50</v>
      </c>
      <c r="J353" s="23">
        <v>5230</v>
      </c>
      <c r="K353" s="23">
        <v>6923</v>
      </c>
      <c r="L353" s="23">
        <v>10</v>
      </c>
      <c r="M353" s="37">
        <v>6298.5139289999997</v>
      </c>
      <c r="N353" s="31"/>
      <c r="O353" s="32"/>
      <c r="P353" s="38" t="s">
        <v>2275</v>
      </c>
      <c r="Q353" s="39" t="s">
        <v>1699</v>
      </c>
      <c r="R353" s="40">
        <v>6298.5139289999997</v>
      </c>
      <c r="S353" s="29" t="b">
        <f t="shared" si="1"/>
        <v>1</v>
      </c>
      <c r="T353" s="35"/>
    </row>
    <row r="354" spans="1:20">
      <c r="A354" s="22" t="s">
        <v>3418</v>
      </c>
      <c r="B354" s="23" t="s">
        <v>44</v>
      </c>
      <c r="C354" s="23" t="s">
        <v>62</v>
      </c>
      <c r="D354" s="23" t="s">
        <v>3288</v>
      </c>
      <c r="E354" s="36" t="s">
        <v>3419</v>
      </c>
      <c r="F354" s="23" t="s">
        <v>50</v>
      </c>
      <c r="G354" s="23" t="s">
        <v>64</v>
      </c>
      <c r="H354" s="23">
        <v>39725</v>
      </c>
      <c r="I354" s="23">
        <v>144</v>
      </c>
      <c r="J354" s="23">
        <v>5402</v>
      </c>
      <c r="K354" s="23">
        <v>36080</v>
      </c>
      <c r="L354" s="23">
        <v>12</v>
      </c>
      <c r="M354" s="37">
        <v>6431.5551519999999</v>
      </c>
      <c r="N354" s="31"/>
      <c r="O354" s="32"/>
      <c r="P354" s="38" t="s">
        <v>1945</v>
      </c>
      <c r="Q354" s="39" t="s">
        <v>1947</v>
      </c>
      <c r="R354" s="40">
        <v>6431.5551519999999</v>
      </c>
      <c r="S354" s="29" t="b">
        <f t="shared" si="1"/>
        <v>1</v>
      </c>
      <c r="T354" s="35"/>
    </row>
    <row r="355" spans="1:20">
      <c r="A355" s="22" t="s">
        <v>3420</v>
      </c>
      <c r="B355" s="23" t="s">
        <v>32</v>
      </c>
      <c r="C355" s="23" t="s">
        <v>80</v>
      </c>
      <c r="D355" s="23" t="s">
        <v>3288</v>
      </c>
      <c r="E355" s="36" t="s">
        <v>3421</v>
      </c>
      <c r="F355" s="23" t="s">
        <v>131</v>
      </c>
      <c r="G355" s="23" t="s">
        <v>39</v>
      </c>
      <c r="H355" s="23">
        <v>18401</v>
      </c>
      <c r="I355" s="23">
        <v>66</v>
      </c>
      <c r="J355" s="23">
        <v>11051</v>
      </c>
      <c r="K355" s="23">
        <v>17202</v>
      </c>
      <c r="L355" s="23">
        <v>26</v>
      </c>
      <c r="M355" s="37">
        <v>6571.4915520000004</v>
      </c>
      <c r="N355" s="31"/>
      <c r="O355" s="32"/>
      <c r="P355" s="38" t="s">
        <v>1909</v>
      </c>
      <c r="Q355" s="39" t="s">
        <v>1411</v>
      </c>
      <c r="R355" s="40">
        <v>6571.4915520000004</v>
      </c>
      <c r="S355" s="29" t="b">
        <f t="shared" si="1"/>
        <v>1</v>
      </c>
      <c r="T355" s="35"/>
    </row>
    <row r="356" spans="1:20">
      <c r="A356" s="22" t="s">
        <v>3422</v>
      </c>
      <c r="B356" s="23" t="s">
        <v>44</v>
      </c>
      <c r="C356" s="23" t="s">
        <v>62</v>
      </c>
      <c r="D356" s="23" t="s">
        <v>3288</v>
      </c>
      <c r="E356" s="36" t="s">
        <v>3423</v>
      </c>
      <c r="F356" s="23" t="s">
        <v>50</v>
      </c>
      <c r="G356" s="23" t="s">
        <v>75</v>
      </c>
      <c r="H356" s="23">
        <v>102958</v>
      </c>
      <c r="I356" s="23">
        <v>320</v>
      </c>
      <c r="J356" s="23">
        <v>86884</v>
      </c>
      <c r="K356" s="23">
        <v>94687</v>
      </c>
      <c r="L356" s="23">
        <v>12</v>
      </c>
      <c r="M356" s="37">
        <v>6624.2211749999997</v>
      </c>
      <c r="N356" s="31"/>
      <c r="O356" s="32"/>
      <c r="P356" s="38" t="s">
        <v>517</v>
      </c>
      <c r="Q356" s="39" t="s">
        <v>519</v>
      </c>
      <c r="R356" s="40">
        <v>6624.2211749999997</v>
      </c>
      <c r="S356" s="29" t="b">
        <f t="shared" si="1"/>
        <v>1</v>
      </c>
      <c r="T356" s="35"/>
    </row>
    <row r="357" spans="1:20">
      <c r="A357" s="22" t="s">
        <v>3424</v>
      </c>
      <c r="B357" s="23" t="s">
        <v>44</v>
      </c>
      <c r="C357" s="23" t="s">
        <v>80</v>
      </c>
      <c r="D357" s="23" t="s">
        <v>3288</v>
      </c>
      <c r="E357" s="36" t="s">
        <v>3425</v>
      </c>
      <c r="F357" s="23" t="s">
        <v>50</v>
      </c>
      <c r="G357" s="23" t="s">
        <v>75</v>
      </c>
      <c r="H357" s="23">
        <v>48211</v>
      </c>
      <c r="I357" s="23">
        <v>160</v>
      </c>
      <c r="J357" s="23">
        <v>30157</v>
      </c>
      <c r="K357" s="23">
        <v>43810</v>
      </c>
      <c r="L357" s="23">
        <v>14</v>
      </c>
      <c r="M357" s="37">
        <v>6708.4633510000003</v>
      </c>
      <c r="N357" s="31"/>
      <c r="O357" s="32"/>
      <c r="P357" s="38" t="s">
        <v>2148</v>
      </c>
      <c r="Q357" s="39" t="s">
        <v>367</v>
      </c>
      <c r="R357" s="40">
        <v>6708.4633510000003</v>
      </c>
      <c r="S357" s="29" t="b">
        <f t="shared" si="1"/>
        <v>1</v>
      </c>
      <c r="T357" s="35"/>
    </row>
    <row r="358" spans="1:20">
      <c r="A358" s="22" t="s">
        <v>3426</v>
      </c>
      <c r="B358" s="23" t="s">
        <v>123</v>
      </c>
      <c r="C358" s="23" t="s">
        <v>80</v>
      </c>
      <c r="D358" s="23" t="s">
        <v>3288</v>
      </c>
      <c r="E358" s="36" t="s">
        <v>3427</v>
      </c>
      <c r="F358" s="23" t="s">
        <v>74</v>
      </c>
      <c r="G358" s="23" t="s">
        <v>39</v>
      </c>
      <c r="H358" s="23">
        <v>10350</v>
      </c>
      <c r="I358" s="23">
        <v>66</v>
      </c>
      <c r="J358" s="23">
        <v>723</v>
      </c>
      <c r="K358" s="23">
        <v>8720</v>
      </c>
      <c r="L358" s="23">
        <v>14</v>
      </c>
      <c r="M358" s="37">
        <v>6774.202636</v>
      </c>
      <c r="N358" s="31"/>
      <c r="O358" s="32"/>
      <c r="P358" s="38" t="s">
        <v>587</v>
      </c>
      <c r="Q358" s="39" t="s">
        <v>589</v>
      </c>
      <c r="R358" s="40">
        <v>6774.202636</v>
      </c>
      <c r="S358" s="29" t="b">
        <f t="shared" si="1"/>
        <v>1</v>
      </c>
      <c r="T358" s="35"/>
    </row>
    <row r="359" spans="1:20">
      <c r="A359" s="22" t="s">
        <v>3428</v>
      </c>
      <c r="B359" s="23" t="s">
        <v>44</v>
      </c>
      <c r="C359" s="23" t="s">
        <v>62</v>
      </c>
      <c r="D359" s="23" t="s">
        <v>3288</v>
      </c>
      <c r="E359" s="36" t="s">
        <v>3429</v>
      </c>
      <c r="F359" s="23" t="s">
        <v>50</v>
      </c>
      <c r="G359" s="23" t="s">
        <v>64</v>
      </c>
      <c r="H359" s="23">
        <v>28888</v>
      </c>
      <c r="I359" s="23">
        <v>85</v>
      </c>
      <c r="J359" s="23">
        <v>21437</v>
      </c>
      <c r="K359" s="23">
        <v>27586</v>
      </c>
      <c r="L359" s="23">
        <v>19</v>
      </c>
      <c r="M359" s="37">
        <v>6858.5781180000004</v>
      </c>
      <c r="N359" s="31"/>
      <c r="O359" s="32"/>
      <c r="P359" s="38" t="s">
        <v>1963</v>
      </c>
      <c r="Q359" s="39" t="s">
        <v>1107</v>
      </c>
      <c r="R359" s="40">
        <v>6858.5781180000004</v>
      </c>
      <c r="S359" s="29" t="b">
        <f t="shared" si="1"/>
        <v>1</v>
      </c>
      <c r="T359" s="35"/>
    </row>
    <row r="360" spans="1:20">
      <c r="A360" s="22" t="s">
        <v>3430</v>
      </c>
      <c r="B360" s="23" t="s">
        <v>44</v>
      </c>
      <c r="C360" s="23" t="s">
        <v>80</v>
      </c>
      <c r="D360" s="23" t="s">
        <v>3288</v>
      </c>
      <c r="E360" s="36" t="s">
        <v>3431</v>
      </c>
      <c r="F360" s="23" t="s">
        <v>186</v>
      </c>
      <c r="G360" s="23" t="s">
        <v>39</v>
      </c>
      <c r="H360" s="23">
        <v>11607</v>
      </c>
      <c r="I360" s="23">
        <v>184</v>
      </c>
      <c r="J360" s="23">
        <v>5218</v>
      </c>
      <c r="K360" s="23">
        <v>10763</v>
      </c>
      <c r="L360" s="23">
        <v>12</v>
      </c>
      <c r="M360" s="37">
        <v>6909.7323180000003</v>
      </c>
      <c r="N360" s="31"/>
      <c r="O360" s="32"/>
      <c r="P360" s="38" t="s">
        <v>1667</v>
      </c>
      <c r="Q360" s="39" t="s">
        <v>1374</v>
      </c>
      <c r="R360" s="40">
        <v>6909.7323180000003</v>
      </c>
      <c r="S360" s="29" t="b">
        <f t="shared" si="1"/>
        <v>1</v>
      </c>
      <c r="T360" s="35"/>
    </row>
    <row r="361" spans="1:20">
      <c r="A361" s="22" t="s">
        <v>3432</v>
      </c>
      <c r="B361" s="23" t="s">
        <v>123</v>
      </c>
      <c r="C361" s="23" t="s">
        <v>62</v>
      </c>
      <c r="D361" s="23" t="s">
        <v>3288</v>
      </c>
      <c r="E361" s="36" t="s">
        <v>3433</v>
      </c>
      <c r="F361" s="23" t="s">
        <v>103</v>
      </c>
      <c r="G361" s="23" t="s">
        <v>39</v>
      </c>
      <c r="H361" s="23">
        <v>100800</v>
      </c>
      <c r="I361" s="23">
        <v>185</v>
      </c>
      <c r="J361" s="23">
        <v>14473</v>
      </c>
      <c r="K361" s="23">
        <v>85424</v>
      </c>
      <c r="L361" s="23">
        <v>10</v>
      </c>
      <c r="M361" s="37">
        <v>7004.7304830000003</v>
      </c>
      <c r="N361" s="31"/>
      <c r="O361" s="32"/>
      <c r="P361" s="38" t="s">
        <v>1121</v>
      </c>
      <c r="Q361" s="39" t="s">
        <v>226</v>
      </c>
      <c r="R361" s="40">
        <v>7004.7304830000003</v>
      </c>
      <c r="S361" s="29" t="b">
        <f t="shared" si="1"/>
        <v>1</v>
      </c>
      <c r="T361" s="35"/>
    </row>
    <row r="362" spans="1:20">
      <c r="A362" s="22" t="s">
        <v>3434</v>
      </c>
      <c r="B362" s="23" t="s">
        <v>44</v>
      </c>
      <c r="C362" s="23" t="s">
        <v>34</v>
      </c>
      <c r="D362" s="23" t="s">
        <v>3288</v>
      </c>
      <c r="E362" s="36" t="s">
        <v>3435</v>
      </c>
      <c r="F362" s="23" t="s">
        <v>50</v>
      </c>
      <c r="G362" s="23" t="s">
        <v>39</v>
      </c>
      <c r="H362" s="23">
        <v>11476</v>
      </c>
      <c r="I362" s="23">
        <v>45</v>
      </c>
      <c r="J362" s="23">
        <v>4963</v>
      </c>
      <c r="K362" s="23">
        <v>10991</v>
      </c>
      <c r="L362" s="23">
        <v>8</v>
      </c>
      <c r="M362" s="37">
        <v>7227.4173490000003</v>
      </c>
      <c r="N362" s="31"/>
      <c r="O362" s="32"/>
      <c r="P362" s="38" t="s">
        <v>2131</v>
      </c>
      <c r="Q362" s="39" t="s">
        <v>2133</v>
      </c>
      <c r="R362" s="40">
        <v>7227.4173490000003</v>
      </c>
      <c r="S362" s="29" t="b">
        <f t="shared" si="1"/>
        <v>1</v>
      </c>
      <c r="T362" s="35"/>
    </row>
    <row r="363" spans="1:20">
      <c r="A363" s="22" t="s">
        <v>3436</v>
      </c>
      <c r="B363" s="23" t="s">
        <v>44</v>
      </c>
      <c r="C363" s="23" t="s">
        <v>34</v>
      </c>
      <c r="D363" s="23" t="s">
        <v>3288</v>
      </c>
      <c r="E363" s="36" t="s">
        <v>3437</v>
      </c>
      <c r="F363" s="23" t="s">
        <v>131</v>
      </c>
      <c r="G363" s="23" t="s">
        <v>39</v>
      </c>
      <c r="H363" s="23">
        <v>1109184</v>
      </c>
      <c r="I363" s="23">
        <v>3142</v>
      </c>
      <c r="J363" s="23">
        <v>83035</v>
      </c>
      <c r="K363" s="23">
        <v>782482</v>
      </c>
      <c r="L363" s="23">
        <v>25</v>
      </c>
      <c r="M363" s="37">
        <v>7490.8607789999996</v>
      </c>
      <c r="N363" s="31"/>
      <c r="O363" s="32"/>
      <c r="P363" s="38" t="s">
        <v>1665</v>
      </c>
      <c r="Q363" s="39" t="s">
        <v>357</v>
      </c>
      <c r="R363" s="40">
        <v>7490.8607789999996</v>
      </c>
      <c r="S363" s="29" t="b">
        <f t="shared" si="1"/>
        <v>1</v>
      </c>
      <c r="T363" s="35"/>
    </row>
    <row r="364" spans="1:20">
      <c r="A364" s="22" t="s">
        <v>3438</v>
      </c>
      <c r="B364" s="23" t="s">
        <v>44</v>
      </c>
      <c r="C364" s="23" t="s">
        <v>34</v>
      </c>
      <c r="D364" s="23" t="s">
        <v>3288</v>
      </c>
      <c r="E364" s="36" t="s">
        <v>3439</v>
      </c>
      <c r="F364" s="23" t="s">
        <v>186</v>
      </c>
      <c r="G364" s="23" t="s">
        <v>39</v>
      </c>
      <c r="H364" s="23">
        <v>1575592</v>
      </c>
      <c r="I364" s="23">
        <v>3874</v>
      </c>
      <c r="J364" s="23">
        <v>1155869</v>
      </c>
      <c r="K364" s="23">
        <v>1447900</v>
      </c>
      <c r="L364" s="23">
        <v>88</v>
      </c>
      <c r="M364" s="37">
        <v>7818.6482969999997</v>
      </c>
      <c r="N364" s="31"/>
      <c r="O364" s="32"/>
      <c r="P364" s="38" t="s">
        <v>1488</v>
      </c>
      <c r="Q364" s="39" t="s">
        <v>314</v>
      </c>
      <c r="R364" s="40">
        <v>7818.6482969999997</v>
      </c>
      <c r="S364" s="29" t="b">
        <f t="shared" si="1"/>
        <v>1</v>
      </c>
      <c r="T364" s="35"/>
    </row>
    <row r="365" spans="1:20">
      <c r="A365" s="22" t="s">
        <v>3440</v>
      </c>
      <c r="B365" s="23" t="s">
        <v>32</v>
      </c>
      <c r="C365" s="23" t="s">
        <v>62</v>
      </c>
      <c r="D365" s="23" t="s">
        <v>3288</v>
      </c>
      <c r="E365" s="36" t="s">
        <v>3441</v>
      </c>
      <c r="F365" s="23" t="s">
        <v>50</v>
      </c>
      <c r="G365" s="23" t="s">
        <v>39</v>
      </c>
      <c r="H365" s="23">
        <v>1515751</v>
      </c>
      <c r="I365" s="23">
        <v>3874</v>
      </c>
      <c r="J365" s="23">
        <v>1151776</v>
      </c>
      <c r="K365" s="23">
        <v>1396230</v>
      </c>
      <c r="L365" s="23">
        <v>49</v>
      </c>
      <c r="M365" s="37">
        <v>7850.6442440000001</v>
      </c>
      <c r="N365" s="31"/>
      <c r="O365" s="32"/>
      <c r="P365" s="38" t="s">
        <v>2123</v>
      </c>
      <c r="Q365" s="39" t="s">
        <v>1300</v>
      </c>
      <c r="R365" s="40">
        <v>7850.6442440000001</v>
      </c>
      <c r="S365" s="29" t="b">
        <f t="shared" si="1"/>
        <v>1</v>
      </c>
      <c r="T365" s="35"/>
    </row>
    <row r="366" spans="1:20">
      <c r="A366" s="22" t="s">
        <v>3442</v>
      </c>
      <c r="B366" s="23" t="s">
        <v>32</v>
      </c>
      <c r="C366" s="23" t="s">
        <v>34</v>
      </c>
      <c r="D366" s="23" t="s">
        <v>3288</v>
      </c>
      <c r="E366" s="36" t="s">
        <v>3443</v>
      </c>
      <c r="F366" s="23" t="s">
        <v>50</v>
      </c>
      <c r="G366" s="23" t="s">
        <v>39</v>
      </c>
      <c r="H366" s="23">
        <v>318269</v>
      </c>
      <c r="I366" s="23">
        <v>914</v>
      </c>
      <c r="J366" s="23">
        <v>33355</v>
      </c>
      <c r="K366" s="23">
        <v>295405</v>
      </c>
      <c r="L366" s="23">
        <v>44</v>
      </c>
      <c r="M366" s="37">
        <v>7854.7319909999997</v>
      </c>
      <c r="N366" s="31"/>
      <c r="O366" s="32"/>
      <c r="P366" s="38" t="s">
        <v>1967</v>
      </c>
      <c r="Q366" s="39" t="s">
        <v>1383</v>
      </c>
      <c r="R366" s="40">
        <v>7854.7319909999997</v>
      </c>
      <c r="S366" s="29" t="b">
        <f t="shared" si="1"/>
        <v>1</v>
      </c>
      <c r="T366" s="35"/>
    </row>
    <row r="367" spans="1:20">
      <c r="A367" s="22" t="s">
        <v>3444</v>
      </c>
      <c r="B367" s="23" t="s">
        <v>32</v>
      </c>
      <c r="C367" s="23" t="s">
        <v>62</v>
      </c>
      <c r="D367" s="23" t="s">
        <v>3288</v>
      </c>
      <c r="E367" s="36" t="s">
        <v>3445</v>
      </c>
      <c r="F367" s="23" t="s">
        <v>50</v>
      </c>
      <c r="G367" s="23" t="s">
        <v>39</v>
      </c>
      <c r="H367" s="23">
        <v>921791</v>
      </c>
      <c r="I367" s="23">
        <v>2150</v>
      </c>
      <c r="J367" s="23">
        <v>668449</v>
      </c>
      <c r="K367" s="23">
        <v>852442</v>
      </c>
      <c r="L367" s="23">
        <v>69</v>
      </c>
      <c r="M367" s="37">
        <v>8042.8979490000002</v>
      </c>
      <c r="N367" s="31"/>
      <c r="O367" s="32"/>
      <c r="P367" s="38" t="s">
        <v>954</v>
      </c>
      <c r="Q367" s="39" t="s">
        <v>269</v>
      </c>
      <c r="R367" s="40">
        <v>8042.8979490000002</v>
      </c>
      <c r="S367" s="29" t="b">
        <f t="shared" si="1"/>
        <v>1</v>
      </c>
      <c r="T367" s="35"/>
    </row>
    <row r="368" spans="1:20">
      <c r="A368" s="22" t="s">
        <v>3446</v>
      </c>
      <c r="B368" s="23" t="s">
        <v>32</v>
      </c>
      <c r="C368" s="23" t="s">
        <v>80</v>
      </c>
      <c r="D368" s="23" t="s">
        <v>3447</v>
      </c>
      <c r="E368" s="36" t="s">
        <v>3448</v>
      </c>
      <c r="F368" s="23" t="s">
        <v>74</v>
      </c>
      <c r="G368" s="23" t="s">
        <v>39</v>
      </c>
      <c r="H368" s="23">
        <v>68114</v>
      </c>
      <c r="I368" s="23">
        <v>174</v>
      </c>
      <c r="J368" s="23">
        <v>569</v>
      </c>
      <c r="K368" s="23">
        <v>2059</v>
      </c>
      <c r="L368" s="23">
        <v>15</v>
      </c>
      <c r="M368" s="37">
        <v>2753.7119859999998</v>
      </c>
      <c r="N368" s="31"/>
      <c r="O368" s="32"/>
      <c r="P368" s="38" t="s">
        <v>2328</v>
      </c>
      <c r="Q368" s="39" t="s">
        <v>2330</v>
      </c>
      <c r="R368" s="40">
        <v>2753.7119859999998</v>
      </c>
      <c r="S368" s="29" t="b">
        <f t="shared" si="1"/>
        <v>1</v>
      </c>
      <c r="T368" s="35"/>
    </row>
    <row r="369" spans="1:20">
      <c r="A369" s="22" t="s">
        <v>3449</v>
      </c>
      <c r="B369" s="23" t="s">
        <v>44</v>
      </c>
      <c r="C369" s="23" t="s">
        <v>34</v>
      </c>
      <c r="D369" s="23" t="s">
        <v>3450</v>
      </c>
      <c r="E369" s="36" t="s">
        <v>3451</v>
      </c>
      <c r="F369" s="23" t="s">
        <v>317</v>
      </c>
      <c r="G369" s="23" t="s">
        <v>39</v>
      </c>
      <c r="H369" s="23">
        <v>7409</v>
      </c>
      <c r="I369" s="23">
        <v>10</v>
      </c>
      <c r="J369" s="23">
        <v>5009</v>
      </c>
      <c r="K369" s="23">
        <v>7160</v>
      </c>
      <c r="L369" s="23">
        <v>12</v>
      </c>
      <c r="M369" s="37">
        <v>1472.110115</v>
      </c>
      <c r="N369" s="31"/>
      <c r="O369" s="32"/>
      <c r="P369" s="38" t="s">
        <v>312</v>
      </c>
      <c r="Q369" s="39" t="s">
        <v>314</v>
      </c>
      <c r="R369" s="40">
        <v>1472.110115</v>
      </c>
      <c r="S369" s="29" t="b">
        <f t="shared" si="1"/>
        <v>1</v>
      </c>
      <c r="T369" s="35"/>
    </row>
    <row r="370" spans="1:20">
      <c r="A370" s="22" t="s">
        <v>3452</v>
      </c>
      <c r="B370" s="23" t="s">
        <v>32</v>
      </c>
      <c r="C370" s="23" t="s">
        <v>46</v>
      </c>
      <c r="D370" s="23" t="s">
        <v>3450</v>
      </c>
      <c r="E370" s="36" t="s">
        <v>3453</v>
      </c>
      <c r="F370" s="23" t="s">
        <v>103</v>
      </c>
      <c r="G370" s="23" t="s">
        <v>39</v>
      </c>
      <c r="H370" s="23">
        <v>32714</v>
      </c>
      <c r="I370" s="23">
        <v>69</v>
      </c>
      <c r="J370" s="23">
        <v>3756</v>
      </c>
      <c r="K370" s="23">
        <v>30764</v>
      </c>
      <c r="L370" s="23">
        <v>15</v>
      </c>
      <c r="M370" s="37">
        <v>1506.6243039999999</v>
      </c>
      <c r="N370" s="31"/>
      <c r="O370" s="32"/>
      <c r="P370" s="38" t="s">
        <v>431</v>
      </c>
      <c r="Q370" s="39" t="s">
        <v>433</v>
      </c>
      <c r="R370" s="40">
        <v>1506.6243039999999</v>
      </c>
      <c r="S370" s="29" t="b">
        <f t="shared" si="1"/>
        <v>1</v>
      </c>
      <c r="T370" s="35"/>
    </row>
    <row r="371" spans="1:20">
      <c r="A371" s="22" t="s">
        <v>3454</v>
      </c>
      <c r="B371" s="23" t="s">
        <v>44</v>
      </c>
      <c r="C371" s="23" t="s">
        <v>34</v>
      </c>
      <c r="D371" s="23" t="s">
        <v>3450</v>
      </c>
      <c r="E371" s="36" t="s">
        <v>3455</v>
      </c>
      <c r="F371" s="23" t="s">
        <v>186</v>
      </c>
      <c r="G371" s="23" t="s">
        <v>75</v>
      </c>
      <c r="H371" s="23">
        <v>16628</v>
      </c>
      <c r="I371" s="23">
        <v>70</v>
      </c>
      <c r="J371" s="23">
        <v>7974</v>
      </c>
      <c r="K371" s="23">
        <v>15969</v>
      </c>
      <c r="L371" s="23">
        <v>13</v>
      </c>
      <c r="M371" s="37">
        <v>1665.9658509999999</v>
      </c>
      <c r="N371" s="31"/>
      <c r="O371" s="32"/>
      <c r="P371" s="38" t="s">
        <v>2205</v>
      </c>
      <c r="Q371" s="39" t="s">
        <v>2206</v>
      </c>
      <c r="R371" s="40">
        <v>1665.9658509999999</v>
      </c>
      <c r="S371" s="29" t="b">
        <f t="shared" si="1"/>
        <v>1</v>
      </c>
      <c r="T371" s="35"/>
    </row>
    <row r="372" spans="1:20">
      <c r="A372" s="22" t="s">
        <v>3456</v>
      </c>
      <c r="B372" s="23" t="s">
        <v>44</v>
      </c>
      <c r="C372" s="23" t="s">
        <v>62</v>
      </c>
      <c r="D372" s="23" t="s">
        <v>3450</v>
      </c>
      <c r="E372" s="36" t="s">
        <v>3457</v>
      </c>
      <c r="F372" s="23" t="s">
        <v>50</v>
      </c>
      <c r="G372" s="23" t="s">
        <v>39</v>
      </c>
      <c r="H372" s="23">
        <v>37554</v>
      </c>
      <c r="I372" s="23">
        <v>92</v>
      </c>
      <c r="J372" s="23">
        <v>13128</v>
      </c>
      <c r="K372" s="23">
        <v>27596</v>
      </c>
      <c r="L372" s="23">
        <v>8</v>
      </c>
      <c r="M372" s="37">
        <v>1737.8434850000001</v>
      </c>
      <c r="N372" s="31"/>
      <c r="O372" s="32"/>
      <c r="P372" s="38" t="s">
        <v>2082</v>
      </c>
      <c r="Q372" s="39" t="s">
        <v>885</v>
      </c>
      <c r="R372" s="40">
        <v>1737.8434850000001</v>
      </c>
      <c r="S372" s="29" t="b">
        <f t="shared" si="1"/>
        <v>1</v>
      </c>
      <c r="T372" s="35"/>
    </row>
    <row r="373" spans="1:20">
      <c r="A373" s="22" t="s">
        <v>3458</v>
      </c>
      <c r="B373" s="23" t="s">
        <v>44</v>
      </c>
      <c r="C373" s="23" t="s">
        <v>46</v>
      </c>
      <c r="D373" s="23" t="s">
        <v>3450</v>
      </c>
      <c r="E373" s="36" t="s">
        <v>3459</v>
      </c>
      <c r="F373" s="23" t="s">
        <v>50</v>
      </c>
      <c r="G373" s="23" t="s">
        <v>39</v>
      </c>
      <c r="H373" s="23">
        <v>10485</v>
      </c>
      <c r="I373" s="23">
        <v>84</v>
      </c>
      <c r="J373" s="23">
        <v>4255</v>
      </c>
      <c r="K373" s="23">
        <v>7669</v>
      </c>
      <c r="L373" s="23">
        <v>2</v>
      </c>
      <c r="M373" s="37">
        <v>2239.262819</v>
      </c>
      <c r="N373" s="31"/>
      <c r="O373" s="32"/>
      <c r="P373" s="38" t="s">
        <v>575</v>
      </c>
      <c r="Q373" s="39" t="s">
        <v>578</v>
      </c>
      <c r="R373" s="40">
        <v>2239.262819</v>
      </c>
      <c r="S373" s="29" t="b">
        <f t="shared" si="1"/>
        <v>1</v>
      </c>
      <c r="T373" s="35"/>
    </row>
    <row r="374" spans="1:20">
      <c r="A374" s="22" t="s">
        <v>3460</v>
      </c>
      <c r="B374" s="23" t="s">
        <v>123</v>
      </c>
      <c r="C374" s="23" t="s">
        <v>80</v>
      </c>
      <c r="D374" s="23" t="s">
        <v>3450</v>
      </c>
      <c r="E374" s="36" t="s">
        <v>3461</v>
      </c>
      <c r="F374" s="23" t="s">
        <v>50</v>
      </c>
      <c r="G374" s="23" t="s">
        <v>39</v>
      </c>
      <c r="H374" s="23">
        <v>15602</v>
      </c>
      <c r="I374" s="23">
        <v>50</v>
      </c>
      <c r="J374" s="23">
        <v>7676</v>
      </c>
      <c r="K374" s="23">
        <v>13775</v>
      </c>
      <c r="L374" s="23">
        <v>1</v>
      </c>
      <c r="M374" s="37">
        <v>2600.894327</v>
      </c>
      <c r="N374" s="31"/>
      <c r="O374" s="32"/>
      <c r="P374" s="38" t="s">
        <v>1236</v>
      </c>
      <c r="Q374" s="39" t="s">
        <v>1238</v>
      </c>
      <c r="R374" s="40">
        <v>2600.894327</v>
      </c>
      <c r="S374" s="29" t="b">
        <f t="shared" si="1"/>
        <v>1</v>
      </c>
      <c r="T374" s="35"/>
    </row>
    <row r="375" spans="1:20">
      <c r="A375" s="22" t="s">
        <v>3462</v>
      </c>
      <c r="B375" s="23" t="s">
        <v>44</v>
      </c>
      <c r="C375" s="23" t="s">
        <v>62</v>
      </c>
      <c r="D375" s="23" t="s">
        <v>3450</v>
      </c>
      <c r="E375" s="36" t="s">
        <v>3463</v>
      </c>
      <c r="F375" s="23" t="s">
        <v>118</v>
      </c>
      <c r="G375" s="23" t="s">
        <v>75</v>
      </c>
      <c r="H375" s="23">
        <v>117518</v>
      </c>
      <c r="I375" s="23">
        <v>299</v>
      </c>
      <c r="J375" s="23">
        <v>66458</v>
      </c>
      <c r="K375" s="23">
        <v>86571</v>
      </c>
      <c r="L375" s="23">
        <v>1</v>
      </c>
      <c r="M375" s="37">
        <v>5999.9937810000001</v>
      </c>
      <c r="N375" s="31"/>
      <c r="O375" s="32"/>
      <c r="P375" s="38" t="s">
        <v>1023</v>
      </c>
      <c r="Q375" s="39" t="s">
        <v>314</v>
      </c>
      <c r="R375" s="40">
        <v>5999.9937810000001</v>
      </c>
      <c r="S375" s="29" t="b">
        <f t="shared" si="1"/>
        <v>1</v>
      </c>
      <c r="T375" s="35"/>
    </row>
    <row r="376" spans="1:20">
      <c r="A376" s="22" t="s">
        <v>3464</v>
      </c>
      <c r="B376" s="23" t="s">
        <v>44</v>
      </c>
      <c r="C376" s="23" t="s">
        <v>34</v>
      </c>
      <c r="D376" s="23" t="s">
        <v>3450</v>
      </c>
      <c r="E376" s="36" t="s">
        <v>3465</v>
      </c>
      <c r="F376" s="23" t="s">
        <v>131</v>
      </c>
      <c r="G376" s="23" t="s">
        <v>39</v>
      </c>
      <c r="H376" s="23">
        <v>818919</v>
      </c>
      <c r="I376" s="23">
        <v>1987</v>
      </c>
      <c r="J376" s="23">
        <v>395852</v>
      </c>
      <c r="K376" s="23">
        <v>699064</v>
      </c>
      <c r="L376" s="23">
        <v>22</v>
      </c>
      <c r="M376" s="37">
        <v>6012.1024649999999</v>
      </c>
      <c r="N376" s="31"/>
      <c r="O376" s="32"/>
      <c r="P376" s="38" t="s">
        <v>1171</v>
      </c>
      <c r="Q376" s="39" t="s">
        <v>735</v>
      </c>
      <c r="R376" s="40">
        <v>6012.1024649999999</v>
      </c>
      <c r="S376" s="29" t="b">
        <f t="shared" si="1"/>
        <v>1</v>
      </c>
      <c r="T376" s="35"/>
    </row>
    <row r="377" spans="1:20">
      <c r="A377" s="22" t="s">
        <v>3466</v>
      </c>
      <c r="B377" s="23" t="s">
        <v>32</v>
      </c>
      <c r="C377" s="23" t="s">
        <v>46</v>
      </c>
      <c r="D377" s="23" t="s">
        <v>3450</v>
      </c>
      <c r="E377" s="36" t="s">
        <v>3467</v>
      </c>
      <c r="F377" s="23" t="s">
        <v>593</v>
      </c>
      <c r="G377" s="23" t="s">
        <v>39</v>
      </c>
      <c r="H377" s="23">
        <v>44889</v>
      </c>
      <c r="I377" s="23">
        <v>125</v>
      </c>
      <c r="J377" s="23">
        <v>17477</v>
      </c>
      <c r="K377" s="23">
        <v>38621</v>
      </c>
      <c r="L377" s="23">
        <v>25</v>
      </c>
      <c r="M377" s="37">
        <v>6644.954146</v>
      </c>
      <c r="N377" s="31"/>
      <c r="O377" s="32"/>
      <c r="P377" s="38" t="s">
        <v>1581</v>
      </c>
      <c r="Q377" s="39" t="s">
        <v>721</v>
      </c>
      <c r="R377" s="40">
        <v>6644.954146</v>
      </c>
      <c r="S377" s="29" t="b">
        <f t="shared" si="1"/>
        <v>1</v>
      </c>
      <c r="T377" s="35"/>
    </row>
    <row r="378" spans="1:20">
      <c r="A378" s="22" t="s">
        <v>3468</v>
      </c>
      <c r="B378" s="23" t="s">
        <v>44</v>
      </c>
      <c r="C378" s="23" t="s">
        <v>62</v>
      </c>
      <c r="D378" s="23" t="s">
        <v>3450</v>
      </c>
      <c r="E378" s="36" t="s">
        <v>3469</v>
      </c>
      <c r="F378" s="23" t="s">
        <v>50</v>
      </c>
      <c r="G378" s="23" t="s">
        <v>64</v>
      </c>
      <c r="H378" s="23">
        <v>7695</v>
      </c>
      <c r="I378" s="23">
        <v>20</v>
      </c>
      <c r="J378" s="23">
        <v>3481</v>
      </c>
      <c r="K378" s="23">
        <v>7050</v>
      </c>
      <c r="L378" s="23">
        <v>14</v>
      </c>
      <c r="M378" s="37">
        <v>6727.4404990000003</v>
      </c>
      <c r="N378" s="31"/>
      <c r="O378" s="32"/>
      <c r="P378" s="38" t="s">
        <v>1195</v>
      </c>
      <c r="Q378" s="39" t="s">
        <v>1197</v>
      </c>
      <c r="R378" s="40">
        <v>6727.4404990000003</v>
      </c>
      <c r="S378" s="29" t="b">
        <f t="shared" si="1"/>
        <v>1</v>
      </c>
      <c r="T378" s="35"/>
    </row>
    <row r="379" spans="1:20">
      <c r="A379" s="22" t="s">
        <v>3470</v>
      </c>
      <c r="B379" s="23" t="s">
        <v>32</v>
      </c>
      <c r="C379" s="23" t="s">
        <v>62</v>
      </c>
      <c r="D379" s="23" t="s">
        <v>3471</v>
      </c>
      <c r="E379" s="36" t="s">
        <v>3472</v>
      </c>
      <c r="F379" s="23" t="s">
        <v>50</v>
      </c>
      <c r="G379" s="23" t="s">
        <v>39</v>
      </c>
      <c r="H379" s="23">
        <v>263752</v>
      </c>
      <c r="I379" s="23">
        <v>702</v>
      </c>
      <c r="J379" s="23">
        <v>127042</v>
      </c>
      <c r="K379" s="23">
        <v>225121</v>
      </c>
      <c r="L379" s="23">
        <v>4</v>
      </c>
      <c r="M379" s="37">
        <v>1465.5147099999999</v>
      </c>
      <c r="N379" s="31"/>
      <c r="O379" s="32"/>
      <c r="P379" s="38" t="s">
        <v>847</v>
      </c>
      <c r="Q379" s="39" t="s">
        <v>849</v>
      </c>
      <c r="R379" s="40">
        <v>1465.5147099999999</v>
      </c>
      <c r="S379" s="29" t="b">
        <f t="shared" si="1"/>
        <v>1</v>
      </c>
      <c r="T379" s="35"/>
    </row>
    <row r="380" spans="1:20">
      <c r="A380" s="22" t="s">
        <v>3473</v>
      </c>
      <c r="B380" s="23" t="s">
        <v>44</v>
      </c>
      <c r="C380" s="23" t="s">
        <v>46</v>
      </c>
      <c r="D380" s="23" t="s">
        <v>3471</v>
      </c>
      <c r="E380" s="36" t="s">
        <v>3474</v>
      </c>
      <c r="F380" s="23" t="s">
        <v>3153</v>
      </c>
      <c r="G380" s="23" t="s">
        <v>39</v>
      </c>
      <c r="H380" s="23">
        <v>679098</v>
      </c>
      <c r="I380" s="23">
        <v>1984</v>
      </c>
      <c r="J380" s="23">
        <v>467726</v>
      </c>
      <c r="K380" s="23">
        <v>634589</v>
      </c>
      <c r="L380" s="23">
        <v>9</v>
      </c>
      <c r="M380" s="37">
        <v>1477.4248560000001</v>
      </c>
      <c r="N380" s="31"/>
      <c r="O380" s="32"/>
      <c r="P380" s="38" t="s">
        <v>2061</v>
      </c>
      <c r="Q380" s="39" t="s">
        <v>2063</v>
      </c>
      <c r="R380" s="40">
        <v>1477.4248560000001</v>
      </c>
      <c r="S380" s="29" t="b">
        <f t="shared" si="1"/>
        <v>1</v>
      </c>
      <c r="T380" s="35"/>
    </row>
    <row r="381" spans="1:20">
      <c r="A381" s="22" t="s">
        <v>3475</v>
      </c>
      <c r="B381" s="23" t="s">
        <v>44</v>
      </c>
      <c r="C381" s="23" t="s">
        <v>80</v>
      </c>
      <c r="D381" s="23" t="s">
        <v>3471</v>
      </c>
      <c r="E381" s="36" t="s">
        <v>3476</v>
      </c>
      <c r="F381" s="23" t="s">
        <v>3153</v>
      </c>
      <c r="G381" s="23" t="s">
        <v>39</v>
      </c>
      <c r="H381" s="23">
        <v>253577</v>
      </c>
      <c r="I381" s="23">
        <v>890</v>
      </c>
      <c r="J381" s="23">
        <v>66972</v>
      </c>
      <c r="K381" s="23">
        <v>191183</v>
      </c>
      <c r="L381" s="23">
        <v>44</v>
      </c>
      <c r="M381" s="37">
        <v>1493.074494</v>
      </c>
      <c r="N381" s="31"/>
      <c r="O381" s="32"/>
      <c r="P381" s="38" t="s">
        <v>1517</v>
      </c>
      <c r="Q381" s="39" t="s">
        <v>1015</v>
      </c>
      <c r="R381" s="40">
        <v>1493.074494</v>
      </c>
      <c r="S381" s="29" t="b">
        <f t="shared" si="1"/>
        <v>1</v>
      </c>
      <c r="T381" s="35"/>
    </row>
    <row r="382" spans="1:20">
      <c r="A382" s="22" t="s">
        <v>3477</v>
      </c>
      <c r="B382" s="23" t="s">
        <v>44</v>
      </c>
      <c r="C382" s="23" t="s">
        <v>46</v>
      </c>
      <c r="D382" s="23" t="s">
        <v>3471</v>
      </c>
      <c r="E382" s="36" t="s">
        <v>3478</v>
      </c>
      <c r="F382" s="23" t="s">
        <v>50</v>
      </c>
      <c r="G382" s="23" t="s">
        <v>75</v>
      </c>
      <c r="H382" s="23">
        <v>22501</v>
      </c>
      <c r="I382" s="23">
        <v>120</v>
      </c>
      <c r="J382" s="23">
        <v>13003</v>
      </c>
      <c r="K382" s="23">
        <v>21286</v>
      </c>
      <c r="L382" s="23">
        <v>9</v>
      </c>
      <c r="M382" s="37">
        <v>1522.517949</v>
      </c>
      <c r="N382" s="31"/>
      <c r="O382" s="32"/>
      <c r="P382" s="38" t="s">
        <v>1733</v>
      </c>
      <c r="Q382" s="39" t="s">
        <v>376</v>
      </c>
      <c r="R382" s="40">
        <v>1522.517949</v>
      </c>
      <c r="S382" s="29" t="b">
        <f t="shared" si="1"/>
        <v>1</v>
      </c>
      <c r="T382" s="35"/>
    </row>
    <row r="383" spans="1:20">
      <c r="A383" s="22" t="s">
        <v>3479</v>
      </c>
      <c r="B383" s="23" t="s">
        <v>32</v>
      </c>
      <c r="C383" s="23" t="s">
        <v>34</v>
      </c>
      <c r="D383" s="23" t="s">
        <v>3471</v>
      </c>
      <c r="E383" s="36" t="s">
        <v>3480</v>
      </c>
      <c r="F383" s="23" t="s">
        <v>103</v>
      </c>
      <c r="G383" s="23" t="s">
        <v>39</v>
      </c>
      <c r="H383" s="23">
        <v>12510</v>
      </c>
      <c r="I383" s="23">
        <v>74</v>
      </c>
      <c r="J383" s="23">
        <v>4391</v>
      </c>
      <c r="K383" s="23">
        <v>9098</v>
      </c>
      <c r="L383" s="23">
        <v>6</v>
      </c>
      <c r="M383" s="37">
        <v>1524.470523</v>
      </c>
      <c r="N383" s="31"/>
      <c r="O383" s="32"/>
      <c r="P383" s="38" t="s">
        <v>665</v>
      </c>
      <c r="Q383" s="39" t="s">
        <v>667</v>
      </c>
      <c r="R383" s="40">
        <v>1524.470523</v>
      </c>
      <c r="S383" s="29" t="b">
        <f t="shared" si="1"/>
        <v>1</v>
      </c>
      <c r="T383" s="35"/>
    </row>
    <row r="384" spans="1:20">
      <c r="A384" s="22" t="s">
        <v>3481</v>
      </c>
      <c r="B384" s="23" t="s">
        <v>32</v>
      </c>
      <c r="C384" s="23" t="s">
        <v>34</v>
      </c>
      <c r="D384" s="23" t="s">
        <v>3471</v>
      </c>
      <c r="E384" s="36" t="s">
        <v>3482</v>
      </c>
      <c r="F384" s="23" t="s">
        <v>131</v>
      </c>
      <c r="G384" s="23" t="s">
        <v>39</v>
      </c>
      <c r="H384" s="23">
        <v>8278</v>
      </c>
      <c r="I384" s="23">
        <v>40</v>
      </c>
      <c r="J384" s="23">
        <v>6758</v>
      </c>
      <c r="K384" s="23">
        <v>7537</v>
      </c>
      <c r="L384" s="23">
        <v>1</v>
      </c>
      <c r="M384" s="37">
        <v>1526.296619</v>
      </c>
      <c r="N384" s="31"/>
      <c r="O384" s="32"/>
      <c r="P384" s="38" t="s">
        <v>566</v>
      </c>
      <c r="Q384" s="39" t="s">
        <v>568</v>
      </c>
      <c r="R384" s="40">
        <v>1526.296619</v>
      </c>
      <c r="S384" s="29" t="b">
        <f t="shared" si="1"/>
        <v>1</v>
      </c>
      <c r="T384" s="35"/>
    </row>
    <row r="385" spans="1:20">
      <c r="A385" s="22" t="s">
        <v>3483</v>
      </c>
      <c r="B385" s="23" t="s">
        <v>44</v>
      </c>
      <c r="C385" s="23" t="s">
        <v>46</v>
      </c>
      <c r="D385" s="23" t="s">
        <v>3471</v>
      </c>
      <c r="E385" s="36" t="s">
        <v>3484</v>
      </c>
      <c r="F385" s="23" t="s">
        <v>103</v>
      </c>
      <c r="G385" s="23" t="s">
        <v>39</v>
      </c>
      <c r="H385" s="23">
        <v>23829</v>
      </c>
      <c r="I385" s="23">
        <v>75</v>
      </c>
      <c r="J385" s="23">
        <v>8326</v>
      </c>
      <c r="K385" s="23">
        <v>18812</v>
      </c>
      <c r="L385" s="23">
        <v>5</v>
      </c>
      <c r="M385" s="37">
        <v>1534.6980000000001</v>
      </c>
      <c r="N385" s="31"/>
      <c r="O385" s="32"/>
      <c r="P385" s="38" t="s">
        <v>406</v>
      </c>
      <c r="Q385" s="39" t="s">
        <v>409</v>
      </c>
      <c r="R385" s="40">
        <v>1534.6980000000001</v>
      </c>
      <c r="S385" s="29" t="b">
        <f t="shared" si="1"/>
        <v>1</v>
      </c>
      <c r="T385" s="35"/>
    </row>
    <row r="386" spans="1:20">
      <c r="A386" s="22" t="s">
        <v>3485</v>
      </c>
      <c r="B386" s="23" t="s">
        <v>32</v>
      </c>
      <c r="C386" s="23" t="s">
        <v>80</v>
      </c>
      <c r="D386" s="23" t="s">
        <v>3471</v>
      </c>
      <c r="E386" s="36" t="s">
        <v>3486</v>
      </c>
      <c r="F386" s="23" t="s">
        <v>186</v>
      </c>
      <c r="G386" s="23" t="s">
        <v>39</v>
      </c>
      <c r="H386" s="23">
        <v>12692</v>
      </c>
      <c r="I386" s="23">
        <v>105</v>
      </c>
      <c r="J386" s="23">
        <v>9048</v>
      </c>
      <c r="K386" s="23">
        <v>12326</v>
      </c>
      <c r="L386" s="23">
        <v>14</v>
      </c>
      <c r="M386" s="37">
        <v>1541.7195979999999</v>
      </c>
      <c r="N386" s="31"/>
      <c r="O386" s="32"/>
      <c r="P386" s="38" t="s">
        <v>2189</v>
      </c>
      <c r="Q386" s="39" t="s">
        <v>1808</v>
      </c>
      <c r="R386" s="40">
        <v>1541.7195979999999</v>
      </c>
      <c r="S386" s="29" t="b">
        <f t="shared" si="1"/>
        <v>1</v>
      </c>
      <c r="T386" s="35"/>
    </row>
    <row r="387" spans="1:20">
      <c r="A387" s="22" t="s">
        <v>3487</v>
      </c>
      <c r="B387" s="23" t="s">
        <v>44</v>
      </c>
      <c r="C387" s="23" t="s">
        <v>34</v>
      </c>
      <c r="D387" s="23" t="s">
        <v>3471</v>
      </c>
      <c r="E387" s="36" t="s">
        <v>3488</v>
      </c>
      <c r="F387" s="23" t="s">
        <v>103</v>
      </c>
      <c r="G387" s="23" t="s">
        <v>39</v>
      </c>
      <c r="H387" s="23">
        <v>335664</v>
      </c>
      <c r="I387" s="23">
        <v>852</v>
      </c>
      <c r="J387" s="23">
        <v>148742</v>
      </c>
      <c r="K387" s="23">
        <v>313071</v>
      </c>
      <c r="L387" s="23">
        <v>25</v>
      </c>
      <c r="M387" s="37">
        <v>1542.5002159999999</v>
      </c>
      <c r="N387" s="31"/>
      <c r="O387" s="32"/>
      <c r="P387" s="38" t="s">
        <v>350</v>
      </c>
      <c r="Q387" s="39" t="s">
        <v>353</v>
      </c>
      <c r="R387" s="40">
        <v>1542.5002159999999</v>
      </c>
      <c r="S387" s="29" t="b">
        <f t="shared" si="1"/>
        <v>1</v>
      </c>
      <c r="T387" s="35"/>
    </row>
    <row r="388" spans="1:20">
      <c r="A388" s="22" t="s">
        <v>3489</v>
      </c>
      <c r="B388" s="23" t="s">
        <v>32</v>
      </c>
      <c r="C388" s="23" t="s">
        <v>80</v>
      </c>
      <c r="D388" s="23" t="s">
        <v>3471</v>
      </c>
      <c r="E388" s="36" t="s">
        <v>3490</v>
      </c>
      <c r="F388" s="23" t="s">
        <v>50</v>
      </c>
      <c r="G388" s="23" t="s">
        <v>39</v>
      </c>
      <c r="H388" s="23">
        <v>11325</v>
      </c>
      <c r="I388" s="23">
        <v>88</v>
      </c>
      <c r="J388" s="23">
        <v>6186</v>
      </c>
      <c r="K388" s="23">
        <v>10612</v>
      </c>
      <c r="L388" s="23">
        <v>2</v>
      </c>
      <c r="M388" s="37">
        <v>1573.2540899999999</v>
      </c>
      <c r="N388" s="31"/>
      <c r="O388" s="32"/>
      <c r="P388" s="38" t="s">
        <v>1391</v>
      </c>
      <c r="Q388" s="39" t="s">
        <v>583</v>
      </c>
      <c r="R388" s="40">
        <v>1573.2540899999999</v>
      </c>
      <c r="S388" s="29" t="b">
        <f t="shared" si="1"/>
        <v>1</v>
      </c>
      <c r="T388" s="35"/>
    </row>
    <row r="389" spans="1:20">
      <c r="A389" s="22" t="s">
        <v>3491</v>
      </c>
      <c r="B389" s="23" t="s">
        <v>44</v>
      </c>
      <c r="C389" s="23" t="s">
        <v>62</v>
      </c>
      <c r="D389" s="23" t="s">
        <v>3471</v>
      </c>
      <c r="E389" s="36" t="s">
        <v>3492</v>
      </c>
      <c r="F389" s="23" t="s">
        <v>74</v>
      </c>
      <c r="G389" s="23" t="s">
        <v>39</v>
      </c>
      <c r="H389" s="23">
        <v>40519</v>
      </c>
      <c r="I389" s="23">
        <v>111</v>
      </c>
      <c r="J389" s="23">
        <v>6105</v>
      </c>
      <c r="K389" s="23">
        <v>26283</v>
      </c>
      <c r="L389" s="23">
        <v>10</v>
      </c>
      <c r="M389" s="37">
        <v>1582.410977</v>
      </c>
      <c r="N389" s="31"/>
      <c r="O389" s="32"/>
      <c r="P389" s="38" t="s">
        <v>1589</v>
      </c>
      <c r="Q389" s="39" t="s">
        <v>1592</v>
      </c>
      <c r="R389" s="40">
        <v>1582.410977</v>
      </c>
      <c r="S389" s="29" t="b">
        <f t="shared" si="1"/>
        <v>1</v>
      </c>
      <c r="T389" s="35"/>
    </row>
    <row r="390" spans="1:20">
      <c r="A390" s="22" t="s">
        <v>3493</v>
      </c>
      <c r="B390" s="23" t="s">
        <v>32</v>
      </c>
      <c r="C390" s="23" t="s">
        <v>62</v>
      </c>
      <c r="D390" s="23" t="s">
        <v>3471</v>
      </c>
      <c r="E390" s="36" t="s">
        <v>3494</v>
      </c>
      <c r="F390" s="23" t="s">
        <v>103</v>
      </c>
      <c r="G390" s="23" t="s">
        <v>39</v>
      </c>
      <c r="H390" s="23">
        <v>82916</v>
      </c>
      <c r="I390" s="23">
        <v>199</v>
      </c>
      <c r="J390" s="23">
        <v>24951</v>
      </c>
      <c r="K390" s="23">
        <v>77333</v>
      </c>
      <c r="L390" s="23">
        <v>12</v>
      </c>
      <c r="M390" s="37">
        <v>1584.8212470000001</v>
      </c>
      <c r="N390" s="31"/>
      <c r="O390" s="32"/>
      <c r="P390" s="38" t="s">
        <v>1674</v>
      </c>
      <c r="Q390" s="39" t="s">
        <v>1676</v>
      </c>
      <c r="R390" s="40">
        <v>1584.8212470000001</v>
      </c>
      <c r="S390" s="29" t="b">
        <f t="shared" si="1"/>
        <v>1</v>
      </c>
      <c r="T390" s="35"/>
    </row>
    <row r="391" spans="1:20">
      <c r="A391" s="41" t="s">
        <v>3495</v>
      </c>
      <c r="B391" s="23" t="s">
        <v>32</v>
      </c>
      <c r="C391" s="23" t="s">
        <v>80</v>
      </c>
      <c r="D391" s="23" t="s">
        <v>3471</v>
      </c>
      <c r="E391" s="36" t="s">
        <v>3496</v>
      </c>
      <c r="F391" s="23" t="s">
        <v>50</v>
      </c>
      <c r="G391" s="23" t="s">
        <v>39</v>
      </c>
      <c r="H391" s="23">
        <v>22259</v>
      </c>
      <c r="I391" s="23">
        <v>120</v>
      </c>
      <c r="J391" s="23">
        <v>12405</v>
      </c>
      <c r="K391" s="23">
        <v>17609</v>
      </c>
      <c r="L391" s="23">
        <v>14</v>
      </c>
      <c r="M391" s="37">
        <v>1611.340211</v>
      </c>
      <c r="N391" s="31"/>
      <c r="O391" s="32"/>
      <c r="P391" s="38" t="s">
        <v>1216</v>
      </c>
      <c r="Q391" s="39" t="s">
        <v>1218</v>
      </c>
      <c r="R391" s="40">
        <v>1611.340211</v>
      </c>
      <c r="S391" s="29" t="b">
        <f t="shared" si="1"/>
        <v>1</v>
      </c>
      <c r="T391" s="35"/>
    </row>
    <row r="392" spans="1:20">
      <c r="A392" s="22" t="s">
        <v>85</v>
      </c>
      <c r="B392" s="23" t="s">
        <v>44</v>
      </c>
      <c r="C392" s="23" t="s">
        <v>46</v>
      </c>
      <c r="D392" s="23" t="s">
        <v>3471</v>
      </c>
      <c r="E392" s="36" t="s">
        <v>3497</v>
      </c>
      <c r="F392" s="23" t="s">
        <v>103</v>
      </c>
      <c r="G392" s="23" t="s">
        <v>39</v>
      </c>
      <c r="H392" s="23">
        <v>12319</v>
      </c>
      <c r="I392" s="23">
        <v>40</v>
      </c>
      <c r="J392" s="23">
        <v>7028</v>
      </c>
      <c r="K392" s="23">
        <v>10191</v>
      </c>
      <c r="L392" s="23">
        <v>7</v>
      </c>
      <c r="M392" s="37">
        <v>1668.0160000000001</v>
      </c>
      <c r="N392" s="31"/>
      <c r="O392" s="32"/>
      <c r="P392" s="38" t="s">
        <v>504</v>
      </c>
      <c r="Q392" s="39" t="s">
        <v>505</v>
      </c>
      <c r="R392" s="40">
        <v>1668.0160000000001</v>
      </c>
      <c r="S392" s="29" t="b">
        <f t="shared" si="1"/>
        <v>1</v>
      </c>
      <c r="T392" s="35"/>
    </row>
    <row r="393" spans="1:20">
      <c r="A393" s="22" t="s">
        <v>3498</v>
      </c>
      <c r="B393" s="23" t="s">
        <v>44</v>
      </c>
      <c r="C393" s="23" t="s">
        <v>80</v>
      </c>
      <c r="D393" s="23" t="s">
        <v>3471</v>
      </c>
      <c r="E393" s="36" t="s">
        <v>3499</v>
      </c>
      <c r="F393" s="23" t="s">
        <v>50</v>
      </c>
      <c r="G393" s="23" t="s">
        <v>39</v>
      </c>
      <c r="H393" s="23">
        <v>14799</v>
      </c>
      <c r="I393" s="23">
        <v>59</v>
      </c>
      <c r="J393" s="23">
        <v>1403</v>
      </c>
      <c r="K393" s="23">
        <v>13410</v>
      </c>
      <c r="L393" s="23">
        <v>9</v>
      </c>
      <c r="M393" s="37">
        <v>1693.7604349999999</v>
      </c>
      <c r="N393" s="31"/>
      <c r="O393" s="32"/>
      <c r="P393" s="38" t="s">
        <v>1344</v>
      </c>
      <c r="Q393" s="39" t="s">
        <v>250</v>
      </c>
      <c r="R393" s="40">
        <v>1693.7604349999999</v>
      </c>
      <c r="S393" s="29" t="b">
        <f t="shared" si="1"/>
        <v>1</v>
      </c>
      <c r="T393" s="35"/>
    </row>
    <row r="394" spans="1:20">
      <c r="A394" s="22" t="s">
        <v>3500</v>
      </c>
      <c r="B394" s="23" t="s">
        <v>32</v>
      </c>
      <c r="C394" s="23" t="s">
        <v>62</v>
      </c>
      <c r="D394" s="23" t="s">
        <v>3471</v>
      </c>
      <c r="E394" s="36" t="s">
        <v>3501</v>
      </c>
      <c r="F394" s="23" t="s">
        <v>2749</v>
      </c>
      <c r="G394" s="23" t="s">
        <v>39</v>
      </c>
      <c r="H394" s="23">
        <v>7320</v>
      </c>
      <c r="I394" s="23">
        <v>33</v>
      </c>
      <c r="J394" s="23">
        <v>4020</v>
      </c>
      <c r="K394" s="23">
        <v>6692</v>
      </c>
      <c r="L394" s="23">
        <v>15</v>
      </c>
      <c r="M394" s="37">
        <v>1730.37357</v>
      </c>
      <c r="N394" s="31"/>
      <c r="O394" s="32"/>
      <c r="P394" s="38" t="s">
        <v>807</v>
      </c>
      <c r="Q394" s="39" t="s">
        <v>809</v>
      </c>
      <c r="R394" s="40">
        <v>1730.37357</v>
      </c>
      <c r="S394" s="29" t="b">
        <f t="shared" si="1"/>
        <v>1</v>
      </c>
      <c r="T394" s="35"/>
    </row>
    <row r="395" spans="1:20">
      <c r="A395" s="22" t="s">
        <v>3502</v>
      </c>
      <c r="B395" s="23" t="s">
        <v>32</v>
      </c>
      <c r="C395" s="23" t="s">
        <v>46</v>
      </c>
      <c r="D395" s="23" t="s">
        <v>3471</v>
      </c>
      <c r="E395" s="36" t="s">
        <v>3503</v>
      </c>
      <c r="F395" s="23" t="s">
        <v>103</v>
      </c>
      <c r="G395" s="23" t="s">
        <v>39</v>
      </c>
      <c r="H395" s="23">
        <v>20165</v>
      </c>
      <c r="I395" s="23">
        <v>60</v>
      </c>
      <c r="J395" s="23">
        <v>6601</v>
      </c>
      <c r="K395" s="23">
        <v>18909</v>
      </c>
      <c r="L395" s="23">
        <v>10</v>
      </c>
      <c r="M395" s="37">
        <v>1743.0786869999999</v>
      </c>
      <c r="N395" s="31"/>
      <c r="O395" s="32"/>
      <c r="P395" s="38" t="s">
        <v>1406</v>
      </c>
      <c r="Q395" s="39" t="s">
        <v>1407</v>
      </c>
      <c r="R395" s="40">
        <v>1743.0786869999999</v>
      </c>
      <c r="S395" s="29" t="b">
        <f t="shared" si="1"/>
        <v>1</v>
      </c>
      <c r="T395" s="35"/>
    </row>
    <row r="396" spans="1:20">
      <c r="A396" s="22" t="s">
        <v>1750</v>
      </c>
      <c r="B396" s="23" t="s">
        <v>32</v>
      </c>
      <c r="C396" s="23" t="s">
        <v>46</v>
      </c>
      <c r="D396" s="23" t="s">
        <v>3471</v>
      </c>
      <c r="E396" s="36" t="s">
        <v>3504</v>
      </c>
      <c r="F396" s="23" t="s">
        <v>50</v>
      </c>
      <c r="G396" s="23" t="s">
        <v>39</v>
      </c>
      <c r="H396" s="23">
        <v>29092</v>
      </c>
      <c r="I396" s="23">
        <v>75</v>
      </c>
      <c r="J396" s="23">
        <v>16986</v>
      </c>
      <c r="K396" s="23">
        <v>26606</v>
      </c>
      <c r="L396" s="23">
        <v>15</v>
      </c>
      <c r="M396" s="37">
        <v>1801.0581110000001</v>
      </c>
      <c r="N396" s="31"/>
      <c r="O396" s="32"/>
      <c r="P396" s="38" t="s">
        <v>1749</v>
      </c>
      <c r="Q396" s="39" t="s">
        <v>1751</v>
      </c>
      <c r="R396" s="40">
        <v>1801.0581110000001</v>
      </c>
      <c r="S396" s="29" t="b">
        <f t="shared" si="1"/>
        <v>1</v>
      </c>
      <c r="T396" s="35"/>
    </row>
    <row r="397" spans="1:20">
      <c r="A397" s="22" t="s">
        <v>3505</v>
      </c>
      <c r="B397" s="23" t="s">
        <v>32</v>
      </c>
      <c r="C397" s="23" t="s">
        <v>80</v>
      </c>
      <c r="D397" s="23" t="s">
        <v>3471</v>
      </c>
      <c r="E397" s="36" t="s">
        <v>3506</v>
      </c>
      <c r="F397" s="23" t="s">
        <v>3153</v>
      </c>
      <c r="G397" s="23" t="s">
        <v>39</v>
      </c>
      <c r="H397" s="23">
        <v>69540</v>
      </c>
      <c r="I397" s="23">
        <v>204</v>
      </c>
      <c r="J397" s="23">
        <v>28713</v>
      </c>
      <c r="K397" s="23">
        <v>62829</v>
      </c>
      <c r="L397" s="23">
        <v>15</v>
      </c>
      <c r="M397" s="37">
        <v>1838.9877300000001</v>
      </c>
      <c r="N397" s="31"/>
      <c r="O397" s="32"/>
      <c r="P397" s="38" t="s">
        <v>1737</v>
      </c>
      <c r="Q397" s="39" t="s">
        <v>1271</v>
      </c>
      <c r="R397" s="40">
        <v>1838.9877300000001</v>
      </c>
      <c r="S397" s="29" t="b">
        <f t="shared" si="1"/>
        <v>1</v>
      </c>
      <c r="T397" s="35"/>
    </row>
    <row r="398" spans="1:20">
      <c r="A398" s="22" t="s">
        <v>3507</v>
      </c>
      <c r="B398" s="23" t="s">
        <v>44</v>
      </c>
      <c r="C398" s="23" t="s">
        <v>34</v>
      </c>
      <c r="D398" s="23" t="s">
        <v>3471</v>
      </c>
      <c r="E398" s="36" t="s">
        <v>3508</v>
      </c>
      <c r="F398" s="23" t="s">
        <v>186</v>
      </c>
      <c r="G398" s="23" t="s">
        <v>64</v>
      </c>
      <c r="H398" s="23">
        <v>13075</v>
      </c>
      <c r="I398" s="23">
        <v>74</v>
      </c>
      <c r="J398" s="23">
        <v>5980</v>
      </c>
      <c r="K398" s="23">
        <v>12114</v>
      </c>
      <c r="L398" s="23">
        <v>15</v>
      </c>
      <c r="M398" s="37">
        <v>1936.1307979999999</v>
      </c>
      <c r="N398" s="31"/>
      <c r="O398" s="32"/>
      <c r="P398" s="38" t="s">
        <v>726</v>
      </c>
      <c r="Q398" s="39" t="s">
        <v>729</v>
      </c>
      <c r="R398" s="40">
        <v>1936.1307979999999</v>
      </c>
      <c r="S398" s="29" t="b">
        <f t="shared" si="1"/>
        <v>1</v>
      </c>
      <c r="T398" s="35"/>
    </row>
    <row r="399" spans="1:20">
      <c r="A399" s="22" t="s">
        <v>3509</v>
      </c>
      <c r="B399" s="23" t="s">
        <v>32</v>
      </c>
      <c r="C399" s="23" t="s">
        <v>80</v>
      </c>
      <c r="D399" s="23" t="s">
        <v>3471</v>
      </c>
      <c r="E399" s="36" t="s">
        <v>3510</v>
      </c>
      <c r="F399" s="23" t="s">
        <v>50</v>
      </c>
      <c r="G399" s="23" t="s">
        <v>39</v>
      </c>
      <c r="H399" s="23">
        <v>104814</v>
      </c>
      <c r="I399" s="23">
        <v>369</v>
      </c>
      <c r="J399" s="23">
        <v>55984</v>
      </c>
      <c r="K399" s="23">
        <v>99432</v>
      </c>
      <c r="L399" s="23">
        <v>5</v>
      </c>
      <c r="M399" s="37">
        <v>1942.8475129999999</v>
      </c>
      <c r="N399" s="31"/>
      <c r="O399" s="32"/>
      <c r="P399" s="38" t="s">
        <v>203</v>
      </c>
      <c r="Q399" s="39" t="s">
        <v>206</v>
      </c>
      <c r="R399" s="40">
        <v>1942.8475129999999</v>
      </c>
      <c r="S399" s="29" t="b">
        <f t="shared" si="1"/>
        <v>1</v>
      </c>
      <c r="T399" s="35"/>
    </row>
    <row r="400" spans="1:20">
      <c r="A400" s="22" t="s">
        <v>3511</v>
      </c>
      <c r="B400" s="23" t="s">
        <v>32</v>
      </c>
      <c r="C400" s="23" t="s">
        <v>80</v>
      </c>
      <c r="D400" s="23" t="s">
        <v>3471</v>
      </c>
      <c r="E400" s="36" t="s">
        <v>3512</v>
      </c>
      <c r="F400" s="23" t="s">
        <v>50</v>
      </c>
      <c r="G400" s="23" t="s">
        <v>39</v>
      </c>
      <c r="H400" s="23">
        <v>16580</v>
      </c>
      <c r="I400" s="23">
        <v>84</v>
      </c>
      <c r="J400" s="23">
        <v>11928</v>
      </c>
      <c r="K400" s="23">
        <v>14527</v>
      </c>
      <c r="L400" s="23">
        <v>6</v>
      </c>
      <c r="M400" s="37">
        <v>1965.7389470000001</v>
      </c>
      <c r="N400" s="31"/>
      <c r="O400" s="32"/>
      <c r="P400" s="38" t="s">
        <v>1653</v>
      </c>
      <c r="Q400" s="39" t="s">
        <v>1656</v>
      </c>
      <c r="R400" s="40">
        <v>1965.7389470000001</v>
      </c>
      <c r="S400" s="29" t="b">
        <f t="shared" si="1"/>
        <v>1</v>
      </c>
      <c r="T400" s="35"/>
    </row>
    <row r="401" spans="1:20">
      <c r="A401" s="22" t="s">
        <v>3513</v>
      </c>
      <c r="B401" s="23" t="s">
        <v>32</v>
      </c>
      <c r="C401" s="23" t="s">
        <v>46</v>
      </c>
      <c r="D401" s="23" t="s">
        <v>3471</v>
      </c>
      <c r="E401" s="36" t="s">
        <v>3514</v>
      </c>
      <c r="F401" s="23" t="s">
        <v>103</v>
      </c>
      <c r="G401" s="23" t="s">
        <v>39</v>
      </c>
      <c r="H401" s="23">
        <v>14379</v>
      </c>
      <c r="I401" s="23">
        <v>30</v>
      </c>
      <c r="J401" s="23">
        <v>6272</v>
      </c>
      <c r="K401" s="23">
        <v>11886</v>
      </c>
      <c r="L401" s="23">
        <v>18</v>
      </c>
      <c r="M401" s="37">
        <v>1973.5622330000001</v>
      </c>
      <c r="N401" s="31"/>
      <c r="O401" s="32"/>
      <c r="P401" s="38" t="s">
        <v>1504</v>
      </c>
      <c r="Q401" s="39" t="s">
        <v>1506</v>
      </c>
      <c r="R401" s="40">
        <v>1973.5622330000001</v>
      </c>
      <c r="S401" s="29" t="b">
        <f t="shared" si="1"/>
        <v>1</v>
      </c>
      <c r="T401" s="35"/>
    </row>
    <row r="402" spans="1:20">
      <c r="A402" s="22" t="s">
        <v>3515</v>
      </c>
      <c r="B402" s="23" t="s">
        <v>32</v>
      </c>
      <c r="C402" s="23" t="s">
        <v>46</v>
      </c>
      <c r="D402" s="23" t="s">
        <v>3471</v>
      </c>
      <c r="E402" s="36" t="s">
        <v>3516</v>
      </c>
      <c r="F402" s="23" t="s">
        <v>50</v>
      </c>
      <c r="G402" s="23" t="s">
        <v>39</v>
      </c>
      <c r="H402" s="23">
        <v>12606</v>
      </c>
      <c r="I402" s="23">
        <v>74</v>
      </c>
      <c r="J402" s="23">
        <v>8332</v>
      </c>
      <c r="K402" s="23">
        <v>11170</v>
      </c>
      <c r="L402" s="23">
        <v>5</v>
      </c>
      <c r="M402" s="37">
        <v>2002.5379889999999</v>
      </c>
      <c r="N402" s="31"/>
      <c r="O402" s="32"/>
      <c r="P402" s="38" t="s">
        <v>1787</v>
      </c>
      <c r="Q402" s="39" t="s">
        <v>903</v>
      </c>
      <c r="R402" s="40">
        <v>2002.5379889999999</v>
      </c>
      <c r="S402" s="29" t="b">
        <f t="shared" si="1"/>
        <v>1</v>
      </c>
      <c r="T402" s="35"/>
    </row>
    <row r="403" spans="1:20">
      <c r="A403" s="22" t="s">
        <v>3517</v>
      </c>
      <c r="B403" s="23" t="s">
        <v>123</v>
      </c>
      <c r="C403" s="23" t="s">
        <v>46</v>
      </c>
      <c r="D403" s="23" t="s">
        <v>3471</v>
      </c>
      <c r="E403" s="36" t="s">
        <v>3518</v>
      </c>
      <c r="F403" s="23" t="s">
        <v>50</v>
      </c>
      <c r="G403" s="23" t="s">
        <v>39</v>
      </c>
      <c r="H403" s="23">
        <v>53561</v>
      </c>
      <c r="I403" s="23">
        <v>147</v>
      </c>
      <c r="J403" s="23">
        <v>37063</v>
      </c>
      <c r="K403" s="23">
        <v>51480</v>
      </c>
      <c r="L403" s="23">
        <v>14</v>
      </c>
      <c r="M403" s="37">
        <v>2039.3550600000001</v>
      </c>
      <c r="N403" s="31"/>
      <c r="O403" s="32"/>
      <c r="P403" s="38" t="s">
        <v>452</v>
      </c>
      <c r="Q403" s="39" t="s">
        <v>409</v>
      </c>
      <c r="R403" s="40">
        <v>2039.3550600000001</v>
      </c>
      <c r="S403" s="29" t="b">
        <f t="shared" si="1"/>
        <v>1</v>
      </c>
      <c r="T403" s="35"/>
    </row>
    <row r="404" spans="1:20">
      <c r="A404" s="22" t="s">
        <v>3519</v>
      </c>
      <c r="B404" s="23" t="s">
        <v>44</v>
      </c>
      <c r="C404" s="23" t="s">
        <v>34</v>
      </c>
      <c r="D404" s="23" t="s">
        <v>3471</v>
      </c>
      <c r="E404" s="36" t="s">
        <v>3520</v>
      </c>
      <c r="F404" s="23" t="s">
        <v>157</v>
      </c>
      <c r="G404" s="23" t="s">
        <v>75</v>
      </c>
      <c r="H404" s="23">
        <v>31813</v>
      </c>
      <c r="I404" s="23">
        <v>84</v>
      </c>
      <c r="J404" s="23">
        <v>14149</v>
      </c>
      <c r="K404" s="23">
        <v>21281</v>
      </c>
      <c r="L404" s="23">
        <v>13</v>
      </c>
      <c r="M404" s="37">
        <v>2060.9938820000002</v>
      </c>
      <c r="N404" s="31"/>
      <c r="O404" s="32"/>
      <c r="P404" s="38" t="s">
        <v>1294</v>
      </c>
      <c r="Q404" s="39" t="s">
        <v>1297</v>
      </c>
      <c r="R404" s="40">
        <v>2060.9938820000002</v>
      </c>
      <c r="S404" s="29" t="b">
        <f t="shared" si="1"/>
        <v>1</v>
      </c>
      <c r="T404" s="35"/>
    </row>
    <row r="405" spans="1:20">
      <c r="A405" s="22" t="s">
        <v>3521</v>
      </c>
      <c r="B405" s="23" t="s">
        <v>44</v>
      </c>
      <c r="C405" s="23" t="s">
        <v>62</v>
      </c>
      <c r="D405" s="23" t="s">
        <v>3471</v>
      </c>
      <c r="E405" s="36" t="s">
        <v>3522</v>
      </c>
      <c r="F405" s="23" t="s">
        <v>50</v>
      </c>
      <c r="G405" s="23" t="s">
        <v>75</v>
      </c>
      <c r="H405" s="23">
        <v>31443</v>
      </c>
      <c r="I405" s="23">
        <v>70</v>
      </c>
      <c r="J405" s="23">
        <v>19134</v>
      </c>
      <c r="K405" s="23">
        <v>28059</v>
      </c>
      <c r="L405" s="23">
        <v>9</v>
      </c>
      <c r="M405" s="37">
        <v>2122.7658879999999</v>
      </c>
      <c r="N405" s="31"/>
      <c r="O405" s="32"/>
      <c r="P405" s="38" t="s">
        <v>2213</v>
      </c>
      <c r="Q405" s="39" t="s">
        <v>1086</v>
      </c>
      <c r="R405" s="40">
        <v>2122.7658879999999</v>
      </c>
      <c r="S405" s="29" t="b">
        <f t="shared" si="1"/>
        <v>1</v>
      </c>
      <c r="T405" s="35"/>
    </row>
    <row r="406" spans="1:20">
      <c r="A406" s="22" t="s">
        <v>3523</v>
      </c>
      <c r="B406" s="23" t="s">
        <v>44</v>
      </c>
      <c r="C406" s="23" t="s">
        <v>34</v>
      </c>
      <c r="D406" s="23" t="s">
        <v>3471</v>
      </c>
      <c r="E406" s="36" t="s">
        <v>3524</v>
      </c>
      <c r="F406" s="23" t="s">
        <v>50</v>
      </c>
      <c r="G406" s="23" t="s">
        <v>39</v>
      </c>
      <c r="H406" s="23">
        <v>12988</v>
      </c>
      <c r="I406" s="23">
        <v>69</v>
      </c>
      <c r="J406" s="23">
        <v>6514</v>
      </c>
      <c r="K406" s="23">
        <v>9378</v>
      </c>
      <c r="L406" s="23">
        <v>4</v>
      </c>
      <c r="M406" s="37">
        <v>2236.485099</v>
      </c>
      <c r="N406" s="31"/>
      <c r="O406" s="32"/>
      <c r="P406" s="38" t="s">
        <v>1439</v>
      </c>
      <c r="Q406" s="39" t="s">
        <v>1441</v>
      </c>
      <c r="R406" s="40">
        <v>2236.485099</v>
      </c>
      <c r="S406" s="29" t="b">
        <f t="shared" si="1"/>
        <v>1</v>
      </c>
      <c r="T406" s="35"/>
    </row>
    <row r="407" spans="1:20">
      <c r="A407" s="22" t="s">
        <v>3525</v>
      </c>
      <c r="B407" s="23" t="s">
        <v>32</v>
      </c>
      <c r="C407" s="23" t="s">
        <v>46</v>
      </c>
      <c r="D407" s="23" t="s">
        <v>3471</v>
      </c>
      <c r="E407" s="36" t="s">
        <v>3526</v>
      </c>
      <c r="F407" s="23" t="s">
        <v>131</v>
      </c>
      <c r="G407" s="23" t="s">
        <v>39</v>
      </c>
      <c r="H407" s="23">
        <v>23941</v>
      </c>
      <c r="I407" s="23">
        <v>150</v>
      </c>
      <c r="J407" s="23">
        <v>13054</v>
      </c>
      <c r="K407" s="23">
        <v>22276</v>
      </c>
      <c r="L407" s="23">
        <v>6</v>
      </c>
      <c r="M407" s="37">
        <v>2856.1654250000001</v>
      </c>
      <c r="N407" s="31"/>
      <c r="O407" s="32"/>
      <c r="P407" s="38" t="s">
        <v>1993</v>
      </c>
      <c r="Q407" s="39" t="s">
        <v>87</v>
      </c>
      <c r="R407" s="40">
        <v>2856.1654250000001</v>
      </c>
      <c r="S407" s="29" t="b">
        <f t="shared" si="1"/>
        <v>1</v>
      </c>
      <c r="T407" s="35"/>
    </row>
    <row r="408" spans="1:20">
      <c r="A408" s="22" t="s">
        <v>3527</v>
      </c>
      <c r="B408" s="23" t="s">
        <v>44</v>
      </c>
      <c r="C408" s="23" t="s">
        <v>80</v>
      </c>
      <c r="D408" s="23" t="s">
        <v>3471</v>
      </c>
      <c r="E408" s="36" t="s">
        <v>3528</v>
      </c>
      <c r="F408" s="23" t="s">
        <v>103</v>
      </c>
      <c r="G408" s="23" t="s">
        <v>75</v>
      </c>
      <c r="H408" s="23">
        <v>24464</v>
      </c>
      <c r="I408" s="23">
        <v>0</v>
      </c>
      <c r="J408" s="23">
        <v>3275</v>
      </c>
      <c r="K408" s="23">
        <v>21993</v>
      </c>
      <c r="L408" s="23">
        <v>6</v>
      </c>
      <c r="M408" s="37">
        <v>2959.1149730000002</v>
      </c>
      <c r="N408" s="31"/>
      <c r="O408" s="32"/>
      <c r="P408" s="38" t="s">
        <v>3529</v>
      </c>
      <c r="Q408" s="39" t="s">
        <v>2457</v>
      </c>
      <c r="R408" s="40">
        <v>2959.1149730000002</v>
      </c>
      <c r="S408" s="29" t="b">
        <f t="shared" si="1"/>
        <v>1</v>
      </c>
      <c r="T408" s="35"/>
    </row>
    <row r="409" spans="1:20">
      <c r="A409" s="22" t="s">
        <v>3530</v>
      </c>
      <c r="B409" s="23" t="s">
        <v>44</v>
      </c>
      <c r="C409" s="23" t="s">
        <v>80</v>
      </c>
      <c r="D409" s="23" t="s">
        <v>3471</v>
      </c>
      <c r="E409" s="36" t="s">
        <v>3531</v>
      </c>
      <c r="F409" s="23" t="s">
        <v>50</v>
      </c>
      <c r="G409" s="23" t="s">
        <v>39</v>
      </c>
      <c r="H409" s="23">
        <v>11420</v>
      </c>
      <c r="I409" s="23">
        <v>67</v>
      </c>
      <c r="J409" s="23">
        <v>4647</v>
      </c>
      <c r="K409" s="23">
        <v>9909</v>
      </c>
      <c r="L409" s="23">
        <v>9</v>
      </c>
      <c r="M409" s="37">
        <v>3804.64417</v>
      </c>
      <c r="N409" s="31"/>
      <c r="O409" s="32"/>
      <c r="P409" s="38" t="s">
        <v>1721</v>
      </c>
      <c r="Q409" s="39" t="s">
        <v>649</v>
      </c>
      <c r="R409" s="40">
        <v>3804.64417</v>
      </c>
      <c r="S409" s="29" t="b">
        <f t="shared" si="1"/>
        <v>1</v>
      </c>
      <c r="T409" s="35"/>
    </row>
    <row r="410" spans="1:20">
      <c r="A410" s="22" t="s">
        <v>3532</v>
      </c>
      <c r="B410" s="23" t="s">
        <v>32</v>
      </c>
      <c r="C410" s="23" t="s">
        <v>62</v>
      </c>
      <c r="D410" s="23" t="s">
        <v>3471</v>
      </c>
      <c r="E410" s="36" t="s">
        <v>3533</v>
      </c>
      <c r="F410" s="23" t="s">
        <v>50</v>
      </c>
      <c r="G410" s="23" t="s">
        <v>39</v>
      </c>
      <c r="H410" s="23">
        <v>571090</v>
      </c>
      <c r="I410" s="23">
        <v>1541</v>
      </c>
      <c r="J410" s="23">
        <v>246243</v>
      </c>
      <c r="K410" s="23">
        <v>532325</v>
      </c>
      <c r="L410" s="23">
        <v>11</v>
      </c>
      <c r="M410" s="37">
        <v>4733.6187829999999</v>
      </c>
      <c r="N410" s="31"/>
      <c r="O410" s="32"/>
      <c r="P410" s="38" t="s">
        <v>1082</v>
      </c>
      <c r="Q410" s="39" t="s">
        <v>1084</v>
      </c>
      <c r="R410" s="40">
        <v>4733.6187829999999</v>
      </c>
      <c r="S410" s="29" t="b">
        <f t="shared" si="1"/>
        <v>1</v>
      </c>
      <c r="T410" s="35"/>
    </row>
    <row r="411" spans="1:20">
      <c r="A411" s="22" t="s">
        <v>3534</v>
      </c>
      <c r="B411" s="23" t="s">
        <v>32</v>
      </c>
      <c r="C411" s="23" t="s">
        <v>34</v>
      </c>
      <c r="D411" s="23" t="s">
        <v>3471</v>
      </c>
      <c r="E411" s="36" t="s">
        <v>3535</v>
      </c>
      <c r="F411" s="23" t="s">
        <v>103</v>
      </c>
      <c r="G411" s="23" t="s">
        <v>39</v>
      </c>
      <c r="H411" s="23">
        <v>264580</v>
      </c>
      <c r="I411" s="23">
        <v>691</v>
      </c>
      <c r="J411" s="23">
        <v>217526</v>
      </c>
      <c r="K411" s="23">
        <v>240731</v>
      </c>
      <c r="L411" s="23">
        <v>9</v>
      </c>
      <c r="M411" s="37">
        <v>4874.6517219999996</v>
      </c>
      <c r="N411" s="31"/>
      <c r="O411" s="32"/>
      <c r="P411" s="38" t="s">
        <v>2216</v>
      </c>
      <c r="Q411" s="39" t="s">
        <v>1191</v>
      </c>
      <c r="R411" s="40">
        <v>4874.6517219999996</v>
      </c>
      <c r="S411" s="29" t="b">
        <f t="shared" si="1"/>
        <v>1</v>
      </c>
      <c r="T411" s="35"/>
    </row>
    <row r="412" spans="1:20">
      <c r="A412" s="22" t="s">
        <v>3536</v>
      </c>
      <c r="B412" s="23" t="s">
        <v>44</v>
      </c>
      <c r="C412" s="23" t="s">
        <v>46</v>
      </c>
      <c r="D412" s="23" t="s">
        <v>3471</v>
      </c>
      <c r="E412" s="36" t="s">
        <v>3537</v>
      </c>
      <c r="F412" s="23" t="s">
        <v>50</v>
      </c>
      <c r="G412" s="23" t="s">
        <v>75</v>
      </c>
      <c r="H412" s="23">
        <v>88293</v>
      </c>
      <c r="I412" s="23">
        <v>255</v>
      </c>
      <c r="J412" s="23">
        <v>24101</v>
      </c>
      <c r="K412" s="23">
        <v>75557</v>
      </c>
      <c r="L412" s="23">
        <v>19</v>
      </c>
      <c r="M412" s="37">
        <v>5054.481581</v>
      </c>
      <c r="N412" s="31"/>
      <c r="O412" s="32"/>
      <c r="P412" s="38" t="s">
        <v>2254</v>
      </c>
      <c r="Q412" s="39" t="s">
        <v>626</v>
      </c>
      <c r="R412" s="40">
        <v>5054.481581</v>
      </c>
      <c r="S412" s="29" t="b">
        <f t="shared" si="1"/>
        <v>1</v>
      </c>
      <c r="T412" s="35"/>
    </row>
    <row r="413" spans="1:20">
      <c r="A413" s="22" t="s">
        <v>3538</v>
      </c>
      <c r="B413" s="23" t="s">
        <v>44</v>
      </c>
      <c r="C413" s="23" t="s">
        <v>80</v>
      </c>
      <c r="D413" s="23" t="s">
        <v>3471</v>
      </c>
      <c r="E413" s="36" t="s">
        <v>3539</v>
      </c>
      <c r="F413" s="23" t="s">
        <v>593</v>
      </c>
      <c r="G413" s="23" t="s">
        <v>39</v>
      </c>
      <c r="H413" s="23">
        <v>14599</v>
      </c>
      <c r="I413" s="23">
        <v>33</v>
      </c>
      <c r="J413" s="23">
        <v>1779</v>
      </c>
      <c r="K413" s="23">
        <v>12458</v>
      </c>
      <c r="L413" s="23">
        <v>4</v>
      </c>
      <c r="M413" s="37">
        <v>5092.5592150000002</v>
      </c>
      <c r="N413" s="31"/>
      <c r="O413" s="32"/>
      <c r="P413" s="38" t="s">
        <v>1803</v>
      </c>
      <c r="Q413" s="39" t="s">
        <v>1145</v>
      </c>
      <c r="R413" s="40">
        <v>5092.5592150000002</v>
      </c>
      <c r="S413" s="29" t="b">
        <f t="shared" si="1"/>
        <v>1</v>
      </c>
      <c r="T413" s="35"/>
    </row>
    <row r="414" spans="1:20">
      <c r="A414" s="22" t="s">
        <v>3540</v>
      </c>
      <c r="B414" s="23" t="s">
        <v>44</v>
      </c>
      <c r="C414" s="23" t="s">
        <v>80</v>
      </c>
      <c r="D414" s="23" t="s">
        <v>3471</v>
      </c>
      <c r="E414" s="36" t="s">
        <v>3541</v>
      </c>
      <c r="F414" s="23" t="s">
        <v>2749</v>
      </c>
      <c r="G414" s="23" t="s">
        <v>39</v>
      </c>
      <c r="H414" s="23">
        <v>58477</v>
      </c>
      <c r="I414" s="23">
        <v>135</v>
      </c>
      <c r="J414" s="23">
        <v>43554</v>
      </c>
      <c r="K414" s="23">
        <v>56558</v>
      </c>
      <c r="L414" s="23">
        <v>19</v>
      </c>
      <c r="M414" s="37">
        <v>5247.6238830000002</v>
      </c>
      <c r="N414" s="31"/>
      <c r="O414" s="32"/>
      <c r="P414" s="38" t="s">
        <v>2284</v>
      </c>
      <c r="Q414" s="39" t="s">
        <v>1084</v>
      </c>
      <c r="R414" s="40">
        <v>5247.6238830000002</v>
      </c>
      <c r="S414" s="29" t="b">
        <f t="shared" si="1"/>
        <v>1</v>
      </c>
      <c r="T414" s="35"/>
    </row>
    <row r="415" spans="1:20">
      <c r="A415" s="22" t="s">
        <v>3542</v>
      </c>
      <c r="B415" s="23" t="s">
        <v>44</v>
      </c>
      <c r="C415" s="23" t="s">
        <v>62</v>
      </c>
      <c r="D415" s="23" t="s">
        <v>3471</v>
      </c>
      <c r="E415" s="36" t="s">
        <v>3543</v>
      </c>
      <c r="F415" s="23" t="s">
        <v>50</v>
      </c>
      <c r="G415" s="23" t="s">
        <v>39</v>
      </c>
      <c r="H415" s="23">
        <v>11672</v>
      </c>
      <c r="I415" s="23">
        <v>84</v>
      </c>
      <c r="J415" s="23">
        <v>7619</v>
      </c>
      <c r="K415" s="23">
        <v>9999</v>
      </c>
      <c r="L415" s="23">
        <v>7</v>
      </c>
      <c r="M415" s="37">
        <v>5284.2770399999999</v>
      </c>
      <c r="N415" s="31"/>
      <c r="O415" s="32"/>
      <c r="P415" s="38" t="s">
        <v>1752</v>
      </c>
      <c r="Q415" s="39" t="s">
        <v>1753</v>
      </c>
      <c r="R415" s="40">
        <v>5284.2770399999999</v>
      </c>
      <c r="S415" s="29" t="b">
        <f t="shared" si="1"/>
        <v>1</v>
      </c>
      <c r="T415" s="35"/>
    </row>
    <row r="416" spans="1:20">
      <c r="A416" s="22" t="s">
        <v>3544</v>
      </c>
      <c r="B416" s="23" t="s">
        <v>32</v>
      </c>
      <c r="C416" s="23" t="s">
        <v>80</v>
      </c>
      <c r="D416" s="23" t="s">
        <v>3471</v>
      </c>
      <c r="E416" s="36" t="s">
        <v>3545</v>
      </c>
      <c r="F416" s="23" t="s">
        <v>131</v>
      </c>
      <c r="G416" s="23" t="s">
        <v>39</v>
      </c>
      <c r="H416" s="23">
        <v>14581</v>
      </c>
      <c r="I416" s="23">
        <v>45</v>
      </c>
      <c r="J416" s="23">
        <v>3821</v>
      </c>
      <c r="K416" s="23">
        <v>12741</v>
      </c>
      <c r="L416" s="23">
        <v>6</v>
      </c>
      <c r="M416" s="37">
        <v>5296.9700910000001</v>
      </c>
      <c r="N416" s="31"/>
      <c r="O416" s="32"/>
      <c r="P416" s="38" t="s">
        <v>924</v>
      </c>
      <c r="Q416" s="39" t="s">
        <v>450</v>
      </c>
      <c r="R416" s="40">
        <v>5296.9700910000001</v>
      </c>
      <c r="S416" s="29" t="b">
        <f t="shared" si="1"/>
        <v>1</v>
      </c>
      <c r="T416" s="35"/>
    </row>
    <row r="417" spans="1:20">
      <c r="A417" s="22" t="s">
        <v>3546</v>
      </c>
      <c r="B417" s="23" t="s">
        <v>123</v>
      </c>
      <c r="C417" s="23" t="s">
        <v>46</v>
      </c>
      <c r="D417" s="23" t="s">
        <v>3471</v>
      </c>
      <c r="E417" s="36" t="s">
        <v>3547</v>
      </c>
      <c r="F417" s="23" t="s">
        <v>74</v>
      </c>
      <c r="G417" s="23" t="s">
        <v>39</v>
      </c>
      <c r="H417" s="23">
        <v>46190</v>
      </c>
      <c r="I417" s="23">
        <v>130</v>
      </c>
      <c r="J417" s="23">
        <v>8618</v>
      </c>
      <c r="K417" s="23">
        <v>41618</v>
      </c>
      <c r="L417" s="23">
        <v>1</v>
      </c>
      <c r="M417" s="37">
        <v>5464.1098169999996</v>
      </c>
      <c r="N417" s="31"/>
      <c r="O417" s="32"/>
      <c r="P417" s="38" t="s">
        <v>1036</v>
      </c>
      <c r="Q417" s="39" t="s">
        <v>1038</v>
      </c>
      <c r="R417" s="40">
        <v>5464.1098169999996</v>
      </c>
      <c r="S417" s="29" t="b">
        <f t="shared" si="1"/>
        <v>1</v>
      </c>
      <c r="T417" s="35"/>
    </row>
    <row r="418" spans="1:20">
      <c r="A418" s="22" t="s">
        <v>3548</v>
      </c>
      <c r="B418" s="23" t="s">
        <v>123</v>
      </c>
      <c r="C418" s="23" t="s">
        <v>80</v>
      </c>
      <c r="D418" s="23" t="s">
        <v>3471</v>
      </c>
      <c r="E418" s="36" t="s">
        <v>3549</v>
      </c>
      <c r="F418" s="23" t="s">
        <v>50</v>
      </c>
      <c r="G418" s="23" t="s">
        <v>39</v>
      </c>
      <c r="H418" s="23">
        <v>10906</v>
      </c>
      <c r="I418" s="23">
        <v>46</v>
      </c>
      <c r="J418" s="23">
        <v>4735</v>
      </c>
      <c r="K418" s="23">
        <v>6390</v>
      </c>
      <c r="L418" s="23">
        <v>3</v>
      </c>
      <c r="M418" s="37">
        <v>5694.2709400000003</v>
      </c>
      <c r="N418" s="31"/>
      <c r="O418" s="32"/>
      <c r="P418" s="38" t="s">
        <v>1174</v>
      </c>
      <c r="Q418" s="39" t="s">
        <v>1177</v>
      </c>
      <c r="R418" s="40">
        <v>5694.2709400000003</v>
      </c>
      <c r="S418" s="29" t="b">
        <f t="shared" si="1"/>
        <v>1</v>
      </c>
      <c r="T418" s="35"/>
    </row>
    <row r="419" spans="1:20">
      <c r="A419" s="22" t="s">
        <v>3550</v>
      </c>
      <c r="B419" s="23" t="s">
        <v>32</v>
      </c>
      <c r="C419" s="23" t="s">
        <v>80</v>
      </c>
      <c r="D419" s="23" t="s">
        <v>3471</v>
      </c>
      <c r="E419" s="36" t="s">
        <v>3551</v>
      </c>
      <c r="F419" s="23" t="s">
        <v>50</v>
      </c>
      <c r="G419" s="23" t="s">
        <v>39</v>
      </c>
      <c r="H419" s="23">
        <v>8068</v>
      </c>
      <c r="I419" s="23">
        <v>10</v>
      </c>
      <c r="J419" s="23">
        <v>5545</v>
      </c>
      <c r="K419" s="23">
        <v>7554</v>
      </c>
      <c r="L419" s="23">
        <v>1</v>
      </c>
      <c r="M419" s="37">
        <v>5995.0410019999999</v>
      </c>
      <c r="N419" s="31"/>
      <c r="O419" s="32"/>
      <c r="P419" s="38" t="s">
        <v>2035</v>
      </c>
      <c r="Q419" s="39" t="s">
        <v>311</v>
      </c>
      <c r="R419" s="40">
        <v>5995.0410019999999</v>
      </c>
      <c r="S419" s="29" t="b">
        <f t="shared" si="1"/>
        <v>1</v>
      </c>
      <c r="T419" s="35"/>
    </row>
    <row r="420" spans="1:20">
      <c r="A420" s="22" t="s">
        <v>3552</v>
      </c>
      <c r="B420" s="23" t="s">
        <v>123</v>
      </c>
      <c r="C420" s="23" t="s">
        <v>34</v>
      </c>
      <c r="D420" s="23" t="s">
        <v>3471</v>
      </c>
      <c r="E420" s="36" t="s">
        <v>3553</v>
      </c>
      <c r="F420" s="23" t="s">
        <v>2749</v>
      </c>
      <c r="G420" s="23" t="s">
        <v>39</v>
      </c>
      <c r="H420" s="23">
        <v>140359</v>
      </c>
      <c r="I420" s="23">
        <v>352</v>
      </c>
      <c r="J420" s="23">
        <v>76130</v>
      </c>
      <c r="K420" s="23">
        <v>133578</v>
      </c>
      <c r="L420" s="23">
        <v>26</v>
      </c>
      <c r="M420" s="37">
        <v>6094.6667989999996</v>
      </c>
      <c r="N420" s="31"/>
      <c r="O420" s="32"/>
      <c r="P420" s="38" t="s">
        <v>815</v>
      </c>
      <c r="Q420" s="39" t="s">
        <v>817</v>
      </c>
      <c r="R420" s="40">
        <v>6094.6667989999996</v>
      </c>
      <c r="S420" s="29" t="b">
        <f t="shared" si="1"/>
        <v>1</v>
      </c>
      <c r="T420" s="35"/>
    </row>
    <row r="421" spans="1:20">
      <c r="A421" s="22" t="s">
        <v>3554</v>
      </c>
      <c r="B421" s="23" t="s">
        <v>44</v>
      </c>
      <c r="C421" s="23" t="s">
        <v>62</v>
      </c>
      <c r="D421" s="23" t="s">
        <v>3471</v>
      </c>
      <c r="E421" s="36" t="s">
        <v>3555</v>
      </c>
      <c r="F421" s="23" t="s">
        <v>50</v>
      </c>
      <c r="G421" s="23" t="s">
        <v>39</v>
      </c>
      <c r="H421" s="23">
        <v>8097</v>
      </c>
      <c r="I421" s="23">
        <v>20</v>
      </c>
      <c r="J421" s="23">
        <v>4942</v>
      </c>
      <c r="K421" s="23">
        <v>6868</v>
      </c>
      <c r="L421" s="23">
        <v>1</v>
      </c>
      <c r="M421" s="37">
        <v>6177.4645449999998</v>
      </c>
      <c r="N421" s="31"/>
      <c r="O421" s="32"/>
      <c r="P421" s="38" t="s">
        <v>1467</v>
      </c>
      <c r="Q421" s="39" t="s">
        <v>1030</v>
      </c>
      <c r="R421" s="40">
        <v>6177.4645449999998</v>
      </c>
      <c r="S421" s="29" t="b">
        <f t="shared" si="1"/>
        <v>1</v>
      </c>
      <c r="T421" s="35"/>
    </row>
    <row r="422" spans="1:20">
      <c r="A422" s="22" t="s">
        <v>3556</v>
      </c>
      <c r="B422" s="23" t="s">
        <v>44</v>
      </c>
      <c r="C422" s="23" t="s">
        <v>46</v>
      </c>
      <c r="D422" s="23" t="s">
        <v>3471</v>
      </c>
      <c r="E422" s="36" t="s">
        <v>3557</v>
      </c>
      <c r="F422" s="23" t="s">
        <v>186</v>
      </c>
      <c r="G422" s="23" t="s">
        <v>39</v>
      </c>
      <c r="H422" s="23">
        <v>69928</v>
      </c>
      <c r="I422" s="23">
        <v>210</v>
      </c>
      <c r="J422" s="23">
        <v>30196</v>
      </c>
      <c r="K422" s="23">
        <v>62327</v>
      </c>
      <c r="L422" s="23">
        <v>9</v>
      </c>
      <c r="M422" s="37">
        <v>6318.4130850000001</v>
      </c>
      <c r="N422" s="31"/>
      <c r="O422" s="32"/>
      <c r="P422" s="38" t="s">
        <v>2182</v>
      </c>
      <c r="Q422" s="39" t="s">
        <v>1989</v>
      </c>
      <c r="R422" s="40">
        <v>6318.4130850000001</v>
      </c>
      <c r="S422" s="29" t="b">
        <f t="shared" si="1"/>
        <v>1</v>
      </c>
      <c r="T422" s="35"/>
    </row>
    <row r="423" spans="1:20">
      <c r="A423" s="22" t="s">
        <v>3558</v>
      </c>
      <c r="B423" s="23" t="s">
        <v>32</v>
      </c>
      <c r="C423" s="23" t="s">
        <v>46</v>
      </c>
      <c r="D423" s="23" t="s">
        <v>3471</v>
      </c>
      <c r="E423" s="36" t="s">
        <v>3559</v>
      </c>
      <c r="F423" s="23" t="s">
        <v>50</v>
      </c>
      <c r="G423" s="23" t="s">
        <v>39</v>
      </c>
      <c r="H423" s="23">
        <v>35163</v>
      </c>
      <c r="I423" s="23">
        <v>250</v>
      </c>
      <c r="J423" s="23">
        <v>21222</v>
      </c>
      <c r="K423" s="23">
        <v>33671</v>
      </c>
      <c r="L423" s="23">
        <v>15</v>
      </c>
      <c r="M423" s="37">
        <v>6336.7181</v>
      </c>
      <c r="N423" s="31"/>
      <c r="O423" s="32"/>
      <c r="P423" s="38" t="s">
        <v>139</v>
      </c>
      <c r="Q423" s="39" t="s">
        <v>141</v>
      </c>
      <c r="R423" s="40">
        <v>6336.7181</v>
      </c>
      <c r="S423" s="29" t="b">
        <f t="shared" si="1"/>
        <v>1</v>
      </c>
      <c r="T423" s="35"/>
    </row>
    <row r="424" spans="1:20">
      <c r="A424" s="22" t="s">
        <v>3560</v>
      </c>
      <c r="B424" s="23" t="s">
        <v>123</v>
      </c>
      <c r="C424" s="23" t="s">
        <v>46</v>
      </c>
      <c r="D424" s="23" t="s">
        <v>3471</v>
      </c>
      <c r="E424" s="36" t="s">
        <v>3561</v>
      </c>
      <c r="F424" s="23" t="s">
        <v>50</v>
      </c>
      <c r="G424" s="23" t="s">
        <v>39</v>
      </c>
      <c r="H424" s="23">
        <v>119280</v>
      </c>
      <c r="I424" s="23">
        <v>400</v>
      </c>
      <c r="J424" s="23">
        <v>55665</v>
      </c>
      <c r="K424" s="23">
        <v>112913</v>
      </c>
      <c r="L424" s="23">
        <v>23</v>
      </c>
      <c r="M424" s="37">
        <v>6492.6763430000001</v>
      </c>
      <c r="N424" s="31"/>
      <c r="O424" s="32"/>
      <c r="P424" s="38" t="s">
        <v>1987</v>
      </c>
      <c r="Q424" s="39" t="s">
        <v>1989</v>
      </c>
      <c r="R424" s="40">
        <v>6492.6763430000001</v>
      </c>
      <c r="S424" s="29" t="b">
        <f t="shared" si="1"/>
        <v>1</v>
      </c>
      <c r="T424" s="35"/>
    </row>
    <row r="425" spans="1:20">
      <c r="A425" s="22" t="s">
        <v>3562</v>
      </c>
      <c r="B425" s="23" t="s">
        <v>44</v>
      </c>
      <c r="C425" s="23" t="s">
        <v>46</v>
      </c>
      <c r="D425" s="23" t="s">
        <v>3471</v>
      </c>
      <c r="E425" s="36" t="s">
        <v>3563</v>
      </c>
      <c r="F425" s="23" t="s">
        <v>50</v>
      </c>
      <c r="G425" s="23" t="s">
        <v>75</v>
      </c>
      <c r="H425" s="23">
        <v>219088</v>
      </c>
      <c r="I425" s="23">
        <v>541</v>
      </c>
      <c r="J425" s="23">
        <v>75638</v>
      </c>
      <c r="K425" s="23">
        <v>153987</v>
      </c>
      <c r="L425" s="23">
        <v>17</v>
      </c>
      <c r="M425" s="37">
        <v>6761.0738240000001</v>
      </c>
      <c r="N425" s="31"/>
      <c r="O425" s="32"/>
      <c r="P425" s="38" t="s">
        <v>650</v>
      </c>
      <c r="Q425" s="39" t="s">
        <v>652</v>
      </c>
      <c r="R425" s="40">
        <v>6761.0738240000001</v>
      </c>
      <c r="S425" s="29" t="b">
        <f t="shared" si="1"/>
        <v>1</v>
      </c>
      <c r="T425" s="35"/>
    </row>
    <row r="426" spans="1:20">
      <c r="A426" s="22" t="s">
        <v>3564</v>
      </c>
      <c r="B426" s="23" t="s">
        <v>123</v>
      </c>
      <c r="C426" s="23" t="s">
        <v>62</v>
      </c>
      <c r="D426" s="23" t="s">
        <v>3471</v>
      </c>
      <c r="E426" s="36" t="s">
        <v>3565</v>
      </c>
      <c r="F426" s="23" t="s">
        <v>103</v>
      </c>
      <c r="G426" s="23" t="s">
        <v>39</v>
      </c>
      <c r="H426" s="23">
        <v>115412</v>
      </c>
      <c r="I426" s="23">
        <v>490</v>
      </c>
      <c r="J426" s="23">
        <v>71564</v>
      </c>
      <c r="K426" s="23">
        <v>81785</v>
      </c>
      <c r="L426" s="23">
        <v>21</v>
      </c>
      <c r="M426" s="37">
        <v>6861.5363799999996</v>
      </c>
      <c r="N426" s="31"/>
      <c r="O426" s="32"/>
      <c r="P426" s="38" t="s">
        <v>285</v>
      </c>
      <c r="Q426" s="39" t="s">
        <v>287</v>
      </c>
      <c r="R426" s="40">
        <v>6861.5363799999996</v>
      </c>
      <c r="S426" s="29" t="b">
        <f t="shared" si="1"/>
        <v>1</v>
      </c>
      <c r="T426" s="35"/>
    </row>
    <row r="427" spans="1:20">
      <c r="A427" s="22" t="s">
        <v>3566</v>
      </c>
      <c r="B427" s="23" t="s">
        <v>32</v>
      </c>
      <c r="C427" s="23" t="s">
        <v>80</v>
      </c>
      <c r="D427" s="23" t="s">
        <v>3471</v>
      </c>
      <c r="E427" s="36" t="s">
        <v>3567</v>
      </c>
      <c r="F427" s="23" t="s">
        <v>157</v>
      </c>
      <c r="G427" s="23" t="s">
        <v>39</v>
      </c>
      <c r="H427" s="23">
        <v>14553</v>
      </c>
      <c r="I427" s="23">
        <v>47</v>
      </c>
      <c r="J427" s="23">
        <v>6119</v>
      </c>
      <c r="K427" s="23">
        <v>12505</v>
      </c>
      <c r="L427" s="23">
        <v>11</v>
      </c>
      <c r="M427" s="37">
        <v>6968.00047</v>
      </c>
      <c r="N427" s="31"/>
      <c r="O427" s="32"/>
      <c r="P427" s="38" t="s">
        <v>1146</v>
      </c>
      <c r="Q427" s="39" t="s">
        <v>235</v>
      </c>
      <c r="R427" s="40">
        <v>6968.00047</v>
      </c>
      <c r="S427" s="29" t="b">
        <f t="shared" si="1"/>
        <v>1</v>
      </c>
      <c r="T427" s="35"/>
    </row>
    <row r="428" spans="1:20">
      <c r="A428" s="22" t="s">
        <v>3568</v>
      </c>
      <c r="B428" s="23" t="s">
        <v>44</v>
      </c>
      <c r="C428" s="23" t="s">
        <v>62</v>
      </c>
      <c r="D428" s="23" t="s">
        <v>3471</v>
      </c>
      <c r="E428" s="36" t="s">
        <v>3569</v>
      </c>
      <c r="F428" s="23" t="s">
        <v>157</v>
      </c>
      <c r="G428" s="23" t="s">
        <v>39</v>
      </c>
      <c r="H428" s="23">
        <v>8187</v>
      </c>
      <c r="I428" s="23">
        <v>20</v>
      </c>
      <c r="J428" s="23">
        <v>4888</v>
      </c>
      <c r="K428" s="23">
        <v>7510</v>
      </c>
      <c r="L428" s="23">
        <v>3</v>
      </c>
      <c r="M428" s="37">
        <v>6980.2293040000004</v>
      </c>
      <c r="N428" s="31"/>
      <c r="O428" s="32"/>
      <c r="P428" s="38" t="s">
        <v>1490</v>
      </c>
      <c r="Q428" s="39" t="s">
        <v>195</v>
      </c>
      <c r="R428" s="40">
        <v>6980.2293040000004</v>
      </c>
      <c r="S428" s="29" t="b">
        <f t="shared" si="1"/>
        <v>1</v>
      </c>
      <c r="T428" s="35"/>
    </row>
    <row r="429" spans="1:20">
      <c r="A429" s="22" t="s">
        <v>3570</v>
      </c>
      <c r="B429" s="23" t="s">
        <v>44</v>
      </c>
      <c r="C429" s="23" t="s">
        <v>80</v>
      </c>
      <c r="D429" s="23" t="s">
        <v>3471</v>
      </c>
      <c r="E429" s="36" t="s">
        <v>3571</v>
      </c>
      <c r="F429" s="23" t="s">
        <v>50</v>
      </c>
      <c r="G429" s="23" t="s">
        <v>75</v>
      </c>
      <c r="H429" s="23">
        <v>141165</v>
      </c>
      <c r="I429" s="23">
        <v>250</v>
      </c>
      <c r="J429" s="23">
        <v>102776</v>
      </c>
      <c r="K429" s="23">
        <v>128004</v>
      </c>
      <c r="L429" s="23">
        <v>28</v>
      </c>
      <c r="M429" s="37">
        <v>7222.2114080000001</v>
      </c>
      <c r="N429" s="31"/>
      <c r="O429" s="32"/>
      <c r="P429" s="38" t="s">
        <v>1888</v>
      </c>
      <c r="Q429" s="39" t="s">
        <v>483</v>
      </c>
      <c r="R429" s="40">
        <v>7222.2114080000001</v>
      </c>
      <c r="S429" s="29" t="b">
        <f t="shared" si="1"/>
        <v>1</v>
      </c>
      <c r="T429" s="35"/>
    </row>
    <row r="430" spans="1:20">
      <c r="A430" s="22" t="s">
        <v>3572</v>
      </c>
      <c r="B430" s="23" t="s">
        <v>44</v>
      </c>
      <c r="C430" s="23" t="s">
        <v>34</v>
      </c>
      <c r="D430" s="23" t="s">
        <v>3471</v>
      </c>
      <c r="E430" s="36" t="s">
        <v>3573</v>
      </c>
      <c r="F430" s="23" t="s">
        <v>50</v>
      </c>
      <c r="G430" s="23" t="s">
        <v>39</v>
      </c>
      <c r="H430" s="23">
        <v>23774</v>
      </c>
      <c r="I430" s="23">
        <v>60</v>
      </c>
      <c r="J430" s="23">
        <v>10735</v>
      </c>
      <c r="K430" s="23">
        <v>21076</v>
      </c>
      <c r="L430" s="23">
        <v>24</v>
      </c>
      <c r="M430" s="37">
        <v>7657.1080339999999</v>
      </c>
      <c r="N430" s="31"/>
      <c r="O430" s="32"/>
      <c r="P430" s="38" t="s">
        <v>1211</v>
      </c>
      <c r="Q430" s="39" t="s">
        <v>1213</v>
      </c>
      <c r="R430" s="40">
        <v>7657.1080339999999</v>
      </c>
      <c r="S430" s="29" t="b">
        <f t="shared" si="1"/>
        <v>1</v>
      </c>
      <c r="T430" s="35"/>
    </row>
    <row r="431" spans="1:20">
      <c r="A431" s="22" t="s">
        <v>3574</v>
      </c>
      <c r="B431" s="23" t="s">
        <v>32</v>
      </c>
      <c r="C431" s="23" t="s">
        <v>80</v>
      </c>
      <c r="D431" s="23" t="s">
        <v>3471</v>
      </c>
      <c r="E431" s="36" t="s">
        <v>3575</v>
      </c>
      <c r="F431" s="23" t="s">
        <v>593</v>
      </c>
      <c r="G431" s="23" t="s">
        <v>39</v>
      </c>
      <c r="H431" s="23">
        <v>680912</v>
      </c>
      <c r="I431" s="23">
        <v>2000</v>
      </c>
      <c r="J431" s="23">
        <v>388915</v>
      </c>
      <c r="K431" s="23">
        <v>648524</v>
      </c>
      <c r="L431" s="23">
        <v>39</v>
      </c>
      <c r="M431" s="37">
        <v>7814.2624939999996</v>
      </c>
      <c r="N431" s="31"/>
      <c r="O431" s="32"/>
      <c r="P431" s="38" t="s">
        <v>1844</v>
      </c>
      <c r="Q431" s="39" t="s">
        <v>1426</v>
      </c>
      <c r="R431" s="40">
        <v>7814.2624939999996</v>
      </c>
      <c r="S431" s="29" t="b">
        <f t="shared" si="1"/>
        <v>1</v>
      </c>
      <c r="T431" s="35"/>
    </row>
    <row r="432" spans="1:20">
      <c r="A432" s="22" t="s">
        <v>3576</v>
      </c>
      <c r="B432" s="23" t="s">
        <v>32</v>
      </c>
      <c r="C432" s="23" t="s">
        <v>80</v>
      </c>
      <c r="D432" s="23" t="s">
        <v>3471</v>
      </c>
      <c r="E432" s="36" t="s">
        <v>3577</v>
      </c>
      <c r="F432" s="23" t="s">
        <v>50</v>
      </c>
      <c r="G432" s="23" t="s">
        <v>39</v>
      </c>
      <c r="H432" s="23">
        <v>1222302</v>
      </c>
      <c r="I432" s="23">
        <v>3142</v>
      </c>
      <c r="J432" s="23">
        <v>553773</v>
      </c>
      <c r="K432" s="23">
        <v>1120128</v>
      </c>
      <c r="L432" s="23">
        <v>42</v>
      </c>
      <c r="M432" s="37">
        <v>7880.7704059999996</v>
      </c>
      <c r="N432" s="31"/>
      <c r="O432" s="32"/>
      <c r="P432" s="38" t="s">
        <v>2069</v>
      </c>
      <c r="Q432" s="39" t="s">
        <v>1823</v>
      </c>
      <c r="R432" s="40">
        <v>7880.7704059999996</v>
      </c>
      <c r="S432" s="29" t="b">
        <f t="shared" si="1"/>
        <v>1</v>
      </c>
      <c r="T432" s="35"/>
    </row>
    <row r="433" spans="1:20">
      <c r="A433" s="22" t="s">
        <v>3578</v>
      </c>
      <c r="B433" s="23" t="s">
        <v>44</v>
      </c>
      <c r="C433" s="23" t="s">
        <v>34</v>
      </c>
      <c r="D433" s="23" t="s">
        <v>3579</v>
      </c>
      <c r="E433" s="36" t="s">
        <v>3580</v>
      </c>
      <c r="F433" s="23" t="s">
        <v>50</v>
      </c>
      <c r="G433" s="23" t="s">
        <v>39</v>
      </c>
      <c r="H433" s="23">
        <v>13202</v>
      </c>
      <c r="I433" s="23">
        <v>101</v>
      </c>
      <c r="J433" s="23">
        <v>10871</v>
      </c>
      <c r="K433" s="23">
        <v>12885</v>
      </c>
      <c r="L433" s="23">
        <v>3</v>
      </c>
      <c r="M433" s="37">
        <v>1699.0608090000001</v>
      </c>
      <c r="N433" s="31"/>
      <c r="O433" s="32"/>
      <c r="P433" s="38" t="s">
        <v>1956</v>
      </c>
      <c r="Q433" s="39" t="s">
        <v>1191</v>
      </c>
      <c r="R433" s="40">
        <v>1699.0608090000001</v>
      </c>
      <c r="S433" s="29" t="b">
        <f t="shared" si="1"/>
        <v>1</v>
      </c>
      <c r="T433" s="35"/>
    </row>
    <row r="434" spans="1:20">
      <c r="A434" s="22" t="s">
        <v>3581</v>
      </c>
      <c r="B434" s="23" t="s">
        <v>32</v>
      </c>
      <c r="C434" s="23" t="s">
        <v>80</v>
      </c>
      <c r="D434" s="23" t="s">
        <v>3579</v>
      </c>
      <c r="E434" s="36" t="s">
        <v>3582</v>
      </c>
      <c r="F434" s="23" t="s">
        <v>186</v>
      </c>
      <c r="G434" s="23" t="s">
        <v>39</v>
      </c>
      <c r="H434" s="23">
        <v>36431</v>
      </c>
      <c r="I434" s="23">
        <v>108</v>
      </c>
      <c r="J434" s="23">
        <v>31262</v>
      </c>
      <c r="K434" s="23">
        <v>35043</v>
      </c>
      <c r="L434" s="23">
        <v>11</v>
      </c>
      <c r="M434" s="37">
        <v>3285.8345220000001</v>
      </c>
      <c r="N434" s="31"/>
      <c r="O434" s="32"/>
      <c r="P434" s="38" t="s">
        <v>2146</v>
      </c>
      <c r="Q434" s="39" t="s">
        <v>923</v>
      </c>
      <c r="R434" s="40">
        <v>3285.8345220000001</v>
      </c>
      <c r="S434" s="29" t="b">
        <f t="shared" si="1"/>
        <v>1</v>
      </c>
      <c r="T434" s="35"/>
    </row>
    <row r="435" spans="1:20">
      <c r="A435" s="22" t="s">
        <v>3583</v>
      </c>
      <c r="B435" s="23" t="s">
        <v>44</v>
      </c>
      <c r="C435" s="23" t="s">
        <v>80</v>
      </c>
      <c r="D435" s="23" t="s">
        <v>3584</v>
      </c>
      <c r="E435" s="36" t="s">
        <v>3585</v>
      </c>
      <c r="F435" s="23" t="s">
        <v>50</v>
      </c>
      <c r="G435" s="23" t="s">
        <v>75</v>
      </c>
      <c r="H435" s="23">
        <v>21531</v>
      </c>
      <c r="I435" s="23">
        <v>55</v>
      </c>
      <c r="J435" s="23">
        <v>15593</v>
      </c>
      <c r="K435" s="23">
        <v>18617</v>
      </c>
      <c r="L435" s="23">
        <v>6</v>
      </c>
      <c r="M435" s="37">
        <v>1470.9719250000001</v>
      </c>
      <c r="N435" s="31"/>
      <c r="O435" s="32"/>
      <c r="P435" s="38" t="s">
        <v>1133</v>
      </c>
      <c r="Q435" s="39" t="s">
        <v>1135</v>
      </c>
      <c r="R435" s="40">
        <v>1470.9719250000001</v>
      </c>
      <c r="S435" s="29" t="b">
        <f t="shared" si="1"/>
        <v>1</v>
      </c>
      <c r="T435" s="35"/>
    </row>
    <row r="436" spans="1:20">
      <c r="A436" s="22" t="s">
        <v>3586</v>
      </c>
      <c r="B436" s="23" t="s">
        <v>44</v>
      </c>
      <c r="C436" s="23" t="s">
        <v>80</v>
      </c>
      <c r="D436" s="23" t="s">
        <v>3584</v>
      </c>
      <c r="E436" s="36" t="s">
        <v>3587</v>
      </c>
      <c r="F436" s="23" t="s">
        <v>50</v>
      </c>
      <c r="G436" s="23" t="s">
        <v>39</v>
      </c>
      <c r="H436" s="23">
        <v>14984</v>
      </c>
      <c r="I436" s="23">
        <v>63</v>
      </c>
      <c r="J436" s="23">
        <v>9614</v>
      </c>
      <c r="K436" s="23">
        <v>14086</v>
      </c>
      <c r="L436" s="23">
        <v>3</v>
      </c>
      <c r="M436" s="37">
        <v>1505.0096349999999</v>
      </c>
      <c r="N436" s="31"/>
      <c r="O436" s="32"/>
      <c r="P436" s="38" t="s">
        <v>506</v>
      </c>
      <c r="Q436" s="39" t="s">
        <v>510</v>
      </c>
      <c r="R436" s="40">
        <v>1505.0096349999999</v>
      </c>
      <c r="S436" s="29" t="b">
        <f t="shared" si="1"/>
        <v>1</v>
      </c>
      <c r="T436" s="35"/>
    </row>
    <row r="437" spans="1:20">
      <c r="A437" s="22" t="s">
        <v>3588</v>
      </c>
      <c r="B437" s="23" t="s">
        <v>32</v>
      </c>
      <c r="C437" s="23" t="s">
        <v>62</v>
      </c>
      <c r="D437" s="23" t="s">
        <v>3584</v>
      </c>
      <c r="E437" s="36" t="s">
        <v>3589</v>
      </c>
      <c r="F437" s="23" t="s">
        <v>103</v>
      </c>
      <c r="G437" s="23" t="s">
        <v>39</v>
      </c>
      <c r="H437" s="23">
        <v>17561</v>
      </c>
      <c r="I437" s="23">
        <v>50</v>
      </c>
      <c r="J437" s="23">
        <v>2960</v>
      </c>
      <c r="K437" s="23">
        <v>9953</v>
      </c>
      <c r="L437" s="23">
        <v>10</v>
      </c>
      <c r="M437" s="37">
        <v>1519.90401</v>
      </c>
      <c r="N437" s="31"/>
      <c r="O437" s="32"/>
      <c r="P437" s="38" t="s">
        <v>2228</v>
      </c>
      <c r="Q437" s="39" t="s">
        <v>1480</v>
      </c>
      <c r="R437" s="40">
        <v>1519.90401</v>
      </c>
      <c r="S437" s="29" t="b">
        <f t="shared" si="1"/>
        <v>1</v>
      </c>
      <c r="T437" s="35"/>
    </row>
    <row r="438" spans="1:20">
      <c r="A438" s="22" t="s">
        <v>3590</v>
      </c>
      <c r="B438" s="23" t="s">
        <v>44</v>
      </c>
      <c r="C438" s="23" t="s">
        <v>80</v>
      </c>
      <c r="D438" s="23" t="s">
        <v>3584</v>
      </c>
      <c r="E438" s="36" t="s">
        <v>3591</v>
      </c>
      <c r="F438" s="23" t="s">
        <v>186</v>
      </c>
      <c r="G438" s="23" t="s">
        <v>39</v>
      </c>
      <c r="H438" s="23">
        <v>19464</v>
      </c>
      <c r="I438" s="23">
        <v>68</v>
      </c>
      <c r="J438" s="23">
        <v>11814</v>
      </c>
      <c r="K438" s="23">
        <v>17040</v>
      </c>
      <c r="L438" s="23">
        <v>9</v>
      </c>
      <c r="M438" s="37">
        <v>1540.4693500000001</v>
      </c>
      <c r="N438" s="31"/>
      <c r="O438" s="32"/>
      <c r="P438" s="38" t="s">
        <v>1669</v>
      </c>
      <c r="Q438" s="39" t="s">
        <v>1671</v>
      </c>
      <c r="R438" s="40">
        <v>1540.4693500000001</v>
      </c>
      <c r="S438" s="29" t="b">
        <f t="shared" si="1"/>
        <v>1</v>
      </c>
      <c r="T438" s="35"/>
    </row>
    <row r="439" spans="1:20">
      <c r="A439" s="22" t="s">
        <v>3592</v>
      </c>
      <c r="B439" s="23" t="s">
        <v>44</v>
      </c>
      <c r="C439" s="23" t="s">
        <v>62</v>
      </c>
      <c r="D439" s="23" t="s">
        <v>3584</v>
      </c>
      <c r="E439" s="36" t="s">
        <v>3593</v>
      </c>
      <c r="F439" s="23" t="s">
        <v>593</v>
      </c>
      <c r="G439" s="23" t="s">
        <v>39</v>
      </c>
      <c r="H439" s="23">
        <v>435848</v>
      </c>
      <c r="I439" s="23">
        <v>1058</v>
      </c>
      <c r="J439" s="23">
        <v>274912</v>
      </c>
      <c r="K439" s="23">
        <v>415601</v>
      </c>
      <c r="L439" s="23">
        <v>15</v>
      </c>
      <c r="M439" s="37">
        <v>1554.439959</v>
      </c>
      <c r="N439" s="31"/>
      <c r="O439" s="32"/>
      <c r="P439" s="38" t="s">
        <v>856</v>
      </c>
      <c r="Q439" s="39" t="s">
        <v>858</v>
      </c>
      <c r="R439" s="40">
        <v>1554.439959</v>
      </c>
      <c r="S439" s="29" t="b">
        <f t="shared" si="1"/>
        <v>1</v>
      </c>
      <c r="T439" s="35"/>
    </row>
    <row r="440" spans="1:20">
      <c r="A440" s="22" t="s">
        <v>3594</v>
      </c>
      <c r="B440" s="23" t="s">
        <v>44</v>
      </c>
      <c r="C440" s="23" t="s">
        <v>46</v>
      </c>
      <c r="D440" s="23" t="s">
        <v>3584</v>
      </c>
      <c r="E440" s="36" t="s">
        <v>3595</v>
      </c>
      <c r="F440" s="23" t="s">
        <v>103</v>
      </c>
      <c r="G440" s="23" t="s">
        <v>39</v>
      </c>
      <c r="H440" s="23">
        <v>7402</v>
      </c>
      <c r="I440" s="23">
        <v>9</v>
      </c>
      <c r="J440" s="23">
        <v>3860</v>
      </c>
      <c r="K440" s="23">
        <v>6406</v>
      </c>
      <c r="L440" s="23">
        <v>1</v>
      </c>
      <c r="M440" s="37">
        <v>1560.449936</v>
      </c>
      <c r="N440" s="31"/>
      <c r="O440" s="32"/>
      <c r="P440" s="38" t="s">
        <v>1502</v>
      </c>
      <c r="Q440" s="39" t="s">
        <v>1343</v>
      </c>
      <c r="R440" s="40">
        <v>1560.449936</v>
      </c>
      <c r="S440" s="29" t="b">
        <f t="shared" si="1"/>
        <v>1</v>
      </c>
      <c r="T440" s="35"/>
    </row>
    <row r="441" spans="1:20">
      <c r="A441" s="22" t="s">
        <v>3596</v>
      </c>
      <c r="B441" s="23" t="s">
        <v>44</v>
      </c>
      <c r="C441" s="23" t="s">
        <v>80</v>
      </c>
      <c r="D441" s="23" t="s">
        <v>3584</v>
      </c>
      <c r="E441" s="36" t="s">
        <v>3597</v>
      </c>
      <c r="F441" s="23" t="s">
        <v>103</v>
      </c>
      <c r="G441" s="23" t="s">
        <v>39</v>
      </c>
      <c r="H441" s="23">
        <v>37355</v>
      </c>
      <c r="I441" s="23">
        <v>145</v>
      </c>
      <c r="J441" s="23">
        <v>17138</v>
      </c>
      <c r="K441" s="23">
        <v>35689</v>
      </c>
      <c r="L441" s="23">
        <v>3</v>
      </c>
      <c r="M441" s="37">
        <v>1577.366086</v>
      </c>
      <c r="N441" s="31"/>
      <c r="O441" s="32"/>
      <c r="P441" s="38" t="s">
        <v>1000</v>
      </c>
      <c r="Q441" s="39" t="s">
        <v>111</v>
      </c>
      <c r="R441" s="40">
        <v>1577.366086</v>
      </c>
      <c r="S441" s="29" t="b">
        <f t="shared" si="1"/>
        <v>1</v>
      </c>
      <c r="T441" s="35"/>
    </row>
    <row r="442" spans="1:20">
      <c r="A442" s="41" t="s">
        <v>3598</v>
      </c>
      <c r="B442" s="23" t="s">
        <v>44</v>
      </c>
      <c r="C442" s="23" t="s">
        <v>46</v>
      </c>
      <c r="D442" s="23" t="s">
        <v>3584</v>
      </c>
      <c r="E442" s="36" t="s">
        <v>3599</v>
      </c>
      <c r="F442" s="23" t="s">
        <v>50</v>
      </c>
      <c r="G442" s="23" t="s">
        <v>39</v>
      </c>
      <c r="H442" s="23">
        <v>482834</v>
      </c>
      <c r="I442" s="23">
        <v>1269</v>
      </c>
      <c r="J442" s="23">
        <v>292059</v>
      </c>
      <c r="K442" s="23">
        <v>428761</v>
      </c>
      <c r="L442" s="23">
        <v>7</v>
      </c>
      <c r="M442" s="37">
        <v>1594.463397</v>
      </c>
      <c r="N442" s="31"/>
      <c r="O442" s="32"/>
      <c r="P442" s="38" t="s">
        <v>708</v>
      </c>
      <c r="Q442" s="39" t="s">
        <v>710</v>
      </c>
      <c r="R442" s="40">
        <v>1594.463397</v>
      </c>
      <c r="S442" s="29" t="b">
        <f t="shared" si="1"/>
        <v>1</v>
      </c>
      <c r="T442" s="35"/>
    </row>
    <row r="443" spans="1:20">
      <c r="A443" s="22" t="s">
        <v>3600</v>
      </c>
      <c r="B443" s="23" t="s">
        <v>44</v>
      </c>
      <c r="C443" s="23" t="s">
        <v>46</v>
      </c>
      <c r="D443" s="23" t="s">
        <v>3584</v>
      </c>
      <c r="E443" s="36" t="s">
        <v>3601</v>
      </c>
      <c r="F443" s="23" t="s">
        <v>103</v>
      </c>
      <c r="G443" s="23" t="s">
        <v>64</v>
      </c>
      <c r="H443" s="23">
        <v>49412</v>
      </c>
      <c r="I443" s="23">
        <v>170</v>
      </c>
      <c r="J443" s="23">
        <v>22155</v>
      </c>
      <c r="K443" s="23">
        <v>43802</v>
      </c>
      <c r="L443" s="23">
        <v>3</v>
      </c>
      <c r="M443" s="37">
        <v>1595.6594660000001</v>
      </c>
      <c r="N443" s="31"/>
      <c r="O443" s="32"/>
      <c r="P443" s="38" t="s">
        <v>1317</v>
      </c>
      <c r="Q443" s="39" t="s">
        <v>1093</v>
      </c>
      <c r="R443" s="40">
        <v>1595.6594660000001</v>
      </c>
      <c r="S443" s="29" t="b">
        <f t="shared" si="1"/>
        <v>1</v>
      </c>
      <c r="T443" s="35"/>
    </row>
    <row r="444" spans="1:20">
      <c r="A444" s="22" t="s">
        <v>3602</v>
      </c>
      <c r="B444" s="23" t="s">
        <v>44</v>
      </c>
      <c r="C444" s="23" t="s">
        <v>62</v>
      </c>
      <c r="D444" s="23" t="s">
        <v>3584</v>
      </c>
      <c r="E444" s="36" t="s">
        <v>3603</v>
      </c>
      <c r="F444" s="23" t="s">
        <v>50</v>
      </c>
      <c r="G444" s="23" t="s">
        <v>75</v>
      </c>
      <c r="H444" s="23">
        <v>60412</v>
      </c>
      <c r="I444" s="23">
        <v>169</v>
      </c>
      <c r="J444" s="23">
        <v>33457</v>
      </c>
      <c r="K444" s="23">
        <v>52172</v>
      </c>
      <c r="L444" s="23">
        <v>24</v>
      </c>
      <c r="M444" s="37">
        <v>1679.5727079999999</v>
      </c>
      <c r="N444" s="31"/>
      <c r="O444" s="32"/>
      <c r="P444" s="38" t="s">
        <v>1975</v>
      </c>
      <c r="Q444" s="39" t="s">
        <v>1978</v>
      </c>
      <c r="R444" s="40">
        <v>1679.5727079999999</v>
      </c>
      <c r="S444" s="29" t="b">
        <f t="shared" si="1"/>
        <v>1</v>
      </c>
      <c r="T444" s="35"/>
    </row>
    <row r="445" spans="1:20">
      <c r="A445" s="22" t="s">
        <v>3604</v>
      </c>
      <c r="B445" s="23" t="s">
        <v>44</v>
      </c>
      <c r="C445" s="23" t="s">
        <v>62</v>
      </c>
      <c r="D445" s="23" t="s">
        <v>3584</v>
      </c>
      <c r="E445" s="36" t="s">
        <v>3605</v>
      </c>
      <c r="F445" s="23" t="s">
        <v>50</v>
      </c>
      <c r="G445" s="23" t="s">
        <v>64</v>
      </c>
      <c r="H445" s="23">
        <v>12436</v>
      </c>
      <c r="I445" s="23">
        <v>84</v>
      </c>
      <c r="J445" s="23">
        <v>7055</v>
      </c>
      <c r="K445" s="23">
        <v>11497</v>
      </c>
      <c r="L445" s="23">
        <v>9</v>
      </c>
      <c r="M445" s="37">
        <v>1720.870126</v>
      </c>
      <c r="N445" s="31"/>
      <c r="O445" s="32"/>
      <c r="P445" s="38" t="s">
        <v>59</v>
      </c>
      <c r="Q445" s="39" t="s">
        <v>61</v>
      </c>
      <c r="R445" s="40">
        <v>1720.870126</v>
      </c>
      <c r="S445" s="29" t="b">
        <f t="shared" si="1"/>
        <v>1</v>
      </c>
      <c r="T445" s="35"/>
    </row>
    <row r="446" spans="1:20">
      <c r="A446" s="22" t="s">
        <v>3606</v>
      </c>
      <c r="B446" s="23" t="s">
        <v>32</v>
      </c>
      <c r="C446" s="23" t="s">
        <v>62</v>
      </c>
      <c r="D446" s="23" t="s">
        <v>3584</v>
      </c>
      <c r="E446" s="36" t="s">
        <v>3607</v>
      </c>
      <c r="F446" s="23" t="s">
        <v>50</v>
      </c>
      <c r="G446" s="23" t="s">
        <v>39</v>
      </c>
      <c r="H446" s="23">
        <v>10779</v>
      </c>
      <c r="I446" s="23">
        <v>86</v>
      </c>
      <c r="J446" s="23">
        <v>6420</v>
      </c>
      <c r="K446" s="23">
        <v>10287</v>
      </c>
      <c r="L446" s="23">
        <v>3</v>
      </c>
      <c r="M446" s="37">
        <v>1759.704833</v>
      </c>
      <c r="N446" s="31"/>
      <c r="O446" s="32"/>
      <c r="P446" s="38" t="s">
        <v>949</v>
      </c>
      <c r="Q446" s="39" t="s">
        <v>952</v>
      </c>
      <c r="R446" s="40">
        <v>1759.704833</v>
      </c>
      <c r="S446" s="29" t="b">
        <f t="shared" si="1"/>
        <v>1</v>
      </c>
      <c r="T446" s="35"/>
    </row>
    <row r="447" spans="1:20">
      <c r="A447" s="22" t="s">
        <v>384</v>
      </c>
      <c r="B447" s="23" t="s">
        <v>44</v>
      </c>
      <c r="C447" s="23" t="s">
        <v>62</v>
      </c>
      <c r="D447" s="23" t="s">
        <v>3584</v>
      </c>
      <c r="E447" s="36" t="s">
        <v>3608</v>
      </c>
      <c r="F447" s="23" t="s">
        <v>50</v>
      </c>
      <c r="G447" s="23" t="s">
        <v>39</v>
      </c>
      <c r="H447" s="23">
        <v>12280</v>
      </c>
      <c r="I447" s="23">
        <v>40</v>
      </c>
      <c r="J447" s="23">
        <v>9613</v>
      </c>
      <c r="K447" s="23">
        <v>11247</v>
      </c>
      <c r="L447" s="23">
        <v>4</v>
      </c>
      <c r="M447" s="37">
        <v>1765.3987099999999</v>
      </c>
      <c r="N447" s="31"/>
      <c r="O447" s="32"/>
      <c r="P447" s="38" t="s">
        <v>383</v>
      </c>
      <c r="Q447" s="39" t="s">
        <v>263</v>
      </c>
      <c r="R447" s="40">
        <v>1765.3987099999999</v>
      </c>
      <c r="S447" s="29" t="b">
        <f t="shared" si="1"/>
        <v>1</v>
      </c>
      <c r="T447" s="35"/>
    </row>
    <row r="448" spans="1:20">
      <c r="A448" s="22" t="s">
        <v>3609</v>
      </c>
      <c r="B448" s="23" t="s">
        <v>123</v>
      </c>
      <c r="C448" s="23" t="s">
        <v>62</v>
      </c>
      <c r="D448" s="23" t="s">
        <v>3584</v>
      </c>
      <c r="E448" s="36" t="s">
        <v>3610</v>
      </c>
      <c r="F448" s="23" t="s">
        <v>131</v>
      </c>
      <c r="G448" s="23" t="s">
        <v>39</v>
      </c>
      <c r="H448" s="23">
        <v>20417</v>
      </c>
      <c r="I448" s="23">
        <v>86</v>
      </c>
      <c r="J448" s="23">
        <v>1016</v>
      </c>
      <c r="K448" s="23">
        <v>13468</v>
      </c>
      <c r="L448" s="23">
        <v>5</v>
      </c>
      <c r="M448" s="37">
        <v>1805.6005130000001</v>
      </c>
      <c r="N448" s="31"/>
      <c r="O448" s="32"/>
      <c r="P448" s="38" t="s">
        <v>1693</v>
      </c>
      <c r="Q448" s="39" t="s">
        <v>33</v>
      </c>
      <c r="R448" s="40">
        <v>1805.6005130000001</v>
      </c>
      <c r="S448" s="29" t="b">
        <f t="shared" si="1"/>
        <v>1</v>
      </c>
      <c r="T448" s="35"/>
    </row>
    <row r="449" spans="1:20">
      <c r="A449" s="22" t="s">
        <v>3611</v>
      </c>
      <c r="B449" s="23" t="s">
        <v>32</v>
      </c>
      <c r="C449" s="23" t="s">
        <v>34</v>
      </c>
      <c r="D449" s="23" t="s">
        <v>3584</v>
      </c>
      <c r="E449" s="36" t="s">
        <v>3612</v>
      </c>
      <c r="F449" s="23" t="s">
        <v>38</v>
      </c>
      <c r="G449" s="23" t="s">
        <v>39</v>
      </c>
      <c r="H449" s="23">
        <v>66554</v>
      </c>
      <c r="I449" s="23">
        <v>169</v>
      </c>
      <c r="J449" s="23">
        <v>39206</v>
      </c>
      <c r="K449" s="23">
        <v>62109</v>
      </c>
      <c r="L449" s="23">
        <v>6</v>
      </c>
      <c r="M449" s="37">
        <v>1890.885935</v>
      </c>
      <c r="N449" s="31"/>
      <c r="O449" s="32"/>
      <c r="P449" s="38" t="s">
        <v>29</v>
      </c>
      <c r="Q449" s="39" t="s">
        <v>33</v>
      </c>
      <c r="R449" s="40">
        <v>1890.885935</v>
      </c>
      <c r="S449" s="29" t="b">
        <f t="shared" si="1"/>
        <v>1</v>
      </c>
      <c r="T449" s="35"/>
    </row>
    <row r="450" spans="1:20">
      <c r="A450" s="22" t="s">
        <v>3613</v>
      </c>
      <c r="B450" s="23" t="s">
        <v>32</v>
      </c>
      <c r="C450" s="23" t="s">
        <v>80</v>
      </c>
      <c r="D450" s="23" t="s">
        <v>3584</v>
      </c>
      <c r="E450" s="36" t="s">
        <v>3614</v>
      </c>
      <c r="F450" s="23" t="s">
        <v>131</v>
      </c>
      <c r="G450" s="23" t="s">
        <v>39</v>
      </c>
      <c r="H450" s="23">
        <v>481526</v>
      </c>
      <c r="I450" s="23">
        <v>1235</v>
      </c>
      <c r="J450" s="23">
        <v>396802</v>
      </c>
      <c r="K450" s="23">
        <v>437639</v>
      </c>
      <c r="L450" s="23">
        <v>23</v>
      </c>
      <c r="M450" s="37">
        <v>2037.8655940000001</v>
      </c>
      <c r="N450" s="31"/>
      <c r="O450" s="32"/>
      <c r="P450" s="38" t="s">
        <v>2315</v>
      </c>
      <c r="Q450" s="39" t="s">
        <v>1680</v>
      </c>
      <c r="R450" s="40">
        <v>2037.8655940000001</v>
      </c>
      <c r="S450" s="29" t="b">
        <f t="shared" si="1"/>
        <v>1</v>
      </c>
      <c r="T450" s="35"/>
    </row>
    <row r="451" spans="1:20">
      <c r="A451" s="22" t="s">
        <v>3615</v>
      </c>
      <c r="B451" s="23" t="s">
        <v>44</v>
      </c>
      <c r="C451" s="23" t="s">
        <v>80</v>
      </c>
      <c r="D451" s="23" t="s">
        <v>3584</v>
      </c>
      <c r="E451" s="36" t="s">
        <v>3616</v>
      </c>
      <c r="F451" s="23" t="s">
        <v>50</v>
      </c>
      <c r="G451" s="23" t="s">
        <v>75</v>
      </c>
      <c r="H451" s="23">
        <v>64892</v>
      </c>
      <c r="I451" s="23">
        <v>214</v>
      </c>
      <c r="J451" s="23">
        <v>34731</v>
      </c>
      <c r="K451" s="23">
        <v>59369</v>
      </c>
      <c r="L451" s="23">
        <v>24</v>
      </c>
      <c r="M451" s="37">
        <v>2096.2855490000002</v>
      </c>
      <c r="N451" s="31"/>
      <c r="O451" s="32"/>
      <c r="P451" s="38" t="s">
        <v>2252</v>
      </c>
      <c r="Q451" s="39" t="s">
        <v>442</v>
      </c>
      <c r="R451" s="40">
        <v>2096.2855490000002</v>
      </c>
      <c r="S451" s="29" t="b">
        <f t="shared" si="1"/>
        <v>1</v>
      </c>
      <c r="T451" s="35"/>
    </row>
    <row r="452" spans="1:20">
      <c r="A452" s="22" t="s">
        <v>3617</v>
      </c>
      <c r="B452" s="23" t="s">
        <v>32</v>
      </c>
      <c r="C452" s="23" t="s">
        <v>80</v>
      </c>
      <c r="D452" s="23" t="s">
        <v>3584</v>
      </c>
      <c r="E452" s="36" t="s">
        <v>3618</v>
      </c>
      <c r="F452" s="23" t="s">
        <v>74</v>
      </c>
      <c r="G452" s="23" t="s">
        <v>39</v>
      </c>
      <c r="H452" s="23">
        <v>12488</v>
      </c>
      <c r="I452" s="23">
        <v>99</v>
      </c>
      <c r="J452" s="23">
        <v>4021</v>
      </c>
      <c r="K452" s="23">
        <v>11403</v>
      </c>
      <c r="L452" s="23">
        <v>4</v>
      </c>
      <c r="M452" s="37">
        <v>2176.6574690000002</v>
      </c>
      <c r="N452" s="31"/>
      <c r="O452" s="32"/>
      <c r="P452" s="38" t="s">
        <v>1543</v>
      </c>
      <c r="Q452" s="39" t="s">
        <v>1545</v>
      </c>
      <c r="R452" s="40">
        <v>2176.6574690000002</v>
      </c>
      <c r="S452" s="29" t="b">
        <f t="shared" si="1"/>
        <v>1</v>
      </c>
      <c r="T452" s="35"/>
    </row>
    <row r="453" spans="1:20">
      <c r="A453" s="22" t="s">
        <v>3619</v>
      </c>
      <c r="B453" s="23" t="s">
        <v>44</v>
      </c>
      <c r="C453" s="23" t="s">
        <v>62</v>
      </c>
      <c r="D453" s="23" t="s">
        <v>3584</v>
      </c>
      <c r="E453" s="36" t="s">
        <v>3620</v>
      </c>
      <c r="F453" s="23" t="s">
        <v>50</v>
      </c>
      <c r="G453" s="23" t="s">
        <v>75</v>
      </c>
      <c r="H453" s="23">
        <v>16142</v>
      </c>
      <c r="I453" s="23">
        <v>30</v>
      </c>
      <c r="J453" s="23">
        <v>7064</v>
      </c>
      <c r="K453" s="23">
        <v>15433</v>
      </c>
      <c r="L453" s="23">
        <v>5</v>
      </c>
      <c r="M453" s="37">
        <v>2209.6509569999998</v>
      </c>
      <c r="N453" s="31"/>
      <c r="O453" s="32"/>
      <c r="P453" s="38" t="s">
        <v>1341</v>
      </c>
      <c r="Q453" s="39" t="s">
        <v>1343</v>
      </c>
      <c r="R453" s="40">
        <v>2209.6509569999998</v>
      </c>
      <c r="S453" s="29" t="b">
        <f t="shared" si="1"/>
        <v>1</v>
      </c>
      <c r="T453" s="35"/>
    </row>
    <row r="454" spans="1:20">
      <c r="A454" s="22" t="s">
        <v>3621</v>
      </c>
      <c r="B454" s="23" t="s">
        <v>32</v>
      </c>
      <c r="C454" s="23" t="s">
        <v>34</v>
      </c>
      <c r="D454" s="23" t="s">
        <v>3584</v>
      </c>
      <c r="E454" s="36" t="s">
        <v>3622</v>
      </c>
      <c r="F454" s="23" t="s">
        <v>50</v>
      </c>
      <c r="G454" s="23" t="s">
        <v>39</v>
      </c>
      <c r="H454" s="23">
        <v>58738</v>
      </c>
      <c r="I454" s="23">
        <v>165</v>
      </c>
      <c r="J454" s="23">
        <v>33538</v>
      </c>
      <c r="K454" s="23">
        <v>47535</v>
      </c>
      <c r="L454" s="23">
        <v>14</v>
      </c>
      <c r="M454" s="37">
        <v>2801.584386</v>
      </c>
      <c r="N454" s="31"/>
      <c r="O454" s="32"/>
      <c r="P454" s="38" t="s">
        <v>1919</v>
      </c>
      <c r="Q454" s="39" t="s">
        <v>1922</v>
      </c>
      <c r="R454" s="40">
        <v>2801.584386</v>
      </c>
      <c r="S454" s="29" t="b">
        <f t="shared" si="1"/>
        <v>1</v>
      </c>
      <c r="T454" s="35"/>
    </row>
    <row r="455" spans="1:20">
      <c r="A455" s="22" t="s">
        <v>3623</v>
      </c>
      <c r="B455" s="23" t="s">
        <v>32</v>
      </c>
      <c r="C455" s="23" t="s">
        <v>62</v>
      </c>
      <c r="D455" s="23" t="s">
        <v>3584</v>
      </c>
      <c r="E455" s="36" t="s">
        <v>3624</v>
      </c>
      <c r="F455" s="23" t="s">
        <v>725</v>
      </c>
      <c r="G455" s="23" t="s">
        <v>39</v>
      </c>
      <c r="H455" s="23">
        <v>10386</v>
      </c>
      <c r="I455" s="23">
        <v>65</v>
      </c>
      <c r="J455" s="23">
        <v>5876</v>
      </c>
      <c r="K455" s="23">
        <v>10048</v>
      </c>
      <c r="L455" s="23">
        <v>15</v>
      </c>
      <c r="M455" s="37">
        <v>4439.8380639999996</v>
      </c>
      <c r="N455" s="31"/>
      <c r="O455" s="32"/>
      <c r="P455" s="38" t="s">
        <v>722</v>
      </c>
      <c r="Q455" s="39" t="s">
        <v>302</v>
      </c>
      <c r="R455" s="40">
        <v>4439.8380639999996</v>
      </c>
      <c r="S455" s="29" t="b">
        <f t="shared" si="1"/>
        <v>1</v>
      </c>
      <c r="T455" s="35"/>
    </row>
    <row r="456" spans="1:20">
      <c r="A456" s="22" t="s">
        <v>3625</v>
      </c>
      <c r="B456" s="23" t="s">
        <v>44</v>
      </c>
      <c r="C456" s="23" t="s">
        <v>80</v>
      </c>
      <c r="D456" s="23" t="s">
        <v>3584</v>
      </c>
      <c r="E456" s="36" t="s">
        <v>3626</v>
      </c>
      <c r="F456" s="23" t="s">
        <v>50</v>
      </c>
      <c r="G456" s="23" t="s">
        <v>75</v>
      </c>
      <c r="H456" s="23">
        <v>69239</v>
      </c>
      <c r="I456" s="23">
        <v>160</v>
      </c>
      <c r="J456" s="23">
        <v>23112</v>
      </c>
      <c r="K456" s="23">
        <v>65390</v>
      </c>
      <c r="L456" s="23">
        <v>1</v>
      </c>
      <c r="M456" s="37">
        <v>4514.9527239999998</v>
      </c>
      <c r="N456" s="31"/>
      <c r="O456" s="32"/>
      <c r="P456" s="38" t="s">
        <v>324</v>
      </c>
      <c r="Q456" s="39" t="s">
        <v>328</v>
      </c>
      <c r="R456" s="40">
        <v>4514.9527239999998</v>
      </c>
      <c r="S456" s="29" t="b">
        <f t="shared" si="1"/>
        <v>1</v>
      </c>
      <c r="T456" s="35"/>
    </row>
    <row r="457" spans="1:20">
      <c r="A457" s="22" t="s">
        <v>3627</v>
      </c>
      <c r="B457" s="23" t="s">
        <v>44</v>
      </c>
      <c r="C457" s="23" t="s">
        <v>46</v>
      </c>
      <c r="D457" s="23" t="s">
        <v>3584</v>
      </c>
      <c r="E457" s="36" t="s">
        <v>3628</v>
      </c>
      <c r="F457" s="23" t="s">
        <v>50</v>
      </c>
      <c r="G457" s="23" t="s">
        <v>39</v>
      </c>
      <c r="H457" s="23">
        <v>23983</v>
      </c>
      <c r="I457" s="23">
        <v>0</v>
      </c>
      <c r="J457" s="23">
        <v>464</v>
      </c>
      <c r="K457" s="23">
        <v>19802</v>
      </c>
      <c r="L457" s="23">
        <v>9</v>
      </c>
      <c r="M457" s="37">
        <v>4574.3482700000004</v>
      </c>
      <c r="N457" s="31"/>
      <c r="O457" s="32"/>
      <c r="P457" s="38" t="s">
        <v>3629</v>
      </c>
      <c r="Q457" s="39" t="s">
        <v>2391</v>
      </c>
      <c r="R457" s="40">
        <v>4574.3482700000004</v>
      </c>
      <c r="S457" s="29" t="b">
        <f t="shared" si="1"/>
        <v>1</v>
      </c>
      <c r="T457" s="35"/>
    </row>
    <row r="458" spans="1:20">
      <c r="A458" s="22" t="s">
        <v>3630</v>
      </c>
      <c r="B458" s="23" t="s">
        <v>44</v>
      </c>
      <c r="C458" s="23" t="s">
        <v>34</v>
      </c>
      <c r="D458" s="23" t="s">
        <v>3584</v>
      </c>
      <c r="E458" s="36" t="s">
        <v>3631</v>
      </c>
      <c r="F458" s="23" t="s">
        <v>50</v>
      </c>
      <c r="G458" s="23" t="s">
        <v>64</v>
      </c>
      <c r="H458" s="23">
        <v>47394</v>
      </c>
      <c r="I458" s="23">
        <v>184</v>
      </c>
      <c r="J458" s="23">
        <v>22712</v>
      </c>
      <c r="K458" s="23">
        <v>41918</v>
      </c>
      <c r="L458" s="23">
        <v>24</v>
      </c>
      <c r="M458" s="37">
        <v>4701.4962370000003</v>
      </c>
      <c r="N458" s="31"/>
      <c r="O458" s="32"/>
      <c r="P458" s="38" t="s">
        <v>1088</v>
      </c>
      <c r="Q458" s="39" t="s">
        <v>1090</v>
      </c>
      <c r="R458" s="40">
        <v>4701.4962370000003</v>
      </c>
      <c r="S458" s="29" t="b">
        <f t="shared" si="1"/>
        <v>1</v>
      </c>
      <c r="T458" s="35"/>
    </row>
    <row r="459" spans="1:20">
      <c r="A459" s="22" t="s">
        <v>3632</v>
      </c>
      <c r="B459" s="23" t="s">
        <v>44</v>
      </c>
      <c r="C459" s="23" t="s">
        <v>62</v>
      </c>
      <c r="D459" s="23" t="s">
        <v>3584</v>
      </c>
      <c r="E459" s="36" t="s">
        <v>3633</v>
      </c>
      <c r="F459" s="23" t="s">
        <v>50</v>
      </c>
      <c r="G459" s="23" t="s">
        <v>39</v>
      </c>
      <c r="H459" s="23">
        <v>9273</v>
      </c>
      <c r="I459" s="23">
        <v>70</v>
      </c>
      <c r="J459" s="23">
        <v>4648</v>
      </c>
      <c r="K459" s="23">
        <v>8751</v>
      </c>
      <c r="L459" s="23">
        <v>5</v>
      </c>
      <c r="M459" s="37">
        <v>4986.51937</v>
      </c>
      <c r="N459" s="31"/>
      <c r="O459" s="32"/>
      <c r="P459" s="38" t="s">
        <v>361</v>
      </c>
      <c r="Q459" s="39" t="s">
        <v>211</v>
      </c>
      <c r="R459" s="40">
        <v>4986.51937</v>
      </c>
      <c r="S459" s="29" t="b">
        <f t="shared" si="1"/>
        <v>1</v>
      </c>
      <c r="T459" s="35"/>
    </row>
    <row r="460" spans="1:20">
      <c r="A460" s="22" t="s">
        <v>3634</v>
      </c>
      <c r="B460" s="23" t="s">
        <v>44</v>
      </c>
      <c r="C460" s="23" t="s">
        <v>62</v>
      </c>
      <c r="D460" s="23" t="s">
        <v>3584</v>
      </c>
      <c r="E460" s="36" t="s">
        <v>3635</v>
      </c>
      <c r="F460" s="23" t="s">
        <v>131</v>
      </c>
      <c r="G460" s="23" t="s">
        <v>39</v>
      </c>
      <c r="H460" s="23">
        <v>61574</v>
      </c>
      <c r="I460" s="23">
        <v>280</v>
      </c>
      <c r="J460" s="23">
        <v>18717</v>
      </c>
      <c r="K460" s="23">
        <v>46367</v>
      </c>
      <c r="L460" s="23">
        <v>8</v>
      </c>
      <c r="M460" s="37">
        <v>4999.6652050000002</v>
      </c>
      <c r="N460" s="31"/>
      <c r="O460" s="32"/>
      <c r="P460" s="38" t="s">
        <v>126</v>
      </c>
      <c r="Q460" s="39" t="s">
        <v>129</v>
      </c>
      <c r="R460" s="40">
        <v>4999.6652050000002</v>
      </c>
      <c r="S460" s="29" t="b">
        <f t="shared" si="1"/>
        <v>1</v>
      </c>
      <c r="T460" s="35"/>
    </row>
    <row r="461" spans="1:20">
      <c r="A461" s="22" t="s">
        <v>3636</v>
      </c>
      <c r="B461" s="23" t="s">
        <v>44</v>
      </c>
      <c r="C461" s="23" t="s">
        <v>34</v>
      </c>
      <c r="D461" s="23" t="s">
        <v>3584</v>
      </c>
      <c r="E461" s="36" t="s">
        <v>3637</v>
      </c>
      <c r="F461" s="23" t="s">
        <v>50</v>
      </c>
      <c r="G461" s="23" t="s">
        <v>39</v>
      </c>
      <c r="H461" s="23">
        <v>14730</v>
      </c>
      <c r="I461" s="23">
        <v>88</v>
      </c>
      <c r="J461" s="23">
        <v>1272</v>
      </c>
      <c r="K461" s="23">
        <v>12427</v>
      </c>
      <c r="L461" s="23">
        <v>3</v>
      </c>
      <c r="M461" s="37">
        <v>5190.5359980000003</v>
      </c>
      <c r="N461" s="31"/>
      <c r="O461" s="32"/>
      <c r="P461" s="38" t="s">
        <v>1614</v>
      </c>
      <c r="Q461" s="39" t="s">
        <v>1592</v>
      </c>
      <c r="R461" s="40">
        <v>5190.5359980000003</v>
      </c>
      <c r="S461" s="29" t="b">
        <f t="shared" si="1"/>
        <v>1</v>
      </c>
      <c r="T461" s="35"/>
    </row>
    <row r="462" spans="1:20">
      <c r="A462" s="22" t="s">
        <v>3638</v>
      </c>
      <c r="B462" s="23" t="s">
        <v>32</v>
      </c>
      <c r="C462" s="23" t="s">
        <v>80</v>
      </c>
      <c r="D462" s="23" t="s">
        <v>3584</v>
      </c>
      <c r="E462" s="36" t="s">
        <v>3639</v>
      </c>
      <c r="F462" s="23" t="s">
        <v>50</v>
      </c>
      <c r="G462" s="23" t="s">
        <v>39</v>
      </c>
      <c r="H462" s="23">
        <v>9533</v>
      </c>
      <c r="I462" s="23">
        <v>66</v>
      </c>
      <c r="J462" s="23">
        <v>6548</v>
      </c>
      <c r="K462" s="23">
        <v>9042</v>
      </c>
      <c r="L462" s="23">
        <v>16</v>
      </c>
      <c r="M462" s="37">
        <v>5574.5435049999996</v>
      </c>
      <c r="N462" s="31"/>
      <c r="O462" s="32"/>
      <c r="P462" s="38" t="s">
        <v>1814</v>
      </c>
      <c r="Q462" s="39" t="s">
        <v>1015</v>
      </c>
      <c r="R462" s="40">
        <v>5574.5435049999996</v>
      </c>
      <c r="S462" s="29" t="b">
        <f t="shared" si="1"/>
        <v>1</v>
      </c>
      <c r="T462" s="35"/>
    </row>
    <row r="463" spans="1:20">
      <c r="A463" s="22" t="s">
        <v>3640</v>
      </c>
      <c r="B463" s="23" t="s">
        <v>32</v>
      </c>
      <c r="C463" s="23" t="s">
        <v>80</v>
      </c>
      <c r="D463" s="23" t="s">
        <v>3584</v>
      </c>
      <c r="E463" s="36" t="s">
        <v>3641</v>
      </c>
      <c r="F463" s="23" t="s">
        <v>74</v>
      </c>
      <c r="G463" s="23" t="s">
        <v>39</v>
      </c>
      <c r="H463" s="23">
        <v>23965</v>
      </c>
      <c r="I463" s="23">
        <v>270</v>
      </c>
      <c r="J463" s="23">
        <v>13608</v>
      </c>
      <c r="K463" s="23">
        <v>21704</v>
      </c>
      <c r="L463" s="23">
        <v>12</v>
      </c>
      <c r="M463" s="37">
        <v>5706.8644169999998</v>
      </c>
      <c r="N463" s="31"/>
      <c r="O463" s="32"/>
      <c r="P463" s="38" t="s">
        <v>1965</v>
      </c>
      <c r="Q463" s="39" t="s">
        <v>1748</v>
      </c>
      <c r="R463" s="40">
        <v>5706.8644169999998</v>
      </c>
      <c r="S463" s="29" t="b">
        <f t="shared" si="1"/>
        <v>1</v>
      </c>
      <c r="T463" s="35"/>
    </row>
    <row r="464" spans="1:20">
      <c r="A464" s="22" t="s">
        <v>3642</v>
      </c>
      <c r="B464" s="23" t="s">
        <v>44</v>
      </c>
      <c r="C464" s="23" t="s">
        <v>62</v>
      </c>
      <c r="D464" s="23" t="s">
        <v>3584</v>
      </c>
      <c r="E464" s="36" t="s">
        <v>3643</v>
      </c>
      <c r="F464" s="23" t="s">
        <v>103</v>
      </c>
      <c r="G464" s="23" t="s">
        <v>64</v>
      </c>
      <c r="H464" s="23">
        <v>29323</v>
      </c>
      <c r="I464" s="23">
        <v>88</v>
      </c>
      <c r="J464" s="23">
        <v>13822</v>
      </c>
      <c r="K464" s="23">
        <v>26934</v>
      </c>
      <c r="L464" s="23">
        <v>9</v>
      </c>
      <c r="M464" s="37">
        <v>6096.045521</v>
      </c>
      <c r="N464" s="31"/>
      <c r="O464" s="32"/>
      <c r="P464" s="38" t="s">
        <v>2302</v>
      </c>
      <c r="Q464" s="39" t="s">
        <v>1232</v>
      </c>
      <c r="R464" s="40">
        <v>6096.045521</v>
      </c>
      <c r="S464" s="29" t="b">
        <f t="shared" si="1"/>
        <v>1</v>
      </c>
      <c r="T464" s="35"/>
    </row>
    <row r="465" spans="1:20">
      <c r="A465" s="22" t="s">
        <v>3644</v>
      </c>
      <c r="B465" s="23" t="s">
        <v>44</v>
      </c>
      <c r="C465" s="23" t="s">
        <v>80</v>
      </c>
      <c r="D465" s="23" t="s">
        <v>3584</v>
      </c>
      <c r="E465" s="36" t="s">
        <v>3645</v>
      </c>
      <c r="F465" s="23" t="s">
        <v>593</v>
      </c>
      <c r="G465" s="23" t="s">
        <v>39</v>
      </c>
      <c r="H465" s="23">
        <v>8000</v>
      </c>
      <c r="I465" s="23">
        <v>10</v>
      </c>
      <c r="J465" s="23">
        <v>4400</v>
      </c>
      <c r="K465" s="23">
        <v>6379</v>
      </c>
      <c r="L465" s="23">
        <v>1</v>
      </c>
      <c r="M465" s="37">
        <v>6159.3669019999998</v>
      </c>
      <c r="N465" s="31"/>
      <c r="O465" s="32"/>
      <c r="P465" s="38" t="s">
        <v>2060</v>
      </c>
      <c r="Q465" s="39" t="s">
        <v>586</v>
      </c>
      <c r="R465" s="40">
        <v>6159.3669019999998</v>
      </c>
      <c r="S465" s="29" t="b">
        <f t="shared" si="1"/>
        <v>1</v>
      </c>
      <c r="T465" s="35"/>
    </row>
    <row r="466" spans="1:20">
      <c r="A466" s="22" t="s">
        <v>3646</v>
      </c>
      <c r="B466" s="23" t="s">
        <v>123</v>
      </c>
      <c r="C466" s="23" t="s">
        <v>62</v>
      </c>
      <c r="D466" s="23" t="s">
        <v>3584</v>
      </c>
      <c r="E466" s="36" t="s">
        <v>3647</v>
      </c>
      <c r="F466" s="23" t="s">
        <v>50</v>
      </c>
      <c r="G466" s="23" t="s">
        <v>39</v>
      </c>
      <c r="H466" s="23">
        <v>14137</v>
      </c>
      <c r="I466" s="23">
        <v>44</v>
      </c>
      <c r="J466" s="23">
        <v>9300</v>
      </c>
      <c r="K466" s="23">
        <v>13110</v>
      </c>
      <c r="L466" s="23">
        <v>8</v>
      </c>
      <c r="M466" s="37">
        <v>6345.4603379999999</v>
      </c>
      <c r="N466" s="31"/>
      <c r="O466" s="32"/>
      <c r="P466" s="38" t="s">
        <v>1046</v>
      </c>
      <c r="Q466" s="39" t="s">
        <v>1049</v>
      </c>
      <c r="R466" s="40">
        <v>6345.4603379999999</v>
      </c>
      <c r="S466" s="29" t="b">
        <f t="shared" si="1"/>
        <v>1</v>
      </c>
      <c r="T466" s="35"/>
    </row>
    <row r="467" spans="1:20">
      <c r="A467" s="22" t="s">
        <v>3648</v>
      </c>
      <c r="B467" s="23" t="s">
        <v>32</v>
      </c>
      <c r="C467" s="23" t="s">
        <v>80</v>
      </c>
      <c r="D467" s="23" t="s">
        <v>3584</v>
      </c>
      <c r="E467" s="36" t="s">
        <v>3649</v>
      </c>
      <c r="F467" s="23" t="s">
        <v>118</v>
      </c>
      <c r="G467" s="23" t="s">
        <v>39</v>
      </c>
      <c r="H467" s="23">
        <v>11919</v>
      </c>
      <c r="I467" s="23">
        <v>69</v>
      </c>
      <c r="J467" s="23">
        <v>8100</v>
      </c>
      <c r="K467" s="23">
        <v>11524</v>
      </c>
      <c r="L467" s="23">
        <v>2</v>
      </c>
      <c r="M467" s="37">
        <v>6350.916905</v>
      </c>
      <c r="N467" s="31"/>
      <c r="O467" s="32"/>
      <c r="P467" s="38" t="s">
        <v>113</v>
      </c>
      <c r="Q467" s="39" t="s">
        <v>116</v>
      </c>
      <c r="R467" s="40">
        <v>6350.916905</v>
      </c>
      <c r="S467" s="29" t="b">
        <f t="shared" si="1"/>
        <v>1</v>
      </c>
      <c r="T467" s="35"/>
    </row>
    <row r="468" spans="1:20">
      <c r="A468" s="22" t="s">
        <v>3650</v>
      </c>
      <c r="B468" s="23" t="s">
        <v>32</v>
      </c>
      <c r="C468" s="23" t="s">
        <v>46</v>
      </c>
      <c r="D468" s="23" t="s">
        <v>3584</v>
      </c>
      <c r="E468" s="36" t="s">
        <v>3651</v>
      </c>
      <c r="F468" s="23" t="s">
        <v>50</v>
      </c>
      <c r="G468" s="23" t="s">
        <v>39</v>
      </c>
      <c r="H468" s="23">
        <v>39844</v>
      </c>
      <c r="I468" s="23">
        <v>99</v>
      </c>
      <c r="J468" s="23">
        <v>11077</v>
      </c>
      <c r="K468" s="23">
        <v>30190</v>
      </c>
      <c r="L468" s="23">
        <v>9</v>
      </c>
      <c r="M468" s="37">
        <v>6367.8699290000004</v>
      </c>
      <c r="N468" s="31"/>
      <c r="O468" s="32"/>
      <c r="P468" s="38" t="s">
        <v>1576</v>
      </c>
      <c r="Q468" s="39" t="s">
        <v>307</v>
      </c>
      <c r="R468" s="40">
        <v>6367.8699290000004</v>
      </c>
      <c r="S468" s="29" t="b">
        <f t="shared" si="1"/>
        <v>1</v>
      </c>
      <c r="T468" s="35"/>
    </row>
    <row r="469" spans="1:20">
      <c r="A469" s="22" t="s">
        <v>3652</v>
      </c>
      <c r="B469" s="23" t="s">
        <v>123</v>
      </c>
      <c r="C469" s="23" t="s">
        <v>46</v>
      </c>
      <c r="D469" s="23" t="s">
        <v>3584</v>
      </c>
      <c r="E469" s="36" t="s">
        <v>3653</v>
      </c>
      <c r="F469" s="23" t="s">
        <v>131</v>
      </c>
      <c r="G469" s="23" t="s">
        <v>39</v>
      </c>
      <c r="H469" s="23">
        <v>23488</v>
      </c>
      <c r="I469" s="23">
        <v>75</v>
      </c>
      <c r="J469" s="23">
        <v>4620</v>
      </c>
      <c r="K469" s="23">
        <v>22254</v>
      </c>
      <c r="L469" s="23">
        <v>9</v>
      </c>
      <c r="M469" s="37">
        <v>6667.727715</v>
      </c>
      <c r="N469" s="31"/>
      <c r="O469" s="32"/>
      <c r="P469" s="38" t="s">
        <v>1628</v>
      </c>
      <c r="Q469" s="39" t="s">
        <v>1630</v>
      </c>
      <c r="R469" s="40">
        <v>6667.727715</v>
      </c>
      <c r="S469" s="29" t="b">
        <f t="shared" si="1"/>
        <v>1</v>
      </c>
      <c r="T469" s="35"/>
    </row>
    <row r="470" spans="1:20">
      <c r="A470" s="22" t="s">
        <v>3654</v>
      </c>
      <c r="B470" s="23" t="s">
        <v>32</v>
      </c>
      <c r="C470" s="23" t="s">
        <v>34</v>
      </c>
      <c r="D470" s="23" t="s">
        <v>3584</v>
      </c>
      <c r="E470" s="36" t="s">
        <v>3655</v>
      </c>
      <c r="F470" s="23" t="s">
        <v>50</v>
      </c>
      <c r="G470" s="23" t="s">
        <v>39</v>
      </c>
      <c r="H470" s="23">
        <v>18633</v>
      </c>
      <c r="I470" s="23">
        <v>60</v>
      </c>
      <c r="J470" s="23">
        <v>9424</v>
      </c>
      <c r="K470" s="23">
        <v>18087</v>
      </c>
      <c r="L470" s="23">
        <v>15</v>
      </c>
      <c r="M470" s="37">
        <v>6785.0632930000002</v>
      </c>
      <c r="N470" s="31"/>
      <c r="O470" s="32"/>
      <c r="P470" s="38" t="s">
        <v>1359</v>
      </c>
      <c r="Q470" s="39" t="s">
        <v>263</v>
      </c>
      <c r="R470" s="40">
        <v>6785.0632930000002</v>
      </c>
      <c r="S470" s="29" t="b">
        <f t="shared" si="1"/>
        <v>1</v>
      </c>
      <c r="T470" s="35"/>
    </row>
    <row r="471" spans="1:20">
      <c r="A471" s="22" t="s">
        <v>3656</v>
      </c>
      <c r="B471" s="23" t="s">
        <v>44</v>
      </c>
      <c r="C471" s="23" t="s">
        <v>62</v>
      </c>
      <c r="D471" s="23" t="s">
        <v>3584</v>
      </c>
      <c r="E471" s="36" t="s">
        <v>3657</v>
      </c>
      <c r="F471" s="23" t="s">
        <v>103</v>
      </c>
      <c r="G471" s="23" t="s">
        <v>39</v>
      </c>
      <c r="H471" s="23">
        <v>7229</v>
      </c>
      <c r="I471" s="23">
        <v>20</v>
      </c>
      <c r="J471" s="23">
        <v>5668</v>
      </c>
      <c r="K471" s="23">
        <v>6760</v>
      </c>
      <c r="L471" s="23">
        <v>3</v>
      </c>
      <c r="M471" s="37">
        <v>6812.588702</v>
      </c>
      <c r="N471" s="31"/>
      <c r="O471" s="32"/>
      <c r="P471" s="38" t="s">
        <v>2259</v>
      </c>
      <c r="Q471" s="39" t="s">
        <v>2261</v>
      </c>
      <c r="R471" s="40">
        <v>6812.588702</v>
      </c>
      <c r="S471" s="29" t="b">
        <f t="shared" si="1"/>
        <v>1</v>
      </c>
      <c r="T471" s="35"/>
    </row>
    <row r="472" spans="1:20">
      <c r="A472" s="22" t="s">
        <v>3658</v>
      </c>
      <c r="B472" s="23" t="s">
        <v>44</v>
      </c>
      <c r="C472" s="23" t="s">
        <v>80</v>
      </c>
      <c r="D472" s="23" t="s">
        <v>3584</v>
      </c>
      <c r="E472" s="36" t="s">
        <v>3659</v>
      </c>
      <c r="F472" s="23" t="s">
        <v>725</v>
      </c>
      <c r="G472" s="23" t="s">
        <v>64</v>
      </c>
      <c r="H472" s="23">
        <v>10066</v>
      </c>
      <c r="I472" s="23">
        <v>63</v>
      </c>
      <c r="J472" s="23">
        <v>6978</v>
      </c>
      <c r="K472" s="23">
        <v>9369</v>
      </c>
      <c r="L472" s="23">
        <v>19</v>
      </c>
      <c r="M472" s="37">
        <v>6879.5870969999996</v>
      </c>
      <c r="N472" s="31"/>
      <c r="O472" s="32"/>
      <c r="P472" s="38" t="s">
        <v>926</v>
      </c>
      <c r="Q472" s="39" t="s">
        <v>928</v>
      </c>
      <c r="R472" s="40">
        <v>6879.5870969999996</v>
      </c>
      <c r="S472" s="29" t="b">
        <f t="shared" si="1"/>
        <v>1</v>
      </c>
      <c r="T472" s="35"/>
    </row>
    <row r="473" spans="1:20">
      <c r="A473" s="22" t="s">
        <v>3660</v>
      </c>
      <c r="B473" s="23" t="s">
        <v>32</v>
      </c>
      <c r="C473" s="23" t="s">
        <v>34</v>
      </c>
      <c r="D473" s="23" t="s">
        <v>3584</v>
      </c>
      <c r="E473" s="36" t="s">
        <v>3661</v>
      </c>
      <c r="F473" s="23" t="s">
        <v>50</v>
      </c>
      <c r="G473" s="23" t="s">
        <v>39</v>
      </c>
      <c r="H473" s="23">
        <v>15326</v>
      </c>
      <c r="I473" s="23">
        <v>68</v>
      </c>
      <c r="J473" s="23">
        <v>7941</v>
      </c>
      <c r="K473" s="23">
        <v>14331</v>
      </c>
      <c r="L473" s="23">
        <v>8</v>
      </c>
      <c r="M473" s="37">
        <v>6943.5158240000001</v>
      </c>
      <c r="N473" s="31"/>
      <c r="O473" s="32"/>
      <c r="P473" s="38" t="s">
        <v>837</v>
      </c>
      <c r="Q473" s="39" t="s">
        <v>307</v>
      </c>
      <c r="R473" s="40">
        <v>6943.5158240000001</v>
      </c>
      <c r="S473" s="29" t="b">
        <f t="shared" si="1"/>
        <v>1</v>
      </c>
      <c r="T473" s="35"/>
    </row>
    <row r="474" spans="1:20">
      <c r="A474" s="22" t="s">
        <v>3662</v>
      </c>
      <c r="B474" s="23" t="s">
        <v>44</v>
      </c>
      <c r="C474" s="23" t="s">
        <v>62</v>
      </c>
      <c r="D474" s="23" t="s">
        <v>3584</v>
      </c>
      <c r="E474" s="36" t="s">
        <v>3663</v>
      </c>
      <c r="F474" s="23" t="s">
        <v>2749</v>
      </c>
      <c r="G474" s="23" t="s">
        <v>39</v>
      </c>
      <c r="H474" s="23">
        <v>569171</v>
      </c>
      <c r="I474" s="23">
        <v>1354</v>
      </c>
      <c r="J474" s="23">
        <v>343050</v>
      </c>
      <c r="K474" s="23">
        <v>541133</v>
      </c>
      <c r="L474" s="23">
        <v>78</v>
      </c>
      <c r="M474" s="37">
        <v>7129.6332869999997</v>
      </c>
      <c r="N474" s="31"/>
      <c r="O474" s="32"/>
      <c r="P474" s="38" t="s">
        <v>965</v>
      </c>
      <c r="Q474" s="39" t="s">
        <v>967</v>
      </c>
      <c r="R474" s="40">
        <v>7129.6332869999997</v>
      </c>
      <c r="S474" s="29" t="b">
        <f t="shared" si="1"/>
        <v>1</v>
      </c>
      <c r="T474" s="35"/>
    </row>
    <row r="475" spans="1:20">
      <c r="A475" s="22" t="s">
        <v>3664</v>
      </c>
      <c r="B475" s="23" t="s">
        <v>32</v>
      </c>
      <c r="C475" s="23" t="s">
        <v>62</v>
      </c>
      <c r="D475" s="23" t="s">
        <v>3584</v>
      </c>
      <c r="E475" s="36" t="s">
        <v>3665</v>
      </c>
      <c r="F475" s="23" t="s">
        <v>50</v>
      </c>
      <c r="G475" s="23" t="s">
        <v>39</v>
      </c>
      <c r="H475" s="23">
        <v>22690</v>
      </c>
      <c r="I475" s="23">
        <v>68</v>
      </c>
      <c r="J475" s="23">
        <v>10212</v>
      </c>
      <c r="K475" s="23">
        <v>19934</v>
      </c>
      <c r="L475" s="23">
        <v>19</v>
      </c>
      <c r="M475" s="37">
        <v>7210.686506</v>
      </c>
      <c r="N475" s="31"/>
      <c r="O475" s="32"/>
      <c r="P475" s="38" t="s">
        <v>2194</v>
      </c>
      <c r="Q475" s="39" t="s">
        <v>2196</v>
      </c>
      <c r="R475" s="40">
        <v>7210.686506</v>
      </c>
      <c r="S475" s="29" t="b">
        <f t="shared" si="1"/>
        <v>1</v>
      </c>
      <c r="T475" s="35"/>
    </row>
    <row r="476" spans="1:20">
      <c r="A476" s="22" t="s">
        <v>3666</v>
      </c>
      <c r="B476" s="23" t="s">
        <v>44</v>
      </c>
      <c r="C476" s="23" t="s">
        <v>80</v>
      </c>
      <c r="D476" s="23" t="s">
        <v>3584</v>
      </c>
      <c r="E476" s="36" t="s">
        <v>3667</v>
      </c>
      <c r="F476" s="23" t="s">
        <v>50</v>
      </c>
      <c r="G476" s="23" t="s">
        <v>39</v>
      </c>
      <c r="H476" s="23">
        <v>224877</v>
      </c>
      <c r="I476" s="23">
        <v>805</v>
      </c>
      <c r="J476" s="23">
        <v>121175</v>
      </c>
      <c r="K476" s="23">
        <v>213280</v>
      </c>
      <c r="L476" s="23">
        <v>11</v>
      </c>
      <c r="M476" s="37">
        <v>7360.9929689999999</v>
      </c>
      <c r="N476" s="31"/>
      <c r="O476" s="32"/>
      <c r="P476" s="38" t="s">
        <v>889</v>
      </c>
      <c r="Q476" s="39" t="s">
        <v>457</v>
      </c>
      <c r="R476" s="40">
        <v>7360.9929689999999</v>
      </c>
      <c r="S476" s="29" t="b">
        <f t="shared" si="1"/>
        <v>1</v>
      </c>
      <c r="T476" s="35"/>
    </row>
    <row r="477" spans="1:20">
      <c r="A477" s="22" t="s">
        <v>3668</v>
      </c>
      <c r="B477" s="23" t="s">
        <v>32</v>
      </c>
      <c r="C477" s="23" t="s">
        <v>46</v>
      </c>
      <c r="D477" s="23" t="s">
        <v>3584</v>
      </c>
      <c r="E477" s="36" t="s">
        <v>3669</v>
      </c>
      <c r="F477" s="23" t="s">
        <v>74</v>
      </c>
      <c r="G477" s="23" t="s">
        <v>39</v>
      </c>
      <c r="H477" s="23">
        <v>458931</v>
      </c>
      <c r="I477" s="23">
        <v>974</v>
      </c>
      <c r="J477" s="23">
        <v>264325</v>
      </c>
      <c r="K477" s="23">
        <v>378011</v>
      </c>
      <c r="L477" s="23">
        <v>30</v>
      </c>
      <c r="M477" s="37">
        <v>7462.6779349999997</v>
      </c>
      <c r="N477" s="31"/>
      <c r="O477" s="32"/>
      <c r="P477" s="38" t="s">
        <v>1935</v>
      </c>
      <c r="Q477" s="39" t="s">
        <v>1937</v>
      </c>
      <c r="R477" s="40">
        <v>7462.6779349999997</v>
      </c>
      <c r="S477" s="29" t="b">
        <f t="shared" si="1"/>
        <v>1</v>
      </c>
      <c r="T477" s="35"/>
    </row>
    <row r="478" spans="1:20">
      <c r="A478" s="22" t="s">
        <v>3670</v>
      </c>
      <c r="B478" s="23" t="s">
        <v>32</v>
      </c>
      <c r="C478" s="23" t="s">
        <v>46</v>
      </c>
      <c r="D478" s="23" t="s">
        <v>3584</v>
      </c>
      <c r="E478" s="36" t="s">
        <v>3671</v>
      </c>
      <c r="F478" s="23" t="s">
        <v>2749</v>
      </c>
      <c r="G478" s="23" t="s">
        <v>39</v>
      </c>
      <c r="H478" s="23">
        <v>183230</v>
      </c>
      <c r="I478" s="23">
        <v>666</v>
      </c>
      <c r="J478" s="23">
        <v>155260</v>
      </c>
      <c r="K478" s="23">
        <v>169583</v>
      </c>
      <c r="L478" s="23">
        <v>34</v>
      </c>
      <c r="M478" s="37">
        <v>7863.469709</v>
      </c>
      <c r="N478" s="31"/>
      <c r="O478" s="32"/>
      <c r="P478" s="38" t="s">
        <v>1375</v>
      </c>
      <c r="Q478" s="39" t="s">
        <v>814</v>
      </c>
      <c r="R478" s="40">
        <v>7863.469709</v>
      </c>
      <c r="S478" s="29" t="b">
        <f t="shared" si="1"/>
        <v>1</v>
      </c>
      <c r="T478" s="35"/>
    </row>
    <row r="479" spans="1:20">
      <c r="A479" s="22" t="s">
        <v>3672</v>
      </c>
      <c r="B479" s="23" t="s">
        <v>44</v>
      </c>
      <c r="C479" s="23" t="s">
        <v>34</v>
      </c>
      <c r="D479" s="23" t="s">
        <v>3673</v>
      </c>
      <c r="E479" s="36" t="s">
        <v>3674</v>
      </c>
      <c r="F479" s="23" t="s">
        <v>50</v>
      </c>
      <c r="G479" s="23" t="s">
        <v>39</v>
      </c>
      <c r="H479" s="23">
        <v>9404</v>
      </c>
      <c r="I479" s="23">
        <v>30</v>
      </c>
      <c r="J479" s="23">
        <v>4781</v>
      </c>
      <c r="K479" s="23">
        <v>7943</v>
      </c>
      <c r="L479" s="23">
        <v>4</v>
      </c>
      <c r="M479" s="37">
        <v>1345.3689999999999</v>
      </c>
      <c r="N479" s="31"/>
      <c r="O479" s="32"/>
      <c r="P479" s="38" t="s">
        <v>1239</v>
      </c>
      <c r="Q479" s="39" t="s">
        <v>1240</v>
      </c>
      <c r="R479" s="40">
        <v>1345.3689999999999</v>
      </c>
      <c r="S479" s="29" t="b">
        <f t="shared" si="1"/>
        <v>1</v>
      </c>
      <c r="T479" s="35"/>
    </row>
    <row r="480" spans="1:20">
      <c r="A480" s="22" t="s">
        <v>3675</v>
      </c>
      <c r="B480" s="23" t="s">
        <v>44</v>
      </c>
      <c r="C480" s="23" t="s">
        <v>34</v>
      </c>
      <c r="D480" s="23" t="s">
        <v>3673</v>
      </c>
      <c r="E480" s="36" t="s">
        <v>3676</v>
      </c>
      <c r="F480" s="23" t="s">
        <v>593</v>
      </c>
      <c r="G480" s="23" t="s">
        <v>39</v>
      </c>
      <c r="H480" s="23">
        <v>13382</v>
      </c>
      <c r="I480" s="23">
        <v>68</v>
      </c>
      <c r="J480" s="23">
        <v>3340</v>
      </c>
      <c r="K480" s="23">
        <v>11662</v>
      </c>
      <c r="L480" s="23">
        <v>1</v>
      </c>
      <c r="M480" s="37">
        <v>1447.927193</v>
      </c>
      <c r="N480" s="31"/>
      <c r="O480" s="32"/>
      <c r="P480" s="38" t="s">
        <v>2224</v>
      </c>
      <c r="Q480" s="39" t="s">
        <v>2226</v>
      </c>
      <c r="R480" s="40">
        <v>1447.927193</v>
      </c>
      <c r="S480" s="29" t="b">
        <f t="shared" si="1"/>
        <v>1</v>
      </c>
      <c r="T480" s="35"/>
    </row>
    <row r="481" spans="1:20">
      <c r="A481" s="22" t="s">
        <v>3677</v>
      </c>
      <c r="B481" s="23" t="s">
        <v>44</v>
      </c>
      <c r="C481" s="23" t="s">
        <v>46</v>
      </c>
      <c r="D481" s="23" t="s">
        <v>3673</v>
      </c>
      <c r="E481" s="36" t="s">
        <v>3678</v>
      </c>
      <c r="F481" s="23" t="s">
        <v>3153</v>
      </c>
      <c r="G481" s="23" t="s">
        <v>64</v>
      </c>
      <c r="H481" s="23">
        <v>18313</v>
      </c>
      <c r="I481" s="23">
        <v>60</v>
      </c>
      <c r="J481" s="23">
        <v>9481</v>
      </c>
      <c r="K481" s="23">
        <v>16300</v>
      </c>
      <c r="L481" s="23">
        <v>4</v>
      </c>
      <c r="M481" s="37">
        <v>1456.9341870000001</v>
      </c>
      <c r="N481" s="31"/>
      <c r="O481" s="32"/>
      <c r="P481" s="38" t="s">
        <v>1492</v>
      </c>
      <c r="Q481" s="39" t="s">
        <v>1495</v>
      </c>
      <c r="R481" s="40">
        <v>1456.9341870000001</v>
      </c>
      <c r="S481" s="29" t="b">
        <f t="shared" si="1"/>
        <v>1</v>
      </c>
      <c r="T481" s="35"/>
    </row>
    <row r="482" spans="1:20">
      <c r="A482" s="22" t="s">
        <v>3679</v>
      </c>
      <c r="B482" s="23" t="s">
        <v>32</v>
      </c>
      <c r="C482" s="23" t="s">
        <v>62</v>
      </c>
      <c r="D482" s="23" t="s">
        <v>3673</v>
      </c>
      <c r="E482" s="36" t="s">
        <v>3680</v>
      </c>
      <c r="F482" s="23" t="s">
        <v>317</v>
      </c>
      <c r="G482" s="23" t="s">
        <v>39</v>
      </c>
      <c r="H482" s="23">
        <v>13655</v>
      </c>
      <c r="I482" s="23">
        <v>66</v>
      </c>
      <c r="J482" s="23">
        <v>9519</v>
      </c>
      <c r="K482" s="23">
        <v>13041</v>
      </c>
      <c r="L482" s="23">
        <v>3</v>
      </c>
      <c r="M482" s="37">
        <v>1475.2451189999999</v>
      </c>
      <c r="N482" s="31"/>
      <c r="O482" s="32"/>
      <c r="P482" s="38" t="s">
        <v>1618</v>
      </c>
      <c r="Q482" s="39" t="s">
        <v>1621</v>
      </c>
      <c r="R482" s="40">
        <v>1475.2451189999999</v>
      </c>
      <c r="S482" s="29" t="b">
        <f t="shared" si="1"/>
        <v>1</v>
      </c>
      <c r="T482" s="35"/>
    </row>
    <row r="483" spans="1:20">
      <c r="A483" s="22" t="s">
        <v>3681</v>
      </c>
      <c r="B483" s="23" t="s">
        <v>32</v>
      </c>
      <c r="C483" s="23" t="s">
        <v>80</v>
      </c>
      <c r="D483" s="23" t="s">
        <v>3673</v>
      </c>
      <c r="E483" s="36" t="s">
        <v>3682</v>
      </c>
      <c r="F483" s="23" t="s">
        <v>693</v>
      </c>
      <c r="G483" s="23" t="s">
        <v>39</v>
      </c>
      <c r="H483" s="23">
        <v>34959</v>
      </c>
      <c r="I483" s="23">
        <v>122</v>
      </c>
      <c r="J483" s="23">
        <v>17511</v>
      </c>
      <c r="K483" s="23">
        <v>31974</v>
      </c>
      <c r="L483" s="23">
        <v>5</v>
      </c>
      <c r="M483" s="37">
        <v>1477.4933570000001</v>
      </c>
      <c r="N483" s="31"/>
      <c r="O483" s="32"/>
      <c r="P483" s="38" t="s">
        <v>689</v>
      </c>
      <c r="Q483" s="39" t="s">
        <v>692</v>
      </c>
      <c r="R483" s="40">
        <v>1477.4933570000001</v>
      </c>
      <c r="S483" s="29" t="b">
        <f t="shared" si="1"/>
        <v>1</v>
      </c>
      <c r="T483" s="35"/>
    </row>
    <row r="484" spans="1:20">
      <c r="A484" s="22" t="s">
        <v>3683</v>
      </c>
      <c r="B484" s="23" t="s">
        <v>32</v>
      </c>
      <c r="C484" s="23" t="s">
        <v>80</v>
      </c>
      <c r="D484" s="23" t="s">
        <v>3673</v>
      </c>
      <c r="E484" s="36" t="s">
        <v>3684</v>
      </c>
      <c r="F484" s="23" t="s">
        <v>186</v>
      </c>
      <c r="G484" s="23" t="s">
        <v>39</v>
      </c>
      <c r="H484" s="23">
        <v>10677</v>
      </c>
      <c r="I484" s="23">
        <v>88</v>
      </c>
      <c r="J484" s="23">
        <v>7247</v>
      </c>
      <c r="K484" s="23">
        <v>10338</v>
      </c>
      <c r="L484" s="23">
        <v>3</v>
      </c>
      <c r="M484" s="37">
        <v>1483.452706</v>
      </c>
      <c r="N484" s="31"/>
      <c r="O484" s="32"/>
      <c r="P484" s="38" t="s">
        <v>1809</v>
      </c>
      <c r="Q484" s="39" t="s">
        <v>232</v>
      </c>
      <c r="R484" s="40">
        <v>1483.452706</v>
      </c>
      <c r="S484" s="29" t="b">
        <f t="shared" si="1"/>
        <v>1</v>
      </c>
      <c r="T484" s="35"/>
    </row>
    <row r="485" spans="1:20">
      <c r="A485" s="22" t="s">
        <v>3685</v>
      </c>
      <c r="B485" s="23" t="s">
        <v>32</v>
      </c>
      <c r="C485" s="23" t="s">
        <v>62</v>
      </c>
      <c r="D485" s="23" t="s">
        <v>3673</v>
      </c>
      <c r="E485" s="36" t="s">
        <v>3686</v>
      </c>
      <c r="F485" s="23" t="s">
        <v>50</v>
      </c>
      <c r="G485" s="23" t="s">
        <v>39</v>
      </c>
      <c r="H485" s="23">
        <v>22163</v>
      </c>
      <c r="I485" s="23">
        <v>55</v>
      </c>
      <c r="J485" s="23">
        <v>2368</v>
      </c>
      <c r="K485" s="23">
        <v>8130</v>
      </c>
      <c r="L485" s="23">
        <v>3</v>
      </c>
      <c r="M485" s="37">
        <v>1493.7793280000001</v>
      </c>
      <c r="N485" s="31"/>
      <c r="O485" s="32"/>
      <c r="P485" s="38" t="s">
        <v>289</v>
      </c>
      <c r="Q485" s="39" t="s">
        <v>294</v>
      </c>
      <c r="R485" s="40">
        <v>1493.7793280000001</v>
      </c>
      <c r="S485" s="29" t="b">
        <f t="shared" si="1"/>
        <v>1</v>
      </c>
      <c r="T485" s="35"/>
    </row>
    <row r="486" spans="1:20">
      <c r="A486" s="22" t="s">
        <v>3687</v>
      </c>
      <c r="B486" s="23" t="s">
        <v>44</v>
      </c>
      <c r="C486" s="23" t="s">
        <v>80</v>
      </c>
      <c r="D486" s="23" t="s">
        <v>3673</v>
      </c>
      <c r="E486" s="36" t="s">
        <v>3688</v>
      </c>
      <c r="F486" s="23" t="s">
        <v>157</v>
      </c>
      <c r="G486" s="23" t="s">
        <v>39</v>
      </c>
      <c r="H486" s="23">
        <v>75161</v>
      </c>
      <c r="I486" s="23">
        <v>280</v>
      </c>
      <c r="J486" s="23">
        <v>40385</v>
      </c>
      <c r="K486" s="23">
        <v>70325</v>
      </c>
      <c r="L486" s="23">
        <v>3</v>
      </c>
      <c r="M486" s="37">
        <v>1506.461108</v>
      </c>
      <c r="N486" s="31"/>
      <c r="O486" s="32"/>
      <c r="P486" s="38" t="s">
        <v>957</v>
      </c>
      <c r="Q486" s="39" t="s">
        <v>959</v>
      </c>
      <c r="R486" s="40">
        <v>1506.461108</v>
      </c>
      <c r="S486" s="29" t="b">
        <f t="shared" si="1"/>
        <v>1</v>
      </c>
      <c r="T486" s="35"/>
    </row>
    <row r="487" spans="1:20">
      <c r="A487" s="22" t="s">
        <v>3689</v>
      </c>
      <c r="B487" s="23" t="s">
        <v>123</v>
      </c>
      <c r="C487" s="23" t="s">
        <v>80</v>
      </c>
      <c r="D487" s="23" t="s">
        <v>3673</v>
      </c>
      <c r="E487" s="36" t="s">
        <v>3690</v>
      </c>
      <c r="F487" s="23" t="s">
        <v>103</v>
      </c>
      <c r="G487" s="23" t="s">
        <v>39</v>
      </c>
      <c r="H487" s="23">
        <v>32400</v>
      </c>
      <c r="I487" s="23">
        <v>87</v>
      </c>
      <c r="J487" s="23">
        <v>5152</v>
      </c>
      <c r="K487" s="23">
        <v>30383</v>
      </c>
      <c r="L487" s="23">
        <v>9</v>
      </c>
      <c r="M487" s="37">
        <v>1522.352623</v>
      </c>
      <c r="N487" s="31"/>
      <c r="O487" s="32"/>
      <c r="P487" s="38" t="s">
        <v>866</v>
      </c>
      <c r="Q487" s="39" t="s">
        <v>868</v>
      </c>
      <c r="R487" s="40">
        <v>1522.352623</v>
      </c>
      <c r="S487" s="29" t="b">
        <f t="shared" si="1"/>
        <v>1</v>
      </c>
      <c r="T487" s="35"/>
    </row>
    <row r="488" spans="1:20">
      <c r="A488" s="22" t="s">
        <v>3691</v>
      </c>
      <c r="B488" s="23" t="s">
        <v>32</v>
      </c>
      <c r="C488" s="23" t="s">
        <v>46</v>
      </c>
      <c r="D488" s="23" t="s">
        <v>3673</v>
      </c>
      <c r="E488" s="36" t="s">
        <v>3692</v>
      </c>
      <c r="F488" s="23" t="s">
        <v>50</v>
      </c>
      <c r="G488" s="23" t="s">
        <v>39</v>
      </c>
      <c r="H488" s="23">
        <v>33069</v>
      </c>
      <c r="I488" s="23">
        <v>140</v>
      </c>
      <c r="J488" s="23">
        <v>17744</v>
      </c>
      <c r="K488" s="23">
        <v>31192</v>
      </c>
      <c r="L488" s="23">
        <v>14</v>
      </c>
      <c r="M488" s="37">
        <v>1543.3106110000001</v>
      </c>
      <c r="N488" s="31"/>
      <c r="O488" s="32"/>
      <c r="P488" s="38" t="s">
        <v>51</v>
      </c>
      <c r="Q488" s="39" t="s">
        <v>55</v>
      </c>
      <c r="R488" s="40">
        <v>1543.3106110000001</v>
      </c>
      <c r="S488" s="29" t="b">
        <f t="shared" si="1"/>
        <v>1</v>
      </c>
      <c r="T488" s="35"/>
    </row>
    <row r="489" spans="1:20">
      <c r="A489" s="22" t="s">
        <v>3693</v>
      </c>
      <c r="B489" s="23" t="s">
        <v>44</v>
      </c>
      <c r="C489" s="23" t="s">
        <v>62</v>
      </c>
      <c r="D489" s="23" t="s">
        <v>3673</v>
      </c>
      <c r="E489" s="36" t="s">
        <v>3694</v>
      </c>
      <c r="F489" s="23" t="s">
        <v>50</v>
      </c>
      <c r="G489" s="23" t="s">
        <v>39</v>
      </c>
      <c r="H489" s="23">
        <v>312206</v>
      </c>
      <c r="I489" s="23">
        <v>841</v>
      </c>
      <c r="J489" s="23">
        <v>35661</v>
      </c>
      <c r="K489" s="23">
        <v>292992</v>
      </c>
      <c r="L489" s="23">
        <v>5</v>
      </c>
      <c r="M489" s="37">
        <v>1550.938318</v>
      </c>
      <c r="N489" s="31"/>
      <c r="O489" s="32"/>
      <c r="P489" s="38" t="s">
        <v>1798</v>
      </c>
      <c r="Q489" s="39" t="s">
        <v>663</v>
      </c>
      <c r="R489" s="40">
        <v>1550.938318</v>
      </c>
      <c r="S489" s="29" t="b">
        <f t="shared" si="1"/>
        <v>1</v>
      </c>
      <c r="T489" s="35"/>
    </row>
    <row r="490" spans="1:20">
      <c r="A490" s="22" t="s">
        <v>3695</v>
      </c>
      <c r="B490" s="23" t="s">
        <v>32</v>
      </c>
      <c r="C490" s="23" t="s">
        <v>80</v>
      </c>
      <c r="D490" s="23" t="s">
        <v>3673</v>
      </c>
      <c r="E490" s="36" t="s">
        <v>3696</v>
      </c>
      <c r="F490" s="23" t="s">
        <v>103</v>
      </c>
      <c r="G490" s="23" t="s">
        <v>39</v>
      </c>
      <c r="H490" s="23">
        <v>15318</v>
      </c>
      <c r="I490" s="23">
        <v>30</v>
      </c>
      <c r="J490" s="23">
        <v>5928</v>
      </c>
      <c r="K490" s="23">
        <v>13298</v>
      </c>
      <c r="L490" s="23">
        <v>19</v>
      </c>
      <c r="M490" s="37">
        <v>1570.29739</v>
      </c>
      <c r="N490" s="31"/>
      <c r="O490" s="32"/>
      <c r="P490" s="38" t="s">
        <v>2085</v>
      </c>
      <c r="Q490" s="39" t="s">
        <v>2027</v>
      </c>
      <c r="R490" s="40">
        <v>1570.29739</v>
      </c>
      <c r="S490" s="29" t="b">
        <f t="shared" si="1"/>
        <v>1</v>
      </c>
      <c r="T490" s="35"/>
    </row>
    <row r="491" spans="1:20">
      <c r="A491" s="22" t="s">
        <v>3697</v>
      </c>
      <c r="B491" s="23" t="s">
        <v>44</v>
      </c>
      <c r="C491" s="23" t="s">
        <v>46</v>
      </c>
      <c r="D491" s="23" t="s">
        <v>3673</v>
      </c>
      <c r="E491" s="36" t="s">
        <v>3698</v>
      </c>
      <c r="F491" s="23" t="s">
        <v>103</v>
      </c>
      <c r="G491" s="23" t="s">
        <v>64</v>
      </c>
      <c r="H491" s="23">
        <v>18028</v>
      </c>
      <c r="I491" s="23">
        <v>89</v>
      </c>
      <c r="J491" s="23">
        <v>1851</v>
      </c>
      <c r="K491" s="23">
        <v>14926</v>
      </c>
      <c r="L491" s="23">
        <v>24</v>
      </c>
      <c r="M491" s="37">
        <v>1572.24171</v>
      </c>
      <c r="N491" s="31"/>
      <c r="O491" s="32"/>
      <c r="P491" s="38" t="s">
        <v>1112</v>
      </c>
      <c r="Q491" s="39" t="s">
        <v>1115</v>
      </c>
      <c r="R491" s="40">
        <v>1572.24171</v>
      </c>
      <c r="S491" s="29" t="b">
        <f t="shared" si="1"/>
        <v>1</v>
      </c>
      <c r="T491" s="35"/>
    </row>
    <row r="492" spans="1:20">
      <c r="A492" s="22" t="s">
        <v>3699</v>
      </c>
      <c r="B492" s="23" t="s">
        <v>44</v>
      </c>
      <c r="C492" s="23" t="s">
        <v>80</v>
      </c>
      <c r="D492" s="23" t="s">
        <v>3673</v>
      </c>
      <c r="E492" s="36" t="s">
        <v>3700</v>
      </c>
      <c r="F492" s="23" t="s">
        <v>50</v>
      </c>
      <c r="G492" s="23" t="s">
        <v>39</v>
      </c>
      <c r="H492" s="23">
        <v>92806</v>
      </c>
      <c r="I492" s="23">
        <v>212</v>
      </c>
      <c r="J492" s="23">
        <v>67534</v>
      </c>
      <c r="K492" s="23">
        <v>85013</v>
      </c>
      <c r="L492" s="23">
        <v>11</v>
      </c>
      <c r="M492" s="37">
        <v>1579.379602</v>
      </c>
      <c r="N492" s="31"/>
      <c r="O492" s="32"/>
      <c r="P492" s="38" t="s">
        <v>1546</v>
      </c>
      <c r="Q492" s="39" t="s">
        <v>1547</v>
      </c>
      <c r="R492" s="40">
        <v>1579.379602</v>
      </c>
      <c r="S492" s="29" t="b">
        <f t="shared" si="1"/>
        <v>1</v>
      </c>
      <c r="T492" s="35"/>
    </row>
    <row r="493" spans="1:20">
      <c r="A493" s="22" t="s">
        <v>3701</v>
      </c>
      <c r="B493" s="23" t="s">
        <v>44</v>
      </c>
      <c r="C493" s="23" t="s">
        <v>34</v>
      </c>
      <c r="D493" s="23" t="s">
        <v>3673</v>
      </c>
      <c r="E493" s="36" t="s">
        <v>3702</v>
      </c>
      <c r="F493" s="23" t="s">
        <v>50</v>
      </c>
      <c r="G493" s="23" t="s">
        <v>39</v>
      </c>
      <c r="H493" s="23">
        <v>10942</v>
      </c>
      <c r="I493" s="23">
        <v>66</v>
      </c>
      <c r="J493" s="23">
        <v>4578</v>
      </c>
      <c r="K493" s="23">
        <v>9155</v>
      </c>
      <c r="L493" s="23">
        <v>3</v>
      </c>
      <c r="M493" s="37">
        <v>1595.752624</v>
      </c>
      <c r="N493" s="31"/>
      <c r="O493" s="32"/>
      <c r="P493" s="38" t="s">
        <v>1140</v>
      </c>
      <c r="Q493" s="39" t="s">
        <v>1142</v>
      </c>
      <c r="R493" s="40">
        <v>1595.752624</v>
      </c>
      <c r="S493" s="29" t="b">
        <f t="shared" si="1"/>
        <v>1</v>
      </c>
      <c r="T493" s="35"/>
    </row>
    <row r="494" spans="1:20">
      <c r="A494" s="22" t="s">
        <v>3703</v>
      </c>
      <c r="B494" s="23" t="s">
        <v>44</v>
      </c>
      <c r="C494" s="23" t="s">
        <v>46</v>
      </c>
      <c r="D494" s="23" t="s">
        <v>3673</v>
      </c>
      <c r="E494" s="36" t="s">
        <v>3704</v>
      </c>
      <c r="F494" s="23" t="s">
        <v>50</v>
      </c>
      <c r="G494" s="23" t="s">
        <v>75</v>
      </c>
      <c r="H494" s="23">
        <v>65983</v>
      </c>
      <c r="I494" s="23">
        <v>212</v>
      </c>
      <c r="J494" s="23">
        <v>8536</v>
      </c>
      <c r="K494" s="23">
        <v>57434</v>
      </c>
      <c r="L494" s="23">
        <v>3</v>
      </c>
      <c r="M494" s="37">
        <v>1599.076249</v>
      </c>
      <c r="N494" s="31"/>
      <c r="O494" s="32"/>
      <c r="P494" s="38" t="s">
        <v>850</v>
      </c>
      <c r="Q494" s="39" t="s">
        <v>853</v>
      </c>
      <c r="R494" s="40">
        <v>1599.076249</v>
      </c>
      <c r="S494" s="29" t="b">
        <f t="shared" si="1"/>
        <v>1</v>
      </c>
      <c r="T494" s="35"/>
    </row>
    <row r="495" spans="1:20">
      <c r="A495" s="22" t="s">
        <v>644</v>
      </c>
      <c r="B495" s="23" t="s">
        <v>32</v>
      </c>
      <c r="C495" s="23" t="s">
        <v>80</v>
      </c>
      <c r="D495" s="23" t="s">
        <v>3673</v>
      </c>
      <c r="E495" s="36" t="s">
        <v>3705</v>
      </c>
      <c r="F495" s="23" t="s">
        <v>50</v>
      </c>
      <c r="G495" s="23" t="s">
        <v>39</v>
      </c>
      <c r="H495" s="23">
        <v>78433</v>
      </c>
      <c r="I495" s="23">
        <v>204</v>
      </c>
      <c r="J495" s="23">
        <v>24067</v>
      </c>
      <c r="K495" s="23">
        <v>58308</v>
      </c>
      <c r="L495" s="23">
        <v>16</v>
      </c>
      <c r="M495" s="37">
        <v>1612.5493269999999</v>
      </c>
      <c r="N495" s="31"/>
      <c r="O495" s="32"/>
      <c r="P495" s="38" t="s">
        <v>643</v>
      </c>
      <c r="Q495" s="39" t="s">
        <v>645</v>
      </c>
      <c r="R495" s="40">
        <v>1612.5493269999999</v>
      </c>
      <c r="S495" s="29" t="b">
        <f t="shared" si="1"/>
        <v>1</v>
      </c>
      <c r="T495" s="35"/>
    </row>
    <row r="496" spans="1:20">
      <c r="A496" s="22" t="s">
        <v>3706</v>
      </c>
      <c r="B496" s="23" t="s">
        <v>32</v>
      </c>
      <c r="C496" s="23" t="s">
        <v>34</v>
      </c>
      <c r="D496" s="23" t="s">
        <v>3673</v>
      </c>
      <c r="E496" s="36" t="s">
        <v>3707</v>
      </c>
      <c r="F496" s="23" t="s">
        <v>50</v>
      </c>
      <c r="G496" s="23" t="s">
        <v>39</v>
      </c>
      <c r="H496" s="23">
        <v>15441</v>
      </c>
      <c r="I496" s="23">
        <v>48</v>
      </c>
      <c r="J496" s="23">
        <v>7626</v>
      </c>
      <c r="K496" s="23">
        <v>14456</v>
      </c>
      <c r="L496" s="23">
        <v>19</v>
      </c>
      <c r="M496" s="37">
        <v>1614.309013</v>
      </c>
      <c r="N496" s="31"/>
      <c r="O496" s="32"/>
      <c r="P496" s="38" t="s">
        <v>2240</v>
      </c>
      <c r="Q496" s="39" t="s">
        <v>2241</v>
      </c>
      <c r="R496" s="40">
        <v>1614.309013</v>
      </c>
      <c r="S496" s="29" t="b">
        <f t="shared" si="1"/>
        <v>1</v>
      </c>
      <c r="T496" s="35"/>
    </row>
    <row r="497" spans="1:20">
      <c r="A497" s="22" t="s">
        <v>3708</v>
      </c>
      <c r="B497" s="23" t="s">
        <v>44</v>
      </c>
      <c r="C497" s="23" t="s">
        <v>62</v>
      </c>
      <c r="D497" s="23" t="s">
        <v>3673</v>
      </c>
      <c r="E497" s="36" t="s">
        <v>3709</v>
      </c>
      <c r="F497" s="23" t="s">
        <v>50</v>
      </c>
      <c r="G497" s="23" t="s">
        <v>64</v>
      </c>
      <c r="H497" s="23">
        <v>50183</v>
      </c>
      <c r="I497" s="23">
        <v>199</v>
      </c>
      <c r="J497" s="23">
        <v>41506</v>
      </c>
      <c r="K497" s="23">
        <v>46163</v>
      </c>
      <c r="L497" s="23">
        <v>15</v>
      </c>
      <c r="M497" s="37">
        <v>1628.8828129999999</v>
      </c>
      <c r="N497" s="31"/>
      <c r="O497" s="32"/>
      <c r="P497" s="38" t="s">
        <v>820</v>
      </c>
      <c r="Q497" s="39" t="s">
        <v>748</v>
      </c>
      <c r="R497" s="40">
        <v>1628.8828129999999</v>
      </c>
      <c r="S497" s="29" t="b">
        <f t="shared" si="1"/>
        <v>1</v>
      </c>
      <c r="T497" s="35"/>
    </row>
    <row r="498" spans="1:20">
      <c r="A498" s="22" t="s">
        <v>3710</v>
      </c>
      <c r="B498" s="23" t="s">
        <v>44</v>
      </c>
      <c r="C498" s="23" t="s">
        <v>80</v>
      </c>
      <c r="D498" s="23" t="s">
        <v>3673</v>
      </c>
      <c r="E498" s="36" t="s">
        <v>3711</v>
      </c>
      <c r="F498" s="23" t="s">
        <v>50</v>
      </c>
      <c r="G498" s="23" t="s">
        <v>75</v>
      </c>
      <c r="H498" s="23">
        <v>16175</v>
      </c>
      <c r="I498" s="23">
        <v>35</v>
      </c>
      <c r="J498" s="23">
        <v>1923</v>
      </c>
      <c r="K498" s="23">
        <v>15085</v>
      </c>
      <c r="L498" s="23">
        <v>2</v>
      </c>
      <c r="M498" s="37">
        <v>1649.069475</v>
      </c>
      <c r="N498" s="31"/>
      <c r="O498" s="32"/>
      <c r="P498" s="38" t="s">
        <v>1952</v>
      </c>
      <c r="Q498" s="39" t="s">
        <v>1638</v>
      </c>
      <c r="R498" s="40">
        <v>1649.069475</v>
      </c>
      <c r="S498" s="29" t="b">
        <f t="shared" si="1"/>
        <v>1</v>
      </c>
      <c r="T498" s="35"/>
    </row>
    <row r="499" spans="1:20">
      <c r="A499" s="22" t="s">
        <v>3712</v>
      </c>
      <c r="B499" s="23" t="s">
        <v>32</v>
      </c>
      <c r="C499" s="23" t="s">
        <v>46</v>
      </c>
      <c r="D499" s="23" t="s">
        <v>3673</v>
      </c>
      <c r="E499" s="36" t="s">
        <v>3713</v>
      </c>
      <c r="F499" s="23" t="s">
        <v>50</v>
      </c>
      <c r="G499" s="23" t="s">
        <v>39</v>
      </c>
      <c r="H499" s="23">
        <v>20899</v>
      </c>
      <c r="I499" s="23">
        <v>20</v>
      </c>
      <c r="J499" s="23">
        <v>11394</v>
      </c>
      <c r="K499" s="23">
        <v>19576</v>
      </c>
      <c r="L499" s="23">
        <v>19</v>
      </c>
      <c r="M499" s="37">
        <v>1649.459852</v>
      </c>
      <c r="N499" s="31"/>
      <c r="O499" s="32"/>
      <c r="P499" s="38" t="s">
        <v>1598</v>
      </c>
      <c r="Q499" s="39" t="s">
        <v>1600</v>
      </c>
      <c r="R499" s="40">
        <v>1649.459852</v>
      </c>
      <c r="S499" s="29" t="b">
        <f t="shared" si="1"/>
        <v>1</v>
      </c>
      <c r="T499" s="35"/>
    </row>
    <row r="500" spans="1:20">
      <c r="A500" s="22" t="s">
        <v>3714</v>
      </c>
      <c r="B500" s="23" t="s">
        <v>123</v>
      </c>
      <c r="C500" s="23" t="s">
        <v>80</v>
      </c>
      <c r="D500" s="23" t="s">
        <v>3673</v>
      </c>
      <c r="E500" s="36" t="s">
        <v>3715</v>
      </c>
      <c r="F500" s="23" t="s">
        <v>186</v>
      </c>
      <c r="G500" s="23" t="s">
        <v>39</v>
      </c>
      <c r="H500" s="23">
        <v>72117</v>
      </c>
      <c r="I500" s="23">
        <v>187</v>
      </c>
      <c r="J500" s="23">
        <v>9807</v>
      </c>
      <c r="K500" s="23">
        <v>68568</v>
      </c>
      <c r="L500" s="23">
        <v>16</v>
      </c>
      <c r="M500" s="37">
        <v>1702.3172059999999</v>
      </c>
      <c r="N500" s="31"/>
      <c r="O500" s="32"/>
      <c r="P500" s="38" t="s">
        <v>2201</v>
      </c>
      <c r="Q500" s="39" t="s">
        <v>2204</v>
      </c>
      <c r="R500" s="40">
        <v>1702.3172059999999</v>
      </c>
      <c r="S500" s="29" t="b">
        <f t="shared" si="1"/>
        <v>1</v>
      </c>
      <c r="T500" s="35"/>
    </row>
    <row r="501" spans="1:20">
      <c r="A501" s="22" t="s">
        <v>3716</v>
      </c>
      <c r="B501" s="23" t="s">
        <v>44</v>
      </c>
      <c r="C501" s="23" t="s">
        <v>80</v>
      </c>
      <c r="D501" s="23" t="s">
        <v>3673</v>
      </c>
      <c r="E501" s="36" t="s">
        <v>3717</v>
      </c>
      <c r="F501" s="23" t="s">
        <v>103</v>
      </c>
      <c r="G501" s="23" t="s">
        <v>39</v>
      </c>
      <c r="H501" s="23">
        <v>7540</v>
      </c>
      <c r="I501" s="23">
        <v>10</v>
      </c>
      <c r="J501" s="23">
        <v>1475</v>
      </c>
      <c r="K501" s="23">
        <v>2054</v>
      </c>
      <c r="L501" s="23">
        <v>1</v>
      </c>
      <c r="M501" s="37">
        <v>1713.978863</v>
      </c>
      <c r="N501" s="31"/>
      <c r="O501" s="32"/>
      <c r="P501" s="38" t="s">
        <v>1160</v>
      </c>
      <c r="Q501" s="39" t="s">
        <v>1161</v>
      </c>
      <c r="R501" s="40">
        <v>1713.978863</v>
      </c>
      <c r="S501" s="29" t="b">
        <f t="shared" si="1"/>
        <v>1</v>
      </c>
      <c r="T501" s="35"/>
    </row>
    <row r="502" spans="1:20">
      <c r="A502" s="22" t="s">
        <v>3718</v>
      </c>
      <c r="B502" s="23" t="s">
        <v>44</v>
      </c>
      <c r="C502" s="23" t="s">
        <v>80</v>
      </c>
      <c r="D502" s="23" t="s">
        <v>3673</v>
      </c>
      <c r="E502" s="36" t="s">
        <v>3719</v>
      </c>
      <c r="F502" s="23" t="s">
        <v>50</v>
      </c>
      <c r="G502" s="23" t="s">
        <v>64</v>
      </c>
      <c r="H502" s="23">
        <v>50517</v>
      </c>
      <c r="I502" s="23">
        <v>270</v>
      </c>
      <c r="J502" s="23">
        <v>17179</v>
      </c>
      <c r="K502" s="23">
        <v>48389</v>
      </c>
      <c r="L502" s="23">
        <v>2</v>
      </c>
      <c r="M502" s="37">
        <v>1718.4710769999999</v>
      </c>
      <c r="N502" s="31"/>
      <c r="O502" s="32"/>
      <c r="P502" s="38" t="s">
        <v>1683</v>
      </c>
      <c r="Q502" s="39" t="s">
        <v>1686</v>
      </c>
      <c r="R502" s="40">
        <v>1718.4710769999999</v>
      </c>
      <c r="S502" s="29" t="b">
        <f t="shared" si="1"/>
        <v>1</v>
      </c>
      <c r="T502" s="35"/>
    </row>
    <row r="503" spans="1:20">
      <c r="A503" s="22" t="s">
        <v>3720</v>
      </c>
      <c r="B503" s="23" t="s">
        <v>32</v>
      </c>
      <c r="C503" s="23" t="s">
        <v>62</v>
      </c>
      <c r="D503" s="23" t="s">
        <v>3673</v>
      </c>
      <c r="E503" s="36" t="s">
        <v>3721</v>
      </c>
      <c r="F503" s="23" t="s">
        <v>103</v>
      </c>
      <c r="G503" s="23" t="s">
        <v>39</v>
      </c>
      <c r="H503" s="23">
        <v>20486</v>
      </c>
      <c r="I503" s="23">
        <v>42</v>
      </c>
      <c r="J503" s="23">
        <v>14583</v>
      </c>
      <c r="K503" s="23">
        <v>19860</v>
      </c>
      <c r="L503" s="23">
        <v>2</v>
      </c>
      <c r="M503" s="37">
        <v>1718.513762</v>
      </c>
      <c r="N503" s="31"/>
      <c r="O503" s="32"/>
      <c r="P503" s="38" t="s">
        <v>2192</v>
      </c>
      <c r="Q503" s="39" t="s">
        <v>2193</v>
      </c>
      <c r="R503" s="40">
        <v>1718.513762</v>
      </c>
      <c r="S503" s="29" t="b">
        <f t="shared" si="1"/>
        <v>1</v>
      </c>
      <c r="T503" s="35"/>
    </row>
    <row r="504" spans="1:20">
      <c r="A504" s="22" t="s">
        <v>3722</v>
      </c>
      <c r="B504" s="23" t="s">
        <v>44</v>
      </c>
      <c r="C504" s="23" t="s">
        <v>80</v>
      </c>
      <c r="D504" s="23" t="s">
        <v>3673</v>
      </c>
      <c r="E504" s="36" t="s">
        <v>3723</v>
      </c>
      <c r="F504" s="23" t="s">
        <v>103</v>
      </c>
      <c r="G504" s="23" t="s">
        <v>39</v>
      </c>
      <c r="H504" s="23">
        <v>7356</v>
      </c>
      <c r="I504" s="23">
        <v>10</v>
      </c>
      <c r="J504" s="23">
        <v>1588</v>
      </c>
      <c r="K504" s="23">
        <v>7088</v>
      </c>
      <c r="L504" s="23">
        <v>1</v>
      </c>
      <c r="M504" s="37">
        <v>1730.37357</v>
      </c>
      <c r="N504" s="31"/>
      <c r="O504" s="32"/>
      <c r="P504" s="38" t="s">
        <v>1076</v>
      </c>
      <c r="Q504" s="39" t="s">
        <v>1078</v>
      </c>
      <c r="R504" s="40">
        <v>1730.37357</v>
      </c>
      <c r="S504" s="29" t="b">
        <f t="shared" si="1"/>
        <v>1</v>
      </c>
      <c r="T504" s="35"/>
    </row>
    <row r="505" spans="1:20">
      <c r="A505" s="22" t="s">
        <v>3724</v>
      </c>
      <c r="B505" s="23" t="s">
        <v>44</v>
      </c>
      <c r="C505" s="23" t="s">
        <v>80</v>
      </c>
      <c r="D505" s="23" t="s">
        <v>3673</v>
      </c>
      <c r="E505" s="36" t="s">
        <v>3725</v>
      </c>
      <c r="F505" s="23" t="s">
        <v>131</v>
      </c>
      <c r="G505" s="23" t="s">
        <v>39</v>
      </c>
      <c r="H505" s="23">
        <v>13642</v>
      </c>
      <c r="I505" s="23">
        <v>40</v>
      </c>
      <c r="J505" s="23">
        <v>9830</v>
      </c>
      <c r="K505" s="23">
        <v>11658</v>
      </c>
      <c r="L505" s="23">
        <v>3</v>
      </c>
      <c r="M505" s="37">
        <v>1731.2718480000001</v>
      </c>
      <c r="N505" s="31"/>
      <c r="O505" s="32"/>
      <c r="P505" s="38" t="s">
        <v>458</v>
      </c>
      <c r="Q505" s="39" t="s">
        <v>462</v>
      </c>
      <c r="R505" s="40">
        <v>1731.2718480000001</v>
      </c>
      <c r="S505" s="29" t="b">
        <f t="shared" si="1"/>
        <v>1</v>
      </c>
      <c r="T505" s="35"/>
    </row>
    <row r="506" spans="1:20">
      <c r="A506" s="22" t="s">
        <v>3726</v>
      </c>
      <c r="B506" s="23" t="s">
        <v>44</v>
      </c>
      <c r="C506" s="23" t="s">
        <v>62</v>
      </c>
      <c r="D506" s="23" t="s">
        <v>3673</v>
      </c>
      <c r="E506" s="36" t="s">
        <v>3727</v>
      </c>
      <c r="F506" s="23" t="s">
        <v>103</v>
      </c>
      <c r="G506" s="23" t="s">
        <v>39</v>
      </c>
      <c r="H506" s="23">
        <v>83537</v>
      </c>
      <c r="I506" s="23">
        <v>222</v>
      </c>
      <c r="J506" s="23">
        <v>67987</v>
      </c>
      <c r="K506" s="23">
        <v>79409</v>
      </c>
      <c r="L506" s="23">
        <v>4</v>
      </c>
      <c r="M506" s="37">
        <v>1761.0793229999999</v>
      </c>
      <c r="N506" s="31"/>
      <c r="O506" s="32"/>
      <c r="P506" s="38" t="s">
        <v>559</v>
      </c>
      <c r="Q506" s="39" t="s">
        <v>561</v>
      </c>
      <c r="R506" s="40">
        <v>1761.0793229999999</v>
      </c>
      <c r="S506" s="29" t="b">
        <f t="shared" si="1"/>
        <v>1</v>
      </c>
      <c r="T506" s="35"/>
    </row>
    <row r="507" spans="1:20">
      <c r="A507" s="22" t="s">
        <v>3728</v>
      </c>
      <c r="B507" s="23" t="s">
        <v>44</v>
      </c>
      <c r="C507" s="23" t="s">
        <v>34</v>
      </c>
      <c r="D507" s="23" t="s">
        <v>3673</v>
      </c>
      <c r="E507" s="36" t="s">
        <v>3729</v>
      </c>
      <c r="F507" s="23" t="s">
        <v>131</v>
      </c>
      <c r="G507" s="23" t="s">
        <v>39</v>
      </c>
      <c r="H507" s="23">
        <v>232635</v>
      </c>
      <c r="I507" s="23">
        <v>666</v>
      </c>
      <c r="J507" s="23">
        <v>34008</v>
      </c>
      <c r="K507" s="23">
        <v>195803</v>
      </c>
      <c r="L507" s="23">
        <v>39</v>
      </c>
      <c r="M507" s="37">
        <v>1773.991882</v>
      </c>
      <c r="N507" s="31"/>
      <c r="O507" s="32"/>
      <c r="P507" s="38" t="s">
        <v>2197</v>
      </c>
      <c r="Q507" s="39" t="s">
        <v>793</v>
      </c>
      <c r="R507" s="40">
        <v>1773.991882</v>
      </c>
      <c r="S507" s="29" t="b">
        <f t="shared" si="1"/>
        <v>1</v>
      </c>
      <c r="T507" s="35"/>
    </row>
    <row r="508" spans="1:20">
      <c r="A508" s="22" t="s">
        <v>3730</v>
      </c>
      <c r="B508" s="23" t="s">
        <v>32</v>
      </c>
      <c r="C508" s="23" t="s">
        <v>80</v>
      </c>
      <c r="D508" s="23" t="s">
        <v>3673</v>
      </c>
      <c r="E508" s="36" t="s">
        <v>3731</v>
      </c>
      <c r="F508" s="23" t="s">
        <v>50</v>
      </c>
      <c r="G508" s="23" t="s">
        <v>39</v>
      </c>
      <c r="H508" s="23">
        <v>10012</v>
      </c>
      <c r="I508" s="23">
        <v>25</v>
      </c>
      <c r="J508" s="23">
        <v>5734</v>
      </c>
      <c r="K508" s="23">
        <v>9413</v>
      </c>
      <c r="L508" s="23">
        <v>4</v>
      </c>
      <c r="M508" s="37">
        <v>1805.9260859999999</v>
      </c>
      <c r="N508" s="31"/>
      <c r="O508" s="32"/>
      <c r="P508" s="38" t="s">
        <v>2209</v>
      </c>
      <c r="Q508" s="39" t="s">
        <v>2212</v>
      </c>
      <c r="R508" s="40">
        <v>1805.9260859999999</v>
      </c>
      <c r="S508" s="29" t="b">
        <f t="shared" si="1"/>
        <v>1</v>
      </c>
      <c r="T508" s="35"/>
    </row>
    <row r="509" spans="1:20">
      <c r="A509" s="22" t="s">
        <v>3732</v>
      </c>
      <c r="B509" s="23" t="s">
        <v>44</v>
      </c>
      <c r="C509" s="23" t="s">
        <v>80</v>
      </c>
      <c r="D509" s="23" t="s">
        <v>3673</v>
      </c>
      <c r="E509" s="36" t="s">
        <v>3733</v>
      </c>
      <c r="F509" s="23" t="s">
        <v>693</v>
      </c>
      <c r="G509" s="23" t="s">
        <v>64</v>
      </c>
      <c r="H509" s="23">
        <v>12176</v>
      </c>
      <c r="I509" s="23">
        <v>10</v>
      </c>
      <c r="J509" s="23">
        <v>5460</v>
      </c>
      <c r="K509" s="23">
        <v>11154</v>
      </c>
      <c r="L509" s="23">
        <v>10</v>
      </c>
      <c r="M509" s="37">
        <v>1816.030806</v>
      </c>
      <c r="N509" s="31"/>
      <c r="O509" s="32"/>
      <c r="P509" s="38" t="s">
        <v>989</v>
      </c>
      <c r="Q509" s="39" t="s">
        <v>766</v>
      </c>
      <c r="R509" s="40">
        <v>1816.030806</v>
      </c>
      <c r="S509" s="29" t="b">
        <f t="shared" si="1"/>
        <v>1</v>
      </c>
      <c r="T509" s="35"/>
    </row>
    <row r="510" spans="1:20">
      <c r="A510" s="22" t="s">
        <v>3734</v>
      </c>
      <c r="B510" s="23" t="s">
        <v>32</v>
      </c>
      <c r="C510" s="23" t="s">
        <v>46</v>
      </c>
      <c r="D510" s="23" t="s">
        <v>3673</v>
      </c>
      <c r="E510" s="36" t="s">
        <v>3735</v>
      </c>
      <c r="F510" s="23" t="s">
        <v>74</v>
      </c>
      <c r="G510" s="23" t="s">
        <v>39</v>
      </c>
      <c r="H510" s="23">
        <v>61848</v>
      </c>
      <c r="I510" s="23">
        <v>213</v>
      </c>
      <c r="J510" s="23">
        <v>6581</v>
      </c>
      <c r="K510" s="23">
        <v>44917</v>
      </c>
      <c r="L510" s="23">
        <v>15</v>
      </c>
      <c r="M510" s="37">
        <v>1819.8936020000001</v>
      </c>
      <c r="N510" s="31"/>
      <c r="O510" s="32"/>
      <c r="P510" s="38" t="s">
        <v>563</v>
      </c>
      <c r="Q510" s="39" t="s">
        <v>565</v>
      </c>
      <c r="R510" s="40">
        <v>1819.8936020000001</v>
      </c>
      <c r="S510" s="29" t="b">
        <f t="shared" si="1"/>
        <v>1</v>
      </c>
      <c r="T510" s="35"/>
    </row>
    <row r="511" spans="1:20">
      <c r="A511" s="22" t="s">
        <v>3736</v>
      </c>
      <c r="B511" s="23" t="s">
        <v>32</v>
      </c>
      <c r="C511" s="23" t="s">
        <v>34</v>
      </c>
      <c r="D511" s="23" t="s">
        <v>3673</v>
      </c>
      <c r="E511" s="36" t="s">
        <v>3737</v>
      </c>
      <c r="F511" s="23" t="s">
        <v>74</v>
      </c>
      <c r="G511" s="23" t="s">
        <v>39</v>
      </c>
      <c r="H511" s="23">
        <v>16137</v>
      </c>
      <c r="I511" s="23">
        <v>40</v>
      </c>
      <c r="J511" s="23">
        <v>7938</v>
      </c>
      <c r="K511" s="23">
        <v>14030</v>
      </c>
      <c r="L511" s="23">
        <v>4</v>
      </c>
      <c r="M511" s="37">
        <v>1835.048738</v>
      </c>
      <c r="N511" s="31"/>
      <c r="O511" s="32"/>
      <c r="P511" s="38" t="s">
        <v>1607</v>
      </c>
      <c r="Q511" s="39" t="s">
        <v>1609</v>
      </c>
      <c r="R511" s="40">
        <v>1835.048738</v>
      </c>
      <c r="S511" s="29" t="b">
        <f t="shared" si="1"/>
        <v>1</v>
      </c>
      <c r="T511" s="35"/>
    </row>
    <row r="512" spans="1:20">
      <c r="A512" s="22" t="s">
        <v>3738</v>
      </c>
      <c r="B512" s="23" t="s">
        <v>44</v>
      </c>
      <c r="C512" s="23" t="s">
        <v>80</v>
      </c>
      <c r="D512" s="23" t="s">
        <v>3673</v>
      </c>
      <c r="E512" s="36" t="s">
        <v>3739</v>
      </c>
      <c r="F512" s="23" t="s">
        <v>50</v>
      </c>
      <c r="G512" s="23" t="s">
        <v>75</v>
      </c>
      <c r="H512" s="23">
        <v>20459</v>
      </c>
      <c r="I512" s="23">
        <v>40</v>
      </c>
      <c r="J512" s="23">
        <v>12668</v>
      </c>
      <c r="K512" s="23">
        <v>18613</v>
      </c>
      <c r="L512" s="23">
        <v>4</v>
      </c>
      <c r="M512" s="37">
        <v>1842.6065129999999</v>
      </c>
      <c r="N512" s="31"/>
      <c r="O512" s="32"/>
      <c r="P512" s="38" t="s">
        <v>2279</v>
      </c>
      <c r="Q512" s="39" t="s">
        <v>462</v>
      </c>
      <c r="R512" s="40">
        <v>1842.6065129999999</v>
      </c>
      <c r="S512" s="29" t="b">
        <f t="shared" ref="S512:S730" si="2">M512=R512</f>
        <v>1</v>
      </c>
      <c r="T512" s="35"/>
    </row>
    <row r="513" spans="1:20">
      <c r="A513" s="22" t="s">
        <v>3740</v>
      </c>
      <c r="B513" s="23" t="s">
        <v>44</v>
      </c>
      <c r="C513" s="23" t="s">
        <v>62</v>
      </c>
      <c r="D513" s="23" t="s">
        <v>3673</v>
      </c>
      <c r="E513" s="36" t="s">
        <v>3741</v>
      </c>
      <c r="F513" s="23" t="s">
        <v>50</v>
      </c>
      <c r="G513" s="23" t="s">
        <v>75</v>
      </c>
      <c r="H513" s="23">
        <v>32845</v>
      </c>
      <c r="I513" s="23">
        <v>164</v>
      </c>
      <c r="J513" s="23">
        <v>16163</v>
      </c>
      <c r="K513" s="23">
        <v>30368</v>
      </c>
      <c r="L513" s="23">
        <v>5</v>
      </c>
      <c r="M513" s="37">
        <v>1910.436686</v>
      </c>
      <c r="N513" s="31"/>
      <c r="O513" s="32"/>
      <c r="P513" s="38" t="s">
        <v>2058</v>
      </c>
      <c r="Q513" s="39" t="s">
        <v>269</v>
      </c>
      <c r="R513" s="40">
        <v>1910.436686</v>
      </c>
      <c r="S513" s="29" t="b">
        <f t="shared" si="2"/>
        <v>1</v>
      </c>
      <c r="T513" s="35"/>
    </row>
    <row r="514" spans="1:20">
      <c r="A514" s="22" t="s">
        <v>3742</v>
      </c>
      <c r="B514" s="23" t="s">
        <v>44</v>
      </c>
      <c r="C514" s="23" t="s">
        <v>46</v>
      </c>
      <c r="D514" s="23" t="s">
        <v>3673</v>
      </c>
      <c r="E514" s="36" t="s">
        <v>3743</v>
      </c>
      <c r="F514" s="23" t="s">
        <v>103</v>
      </c>
      <c r="G514" s="23" t="s">
        <v>39</v>
      </c>
      <c r="H514" s="23">
        <v>14693</v>
      </c>
      <c r="I514" s="23">
        <v>70</v>
      </c>
      <c r="J514" s="23">
        <v>6597</v>
      </c>
      <c r="K514" s="23">
        <v>13508</v>
      </c>
      <c r="L514" s="23">
        <v>4</v>
      </c>
      <c r="M514" s="37">
        <v>2047.3489239999999</v>
      </c>
      <c r="N514" s="31"/>
      <c r="O514" s="32"/>
      <c r="P514" s="38" t="s">
        <v>2321</v>
      </c>
      <c r="Q514" s="39" t="s">
        <v>2322</v>
      </c>
      <c r="R514" s="40">
        <v>2047.3489239999999</v>
      </c>
      <c r="S514" s="29" t="b">
        <f t="shared" si="2"/>
        <v>1</v>
      </c>
      <c r="T514" s="35"/>
    </row>
    <row r="515" spans="1:20">
      <c r="A515" s="22" t="s">
        <v>3744</v>
      </c>
      <c r="B515" s="23" t="s">
        <v>44</v>
      </c>
      <c r="C515" s="23" t="s">
        <v>80</v>
      </c>
      <c r="D515" s="23" t="s">
        <v>3673</v>
      </c>
      <c r="E515" s="36" t="s">
        <v>3745</v>
      </c>
      <c r="F515" s="23" t="s">
        <v>103</v>
      </c>
      <c r="G515" s="23" t="s">
        <v>64</v>
      </c>
      <c r="H515" s="23">
        <v>12770</v>
      </c>
      <c r="I515" s="23">
        <v>84</v>
      </c>
      <c r="J515" s="23">
        <v>6224</v>
      </c>
      <c r="K515" s="23">
        <v>11110</v>
      </c>
      <c r="L515" s="23">
        <v>21</v>
      </c>
      <c r="M515" s="37">
        <v>2087.5098269999999</v>
      </c>
      <c r="N515" s="31"/>
      <c r="O515" s="32"/>
      <c r="P515" s="38" t="s">
        <v>2165</v>
      </c>
      <c r="Q515" s="39" t="s">
        <v>1904</v>
      </c>
      <c r="R515" s="40">
        <v>2087.5098269999999</v>
      </c>
      <c r="S515" s="29" t="b">
        <f t="shared" si="2"/>
        <v>1</v>
      </c>
      <c r="T515" s="35"/>
    </row>
    <row r="516" spans="1:20">
      <c r="A516" s="22" t="s">
        <v>3746</v>
      </c>
      <c r="B516" s="23" t="s">
        <v>44</v>
      </c>
      <c r="C516" s="23" t="s">
        <v>62</v>
      </c>
      <c r="D516" s="23" t="s">
        <v>3673</v>
      </c>
      <c r="E516" s="36" t="s">
        <v>3747</v>
      </c>
      <c r="F516" s="23" t="s">
        <v>593</v>
      </c>
      <c r="G516" s="23" t="s">
        <v>39</v>
      </c>
      <c r="H516" s="23">
        <v>45402</v>
      </c>
      <c r="I516" s="23">
        <v>122</v>
      </c>
      <c r="J516" s="23">
        <v>17284</v>
      </c>
      <c r="K516" s="23">
        <v>27542</v>
      </c>
      <c r="L516" s="23">
        <v>5</v>
      </c>
      <c r="M516" s="37">
        <v>2163.2653460000001</v>
      </c>
      <c r="N516" s="31"/>
      <c r="O516" s="32"/>
      <c r="P516" s="38" t="s">
        <v>1672</v>
      </c>
      <c r="Q516" s="39" t="s">
        <v>1673</v>
      </c>
      <c r="R516" s="40">
        <v>2163.2653460000001</v>
      </c>
      <c r="S516" s="29" t="b">
        <f t="shared" si="2"/>
        <v>1</v>
      </c>
      <c r="T516" s="35"/>
    </row>
    <row r="517" spans="1:20">
      <c r="A517" s="22" t="s">
        <v>3748</v>
      </c>
      <c r="B517" s="23" t="s">
        <v>44</v>
      </c>
      <c r="C517" s="23" t="s">
        <v>46</v>
      </c>
      <c r="D517" s="23" t="s">
        <v>3673</v>
      </c>
      <c r="E517" s="36" t="s">
        <v>3749</v>
      </c>
      <c r="F517" s="23" t="s">
        <v>131</v>
      </c>
      <c r="G517" s="23" t="s">
        <v>39</v>
      </c>
      <c r="H517" s="23">
        <v>11343</v>
      </c>
      <c r="I517" s="23">
        <v>69</v>
      </c>
      <c r="J517" s="23">
        <v>5900</v>
      </c>
      <c r="K517" s="23">
        <v>10175</v>
      </c>
      <c r="L517" s="23">
        <v>3</v>
      </c>
      <c r="M517" s="37">
        <v>2178.1537750000002</v>
      </c>
      <c r="N517" s="31"/>
      <c r="O517" s="32"/>
      <c r="P517" s="38" t="s">
        <v>158</v>
      </c>
      <c r="Q517" s="39" t="s">
        <v>159</v>
      </c>
      <c r="R517" s="40">
        <v>2178.1537750000002</v>
      </c>
      <c r="S517" s="29" t="b">
        <f t="shared" si="2"/>
        <v>1</v>
      </c>
      <c r="T517" s="35"/>
    </row>
    <row r="518" spans="1:20">
      <c r="A518" s="22" t="s">
        <v>3750</v>
      </c>
      <c r="B518" s="23" t="s">
        <v>32</v>
      </c>
      <c r="C518" s="23" t="s">
        <v>62</v>
      </c>
      <c r="D518" s="23" t="s">
        <v>3673</v>
      </c>
      <c r="E518" s="36" t="s">
        <v>3751</v>
      </c>
      <c r="F518" s="23" t="s">
        <v>50</v>
      </c>
      <c r="G518" s="23" t="s">
        <v>39</v>
      </c>
      <c r="H518" s="23">
        <v>12512</v>
      </c>
      <c r="I518" s="23">
        <v>69</v>
      </c>
      <c r="J518" s="23">
        <v>6240</v>
      </c>
      <c r="K518" s="23">
        <v>9672</v>
      </c>
      <c r="L518" s="23">
        <v>1</v>
      </c>
      <c r="M518" s="37">
        <v>2298.8889650000001</v>
      </c>
      <c r="N518" s="31"/>
      <c r="O518" s="32"/>
      <c r="P518" s="38" t="s">
        <v>304</v>
      </c>
      <c r="Q518" s="39" t="s">
        <v>307</v>
      </c>
      <c r="R518" s="40">
        <v>2298.8889650000001</v>
      </c>
      <c r="S518" s="29" t="b">
        <f t="shared" si="2"/>
        <v>1</v>
      </c>
      <c r="T518" s="35"/>
    </row>
    <row r="519" spans="1:20">
      <c r="A519" s="22" t="s">
        <v>3752</v>
      </c>
      <c r="B519" s="23" t="s">
        <v>32</v>
      </c>
      <c r="C519" s="23" t="s">
        <v>34</v>
      </c>
      <c r="D519" s="23" t="s">
        <v>3673</v>
      </c>
      <c r="E519" s="36" t="s">
        <v>3753</v>
      </c>
      <c r="F519" s="23" t="s">
        <v>74</v>
      </c>
      <c r="G519" s="23" t="s">
        <v>39</v>
      </c>
      <c r="H519" s="23">
        <v>65257</v>
      </c>
      <c r="I519" s="23">
        <v>201</v>
      </c>
      <c r="J519" s="23">
        <v>12749</v>
      </c>
      <c r="K519" s="23">
        <v>19274</v>
      </c>
      <c r="L519" s="23">
        <v>3</v>
      </c>
      <c r="M519" s="37">
        <v>2468.1358369999998</v>
      </c>
      <c r="N519" s="31"/>
      <c r="O519" s="32"/>
      <c r="P519" s="38" t="s">
        <v>488</v>
      </c>
      <c r="Q519" s="39" t="s">
        <v>490</v>
      </c>
      <c r="R519" s="40">
        <v>2468.1358369999998</v>
      </c>
      <c r="S519" s="29" t="b">
        <f t="shared" si="2"/>
        <v>1</v>
      </c>
      <c r="T519" s="35"/>
    </row>
    <row r="520" spans="1:20">
      <c r="A520" s="22" t="s">
        <v>3754</v>
      </c>
      <c r="B520" s="23" t="s">
        <v>44</v>
      </c>
      <c r="C520" s="23" t="s">
        <v>80</v>
      </c>
      <c r="D520" s="23" t="s">
        <v>3673</v>
      </c>
      <c r="E520" s="36" t="s">
        <v>3755</v>
      </c>
      <c r="F520" s="23" t="s">
        <v>50</v>
      </c>
      <c r="G520" s="23" t="s">
        <v>39</v>
      </c>
      <c r="H520" s="23">
        <v>1116343</v>
      </c>
      <c r="I520" s="23">
        <v>3104</v>
      </c>
      <c r="J520" s="23">
        <v>550519</v>
      </c>
      <c r="K520" s="23">
        <v>977978</v>
      </c>
      <c r="L520" s="23">
        <v>9</v>
      </c>
      <c r="M520" s="37">
        <v>2494.217596</v>
      </c>
      <c r="N520" s="31"/>
      <c r="O520" s="32"/>
      <c r="P520" s="38" t="s">
        <v>1246</v>
      </c>
      <c r="Q520" s="39" t="s">
        <v>982</v>
      </c>
      <c r="R520" s="40">
        <v>2494.217596</v>
      </c>
      <c r="S520" s="29" t="b">
        <f t="shared" si="2"/>
        <v>1</v>
      </c>
      <c r="T520" s="35"/>
    </row>
    <row r="521" spans="1:20">
      <c r="A521" s="22" t="s">
        <v>3756</v>
      </c>
      <c r="B521" s="23" t="s">
        <v>32</v>
      </c>
      <c r="C521" s="23" t="s">
        <v>34</v>
      </c>
      <c r="D521" s="23" t="s">
        <v>3673</v>
      </c>
      <c r="E521" s="36" t="s">
        <v>3757</v>
      </c>
      <c r="F521" s="23" t="s">
        <v>157</v>
      </c>
      <c r="G521" s="23" t="s">
        <v>39</v>
      </c>
      <c r="H521" s="23">
        <v>20885</v>
      </c>
      <c r="I521" s="23">
        <v>99</v>
      </c>
      <c r="J521" s="23">
        <v>9901</v>
      </c>
      <c r="K521" s="23">
        <v>16266</v>
      </c>
      <c r="L521" s="23">
        <v>15</v>
      </c>
      <c r="M521" s="37">
        <v>2496.7854360000001</v>
      </c>
      <c r="N521" s="31"/>
      <c r="O521" s="32"/>
      <c r="P521" s="38" t="s">
        <v>1224</v>
      </c>
      <c r="Q521" s="39" t="s">
        <v>107</v>
      </c>
      <c r="R521" s="40">
        <v>2496.7854360000001</v>
      </c>
      <c r="S521" s="29" t="b">
        <f t="shared" si="2"/>
        <v>1</v>
      </c>
      <c r="T521" s="35"/>
    </row>
    <row r="522" spans="1:20">
      <c r="A522" s="22" t="s">
        <v>3758</v>
      </c>
      <c r="B522" s="23" t="s">
        <v>44</v>
      </c>
      <c r="C522" s="23" t="s">
        <v>34</v>
      </c>
      <c r="D522" s="23" t="s">
        <v>3673</v>
      </c>
      <c r="E522" s="36" t="s">
        <v>3759</v>
      </c>
      <c r="F522" s="23" t="s">
        <v>819</v>
      </c>
      <c r="G522" s="23" t="s">
        <v>64</v>
      </c>
      <c r="H522" s="23">
        <v>11668</v>
      </c>
      <c r="I522" s="23">
        <v>110</v>
      </c>
      <c r="J522" s="23">
        <v>7860</v>
      </c>
      <c r="K522" s="23">
        <v>11009</v>
      </c>
      <c r="L522" s="23">
        <v>5</v>
      </c>
      <c r="M522" s="37">
        <v>2653.9815789999998</v>
      </c>
      <c r="N522" s="31"/>
      <c r="O522" s="32"/>
      <c r="P522" s="38" t="s">
        <v>1568</v>
      </c>
      <c r="Q522" s="39" t="s">
        <v>1569</v>
      </c>
      <c r="R522" s="40">
        <v>2653.9815789999998</v>
      </c>
      <c r="S522" s="29" t="b">
        <f t="shared" si="2"/>
        <v>1</v>
      </c>
      <c r="T522" s="35"/>
    </row>
    <row r="523" spans="1:20">
      <c r="A523" s="22" t="s">
        <v>3760</v>
      </c>
      <c r="B523" s="23" t="s">
        <v>44</v>
      </c>
      <c r="C523" s="23" t="s">
        <v>34</v>
      </c>
      <c r="D523" s="23" t="s">
        <v>3673</v>
      </c>
      <c r="E523" s="36" t="s">
        <v>3761</v>
      </c>
      <c r="F523" s="23" t="s">
        <v>38</v>
      </c>
      <c r="G523" s="23" t="s">
        <v>39</v>
      </c>
      <c r="H523" s="23">
        <v>114267</v>
      </c>
      <c r="I523" s="23">
        <v>110</v>
      </c>
      <c r="J523" s="23">
        <v>60964</v>
      </c>
      <c r="K523" s="23">
        <v>108301</v>
      </c>
      <c r="L523" s="23">
        <v>5</v>
      </c>
      <c r="M523" s="37">
        <v>2679.1540679999998</v>
      </c>
      <c r="N523" s="31"/>
      <c r="O523" s="32"/>
      <c r="P523" s="38" t="s">
        <v>1010</v>
      </c>
      <c r="Q523" s="39" t="s">
        <v>1012</v>
      </c>
      <c r="R523" s="40">
        <v>2679.1540679999998</v>
      </c>
      <c r="S523" s="29" t="b">
        <f t="shared" si="2"/>
        <v>1</v>
      </c>
      <c r="T523" s="35"/>
    </row>
    <row r="524" spans="1:20">
      <c r="A524" s="22" t="s">
        <v>3762</v>
      </c>
      <c r="B524" s="23" t="s">
        <v>44</v>
      </c>
      <c r="C524" s="23" t="s">
        <v>80</v>
      </c>
      <c r="D524" s="23" t="s">
        <v>3673</v>
      </c>
      <c r="E524" s="36" t="s">
        <v>3763</v>
      </c>
      <c r="F524" s="23" t="s">
        <v>103</v>
      </c>
      <c r="G524" s="23" t="s">
        <v>39</v>
      </c>
      <c r="H524" s="23">
        <v>18458</v>
      </c>
      <c r="I524" s="23">
        <v>111</v>
      </c>
      <c r="J524" s="23">
        <v>3623</v>
      </c>
      <c r="K524" s="23">
        <v>16934</v>
      </c>
      <c r="L524" s="23">
        <v>6</v>
      </c>
      <c r="M524" s="37">
        <v>2866.4966709999999</v>
      </c>
      <c r="N524" s="31"/>
      <c r="O524" s="32"/>
      <c r="P524" s="38" t="s">
        <v>1892</v>
      </c>
      <c r="Q524" s="39" t="s">
        <v>1894</v>
      </c>
      <c r="R524" s="40">
        <v>2866.4966709999999</v>
      </c>
      <c r="S524" s="29" t="b">
        <f t="shared" si="2"/>
        <v>1</v>
      </c>
      <c r="T524" s="35"/>
    </row>
    <row r="525" spans="1:20">
      <c r="A525" s="22" t="s">
        <v>67</v>
      </c>
      <c r="B525" s="23" t="s">
        <v>32</v>
      </c>
      <c r="C525" s="23" t="s">
        <v>62</v>
      </c>
      <c r="D525" s="23" t="s">
        <v>3673</v>
      </c>
      <c r="E525" s="36" t="s">
        <v>3764</v>
      </c>
      <c r="F525" s="23" t="s">
        <v>50</v>
      </c>
      <c r="G525" s="23" t="s">
        <v>39</v>
      </c>
      <c r="H525" s="23">
        <v>654902</v>
      </c>
      <c r="I525" s="23">
        <v>1874</v>
      </c>
      <c r="J525" s="23">
        <v>40733</v>
      </c>
      <c r="K525" s="23">
        <v>477114</v>
      </c>
      <c r="L525" s="23">
        <v>14</v>
      </c>
      <c r="M525" s="37">
        <v>3178.6103149999999</v>
      </c>
      <c r="N525" s="31"/>
      <c r="O525" s="32"/>
      <c r="P525" s="38" t="s">
        <v>1472</v>
      </c>
      <c r="Q525" s="39" t="s">
        <v>935</v>
      </c>
      <c r="R525" s="40">
        <v>3178.6103149999999</v>
      </c>
      <c r="S525" s="29" t="b">
        <f t="shared" si="2"/>
        <v>1</v>
      </c>
      <c r="T525" s="35"/>
    </row>
    <row r="526" spans="1:20">
      <c r="A526" s="22" t="s">
        <v>3765</v>
      </c>
      <c r="B526" s="23" t="s">
        <v>44</v>
      </c>
      <c r="C526" s="23" t="s">
        <v>46</v>
      </c>
      <c r="D526" s="23" t="s">
        <v>3673</v>
      </c>
      <c r="E526" s="36" t="s">
        <v>3766</v>
      </c>
      <c r="F526" s="23" t="s">
        <v>74</v>
      </c>
      <c r="G526" s="23" t="s">
        <v>39</v>
      </c>
      <c r="H526" s="23">
        <v>13100</v>
      </c>
      <c r="I526" s="23">
        <v>80</v>
      </c>
      <c r="J526" s="23">
        <v>6507</v>
      </c>
      <c r="K526" s="23">
        <v>10895</v>
      </c>
      <c r="L526" s="23">
        <v>5</v>
      </c>
      <c r="M526" s="37">
        <v>3411.590029</v>
      </c>
      <c r="N526" s="31"/>
      <c r="O526" s="32"/>
      <c r="P526" s="38" t="s">
        <v>91</v>
      </c>
      <c r="Q526" s="39" t="s">
        <v>96</v>
      </c>
      <c r="R526" s="40">
        <v>3411.590029</v>
      </c>
      <c r="S526" s="29" t="b">
        <f t="shared" si="2"/>
        <v>1</v>
      </c>
      <c r="T526" s="35"/>
    </row>
    <row r="527" spans="1:20">
      <c r="A527" s="22" t="s">
        <v>3767</v>
      </c>
      <c r="B527" s="23" t="s">
        <v>32</v>
      </c>
      <c r="C527" s="23" t="s">
        <v>62</v>
      </c>
      <c r="D527" s="23" t="s">
        <v>3673</v>
      </c>
      <c r="E527" s="36" t="s">
        <v>3768</v>
      </c>
      <c r="F527" s="23" t="s">
        <v>74</v>
      </c>
      <c r="G527" s="23" t="s">
        <v>39</v>
      </c>
      <c r="H527" s="23">
        <v>15588</v>
      </c>
      <c r="I527" s="23">
        <v>80</v>
      </c>
      <c r="J527" s="23">
        <v>2089</v>
      </c>
      <c r="K527" s="23">
        <v>14526</v>
      </c>
      <c r="L527" s="23">
        <v>9</v>
      </c>
      <c r="M527" s="37">
        <v>3518.5334819999998</v>
      </c>
      <c r="N527" s="31"/>
      <c r="O527" s="32"/>
      <c r="P527" s="38" t="s">
        <v>1519</v>
      </c>
      <c r="Q527" s="39" t="s">
        <v>335</v>
      </c>
      <c r="R527" s="40">
        <v>3518.5334819999998</v>
      </c>
      <c r="S527" s="29" t="b">
        <f t="shared" si="2"/>
        <v>1</v>
      </c>
      <c r="T527" s="35"/>
    </row>
    <row r="528" spans="1:20">
      <c r="A528" s="22" t="s">
        <v>3769</v>
      </c>
      <c r="B528" s="23" t="s">
        <v>32</v>
      </c>
      <c r="C528" s="23" t="s">
        <v>62</v>
      </c>
      <c r="D528" s="23" t="s">
        <v>3673</v>
      </c>
      <c r="E528" s="36" t="s">
        <v>3770</v>
      </c>
      <c r="F528" s="23" t="s">
        <v>157</v>
      </c>
      <c r="G528" s="23" t="s">
        <v>39</v>
      </c>
      <c r="H528" s="23">
        <v>21482</v>
      </c>
      <c r="I528" s="23">
        <v>67</v>
      </c>
      <c r="J528" s="23">
        <v>10473</v>
      </c>
      <c r="K528" s="23">
        <v>19679</v>
      </c>
      <c r="L528" s="23">
        <v>3</v>
      </c>
      <c r="M528" s="37">
        <v>3563.098841</v>
      </c>
      <c r="N528" s="31"/>
      <c r="O528" s="32"/>
      <c r="P528" s="38" t="s">
        <v>552</v>
      </c>
      <c r="Q528" s="39" t="s">
        <v>554</v>
      </c>
      <c r="R528" s="40">
        <v>3563.098841</v>
      </c>
      <c r="S528" s="29" t="b">
        <f t="shared" si="2"/>
        <v>1</v>
      </c>
      <c r="T528" s="35"/>
    </row>
    <row r="529" spans="1:20">
      <c r="A529" s="22" t="s">
        <v>3771</v>
      </c>
      <c r="B529" s="23" t="s">
        <v>44</v>
      </c>
      <c r="C529" s="23" t="s">
        <v>34</v>
      </c>
      <c r="D529" s="23" t="s">
        <v>3673</v>
      </c>
      <c r="E529" s="36" t="s">
        <v>3772</v>
      </c>
      <c r="F529" s="23" t="s">
        <v>50</v>
      </c>
      <c r="G529" s="23" t="s">
        <v>75</v>
      </c>
      <c r="H529" s="23">
        <v>33650</v>
      </c>
      <c r="I529" s="23">
        <v>100</v>
      </c>
      <c r="J529" s="23">
        <v>15621</v>
      </c>
      <c r="K529" s="23">
        <v>32539</v>
      </c>
      <c r="L529" s="23">
        <v>9</v>
      </c>
      <c r="M529" s="37">
        <v>3844.9911649999999</v>
      </c>
      <c r="N529" s="31"/>
      <c r="O529" s="32"/>
      <c r="P529" s="38" t="s">
        <v>1905</v>
      </c>
      <c r="Q529" s="39" t="s">
        <v>1907</v>
      </c>
      <c r="R529" s="40">
        <v>3844.9911649999999</v>
      </c>
      <c r="S529" s="29" t="b">
        <f t="shared" si="2"/>
        <v>1</v>
      </c>
      <c r="T529" s="35"/>
    </row>
    <row r="530" spans="1:20">
      <c r="A530" s="22" t="s">
        <v>3773</v>
      </c>
      <c r="B530" s="23" t="s">
        <v>32</v>
      </c>
      <c r="C530" s="23" t="s">
        <v>80</v>
      </c>
      <c r="D530" s="23" t="s">
        <v>3673</v>
      </c>
      <c r="E530" s="36" t="s">
        <v>3774</v>
      </c>
      <c r="F530" s="23" t="s">
        <v>2749</v>
      </c>
      <c r="G530" s="23" t="s">
        <v>39</v>
      </c>
      <c r="H530" s="23">
        <v>18022</v>
      </c>
      <c r="I530" s="23">
        <v>30</v>
      </c>
      <c r="J530" s="23">
        <v>10618</v>
      </c>
      <c r="K530" s="23">
        <v>16643</v>
      </c>
      <c r="L530" s="23">
        <v>15</v>
      </c>
      <c r="M530" s="37">
        <v>4051.1587490000002</v>
      </c>
      <c r="N530" s="31"/>
      <c r="O530" s="32"/>
      <c r="P530" s="38" t="s">
        <v>104</v>
      </c>
      <c r="Q530" s="39" t="s">
        <v>107</v>
      </c>
      <c r="R530" s="40">
        <v>4051.1587490000002</v>
      </c>
      <c r="S530" s="29" t="b">
        <f t="shared" si="2"/>
        <v>1</v>
      </c>
      <c r="T530" s="35"/>
    </row>
    <row r="531" spans="1:20">
      <c r="A531" s="22" t="s">
        <v>3775</v>
      </c>
      <c r="B531" s="23" t="s">
        <v>32</v>
      </c>
      <c r="C531" s="23" t="s">
        <v>62</v>
      </c>
      <c r="D531" s="23" t="s">
        <v>3673</v>
      </c>
      <c r="E531" s="36" t="s">
        <v>3776</v>
      </c>
      <c r="F531" s="23" t="s">
        <v>103</v>
      </c>
      <c r="G531" s="23" t="s">
        <v>39</v>
      </c>
      <c r="H531" s="23">
        <v>45397</v>
      </c>
      <c r="I531" s="23">
        <v>114</v>
      </c>
      <c r="J531" s="23">
        <v>716</v>
      </c>
      <c r="K531" s="23">
        <v>6867</v>
      </c>
      <c r="L531" s="23">
        <v>15</v>
      </c>
      <c r="M531" s="37">
        <v>4582.4532909999998</v>
      </c>
      <c r="N531" s="31"/>
      <c r="O531" s="32"/>
      <c r="P531" s="38" t="s">
        <v>1726</v>
      </c>
      <c r="Q531" s="39" t="s">
        <v>1728</v>
      </c>
      <c r="R531" s="40">
        <v>4582.4532909999998</v>
      </c>
      <c r="S531" s="29" t="b">
        <f t="shared" si="2"/>
        <v>1</v>
      </c>
      <c r="T531" s="35"/>
    </row>
    <row r="532" spans="1:20">
      <c r="A532" s="22" t="s">
        <v>3777</v>
      </c>
      <c r="B532" s="23" t="s">
        <v>44</v>
      </c>
      <c r="C532" s="23" t="s">
        <v>46</v>
      </c>
      <c r="D532" s="23" t="s">
        <v>3673</v>
      </c>
      <c r="E532" s="36" t="s">
        <v>3778</v>
      </c>
      <c r="F532" s="23" t="s">
        <v>50</v>
      </c>
      <c r="G532" s="23" t="s">
        <v>39</v>
      </c>
      <c r="H532" s="23">
        <v>186404</v>
      </c>
      <c r="I532" s="23">
        <v>940</v>
      </c>
      <c r="J532" s="23">
        <v>30885</v>
      </c>
      <c r="K532" s="23">
        <v>151358</v>
      </c>
      <c r="L532" s="23">
        <v>3</v>
      </c>
      <c r="M532" s="37">
        <v>4702.027505</v>
      </c>
      <c r="N532" s="31"/>
      <c r="O532" s="32"/>
      <c r="P532" s="38" t="s">
        <v>219</v>
      </c>
      <c r="Q532" s="39" t="s">
        <v>221</v>
      </c>
      <c r="R532" s="40">
        <v>4702.027505</v>
      </c>
      <c r="S532" s="29" t="b">
        <f t="shared" si="2"/>
        <v>1</v>
      </c>
      <c r="T532" s="35"/>
    </row>
    <row r="533" spans="1:20">
      <c r="A533" s="22" t="s">
        <v>3779</v>
      </c>
      <c r="B533" s="23" t="s">
        <v>32</v>
      </c>
      <c r="C533" s="23" t="s">
        <v>80</v>
      </c>
      <c r="D533" s="23" t="s">
        <v>3673</v>
      </c>
      <c r="E533" s="36" t="s">
        <v>3780</v>
      </c>
      <c r="F533" s="23" t="s">
        <v>131</v>
      </c>
      <c r="G533" s="23" t="s">
        <v>39</v>
      </c>
      <c r="H533" s="23">
        <v>26304</v>
      </c>
      <c r="I533" s="23">
        <v>75</v>
      </c>
      <c r="J533" s="23">
        <v>12354</v>
      </c>
      <c r="K533" s="23">
        <v>17500</v>
      </c>
      <c r="L533" s="23">
        <v>11</v>
      </c>
      <c r="M533" s="37">
        <v>4727.8139160000001</v>
      </c>
      <c r="N533" s="31"/>
      <c r="O533" s="32"/>
      <c r="P533" s="38" t="s">
        <v>1478</v>
      </c>
      <c r="Q533" s="39" t="s">
        <v>1480</v>
      </c>
      <c r="R533" s="40">
        <v>4727.8139160000001</v>
      </c>
      <c r="S533" s="29" t="b">
        <f t="shared" si="2"/>
        <v>1</v>
      </c>
      <c r="T533" s="35"/>
    </row>
    <row r="534" spans="1:20">
      <c r="A534" s="22" t="s">
        <v>3781</v>
      </c>
      <c r="B534" s="23" t="s">
        <v>123</v>
      </c>
      <c r="C534" s="23" t="s">
        <v>62</v>
      </c>
      <c r="D534" s="23" t="s">
        <v>3673</v>
      </c>
      <c r="E534" s="36" t="s">
        <v>3782</v>
      </c>
      <c r="F534" s="23" t="s">
        <v>50</v>
      </c>
      <c r="G534" s="23" t="s">
        <v>39</v>
      </c>
      <c r="H534" s="23">
        <v>58938</v>
      </c>
      <c r="I534" s="23">
        <v>175</v>
      </c>
      <c r="J534" s="23">
        <v>41861</v>
      </c>
      <c r="K534" s="23">
        <v>55929</v>
      </c>
      <c r="L534" s="23">
        <v>9</v>
      </c>
      <c r="M534" s="37">
        <v>4881.1982690000004</v>
      </c>
      <c r="N534" s="31"/>
      <c r="O534" s="32"/>
      <c r="P534" s="38" t="s">
        <v>774</v>
      </c>
      <c r="Q534" s="39" t="s">
        <v>776</v>
      </c>
      <c r="R534" s="40">
        <v>4881.1982690000004</v>
      </c>
      <c r="S534" s="29" t="b">
        <f t="shared" si="2"/>
        <v>1</v>
      </c>
      <c r="T534" s="35"/>
    </row>
    <row r="535" spans="1:20">
      <c r="A535" s="22" t="s">
        <v>3783</v>
      </c>
      <c r="B535" s="23" t="s">
        <v>123</v>
      </c>
      <c r="C535" s="23" t="s">
        <v>80</v>
      </c>
      <c r="D535" s="23" t="s">
        <v>3673</v>
      </c>
      <c r="E535" s="36" t="s">
        <v>3784</v>
      </c>
      <c r="F535" s="23" t="s">
        <v>103</v>
      </c>
      <c r="G535" s="23" t="s">
        <v>39</v>
      </c>
      <c r="H535" s="23">
        <v>13946</v>
      </c>
      <c r="I535" s="23">
        <v>40</v>
      </c>
      <c r="J535" s="23">
        <v>3142</v>
      </c>
      <c r="K535" s="23">
        <v>8823</v>
      </c>
      <c r="L535" s="23">
        <v>8</v>
      </c>
      <c r="M535" s="37">
        <v>4920.2346299999999</v>
      </c>
      <c r="N535" s="31"/>
      <c r="O535" s="32"/>
      <c r="P535" s="38" t="s">
        <v>1558</v>
      </c>
      <c r="Q535" s="39" t="s">
        <v>1560</v>
      </c>
      <c r="R535" s="40">
        <v>4920.2346299999999</v>
      </c>
      <c r="S535" s="29" t="b">
        <f t="shared" si="2"/>
        <v>1</v>
      </c>
      <c r="T535" s="35"/>
    </row>
    <row r="536" spans="1:20">
      <c r="A536" s="22" t="s">
        <v>3785</v>
      </c>
      <c r="B536" s="23" t="s">
        <v>44</v>
      </c>
      <c r="C536" s="23" t="s">
        <v>80</v>
      </c>
      <c r="D536" s="23" t="s">
        <v>3673</v>
      </c>
      <c r="E536" s="36" t="s">
        <v>3786</v>
      </c>
      <c r="F536" s="23" t="s">
        <v>50</v>
      </c>
      <c r="G536" s="23" t="s">
        <v>39</v>
      </c>
      <c r="H536" s="23">
        <v>8111</v>
      </c>
      <c r="I536" s="23">
        <v>0</v>
      </c>
      <c r="J536" s="23">
        <v>4346</v>
      </c>
      <c r="K536" s="23">
        <v>6163</v>
      </c>
      <c r="L536" s="23">
        <v>1</v>
      </c>
      <c r="M536" s="37">
        <v>5000.7612060000001</v>
      </c>
      <c r="N536" s="31"/>
      <c r="O536" s="32"/>
      <c r="P536" s="38" t="s">
        <v>3787</v>
      </c>
      <c r="Q536" s="39" t="s">
        <v>2206</v>
      </c>
      <c r="R536" s="40">
        <v>5000.7612060000001</v>
      </c>
      <c r="S536" s="29" t="b">
        <f t="shared" si="2"/>
        <v>1</v>
      </c>
      <c r="T536" s="35"/>
    </row>
    <row r="537" spans="1:20">
      <c r="A537" s="22" t="s">
        <v>3788</v>
      </c>
      <c r="B537" s="23" t="s">
        <v>32</v>
      </c>
      <c r="C537" s="23" t="s">
        <v>46</v>
      </c>
      <c r="D537" s="23" t="s">
        <v>3673</v>
      </c>
      <c r="E537" s="36" t="s">
        <v>3789</v>
      </c>
      <c r="F537" s="23" t="s">
        <v>593</v>
      </c>
      <c r="G537" s="23" t="s">
        <v>39</v>
      </c>
      <c r="H537" s="23">
        <v>44361</v>
      </c>
      <c r="I537" s="23">
        <v>166</v>
      </c>
      <c r="J537" s="23">
        <v>36040</v>
      </c>
      <c r="K537" s="23">
        <v>40684</v>
      </c>
      <c r="L537" s="23">
        <v>17</v>
      </c>
      <c r="M537" s="37">
        <v>5048.8525529999997</v>
      </c>
      <c r="N537" s="31"/>
      <c r="O537" s="32"/>
      <c r="P537" s="38" t="s">
        <v>1712</v>
      </c>
      <c r="Q537" s="39" t="s">
        <v>1714</v>
      </c>
      <c r="R537" s="40">
        <v>5048.8525529999997</v>
      </c>
      <c r="S537" s="29" t="b">
        <f t="shared" si="2"/>
        <v>1</v>
      </c>
      <c r="T537" s="35"/>
    </row>
    <row r="538" spans="1:20">
      <c r="A538" s="22" t="s">
        <v>3790</v>
      </c>
      <c r="B538" s="23" t="s">
        <v>32</v>
      </c>
      <c r="C538" s="23" t="s">
        <v>34</v>
      </c>
      <c r="D538" s="23" t="s">
        <v>3673</v>
      </c>
      <c r="E538" s="36" t="s">
        <v>3791</v>
      </c>
      <c r="F538" s="23" t="s">
        <v>50</v>
      </c>
      <c r="G538" s="23" t="s">
        <v>39</v>
      </c>
      <c r="H538" s="23">
        <v>12879</v>
      </c>
      <c r="I538" s="23">
        <v>71</v>
      </c>
      <c r="J538" s="23">
        <v>7225</v>
      </c>
      <c r="K538" s="23">
        <v>12173</v>
      </c>
      <c r="L538" s="23">
        <v>9</v>
      </c>
      <c r="M538" s="37">
        <v>5099.2824899999996</v>
      </c>
      <c r="N538" s="31"/>
      <c r="O538" s="32"/>
      <c r="P538" s="38" t="s">
        <v>1324</v>
      </c>
      <c r="Q538" s="39" t="s">
        <v>1326</v>
      </c>
      <c r="R538" s="40">
        <v>5099.2824899999996</v>
      </c>
      <c r="S538" s="29" t="b">
        <f t="shared" si="2"/>
        <v>1</v>
      </c>
      <c r="T538" s="35"/>
    </row>
    <row r="539" spans="1:20">
      <c r="A539" s="22" t="s">
        <v>3792</v>
      </c>
      <c r="B539" s="23" t="s">
        <v>32</v>
      </c>
      <c r="C539" s="23" t="s">
        <v>80</v>
      </c>
      <c r="D539" s="23" t="s">
        <v>3673</v>
      </c>
      <c r="E539" s="36" t="s">
        <v>3793</v>
      </c>
      <c r="F539" s="23" t="s">
        <v>703</v>
      </c>
      <c r="G539" s="23" t="s">
        <v>39</v>
      </c>
      <c r="H539" s="23">
        <v>760502</v>
      </c>
      <c r="I539" s="23">
        <v>2140</v>
      </c>
      <c r="J539" s="23">
        <v>326721</v>
      </c>
      <c r="K539" s="23">
        <v>700814</v>
      </c>
      <c r="L539" s="23">
        <v>17</v>
      </c>
      <c r="M539" s="37">
        <v>5179.0415320000002</v>
      </c>
      <c r="N539" s="31"/>
      <c r="O539" s="32"/>
      <c r="P539" s="38" t="s">
        <v>2088</v>
      </c>
      <c r="Q539" s="39" t="s">
        <v>827</v>
      </c>
      <c r="R539" s="40">
        <v>5179.0415320000002</v>
      </c>
      <c r="S539" s="29" t="b">
        <f t="shared" si="2"/>
        <v>1</v>
      </c>
      <c r="T539" s="35"/>
    </row>
    <row r="540" spans="1:20">
      <c r="A540" s="22" t="s">
        <v>3794</v>
      </c>
      <c r="B540" s="23" t="s">
        <v>44</v>
      </c>
      <c r="C540" s="23" t="s">
        <v>34</v>
      </c>
      <c r="D540" s="23" t="s">
        <v>3673</v>
      </c>
      <c r="E540" s="36" t="s">
        <v>3795</v>
      </c>
      <c r="F540" s="23" t="s">
        <v>50</v>
      </c>
      <c r="G540" s="23" t="s">
        <v>39</v>
      </c>
      <c r="H540" s="23">
        <v>17770</v>
      </c>
      <c r="I540" s="23">
        <v>70</v>
      </c>
      <c r="J540" s="23">
        <v>12771</v>
      </c>
      <c r="K540" s="23">
        <v>16749</v>
      </c>
      <c r="L540" s="23">
        <v>9</v>
      </c>
      <c r="M540" s="37">
        <v>5195.2346770000004</v>
      </c>
      <c r="N540" s="31"/>
      <c r="O540" s="32"/>
      <c r="P540" s="38" t="s">
        <v>752</v>
      </c>
      <c r="Q540" s="39" t="s">
        <v>754</v>
      </c>
      <c r="R540" s="40">
        <v>5195.2346770000004</v>
      </c>
      <c r="S540" s="29" t="b">
        <f t="shared" si="2"/>
        <v>1</v>
      </c>
      <c r="T540" s="35"/>
    </row>
    <row r="541" spans="1:20">
      <c r="A541" s="22" t="s">
        <v>3796</v>
      </c>
      <c r="B541" s="23" t="s">
        <v>44</v>
      </c>
      <c r="C541" s="23" t="s">
        <v>80</v>
      </c>
      <c r="D541" s="23" t="s">
        <v>3673</v>
      </c>
      <c r="E541" s="36" t="s">
        <v>3797</v>
      </c>
      <c r="F541" s="23" t="s">
        <v>50</v>
      </c>
      <c r="G541" s="23" t="s">
        <v>39</v>
      </c>
      <c r="H541" s="23">
        <v>198163</v>
      </c>
      <c r="I541" s="23">
        <v>469</v>
      </c>
      <c r="J541" s="23">
        <v>76695</v>
      </c>
      <c r="K541" s="23">
        <v>183585</v>
      </c>
      <c r="L541" s="23">
        <v>31</v>
      </c>
      <c r="M541" s="37">
        <v>5204.313768</v>
      </c>
      <c r="N541" s="31"/>
      <c r="O541" s="32"/>
      <c r="P541" s="38" t="s">
        <v>2163</v>
      </c>
      <c r="Q541" s="39" t="s">
        <v>1049</v>
      </c>
      <c r="R541" s="40">
        <v>5204.313768</v>
      </c>
      <c r="S541" s="29" t="b">
        <f t="shared" si="2"/>
        <v>1</v>
      </c>
      <c r="T541" s="35"/>
    </row>
    <row r="542" spans="1:20">
      <c r="A542" s="22" t="s">
        <v>3798</v>
      </c>
      <c r="B542" s="23" t="s">
        <v>44</v>
      </c>
      <c r="C542" s="23" t="s">
        <v>62</v>
      </c>
      <c r="D542" s="23" t="s">
        <v>3673</v>
      </c>
      <c r="E542" s="36" t="s">
        <v>3799</v>
      </c>
      <c r="F542" s="23" t="s">
        <v>74</v>
      </c>
      <c r="G542" s="23" t="s">
        <v>75</v>
      </c>
      <c r="H542" s="23">
        <v>95644</v>
      </c>
      <c r="I542" s="23">
        <v>240</v>
      </c>
      <c r="J542" s="23">
        <v>13294</v>
      </c>
      <c r="K542" s="23">
        <v>86775</v>
      </c>
      <c r="L542" s="23">
        <v>9</v>
      </c>
      <c r="M542" s="37">
        <v>5587.7636750000001</v>
      </c>
      <c r="N542" s="31"/>
      <c r="O542" s="32"/>
      <c r="P542" s="38" t="s">
        <v>1601</v>
      </c>
      <c r="Q542" s="39" t="s">
        <v>1603</v>
      </c>
      <c r="R542" s="40">
        <v>5587.7636750000001</v>
      </c>
      <c r="S542" s="29" t="b">
        <f t="shared" si="2"/>
        <v>1</v>
      </c>
      <c r="T542" s="35"/>
    </row>
    <row r="543" spans="1:20">
      <c r="A543" s="22" t="s">
        <v>3800</v>
      </c>
      <c r="B543" s="23" t="s">
        <v>32</v>
      </c>
      <c r="C543" s="23" t="s">
        <v>46</v>
      </c>
      <c r="D543" s="23" t="s">
        <v>3673</v>
      </c>
      <c r="E543" s="36" t="s">
        <v>3801</v>
      </c>
      <c r="F543" s="23" t="s">
        <v>50</v>
      </c>
      <c r="G543" s="23" t="s">
        <v>39</v>
      </c>
      <c r="H543" s="23">
        <v>25835</v>
      </c>
      <c r="I543" s="23">
        <v>69</v>
      </c>
      <c r="J543" s="23">
        <v>3753</v>
      </c>
      <c r="K543" s="23">
        <v>20808</v>
      </c>
      <c r="L543" s="23">
        <v>11</v>
      </c>
      <c r="M543" s="37">
        <v>5751.9122969999999</v>
      </c>
      <c r="N543" s="31"/>
      <c r="O543" s="32"/>
      <c r="P543" s="38" t="s">
        <v>1979</v>
      </c>
      <c r="Q543" s="39" t="s">
        <v>1981</v>
      </c>
      <c r="R543" s="40">
        <v>5751.9122969999999</v>
      </c>
      <c r="S543" s="29" t="b">
        <f t="shared" si="2"/>
        <v>1</v>
      </c>
      <c r="T543" s="35"/>
    </row>
    <row r="544" spans="1:20">
      <c r="A544" s="22" t="s">
        <v>3802</v>
      </c>
      <c r="B544" s="23" t="s">
        <v>32</v>
      </c>
      <c r="C544" s="23" t="s">
        <v>34</v>
      </c>
      <c r="D544" s="23" t="s">
        <v>3673</v>
      </c>
      <c r="E544" s="36" t="s">
        <v>3803</v>
      </c>
      <c r="F544" s="23" t="s">
        <v>50</v>
      </c>
      <c r="G544" s="23" t="s">
        <v>39</v>
      </c>
      <c r="H544" s="23">
        <v>9515</v>
      </c>
      <c r="I544" s="23">
        <v>30</v>
      </c>
      <c r="J544" s="23">
        <v>6169</v>
      </c>
      <c r="K544" s="23">
        <v>9138</v>
      </c>
      <c r="L544" s="23">
        <v>3</v>
      </c>
      <c r="M544" s="37">
        <v>5776.508186</v>
      </c>
      <c r="N544" s="31"/>
      <c r="O544" s="32"/>
      <c r="P544" s="38" t="s">
        <v>1043</v>
      </c>
      <c r="Q544" s="39" t="s">
        <v>1045</v>
      </c>
      <c r="R544" s="40">
        <v>5776.508186</v>
      </c>
      <c r="S544" s="29" t="b">
        <f t="shared" si="2"/>
        <v>1</v>
      </c>
      <c r="T544" s="35"/>
    </row>
    <row r="545" spans="1:20">
      <c r="A545" s="22" t="s">
        <v>3804</v>
      </c>
      <c r="B545" s="23" t="s">
        <v>44</v>
      </c>
      <c r="C545" s="23" t="s">
        <v>80</v>
      </c>
      <c r="D545" s="23" t="s">
        <v>3673</v>
      </c>
      <c r="E545" s="36" t="s">
        <v>3805</v>
      </c>
      <c r="F545" s="23" t="s">
        <v>50</v>
      </c>
      <c r="G545" s="23" t="s">
        <v>75</v>
      </c>
      <c r="H545" s="23">
        <v>83854</v>
      </c>
      <c r="I545" s="23">
        <v>197</v>
      </c>
      <c r="J545" s="23">
        <v>60626</v>
      </c>
      <c r="K545" s="23">
        <v>76071</v>
      </c>
      <c r="L545" s="23">
        <v>15</v>
      </c>
      <c r="M545" s="37">
        <v>5783.843758</v>
      </c>
      <c r="N545" s="31"/>
      <c r="O545" s="32"/>
      <c r="P545" s="38" t="s">
        <v>410</v>
      </c>
      <c r="Q545" s="39" t="s">
        <v>412</v>
      </c>
      <c r="R545" s="40">
        <v>5783.843758</v>
      </c>
      <c r="S545" s="29" t="b">
        <f t="shared" si="2"/>
        <v>1</v>
      </c>
      <c r="T545" s="35"/>
    </row>
    <row r="546" spans="1:20">
      <c r="A546" s="22" t="s">
        <v>3806</v>
      </c>
      <c r="B546" s="23" t="s">
        <v>44</v>
      </c>
      <c r="C546" s="23" t="s">
        <v>62</v>
      </c>
      <c r="D546" s="23" t="s">
        <v>3673</v>
      </c>
      <c r="E546" s="36" t="s">
        <v>3807</v>
      </c>
      <c r="F546" s="23" t="s">
        <v>50</v>
      </c>
      <c r="G546" s="23" t="s">
        <v>39</v>
      </c>
      <c r="H546" s="23">
        <v>161178</v>
      </c>
      <c r="I546" s="23">
        <v>492</v>
      </c>
      <c r="J546" s="23">
        <v>70181</v>
      </c>
      <c r="K546" s="23">
        <v>150003</v>
      </c>
      <c r="L546" s="23">
        <v>11</v>
      </c>
      <c r="M546" s="37">
        <v>5892.48218</v>
      </c>
      <c r="N546" s="31"/>
      <c r="O546" s="32"/>
      <c r="P546" s="38" t="s">
        <v>1050</v>
      </c>
      <c r="Q546" s="39" t="s">
        <v>1052</v>
      </c>
      <c r="R546" s="40">
        <v>5892.48218</v>
      </c>
      <c r="S546" s="29" t="b">
        <f t="shared" si="2"/>
        <v>1</v>
      </c>
      <c r="T546" s="35"/>
    </row>
    <row r="547" spans="1:20">
      <c r="A547" s="22" t="s">
        <v>3808</v>
      </c>
      <c r="B547" s="23" t="s">
        <v>32</v>
      </c>
      <c r="C547" s="23" t="s">
        <v>80</v>
      </c>
      <c r="D547" s="23" t="s">
        <v>3673</v>
      </c>
      <c r="E547" s="36" t="s">
        <v>3809</v>
      </c>
      <c r="F547" s="23" t="s">
        <v>118</v>
      </c>
      <c r="G547" s="23" t="s">
        <v>39</v>
      </c>
      <c r="H547" s="23">
        <v>134847</v>
      </c>
      <c r="I547" s="23">
        <v>450</v>
      </c>
      <c r="J547" s="23">
        <v>104268</v>
      </c>
      <c r="K547" s="23">
        <v>128470</v>
      </c>
      <c r="L547" s="23">
        <v>125</v>
      </c>
      <c r="M547" s="37">
        <v>6040.5955780000004</v>
      </c>
      <c r="N547" s="31"/>
      <c r="O547" s="32"/>
      <c r="P547" s="38" t="s">
        <v>1363</v>
      </c>
      <c r="Q547" s="39" t="s">
        <v>1365</v>
      </c>
      <c r="R547" s="40">
        <v>6040.5955780000004</v>
      </c>
      <c r="S547" s="29" t="b">
        <f t="shared" si="2"/>
        <v>1</v>
      </c>
      <c r="T547" s="35"/>
    </row>
    <row r="548" spans="1:20">
      <c r="A548" s="22" t="s">
        <v>3810</v>
      </c>
      <c r="B548" s="23" t="s">
        <v>32</v>
      </c>
      <c r="C548" s="23" t="s">
        <v>62</v>
      </c>
      <c r="D548" s="23" t="s">
        <v>3673</v>
      </c>
      <c r="E548" s="36" t="s">
        <v>3811</v>
      </c>
      <c r="F548" s="23" t="s">
        <v>157</v>
      </c>
      <c r="G548" s="23" t="s">
        <v>39</v>
      </c>
      <c r="H548" s="23">
        <v>25532</v>
      </c>
      <c r="I548" s="23">
        <v>140</v>
      </c>
      <c r="J548" s="23">
        <v>15219</v>
      </c>
      <c r="K548" s="23">
        <v>21497</v>
      </c>
      <c r="L548" s="23">
        <v>9</v>
      </c>
      <c r="M548" s="37">
        <v>6047.1741089999996</v>
      </c>
      <c r="N548" s="31"/>
      <c r="O548" s="32"/>
      <c r="P548" s="38" t="s">
        <v>1095</v>
      </c>
      <c r="Q548" s="39" t="s">
        <v>1097</v>
      </c>
      <c r="R548" s="40">
        <v>6047.1741089999996</v>
      </c>
      <c r="S548" s="29" t="b">
        <f t="shared" si="2"/>
        <v>1</v>
      </c>
      <c r="T548" s="35"/>
    </row>
    <row r="549" spans="1:20">
      <c r="A549" s="22" t="s">
        <v>3812</v>
      </c>
      <c r="B549" s="23" t="s">
        <v>32</v>
      </c>
      <c r="C549" s="23" t="s">
        <v>80</v>
      </c>
      <c r="D549" s="23" t="s">
        <v>3673</v>
      </c>
      <c r="E549" s="36" t="s">
        <v>3813</v>
      </c>
      <c r="F549" s="23" t="s">
        <v>50</v>
      </c>
      <c r="G549" s="23" t="s">
        <v>39</v>
      </c>
      <c r="H549" s="23">
        <v>7806</v>
      </c>
      <c r="I549" s="23">
        <v>20</v>
      </c>
      <c r="J549" s="23">
        <v>3150</v>
      </c>
      <c r="K549" s="23">
        <v>7247</v>
      </c>
      <c r="L549" s="23">
        <v>1</v>
      </c>
      <c r="M549" s="37">
        <v>6162.3208329999998</v>
      </c>
      <c r="N549" s="31"/>
      <c r="O549" s="32"/>
      <c r="P549" s="38" t="s">
        <v>1290</v>
      </c>
      <c r="Q549" s="39" t="s">
        <v>1292</v>
      </c>
      <c r="R549" s="40">
        <v>6162.3208329999998</v>
      </c>
      <c r="S549" s="29" t="b">
        <f t="shared" si="2"/>
        <v>1</v>
      </c>
      <c r="T549" s="35"/>
    </row>
    <row r="550" spans="1:20">
      <c r="A550" s="22" t="s">
        <v>3814</v>
      </c>
      <c r="B550" s="23" t="s">
        <v>44</v>
      </c>
      <c r="C550" s="23" t="s">
        <v>46</v>
      </c>
      <c r="D550" s="23" t="s">
        <v>3673</v>
      </c>
      <c r="E550" s="36" t="s">
        <v>3815</v>
      </c>
      <c r="F550" s="23" t="s">
        <v>103</v>
      </c>
      <c r="G550" s="23" t="s">
        <v>75</v>
      </c>
      <c r="H550" s="23">
        <v>99205</v>
      </c>
      <c r="I550" s="23">
        <v>230</v>
      </c>
      <c r="J550" s="23">
        <v>49240</v>
      </c>
      <c r="K550" s="23">
        <v>72687</v>
      </c>
      <c r="L550" s="23">
        <v>21</v>
      </c>
      <c r="M550" s="37">
        <v>6185.0024860000003</v>
      </c>
      <c r="N550" s="31"/>
      <c r="O550" s="32"/>
      <c r="P550" s="38" t="s">
        <v>247</v>
      </c>
      <c r="Q550" s="39" t="s">
        <v>250</v>
      </c>
      <c r="R550" s="40">
        <v>6185.0024860000003</v>
      </c>
      <c r="S550" s="29" t="b">
        <f t="shared" si="2"/>
        <v>1</v>
      </c>
      <c r="T550" s="35"/>
    </row>
    <row r="551" spans="1:20">
      <c r="A551" s="22" t="s">
        <v>3816</v>
      </c>
      <c r="B551" s="23" t="s">
        <v>44</v>
      </c>
      <c r="C551" s="23" t="s">
        <v>34</v>
      </c>
      <c r="D551" s="23" t="s">
        <v>3673</v>
      </c>
      <c r="E551" s="36" t="s">
        <v>3817</v>
      </c>
      <c r="F551" s="23" t="s">
        <v>50</v>
      </c>
      <c r="G551" s="23" t="s">
        <v>75</v>
      </c>
      <c r="H551" s="23">
        <v>95655</v>
      </c>
      <c r="I551" s="23">
        <v>275</v>
      </c>
      <c r="J551" s="23">
        <v>9202</v>
      </c>
      <c r="K551" s="23">
        <v>85273</v>
      </c>
      <c r="L551" s="23">
        <v>24</v>
      </c>
      <c r="M551" s="37">
        <v>6189.4160819999997</v>
      </c>
      <c r="N551" s="31"/>
      <c r="O551" s="32"/>
      <c r="P551" s="38" t="s">
        <v>1801</v>
      </c>
      <c r="Q551" s="39" t="s">
        <v>999</v>
      </c>
      <c r="R551" s="40">
        <v>6189.4160819999997</v>
      </c>
      <c r="S551" s="29" t="b">
        <f t="shared" si="2"/>
        <v>1</v>
      </c>
      <c r="T551" s="35"/>
    </row>
    <row r="552" spans="1:20">
      <c r="A552" s="22" t="s">
        <v>3818</v>
      </c>
      <c r="B552" s="23" t="s">
        <v>44</v>
      </c>
      <c r="C552" s="23" t="s">
        <v>46</v>
      </c>
      <c r="D552" s="23" t="s">
        <v>3673</v>
      </c>
      <c r="E552" s="36" t="s">
        <v>3819</v>
      </c>
      <c r="F552" s="23" t="s">
        <v>3153</v>
      </c>
      <c r="G552" s="23" t="s">
        <v>75</v>
      </c>
      <c r="H552" s="23">
        <v>96779</v>
      </c>
      <c r="I552" s="23">
        <v>299</v>
      </c>
      <c r="J552" s="23">
        <v>9831</v>
      </c>
      <c r="K552" s="23">
        <v>63640</v>
      </c>
      <c r="L552" s="23">
        <v>12</v>
      </c>
      <c r="M552" s="37">
        <v>6317.5107539999999</v>
      </c>
      <c r="N552" s="31"/>
      <c r="O552" s="32"/>
      <c r="P552" s="38" t="s">
        <v>2344</v>
      </c>
      <c r="Q552" s="39" t="s">
        <v>1215</v>
      </c>
      <c r="R552" s="40">
        <v>6317.5107539999999</v>
      </c>
      <c r="S552" s="29" t="b">
        <f t="shared" si="2"/>
        <v>1</v>
      </c>
      <c r="T552" s="35"/>
    </row>
    <row r="553" spans="1:20">
      <c r="A553" s="22" t="s">
        <v>3820</v>
      </c>
      <c r="B553" s="23" t="s">
        <v>123</v>
      </c>
      <c r="C553" s="23" t="s">
        <v>80</v>
      </c>
      <c r="D553" s="23" t="s">
        <v>3673</v>
      </c>
      <c r="E553" s="36" t="s">
        <v>3821</v>
      </c>
      <c r="F553" s="23" t="s">
        <v>50</v>
      </c>
      <c r="G553" s="23" t="s">
        <v>39</v>
      </c>
      <c r="H553" s="23">
        <v>39373</v>
      </c>
      <c r="I553" s="23">
        <v>99</v>
      </c>
      <c r="J553" s="23">
        <v>23152</v>
      </c>
      <c r="K553" s="23">
        <v>35857</v>
      </c>
      <c r="L553" s="23">
        <v>17</v>
      </c>
      <c r="M553" s="37">
        <v>6342.8857859999998</v>
      </c>
      <c r="N553" s="31"/>
      <c r="O553" s="32"/>
      <c r="P553" s="38" t="s">
        <v>2089</v>
      </c>
      <c r="Q553" s="39" t="s">
        <v>1271</v>
      </c>
      <c r="R553" s="40">
        <v>6342.8857859999998</v>
      </c>
      <c r="S553" s="29" t="b">
        <f t="shared" si="2"/>
        <v>1</v>
      </c>
      <c r="T553" s="35"/>
    </row>
    <row r="554" spans="1:20">
      <c r="A554" s="22" t="s">
        <v>3822</v>
      </c>
      <c r="B554" s="23" t="s">
        <v>123</v>
      </c>
      <c r="C554" s="23" t="s">
        <v>46</v>
      </c>
      <c r="D554" s="23" t="s">
        <v>3673</v>
      </c>
      <c r="E554" s="36" t="s">
        <v>3823</v>
      </c>
      <c r="F554" s="23" t="s">
        <v>50</v>
      </c>
      <c r="G554" s="23" t="s">
        <v>39</v>
      </c>
      <c r="H554" s="23">
        <v>89744</v>
      </c>
      <c r="I554" s="23">
        <v>311</v>
      </c>
      <c r="J554" s="23">
        <v>48786</v>
      </c>
      <c r="K554" s="23">
        <v>85900</v>
      </c>
      <c r="L554" s="23">
        <v>3</v>
      </c>
      <c r="M554" s="37">
        <v>6369.8112259999998</v>
      </c>
      <c r="N554" s="31"/>
      <c r="O554" s="32"/>
      <c r="P554" s="38" t="s">
        <v>2319</v>
      </c>
      <c r="Q554" s="39" t="s">
        <v>2320</v>
      </c>
      <c r="R554" s="40">
        <v>6369.8112259999998</v>
      </c>
      <c r="S554" s="29" t="b">
        <f t="shared" si="2"/>
        <v>1</v>
      </c>
      <c r="T554" s="35"/>
    </row>
    <row r="555" spans="1:20">
      <c r="A555" s="22" t="s">
        <v>3824</v>
      </c>
      <c r="B555" s="23" t="s">
        <v>44</v>
      </c>
      <c r="C555" s="23" t="s">
        <v>80</v>
      </c>
      <c r="D555" s="23" t="s">
        <v>3673</v>
      </c>
      <c r="E555" s="36" t="s">
        <v>3825</v>
      </c>
      <c r="F555" s="23" t="s">
        <v>50</v>
      </c>
      <c r="G555" s="23" t="s">
        <v>39</v>
      </c>
      <c r="H555" s="23">
        <v>286998</v>
      </c>
      <c r="I555" s="23">
        <v>815</v>
      </c>
      <c r="J555" s="23">
        <v>61586</v>
      </c>
      <c r="K555" s="23">
        <v>247500</v>
      </c>
      <c r="L555" s="23">
        <v>13</v>
      </c>
      <c r="M555" s="37">
        <v>6395.5506240000004</v>
      </c>
      <c r="N555" s="31"/>
      <c r="O555" s="32"/>
      <c r="P555" s="38" t="s">
        <v>1459</v>
      </c>
      <c r="Q555" s="39" t="s">
        <v>1461</v>
      </c>
      <c r="R555" s="40">
        <v>6395.5506240000004</v>
      </c>
      <c r="S555" s="29" t="b">
        <f t="shared" si="2"/>
        <v>1</v>
      </c>
      <c r="T555" s="35"/>
    </row>
    <row r="556" spans="1:20">
      <c r="A556" s="22" t="s">
        <v>3826</v>
      </c>
      <c r="B556" s="23" t="s">
        <v>44</v>
      </c>
      <c r="C556" s="23" t="s">
        <v>34</v>
      </c>
      <c r="D556" s="23" t="s">
        <v>3673</v>
      </c>
      <c r="E556" s="36" t="s">
        <v>3827</v>
      </c>
      <c r="F556" s="23" t="s">
        <v>103</v>
      </c>
      <c r="G556" s="23" t="s">
        <v>75</v>
      </c>
      <c r="H556" s="23">
        <v>45711</v>
      </c>
      <c r="I556" s="23">
        <v>130</v>
      </c>
      <c r="J556" s="23">
        <v>23052</v>
      </c>
      <c r="K556" s="23">
        <v>42375</v>
      </c>
      <c r="L556" s="23">
        <v>11</v>
      </c>
      <c r="M556" s="37">
        <v>6417.8761690000001</v>
      </c>
      <c r="N556" s="31"/>
      <c r="O556" s="32"/>
      <c r="P556" s="38" t="s">
        <v>1273</v>
      </c>
      <c r="Q556" s="39" t="s">
        <v>1275</v>
      </c>
      <c r="R556" s="40">
        <v>6417.8761690000001</v>
      </c>
      <c r="S556" s="29" t="b">
        <f t="shared" si="2"/>
        <v>1</v>
      </c>
      <c r="T556" s="35"/>
    </row>
    <row r="557" spans="1:20">
      <c r="A557" s="22" t="s">
        <v>3828</v>
      </c>
      <c r="B557" s="23" t="s">
        <v>123</v>
      </c>
      <c r="C557" s="23" t="s">
        <v>46</v>
      </c>
      <c r="D557" s="23" t="s">
        <v>3673</v>
      </c>
      <c r="E557" s="36" t="s">
        <v>3829</v>
      </c>
      <c r="F557" s="23" t="s">
        <v>186</v>
      </c>
      <c r="G557" s="23" t="s">
        <v>39</v>
      </c>
      <c r="H557" s="23">
        <v>11734</v>
      </c>
      <c r="I557" s="23">
        <v>78</v>
      </c>
      <c r="J557" s="23">
        <v>8741</v>
      </c>
      <c r="K557" s="23">
        <v>10606</v>
      </c>
      <c r="L557" s="23">
        <v>5</v>
      </c>
      <c r="M557" s="37">
        <v>6439.2834979999998</v>
      </c>
      <c r="N557" s="31"/>
      <c r="O557" s="32"/>
      <c r="P557" s="38" t="s">
        <v>1881</v>
      </c>
      <c r="Q557" s="39" t="s">
        <v>1882</v>
      </c>
      <c r="R557" s="40">
        <v>6439.2834979999998</v>
      </c>
      <c r="S557" s="29" t="b">
        <f t="shared" si="2"/>
        <v>1</v>
      </c>
      <c r="T557" s="35"/>
    </row>
    <row r="558" spans="1:20">
      <c r="A558" s="22" t="s">
        <v>3830</v>
      </c>
      <c r="B558" s="23" t="s">
        <v>123</v>
      </c>
      <c r="C558" s="23" t="s">
        <v>80</v>
      </c>
      <c r="D558" s="23" t="s">
        <v>3673</v>
      </c>
      <c r="E558" s="36" t="s">
        <v>3831</v>
      </c>
      <c r="F558" s="23" t="s">
        <v>74</v>
      </c>
      <c r="G558" s="23" t="s">
        <v>39</v>
      </c>
      <c r="H558" s="23">
        <v>11789</v>
      </c>
      <c r="I558" s="23">
        <v>20</v>
      </c>
      <c r="J558" s="23">
        <v>6187</v>
      </c>
      <c r="K558" s="23">
        <v>10028</v>
      </c>
      <c r="L558" s="23">
        <v>3</v>
      </c>
      <c r="M558" s="37">
        <v>6505.5264559999996</v>
      </c>
      <c r="N558" s="31"/>
      <c r="O558" s="32"/>
      <c r="P558" s="38" t="s">
        <v>1025</v>
      </c>
      <c r="Q558" s="39" t="s">
        <v>1026</v>
      </c>
      <c r="R558" s="40">
        <v>6505.5264559999996</v>
      </c>
      <c r="S558" s="29" t="b">
        <f t="shared" si="2"/>
        <v>1</v>
      </c>
      <c r="T558" s="35"/>
    </row>
    <row r="559" spans="1:20">
      <c r="A559" s="22" t="s">
        <v>3832</v>
      </c>
      <c r="B559" s="23" t="s">
        <v>32</v>
      </c>
      <c r="C559" s="23" t="s">
        <v>62</v>
      </c>
      <c r="D559" s="23" t="s">
        <v>3673</v>
      </c>
      <c r="E559" s="36" t="s">
        <v>3833</v>
      </c>
      <c r="F559" s="23" t="s">
        <v>50</v>
      </c>
      <c r="G559" s="23" t="s">
        <v>39</v>
      </c>
      <c r="H559" s="23">
        <v>18081</v>
      </c>
      <c r="I559" s="23">
        <v>44</v>
      </c>
      <c r="J559" s="23">
        <v>4545</v>
      </c>
      <c r="K559" s="23">
        <v>15617</v>
      </c>
      <c r="L559" s="23">
        <v>15</v>
      </c>
      <c r="M559" s="37">
        <v>6522.6375260000004</v>
      </c>
      <c r="N559" s="31"/>
      <c r="O559" s="32"/>
      <c r="P559" s="38" t="s">
        <v>1811</v>
      </c>
      <c r="Q559" s="39" t="s">
        <v>1813</v>
      </c>
      <c r="R559" s="40">
        <v>6522.6375260000004</v>
      </c>
      <c r="S559" s="29" t="b">
        <f t="shared" si="2"/>
        <v>1</v>
      </c>
      <c r="T559" s="35"/>
    </row>
    <row r="560" spans="1:20">
      <c r="A560" s="22" t="s">
        <v>3834</v>
      </c>
      <c r="B560" s="23" t="s">
        <v>44</v>
      </c>
      <c r="C560" s="23" t="s">
        <v>80</v>
      </c>
      <c r="D560" s="23" t="s">
        <v>3673</v>
      </c>
      <c r="E560" s="36" t="s">
        <v>3835</v>
      </c>
      <c r="F560" s="23" t="s">
        <v>50</v>
      </c>
      <c r="G560" s="23" t="s">
        <v>39</v>
      </c>
      <c r="H560" s="23">
        <v>106392</v>
      </c>
      <c r="I560" s="23">
        <v>299</v>
      </c>
      <c r="J560" s="23">
        <v>39599</v>
      </c>
      <c r="K560" s="23">
        <v>94941</v>
      </c>
      <c r="L560" s="23">
        <v>3</v>
      </c>
      <c r="M560" s="37">
        <v>6542.6124280000004</v>
      </c>
      <c r="N560" s="31"/>
      <c r="O560" s="32"/>
      <c r="P560" s="38" t="s">
        <v>2273</v>
      </c>
      <c r="Q560" s="39" t="s">
        <v>1728</v>
      </c>
      <c r="R560" s="40">
        <v>6542.6124280000004</v>
      </c>
      <c r="S560" s="29" t="b">
        <f t="shared" si="2"/>
        <v>1</v>
      </c>
      <c r="T560" s="35"/>
    </row>
    <row r="561" spans="1:20">
      <c r="A561" s="22" t="s">
        <v>3836</v>
      </c>
      <c r="B561" s="23" t="s">
        <v>32</v>
      </c>
      <c r="C561" s="23" t="s">
        <v>80</v>
      </c>
      <c r="D561" s="23" t="s">
        <v>3673</v>
      </c>
      <c r="E561" s="36" t="s">
        <v>3837</v>
      </c>
      <c r="F561" s="23" t="s">
        <v>131</v>
      </c>
      <c r="G561" s="23" t="s">
        <v>39</v>
      </c>
      <c r="H561" s="23">
        <v>96728</v>
      </c>
      <c r="I561" s="23">
        <v>341</v>
      </c>
      <c r="J561" s="23">
        <v>69700</v>
      </c>
      <c r="K561" s="23">
        <v>91910</v>
      </c>
      <c r="L561" s="23">
        <v>15</v>
      </c>
      <c r="M561" s="37">
        <v>6587.2433309999997</v>
      </c>
      <c r="N561" s="31"/>
      <c r="O561" s="32"/>
      <c r="P561" s="38" t="s">
        <v>859</v>
      </c>
      <c r="Q561" s="39" t="s">
        <v>861</v>
      </c>
      <c r="R561" s="40">
        <v>6587.2433309999997</v>
      </c>
      <c r="S561" s="29" t="b">
        <f t="shared" si="2"/>
        <v>1</v>
      </c>
      <c r="T561" s="35"/>
    </row>
    <row r="562" spans="1:20">
      <c r="A562" s="22" t="s">
        <v>3838</v>
      </c>
      <c r="B562" s="23" t="s">
        <v>32</v>
      </c>
      <c r="C562" s="23" t="s">
        <v>62</v>
      </c>
      <c r="D562" s="23" t="s">
        <v>3673</v>
      </c>
      <c r="E562" s="36" t="s">
        <v>3839</v>
      </c>
      <c r="F562" s="23" t="s">
        <v>50</v>
      </c>
      <c r="G562" s="23" t="s">
        <v>39</v>
      </c>
      <c r="H562" s="23">
        <v>19093</v>
      </c>
      <c r="I562" s="23">
        <v>50</v>
      </c>
      <c r="J562" s="23">
        <v>9626</v>
      </c>
      <c r="K562" s="23">
        <v>17815</v>
      </c>
      <c r="L562" s="23">
        <v>10</v>
      </c>
      <c r="M562" s="37">
        <v>6612.1456900000003</v>
      </c>
      <c r="N562" s="31"/>
      <c r="O562" s="32"/>
      <c r="P562" s="38" t="s">
        <v>187</v>
      </c>
      <c r="Q562" s="39" t="s">
        <v>190</v>
      </c>
      <c r="R562" s="40">
        <v>6612.1456900000003</v>
      </c>
      <c r="S562" s="29" t="b">
        <f t="shared" si="2"/>
        <v>1</v>
      </c>
      <c r="T562" s="35"/>
    </row>
    <row r="563" spans="1:20">
      <c r="A563" s="22" t="s">
        <v>3840</v>
      </c>
      <c r="B563" s="23" t="s">
        <v>32</v>
      </c>
      <c r="C563" s="23" t="s">
        <v>46</v>
      </c>
      <c r="D563" s="23" t="s">
        <v>3673</v>
      </c>
      <c r="E563" s="36" t="s">
        <v>3841</v>
      </c>
      <c r="F563" s="23" t="s">
        <v>50</v>
      </c>
      <c r="G563" s="23" t="s">
        <v>39</v>
      </c>
      <c r="H563" s="23">
        <v>92764</v>
      </c>
      <c r="I563" s="23">
        <v>320</v>
      </c>
      <c r="J563" s="23">
        <v>19625</v>
      </c>
      <c r="K563" s="23">
        <v>76531</v>
      </c>
      <c r="L563" s="23">
        <v>14</v>
      </c>
      <c r="M563" s="37">
        <v>6730.012549</v>
      </c>
      <c r="N563" s="31"/>
      <c r="O563" s="32"/>
      <c r="P563" s="38" t="s">
        <v>1763</v>
      </c>
      <c r="Q563" s="39" t="s">
        <v>1765</v>
      </c>
      <c r="R563" s="40">
        <v>6730.012549</v>
      </c>
      <c r="S563" s="29" t="b">
        <f t="shared" si="2"/>
        <v>1</v>
      </c>
      <c r="T563" s="35"/>
    </row>
    <row r="564" spans="1:20">
      <c r="A564" s="22" t="s">
        <v>3842</v>
      </c>
      <c r="B564" s="23" t="s">
        <v>32</v>
      </c>
      <c r="C564" s="23" t="s">
        <v>62</v>
      </c>
      <c r="D564" s="23" t="s">
        <v>3673</v>
      </c>
      <c r="E564" s="36" t="s">
        <v>3843</v>
      </c>
      <c r="F564" s="23" t="s">
        <v>74</v>
      </c>
      <c r="G564" s="23" t="s">
        <v>39</v>
      </c>
      <c r="H564" s="23">
        <v>37176</v>
      </c>
      <c r="I564" s="23">
        <v>100</v>
      </c>
      <c r="J564" s="23">
        <v>31829</v>
      </c>
      <c r="K564" s="23">
        <v>35639</v>
      </c>
      <c r="L564" s="23">
        <v>21</v>
      </c>
      <c r="M564" s="37">
        <v>6753.5952420000003</v>
      </c>
      <c r="N564" s="31"/>
      <c r="O564" s="32"/>
      <c r="P564" s="38" t="s">
        <v>1269</v>
      </c>
      <c r="Q564" s="39" t="s">
        <v>1271</v>
      </c>
      <c r="R564" s="40">
        <v>6753.5952420000003</v>
      </c>
      <c r="S564" s="29" t="b">
        <f t="shared" si="2"/>
        <v>1</v>
      </c>
      <c r="T564" s="35"/>
    </row>
    <row r="565" spans="1:20">
      <c r="A565" s="22" t="s">
        <v>3844</v>
      </c>
      <c r="B565" s="23" t="s">
        <v>123</v>
      </c>
      <c r="C565" s="23" t="s">
        <v>34</v>
      </c>
      <c r="D565" s="23" t="s">
        <v>3673</v>
      </c>
      <c r="E565" s="36" t="s">
        <v>3845</v>
      </c>
      <c r="F565" s="23" t="s">
        <v>50</v>
      </c>
      <c r="G565" s="23" t="s">
        <v>39</v>
      </c>
      <c r="H565" s="23">
        <v>17518</v>
      </c>
      <c r="I565" s="23">
        <v>60</v>
      </c>
      <c r="J565" s="23">
        <v>11513</v>
      </c>
      <c r="K565" s="23">
        <v>16192</v>
      </c>
      <c r="L565" s="23">
        <v>12</v>
      </c>
      <c r="M565" s="37">
        <v>6765.0003999999999</v>
      </c>
      <c r="N565" s="31"/>
      <c r="O565" s="32"/>
      <c r="P565" s="38" t="s">
        <v>119</v>
      </c>
      <c r="Q565" s="39" t="s">
        <v>124</v>
      </c>
      <c r="R565" s="40">
        <v>6765.0003999999999</v>
      </c>
      <c r="S565" s="29" t="b">
        <f t="shared" si="2"/>
        <v>1</v>
      </c>
      <c r="T565" s="35"/>
    </row>
    <row r="566" spans="1:20">
      <c r="A566" s="22" t="s">
        <v>3846</v>
      </c>
      <c r="B566" s="23" t="s">
        <v>44</v>
      </c>
      <c r="C566" s="23" t="s">
        <v>46</v>
      </c>
      <c r="D566" s="23" t="s">
        <v>3673</v>
      </c>
      <c r="E566" s="36" t="s">
        <v>3847</v>
      </c>
      <c r="F566" s="23" t="s">
        <v>74</v>
      </c>
      <c r="G566" s="23" t="s">
        <v>75</v>
      </c>
      <c r="H566" s="23">
        <v>25206</v>
      </c>
      <c r="I566" s="23">
        <v>75</v>
      </c>
      <c r="J566" s="23">
        <v>3588</v>
      </c>
      <c r="K566" s="23">
        <v>23556</v>
      </c>
      <c r="L566" s="23">
        <v>19</v>
      </c>
      <c r="M566" s="37">
        <v>6846.3564340000003</v>
      </c>
      <c r="N566" s="31"/>
      <c r="O566" s="32"/>
      <c r="P566" s="38" t="s">
        <v>2207</v>
      </c>
      <c r="Q566" s="39" t="s">
        <v>2208</v>
      </c>
      <c r="R566" s="40">
        <v>6846.3564340000003</v>
      </c>
      <c r="S566" s="29" t="b">
        <f t="shared" si="2"/>
        <v>1</v>
      </c>
      <c r="T566" s="35"/>
    </row>
    <row r="567" spans="1:20">
      <c r="A567" s="22" t="s">
        <v>3848</v>
      </c>
      <c r="B567" s="23" t="s">
        <v>44</v>
      </c>
      <c r="C567" s="23" t="s">
        <v>46</v>
      </c>
      <c r="D567" s="23" t="s">
        <v>3673</v>
      </c>
      <c r="E567" s="36" t="s">
        <v>3849</v>
      </c>
      <c r="F567" s="23" t="s">
        <v>103</v>
      </c>
      <c r="G567" s="23" t="s">
        <v>75</v>
      </c>
      <c r="H567" s="23">
        <v>109372</v>
      </c>
      <c r="I567" s="23">
        <v>364</v>
      </c>
      <c r="J567" s="23">
        <v>58336</v>
      </c>
      <c r="K567" s="23">
        <v>103569</v>
      </c>
      <c r="L567" s="23">
        <v>21</v>
      </c>
      <c r="M567" s="37">
        <v>6928.0062019999996</v>
      </c>
      <c r="N567" s="31"/>
      <c r="O567" s="32"/>
      <c r="P567" s="38" t="s">
        <v>1913</v>
      </c>
      <c r="Q567" s="39" t="s">
        <v>735</v>
      </c>
      <c r="R567" s="40">
        <v>6928.0062019999996</v>
      </c>
      <c r="S567" s="29" t="b">
        <f t="shared" si="2"/>
        <v>1</v>
      </c>
      <c r="T567" s="35"/>
    </row>
    <row r="568" spans="1:20">
      <c r="A568" s="22" t="s">
        <v>3850</v>
      </c>
      <c r="B568" s="23" t="s">
        <v>32</v>
      </c>
      <c r="C568" s="23" t="s">
        <v>62</v>
      </c>
      <c r="D568" s="23" t="s">
        <v>3673</v>
      </c>
      <c r="E568" s="36" t="s">
        <v>3851</v>
      </c>
      <c r="F568" s="23" t="s">
        <v>131</v>
      </c>
      <c r="G568" s="23" t="s">
        <v>39</v>
      </c>
      <c r="H568" s="23">
        <v>76049</v>
      </c>
      <c r="I568" s="23">
        <v>199</v>
      </c>
      <c r="J568" s="23">
        <v>34921</v>
      </c>
      <c r="K568" s="23">
        <v>69138</v>
      </c>
      <c r="L568" s="23">
        <v>8</v>
      </c>
      <c r="M568" s="37">
        <v>6942.8004579999997</v>
      </c>
      <c r="N568" s="31"/>
      <c r="O568" s="32"/>
      <c r="P568" s="38" t="s">
        <v>995</v>
      </c>
      <c r="Q568" s="39" t="s">
        <v>184</v>
      </c>
      <c r="R568" s="40">
        <v>6942.8004579999997</v>
      </c>
      <c r="S568" s="29" t="b">
        <f t="shared" si="2"/>
        <v>1</v>
      </c>
      <c r="T568" s="35"/>
    </row>
    <row r="569" spans="1:20">
      <c r="A569" s="22" t="s">
        <v>3852</v>
      </c>
      <c r="B569" s="23" t="s">
        <v>123</v>
      </c>
      <c r="C569" s="23" t="s">
        <v>80</v>
      </c>
      <c r="D569" s="23" t="s">
        <v>3673</v>
      </c>
      <c r="E569" s="36" t="s">
        <v>3853</v>
      </c>
      <c r="F569" s="23" t="s">
        <v>50</v>
      </c>
      <c r="G569" s="23" t="s">
        <v>39</v>
      </c>
      <c r="H569" s="23">
        <v>184622</v>
      </c>
      <c r="I569" s="23">
        <v>180</v>
      </c>
      <c r="J569" s="23">
        <v>98938</v>
      </c>
      <c r="K569" s="23">
        <v>161848</v>
      </c>
      <c r="L569" s="23">
        <v>13</v>
      </c>
      <c r="M569" s="37">
        <v>7149.8160749999997</v>
      </c>
      <c r="N569" s="31"/>
      <c r="O569" s="32"/>
      <c r="P569" s="38" t="s">
        <v>2150</v>
      </c>
      <c r="Q569" s="39" t="s">
        <v>2151</v>
      </c>
      <c r="R569" s="40">
        <v>7149.8160749999997</v>
      </c>
      <c r="S569" s="29" t="b">
        <f t="shared" si="2"/>
        <v>1</v>
      </c>
      <c r="T569" s="35"/>
    </row>
    <row r="570" spans="1:20">
      <c r="A570" s="22" t="s">
        <v>3854</v>
      </c>
      <c r="B570" s="23" t="s">
        <v>32</v>
      </c>
      <c r="C570" s="23" t="s">
        <v>34</v>
      </c>
      <c r="D570" s="23" t="s">
        <v>3673</v>
      </c>
      <c r="E570" s="36" t="s">
        <v>3855</v>
      </c>
      <c r="F570" s="23" t="s">
        <v>3153</v>
      </c>
      <c r="G570" s="23" t="s">
        <v>39</v>
      </c>
      <c r="H570" s="23">
        <v>19334</v>
      </c>
      <c r="I570" s="23">
        <v>40</v>
      </c>
      <c r="J570" s="23">
        <v>8673</v>
      </c>
      <c r="K570" s="23">
        <v>18578</v>
      </c>
      <c r="L570" s="23">
        <v>11</v>
      </c>
      <c r="M570" s="37">
        <v>7292.1350590000002</v>
      </c>
      <c r="N570" s="31"/>
      <c r="O570" s="32"/>
      <c r="P570" s="38" t="s">
        <v>1925</v>
      </c>
      <c r="Q570" s="39" t="s">
        <v>1187</v>
      </c>
      <c r="R570" s="40">
        <v>7292.1350590000002</v>
      </c>
      <c r="S570" s="29" t="b">
        <f t="shared" si="2"/>
        <v>1</v>
      </c>
      <c r="T570" s="35"/>
    </row>
    <row r="571" spans="1:20">
      <c r="A571" s="22" t="s">
        <v>3856</v>
      </c>
      <c r="B571" s="23" t="s">
        <v>44</v>
      </c>
      <c r="C571" s="23" t="s">
        <v>46</v>
      </c>
      <c r="D571" s="23" t="s">
        <v>3673</v>
      </c>
      <c r="E571" s="36" t="s">
        <v>3857</v>
      </c>
      <c r="F571" s="23" t="s">
        <v>74</v>
      </c>
      <c r="G571" s="23" t="s">
        <v>75</v>
      </c>
      <c r="H571" s="23">
        <v>19379</v>
      </c>
      <c r="I571" s="23">
        <v>49</v>
      </c>
      <c r="J571" s="23">
        <v>12168</v>
      </c>
      <c r="K571" s="23">
        <v>16616</v>
      </c>
      <c r="L571" s="23">
        <v>97</v>
      </c>
      <c r="M571" s="37">
        <v>7294.1000009999998</v>
      </c>
      <c r="N571" s="31"/>
      <c r="O571" s="32"/>
      <c r="P571" s="38" t="s">
        <v>1423</v>
      </c>
      <c r="Q571" s="39" t="s">
        <v>79</v>
      </c>
      <c r="R571" s="40">
        <v>7294.1000009999998</v>
      </c>
      <c r="S571" s="29" t="b">
        <f t="shared" si="2"/>
        <v>1</v>
      </c>
      <c r="T571" s="35"/>
    </row>
    <row r="572" spans="1:20">
      <c r="A572" s="22" t="s">
        <v>3858</v>
      </c>
      <c r="B572" s="23" t="s">
        <v>44</v>
      </c>
      <c r="C572" s="23" t="s">
        <v>80</v>
      </c>
      <c r="D572" s="23" t="s">
        <v>3673</v>
      </c>
      <c r="E572" s="36" t="s">
        <v>3859</v>
      </c>
      <c r="F572" s="23" t="s">
        <v>74</v>
      </c>
      <c r="G572" s="23" t="s">
        <v>39</v>
      </c>
      <c r="H572" s="23">
        <v>9362</v>
      </c>
      <c r="I572" s="23">
        <v>39</v>
      </c>
      <c r="J572" s="23">
        <v>5202</v>
      </c>
      <c r="K572" s="23">
        <v>8928</v>
      </c>
      <c r="L572" s="23">
        <v>6</v>
      </c>
      <c r="M572" s="37">
        <v>7312.492757</v>
      </c>
      <c r="N572" s="31"/>
      <c r="O572" s="32"/>
      <c r="P572" s="38" t="s">
        <v>1435</v>
      </c>
      <c r="Q572" s="39" t="s">
        <v>1437</v>
      </c>
      <c r="R572" s="40">
        <v>7312.492757</v>
      </c>
      <c r="S572" s="29" t="b">
        <f t="shared" si="2"/>
        <v>1</v>
      </c>
      <c r="T572" s="35"/>
    </row>
    <row r="573" spans="1:20">
      <c r="A573" s="22" t="s">
        <v>3860</v>
      </c>
      <c r="B573" s="23" t="s">
        <v>44</v>
      </c>
      <c r="C573" s="23" t="s">
        <v>46</v>
      </c>
      <c r="D573" s="23" t="s">
        <v>3673</v>
      </c>
      <c r="E573" s="36" t="s">
        <v>3861</v>
      </c>
      <c r="F573" s="23" t="s">
        <v>50</v>
      </c>
      <c r="G573" s="23" t="s">
        <v>39</v>
      </c>
      <c r="H573" s="23">
        <v>1221746</v>
      </c>
      <c r="I573" s="23">
        <v>3874</v>
      </c>
      <c r="J573" s="23">
        <v>512107</v>
      </c>
      <c r="K573" s="23">
        <v>1088748</v>
      </c>
      <c r="L573" s="23">
        <v>19</v>
      </c>
      <c r="M573" s="37">
        <v>7483.8871870000003</v>
      </c>
      <c r="N573" s="31"/>
      <c r="O573" s="32"/>
      <c r="P573" s="38" t="s">
        <v>955</v>
      </c>
      <c r="Q573" s="39" t="s">
        <v>685</v>
      </c>
      <c r="R573" s="40">
        <v>7483.8871870000003</v>
      </c>
      <c r="S573" s="29" t="b">
        <f t="shared" si="2"/>
        <v>1</v>
      </c>
      <c r="T573" s="35"/>
    </row>
    <row r="574" spans="1:20">
      <c r="A574" s="22" t="s">
        <v>3862</v>
      </c>
      <c r="B574" s="23" t="s">
        <v>44</v>
      </c>
      <c r="C574" s="23" t="s">
        <v>62</v>
      </c>
      <c r="D574" s="23" t="s">
        <v>3673</v>
      </c>
      <c r="E574" s="36" t="s">
        <v>3863</v>
      </c>
      <c r="F574" s="23" t="s">
        <v>103</v>
      </c>
      <c r="G574" s="23" t="s">
        <v>39</v>
      </c>
      <c r="H574" s="23">
        <v>1956642</v>
      </c>
      <c r="I574" s="23">
        <v>4563</v>
      </c>
      <c r="J574" s="23">
        <v>981461</v>
      </c>
      <c r="K574" s="23">
        <v>1731673</v>
      </c>
      <c r="L574" s="23">
        <v>106</v>
      </c>
      <c r="M574" s="37">
        <v>7730.240616</v>
      </c>
      <c r="N574" s="31"/>
      <c r="O574" s="32"/>
      <c r="P574" s="38" t="s">
        <v>2184</v>
      </c>
      <c r="Q574" s="39" t="s">
        <v>2186</v>
      </c>
      <c r="R574" s="40">
        <v>7730.240616</v>
      </c>
      <c r="S574" s="29" t="b">
        <f t="shared" si="2"/>
        <v>1</v>
      </c>
      <c r="T574" s="35"/>
    </row>
    <row r="575" spans="1:20">
      <c r="A575" s="22" t="s">
        <v>3864</v>
      </c>
      <c r="B575" s="23" t="s">
        <v>32</v>
      </c>
      <c r="C575" s="23" t="s">
        <v>34</v>
      </c>
      <c r="D575" s="23" t="s">
        <v>3673</v>
      </c>
      <c r="E575" s="36" t="s">
        <v>3865</v>
      </c>
      <c r="F575" s="23" t="s">
        <v>131</v>
      </c>
      <c r="G575" s="23" t="s">
        <v>39</v>
      </c>
      <c r="H575" s="23">
        <v>1010148</v>
      </c>
      <c r="I575" s="23">
        <v>2874</v>
      </c>
      <c r="J575" s="23">
        <v>699834</v>
      </c>
      <c r="K575" s="23">
        <v>955905</v>
      </c>
      <c r="L575" s="23">
        <v>31</v>
      </c>
      <c r="M575" s="37">
        <v>7788.7016210000002</v>
      </c>
      <c r="N575" s="31"/>
      <c r="O575" s="32"/>
      <c r="P575" s="38" t="s">
        <v>2306</v>
      </c>
      <c r="Q575" s="39" t="s">
        <v>1751</v>
      </c>
      <c r="R575" s="40">
        <v>7788.7016210000002</v>
      </c>
      <c r="S575" s="29" t="b">
        <f t="shared" si="2"/>
        <v>1</v>
      </c>
      <c r="T575" s="35"/>
    </row>
    <row r="576" spans="1:20">
      <c r="A576" s="22" t="s">
        <v>3866</v>
      </c>
      <c r="B576" s="23" t="s">
        <v>44</v>
      </c>
      <c r="C576" s="23" t="s">
        <v>34</v>
      </c>
      <c r="D576" s="23" t="s">
        <v>3673</v>
      </c>
      <c r="E576" s="36" t="s">
        <v>3867</v>
      </c>
      <c r="F576" s="23" t="s">
        <v>50</v>
      </c>
      <c r="G576" s="23" t="s">
        <v>39</v>
      </c>
      <c r="H576" s="23">
        <v>325152</v>
      </c>
      <c r="I576" s="23">
        <v>854</v>
      </c>
      <c r="J576" s="23">
        <v>138319</v>
      </c>
      <c r="K576" s="23">
        <v>300133</v>
      </c>
      <c r="L576" s="23">
        <v>55</v>
      </c>
      <c r="M576" s="37">
        <v>7887.6126619999995</v>
      </c>
      <c r="N576" s="31"/>
      <c r="O576" s="32"/>
      <c r="P576" s="38" t="s">
        <v>110</v>
      </c>
      <c r="Q576" s="39" t="s">
        <v>111</v>
      </c>
      <c r="R576" s="40">
        <v>7887.6126619999995</v>
      </c>
      <c r="S576" s="29" t="b">
        <f t="shared" si="2"/>
        <v>1</v>
      </c>
      <c r="T576" s="35"/>
    </row>
    <row r="577" spans="1:20">
      <c r="A577" s="22" t="s">
        <v>3868</v>
      </c>
      <c r="B577" s="23" t="s">
        <v>32</v>
      </c>
      <c r="C577" s="23" t="s">
        <v>80</v>
      </c>
      <c r="D577" s="23" t="s">
        <v>3673</v>
      </c>
      <c r="E577" s="36" t="s">
        <v>3869</v>
      </c>
      <c r="F577" s="23" t="s">
        <v>50</v>
      </c>
      <c r="G577" s="23" t="s">
        <v>39</v>
      </c>
      <c r="H577" s="23">
        <v>221720</v>
      </c>
      <c r="I577" s="23">
        <v>499</v>
      </c>
      <c r="J577" s="23">
        <v>35178</v>
      </c>
      <c r="K577" s="23">
        <v>196583</v>
      </c>
      <c r="L577" s="23">
        <v>69</v>
      </c>
      <c r="M577" s="37">
        <v>7890.221963</v>
      </c>
      <c r="N577" s="31"/>
      <c r="O577" s="32"/>
      <c r="P577" s="38" t="s">
        <v>2031</v>
      </c>
      <c r="Q577" s="39" t="s">
        <v>2033</v>
      </c>
      <c r="R577" s="40">
        <v>7890.221963</v>
      </c>
      <c r="S577" s="29" t="b">
        <f t="shared" si="2"/>
        <v>1</v>
      </c>
      <c r="T577" s="35"/>
    </row>
    <row r="578" spans="1:20">
      <c r="A578" s="22" t="s">
        <v>3870</v>
      </c>
      <c r="B578" s="23" t="s">
        <v>32</v>
      </c>
      <c r="C578" s="23" t="s">
        <v>46</v>
      </c>
      <c r="D578" s="23" t="s">
        <v>3673</v>
      </c>
      <c r="E578" s="36" t="s">
        <v>3871</v>
      </c>
      <c r="F578" s="23" t="s">
        <v>50</v>
      </c>
      <c r="G578" s="23" t="s">
        <v>39</v>
      </c>
      <c r="H578" s="23">
        <v>55445</v>
      </c>
      <c r="I578" s="23">
        <v>155</v>
      </c>
      <c r="J578" s="23">
        <v>4565</v>
      </c>
      <c r="K578" s="23">
        <v>53407</v>
      </c>
      <c r="L578" s="23">
        <v>36</v>
      </c>
      <c r="M578" s="37">
        <v>7948.4807520000004</v>
      </c>
      <c r="N578" s="31"/>
      <c r="O578" s="32"/>
      <c r="P578" s="38" t="s">
        <v>2020</v>
      </c>
      <c r="Q578" s="39" t="s">
        <v>129</v>
      </c>
      <c r="R578" s="40">
        <v>7948.4807520000004</v>
      </c>
      <c r="S578" s="29" t="b">
        <f t="shared" si="2"/>
        <v>1</v>
      </c>
      <c r="T578" s="35"/>
    </row>
    <row r="579" spans="1:20">
      <c r="A579" s="22" t="s">
        <v>3872</v>
      </c>
      <c r="B579" s="23" t="s">
        <v>32</v>
      </c>
      <c r="C579" s="23" t="s">
        <v>80</v>
      </c>
      <c r="D579" s="23" t="s">
        <v>3673</v>
      </c>
      <c r="E579" s="36" t="s">
        <v>3873</v>
      </c>
      <c r="F579" s="23" t="s">
        <v>50</v>
      </c>
      <c r="G579" s="23" t="s">
        <v>39</v>
      </c>
      <c r="H579" s="23">
        <v>272509</v>
      </c>
      <c r="I579" s="23">
        <v>736</v>
      </c>
      <c r="J579" s="23">
        <v>89526</v>
      </c>
      <c r="K579" s="23">
        <v>237859</v>
      </c>
      <c r="L579" s="23">
        <v>69</v>
      </c>
      <c r="M579" s="37">
        <v>8168.3470770000004</v>
      </c>
      <c r="N579" s="31"/>
      <c r="O579" s="32"/>
      <c r="P579" s="38" t="s">
        <v>1996</v>
      </c>
      <c r="Q579" s="39" t="s">
        <v>1600</v>
      </c>
      <c r="R579" s="40">
        <v>8168.3470770000004</v>
      </c>
      <c r="S579" s="29" t="b">
        <f t="shared" si="2"/>
        <v>1</v>
      </c>
      <c r="T579" s="35"/>
    </row>
    <row r="580" spans="1:20">
      <c r="A580" s="22" t="s">
        <v>3874</v>
      </c>
      <c r="B580" s="23" t="s">
        <v>32</v>
      </c>
      <c r="C580" s="23" t="s">
        <v>80</v>
      </c>
      <c r="D580" s="23" t="s">
        <v>3875</v>
      </c>
      <c r="E580" s="36" t="s">
        <v>3876</v>
      </c>
      <c r="F580" s="23" t="s">
        <v>50</v>
      </c>
      <c r="G580" s="23" t="s">
        <v>39</v>
      </c>
      <c r="H580" s="23">
        <v>7248</v>
      </c>
      <c r="I580" s="23">
        <v>10</v>
      </c>
      <c r="J580" s="23">
        <v>3988</v>
      </c>
      <c r="K580" s="23">
        <v>6863</v>
      </c>
      <c r="L580" s="23">
        <v>7</v>
      </c>
      <c r="M580" s="37">
        <v>1247</v>
      </c>
      <c r="N580" s="31"/>
      <c r="O580" s="32"/>
      <c r="P580" s="38" t="s">
        <v>1565</v>
      </c>
      <c r="Q580" s="39" t="s">
        <v>1566</v>
      </c>
      <c r="R580" s="40">
        <v>1247</v>
      </c>
      <c r="S580" s="29" t="b">
        <f t="shared" si="2"/>
        <v>1</v>
      </c>
      <c r="T580" s="35"/>
    </row>
    <row r="581" spans="1:20">
      <c r="A581" s="22" t="s">
        <v>3877</v>
      </c>
      <c r="B581" s="23" t="s">
        <v>32</v>
      </c>
      <c r="C581" s="23" t="s">
        <v>46</v>
      </c>
      <c r="D581" s="23" t="s">
        <v>3875</v>
      </c>
      <c r="E581" s="36" t="s">
        <v>3878</v>
      </c>
      <c r="F581" s="23" t="s">
        <v>131</v>
      </c>
      <c r="G581" s="23" t="s">
        <v>39</v>
      </c>
      <c r="H581" s="23">
        <v>88819</v>
      </c>
      <c r="I581" s="23">
        <v>200</v>
      </c>
      <c r="J581" s="23">
        <v>65488</v>
      </c>
      <c r="K581" s="23">
        <v>80451</v>
      </c>
      <c r="L581" s="23">
        <v>6</v>
      </c>
      <c r="M581" s="37">
        <v>1442.2279900000001</v>
      </c>
      <c r="N581" s="31"/>
      <c r="O581" s="32"/>
      <c r="P581" s="38" t="s">
        <v>1007</v>
      </c>
      <c r="Q581" s="39" t="s">
        <v>1009</v>
      </c>
      <c r="R581" s="40">
        <v>1442.2279900000001</v>
      </c>
      <c r="S581" s="29" t="b">
        <f t="shared" si="2"/>
        <v>1</v>
      </c>
      <c r="T581" s="35"/>
    </row>
    <row r="582" spans="1:20">
      <c r="A582" s="22" t="s">
        <v>3879</v>
      </c>
      <c r="B582" s="23" t="s">
        <v>32</v>
      </c>
      <c r="C582" s="23" t="s">
        <v>62</v>
      </c>
      <c r="D582" s="23" t="s">
        <v>3875</v>
      </c>
      <c r="E582" s="36" t="s">
        <v>3880</v>
      </c>
      <c r="F582" s="23" t="s">
        <v>131</v>
      </c>
      <c r="G582" s="23" t="s">
        <v>39</v>
      </c>
      <c r="H582" s="23">
        <v>31243</v>
      </c>
      <c r="I582" s="23">
        <v>100</v>
      </c>
      <c r="J582" s="23">
        <v>16326</v>
      </c>
      <c r="K582" s="23">
        <v>25991</v>
      </c>
      <c r="L582" s="23">
        <v>21</v>
      </c>
      <c r="M582" s="37">
        <v>1452.5905600000001</v>
      </c>
      <c r="N582" s="31"/>
      <c r="O582" s="32"/>
      <c r="P582" s="38" t="s">
        <v>548</v>
      </c>
      <c r="Q582" s="39" t="s">
        <v>550</v>
      </c>
      <c r="R582" s="40">
        <v>1452.5905600000001</v>
      </c>
      <c r="S582" s="29" t="b">
        <f t="shared" si="2"/>
        <v>1</v>
      </c>
      <c r="T582" s="35"/>
    </row>
    <row r="583" spans="1:20">
      <c r="A583" s="22" t="s">
        <v>3881</v>
      </c>
      <c r="B583" s="23" t="s">
        <v>32</v>
      </c>
      <c r="C583" s="23" t="s">
        <v>80</v>
      </c>
      <c r="D583" s="23" t="s">
        <v>3875</v>
      </c>
      <c r="E583" s="36" t="s">
        <v>3882</v>
      </c>
      <c r="F583" s="23" t="s">
        <v>131</v>
      </c>
      <c r="G583" s="23" t="s">
        <v>39</v>
      </c>
      <c r="H583" s="23">
        <v>9040</v>
      </c>
      <c r="I583" s="23">
        <v>21</v>
      </c>
      <c r="J583" s="23">
        <v>3585</v>
      </c>
      <c r="K583" s="23">
        <v>8450</v>
      </c>
      <c r="L583" s="23">
        <v>3</v>
      </c>
      <c r="M583" s="37">
        <v>1473.192464</v>
      </c>
      <c r="N583" s="31"/>
      <c r="O583" s="32"/>
      <c r="P583" s="38" t="s">
        <v>862</v>
      </c>
      <c r="Q583" s="39" t="s">
        <v>568</v>
      </c>
      <c r="R583" s="40">
        <v>1473.192464</v>
      </c>
      <c r="S583" s="29" t="b">
        <f t="shared" si="2"/>
        <v>1</v>
      </c>
      <c r="T583" s="35"/>
    </row>
    <row r="584" spans="1:20">
      <c r="A584" s="22" t="s">
        <v>3883</v>
      </c>
      <c r="B584" s="23" t="s">
        <v>123</v>
      </c>
      <c r="C584" s="23" t="s">
        <v>46</v>
      </c>
      <c r="D584" s="23" t="s">
        <v>3875</v>
      </c>
      <c r="E584" s="36" t="s">
        <v>3884</v>
      </c>
      <c r="F584" s="23" t="s">
        <v>74</v>
      </c>
      <c r="G584" s="23" t="s">
        <v>39</v>
      </c>
      <c r="H584" s="23">
        <v>8862</v>
      </c>
      <c r="I584" s="23">
        <v>30</v>
      </c>
      <c r="J584" s="23">
        <v>1359</v>
      </c>
      <c r="K584" s="23">
        <v>7114</v>
      </c>
      <c r="L584" s="23">
        <v>1</v>
      </c>
      <c r="M584" s="37">
        <v>1481.9451570000001</v>
      </c>
      <c r="N584" s="31"/>
      <c r="O584" s="32"/>
      <c r="P584" s="38" t="s">
        <v>2126</v>
      </c>
      <c r="Q584" s="39" t="s">
        <v>2129</v>
      </c>
      <c r="R584" s="40">
        <v>1481.9451570000001</v>
      </c>
      <c r="S584" s="29" t="b">
        <f t="shared" si="2"/>
        <v>1</v>
      </c>
      <c r="T584" s="35"/>
    </row>
    <row r="585" spans="1:20">
      <c r="A585" s="22" t="s">
        <v>3885</v>
      </c>
      <c r="B585" s="23" t="s">
        <v>44</v>
      </c>
      <c r="C585" s="23" t="s">
        <v>34</v>
      </c>
      <c r="D585" s="23" t="s">
        <v>3875</v>
      </c>
      <c r="E585" s="36" t="s">
        <v>3886</v>
      </c>
      <c r="F585" s="23" t="s">
        <v>819</v>
      </c>
      <c r="G585" s="23" t="s">
        <v>75</v>
      </c>
      <c r="H585" s="23">
        <v>74426</v>
      </c>
      <c r="I585" s="23">
        <v>150</v>
      </c>
      <c r="J585" s="23">
        <v>39257</v>
      </c>
      <c r="K585" s="23">
        <v>67151</v>
      </c>
      <c r="L585" s="23">
        <v>15</v>
      </c>
      <c r="M585" s="37">
        <v>1519.596552</v>
      </c>
      <c r="N585" s="31"/>
      <c r="O585" s="32"/>
      <c r="P585" s="38" t="s">
        <v>1868</v>
      </c>
      <c r="Q585" s="39" t="s">
        <v>1870</v>
      </c>
      <c r="R585" s="40">
        <v>1519.596552</v>
      </c>
      <c r="S585" s="29" t="b">
        <f t="shared" si="2"/>
        <v>1</v>
      </c>
      <c r="T585" s="35"/>
    </row>
    <row r="586" spans="1:20">
      <c r="A586" s="22" t="s">
        <v>3887</v>
      </c>
      <c r="B586" s="23" t="s">
        <v>44</v>
      </c>
      <c r="C586" s="23" t="s">
        <v>34</v>
      </c>
      <c r="D586" s="23" t="s">
        <v>3875</v>
      </c>
      <c r="E586" s="36" t="s">
        <v>3888</v>
      </c>
      <c r="F586" s="23" t="s">
        <v>103</v>
      </c>
      <c r="G586" s="23" t="s">
        <v>64</v>
      </c>
      <c r="H586" s="23">
        <v>17228</v>
      </c>
      <c r="I586" s="23">
        <v>30</v>
      </c>
      <c r="J586" s="23">
        <v>11116</v>
      </c>
      <c r="K586" s="23">
        <v>16044</v>
      </c>
      <c r="L586" s="23">
        <v>3</v>
      </c>
      <c r="M586" s="37">
        <v>1547.513459</v>
      </c>
      <c r="N586" s="31"/>
      <c r="O586" s="32"/>
      <c r="P586" s="38" t="s">
        <v>468</v>
      </c>
      <c r="Q586" s="39" t="s">
        <v>471</v>
      </c>
      <c r="R586" s="40">
        <v>1547.513459</v>
      </c>
      <c r="S586" s="29" t="b">
        <f t="shared" si="2"/>
        <v>1</v>
      </c>
      <c r="T586" s="35"/>
    </row>
    <row r="587" spans="1:20">
      <c r="A587" s="22" t="s">
        <v>3889</v>
      </c>
      <c r="B587" s="23" t="s">
        <v>44</v>
      </c>
      <c r="C587" s="23" t="s">
        <v>46</v>
      </c>
      <c r="D587" s="23" t="s">
        <v>3875</v>
      </c>
      <c r="E587" s="36" t="s">
        <v>3890</v>
      </c>
      <c r="F587" s="23" t="s">
        <v>103</v>
      </c>
      <c r="G587" s="23" t="s">
        <v>39</v>
      </c>
      <c r="H587" s="23">
        <v>85965</v>
      </c>
      <c r="I587" s="23">
        <v>233</v>
      </c>
      <c r="J587" s="23">
        <v>33865</v>
      </c>
      <c r="K587" s="23">
        <v>78662</v>
      </c>
      <c r="L587" s="23">
        <v>3</v>
      </c>
      <c r="M587" s="37">
        <v>1555.5348120000001</v>
      </c>
      <c r="N587" s="31"/>
      <c r="O587" s="32"/>
      <c r="P587" s="38" t="s">
        <v>970</v>
      </c>
      <c r="Q587" s="39" t="s">
        <v>466</v>
      </c>
      <c r="R587" s="40">
        <v>1555.5348120000001</v>
      </c>
      <c r="S587" s="29" t="b">
        <f t="shared" si="2"/>
        <v>1</v>
      </c>
      <c r="T587" s="35"/>
    </row>
    <row r="588" spans="1:20">
      <c r="A588" s="22" t="s">
        <v>3891</v>
      </c>
      <c r="B588" s="23" t="s">
        <v>44</v>
      </c>
      <c r="C588" s="23" t="s">
        <v>46</v>
      </c>
      <c r="D588" s="23" t="s">
        <v>3875</v>
      </c>
      <c r="E588" s="36" t="s">
        <v>3892</v>
      </c>
      <c r="F588" s="23" t="s">
        <v>131</v>
      </c>
      <c r="G588" s="23" t="s">
        <v>39</v>
      </c>
      <c r="H588" s="23">
        <v>13823</v>
      </c>
      <c r="I588" s="23">
        <v>58</v>
      </c>
      <c r="J588" s="23">
        <v>10671</v>
      </c>
      <c r="K588" s="23">
        <v>12937</v>
      </c>
      <c r="L588" s="23">
        <v>3</v>
      </c>
      <c r="M588" s="37">
        <v>1574.709734</v>
      </c>
      <c r="N588" s="31"/>
      <c r="O588" s="32"/>
      <c r="P588" s="38" t="s">
        <v>694</v>
      </c>
      <c r="Q588" s="39" t="s">
        <v>697</v>
      </c>
      <c r="R588" s="40">
        <v>1574.709734</v>
      </c>
      <c r="S588" s="29" t="b">
        <f t="shared" si="2"/>
        <v>1</v>
      </c>
      <c r="T588" s="35"/>
    </row>
    <row r="589" spans="1:20">
      <c r="A589" s="22" t="s">
        <v>3893</v>
      </c>
      <c r="B589" s="23" t="s">
        <v>44</v>
      </c>
      <c r="C589" s="23" t="s">
        <v>46</v>
      </c>
      <c r="D589" s="23" t="s">
        <v>3875</v>
      </c>
      <c r="E589" s="36" t="s">
        <v>3894</v>
      </c>
      <c r="F589" s="23" t="s">
        <v>157</v>
      </c>
      <c r="G589" s="23" t="s">
        <v>75</v>
      </c>
      <c r="H589" s="23">
        <v>16325</v>
      </c>
      <c r="I589" s="23">
        <v>78</v>
      </c>
      <c r="J589" s="23">
        <v>9558</v>
      </c>
      <c r="K589" s="23">
        <v>15426</v>
      </c>
      <c r="L589" s="23">
        <v>21</v>
      </c>
      <c r="M589" s="37">
        <v>1814.098581</v>
      </c>
      <c r="N589" s="31"/>
      <c r="O589" s="32"/>
      <c r="P589" s="38" t="s">
        <v>1708</v>
      </c>
      <c r="Q589" s="39" t="s">
        <v>1314</v>
      </c>
      <c r="R589" s="40">
        <v>1814.098581</v>
      </c>
      <c r="S589" s="29" t="b">
        <f t="shared" si="2"/>
        <v>1</v>
      </c>
      <c r="T589" s="35"/>
    </row>
    <row r="590" spans="1:20">
      <c r="A590" s="22" t="s">
        <v>3895</v>
      </c>
      <c r="B590" s="23" t="s">
        <v>44</v>
      </c>
      <c r="C590" s="23" t="s">
        <v>34</v>
      </c>
      <c r="D590" s="23" t="s">
        <v>3875</v>
      </c>
      <c r="E590" s="36" t="s">
        <v>3896</v>
      </c>
      <c r="F590" s="23" t="s">
        <v>103</v>
      </c>
      <c r="G590" s="23" t="s">
        <v>39</v>
      </c>
      <c r="H590" s="23">
        <v>15277</v>
      </c>
      <c r="I590" s="23">
        <v>69</v>
      </c>
      <c r="J590" s="23">
        <v>3089</v>
      </c>
      <c r="K590" s="23">
        <v>13644</v>
      </c>
      <c r="L590" s="23">
        <v>4</v>
      </c>
      <c r="M590" s="37">
        <v>1904.5643459999999</v>
      </c>
      <c r="N590" s="31"/>
      <c r="O590" s="32"/>
      <c r="P590" s="38" t="s">
        <v>2050</v>
      </c>
      <c r="Q590" s="39" t="s">
        <v>2053</v>
      </c>
      <c r="R590" s="40">
        <v>1904.5643459999999</v>
      </c>
      <c r="S590" s="29" t="b">
        <f t="shared" si="2"/>
        <v>1</v>
      </c>
      <c r="T590" s="35"/>
    </row>
    <row r="591" spans="1:20">
      <c r="A591" s="22" t="s">
        <v>3897</v>
      </c>
      <c r="B591" s="23" t="s">
        <v>44</v>
      </c>
      <c r="C591" s="23" t="s">
        <v>46</v>
      </c>
      <c r="D591" s="23" t="s">
        <v>3875</v>
      </c>
      <c r="E591" s="36" t="s">
        <v>3898</v>
      </c>
      <c r="F591" s="23" t="s">
        <v>50</v>
      </c>
      <c r="G591" s="23" t="s">
        <v>64</v>
      </c>
      <c r="H591" s="23">
        <v>17049</v>
      </c>
      <c r="I591" s="23">
        <v>84</v>
      </c>
      <c r="J591" s="23">
        <v>191</v>
      </c>
      <c r="K591" s="23">
        <v>15564</v>
      </c>
      <c r="L591" s="23">
        <v>15</v>
      </c>
      <c r="M591" s="37">
        <v>2144.489587</v>
      </c>
      <c r="N591" s="31"/>
      <c r="O591" s="32"/>
      <c r="P591" s="38" t="s">
        <v>2168</v>
      </c>
      <c r="Q591" s="39" t="s">
        <v>1084</v>
      </c>
      <c r="R591" s="40">
        <v>2144.489587</v>
      </c>
      <c r="S591" s="29" t="b">
        <f t="shared" si="2"/>
        <v>1</v>
      </c>
      <c r="T591" s="35"/>
    </row>
    <row r="592" spans="1:20">
      <c r="A592" s="22" t="s">
        <v>3899</v>
      </c>
      <c r="B592" s="23" t="s">
        <v>32</v>
      </c>
      <c r="C592" s="23" t="s">
        <v>46</v>
      </c>
      <c r="D592" s="23" t="s">
        <v>3875</v>
      </c>
      <c r="E592" s="36" t="s">
        <v>3900</v>
      </c>
      <c r="F592" s="23" t="s">
        <v>50</v>
      </c>
      <c r="G592" s="23" t="s">
        <v>39</v>
      </c>
      <c r="H592" s="23">
        <v>17752</v>
      </c>
      <c r="I592" s="23">
        <v>98</v>
      </c>
      <c r="J592" s="23">
        <v>5855</v>
      </c>
      <c r="K592" s="23">
        <v>15753</v>
      </c>
      <c r="L592" s="23">
        <v>5</v>
      </c>
      <c r="M592" s="37">
        <v>2200.297094</v>
      </c>
      <c r="N592" s="31"/>
      <c r="O592" s="32"/>
      <c r="P592" s="38" t="s">
        <v>1636</v>
      </c>
      <c r="Q592" s="39" t="s">
        <v>1638</v>
      </c>
      <c r="R592" s="40">
        <v>2200.297094</v>
      </c>
      <c r="S592" s="29" t="b">
        <f t="shared" si="2"/>
        <v>1</v>
      </c>
      <c r="T592" s="35"/>
    </row>
    <row r="593" spans="1:20">
      <c r="A593" s="22" t="s">
        <v>3901</v>
      </c>
      <c r="B593" s="23" t="s">
        <v>44</v>
      </c>
      <c r="C593" s="23" t="s">
        <v>34</v>
      </c>
      <c r="D593" s="23" t="s">
        <v>3875</v>
      </c>
      <c r="E593" s="36" t="s">
        <v>3902</v>
      </c>
      <c r="F593" s="23" t="s">
        <v>131</v>
      </c>
      <c r="G593" s="23" t="s">
        <v>39</v>
      </c>
      <c r="H593" s="23">
        <v>10389</v>
      </c>
      <c r="I593" s="23">
        <v>55</v>
      </c>
      <c r="J593" s="23">
        <v>8161</v>
      </c>
      <c r="K593" s="23">
        <v>9951</v>
      </c>
      <c r="L593" s="23">
        <v>2</v>
      </c>
      <c r="M593" s="37">
        <v>2582.4938470000002</v>
      </c>
      <c r="N593" s="31"/>
      <c r="O593" s="32"/>
      <c r="P593" s="38" t="s">
        <v>825</v>
      </c>
      <c r="Q593" s="39" t="s">
        <v>827</v>
      </c>
      <c r="R593" s="40">
        <v>2582.4938470000002</v>
      </c>
      <c r="S593" s="29" t="b">
        <f t="shared" si="2"/>
        <v>1</v>
      </c>
      <c r="T593" s="35"/>
    </row>
    <row r="594" spans="1:20">
      <c r="A594" s="22" t="s">
        <v>3903</v>
      </c>
      <c r="B594" s="23" t="s">
        <v>44</v>
      </c>
      <c r="C594" s="23" t="s">
        <v>80</v>
      </c>
      <c r="D594" s="23" t="s">
        <v>3875</v>
      </c>
      <c r="E594" s="36" t="s">
        <v>3904</v>
      </c>
      <c r="F594" s="23" t="s">
        <v>50</v>
      </c>
      <c r="G594" s="23" t="s">
        <v>75</v>
      </c>
      <c r="H594" s="23">
        <v>84460</v>
      </c>
      <c r="I594" s="23">
        <v>209</v>
      </c>
      <c r="J594" s="23">
        <v>13169</v>
      </c>
      <c r="K594" s="23">
        <v>26688</v>
      </c>
      <c r="L594" s="23">
        <v>1</v>
      </c>
      <c r="M594" s="37">
        <v>4279.230955</v>
      </c>
      <c r="N594" s="31"/>
      <c r="O594" s="32"/>
      <c r="P594" s="38" t="s">
        <v>1266</v>
      </c>
      <c r="Q594" s="39" t="s">
        <v>1268</v>
      </c>
      <c r="R594" s="40">
        <v>4279.230955</v>
      </c>
      <c r="S594" s="29" t="b">
        <f t="shared" si="2"/>
        <v>1</v>
      </c>
      <c r="T594" s="35"/>
    </row>
    <row r="595" spans="1:20">
      <c r="A595" s="22" t="s">
        <v>3905</v>
      </c>
      <c r="B595" s="23" t="s">
        <v>123</v>
      </c>
      <c r="C595" s="23" t="s">
        <v>62</v>
      </c>
      <c r="D595" s="23" t="s">
        <v>3875</v>
      </c>
      <c r="E595" s="36" t="s">
        <v>3906</v>
      </c>
      <c r="F595" s="23" t="s">
        <v>50</v>
      </c>
      <c r="G595" s="23" t="s">
        <v>39</v>
      </c>
      <c r="H595" s="23">
        <v>39844</v>
      </c>
      <c r="I595" s="23">
        <v>101</v>
      </c>
      <c r="J595" s="23">
        <v>28001</v>
      </c>
      <c r="K595" s="23">
        <v>36335</v>
      </c>
      <c r="L595" s="23">
        <v>3</v>
      </c>
      <c r="M595" s="37">
        <v>4439.368082</v>
      </c>
      <c r="N595" s="31"/>
      <c r="O595" s="32"/>
      <c r="P595" s="38" t="s">
        <v>1657</v>
      </c>
      <c r="Q595" s="39" t="s">
        <v>1660</v>
      </c>
      <c r="R595" s="40">
        <v>4439.368082</v>
      </c>
      <c r="S595" s="29" t="b">
        <f t="shared" si="2"/>
        <v>1</v>
      </c>
      <c r="T595" s="35"/>
    </row>
    <row r="596" spans="1:20">
      <c r="A596" s="22" t="s">
        <v>3907</v>
      </c>
      <c r="B596" s="23" t="s">
        <v>44</v>
      </c>
      <c r="C596" s="23" t="s">
        <v>62</v>
      </c>
      <c r="D596" s="23" t="s">
        <v>3875</v>
      </c>
      <c r="E596" s="36" t="s">
        <v>3908</v>
      </c>
      <c r="F596" s="23" t="s">
        <v>593</v>
      </c>
      <c r="G596" s="23" t="s">
        <v>39</v>
      </c>
      <c r="H596" s="23">
        <v>14224</v>
      </c>
      <c r="I596" s="23">
        <v>30</v>
      </c>
      <c r="J596" s="23">
        <v>2549</v>
      </c>
      <c r="K596" s="23">
        <v>11974</v>
      </c>
      <c r="L596" s="23">
        <v>7</v>
      </c>
      <c r="M596" s="37">
        <v>5637.3034969999999</v>
      </c>
      <c r="N596" s="31"/>
      <c r="O596" s="32"/>
      <c r="P596" s="38" t="s">
        <v>2297</v>
      </c>
      <c r="Q596" s="39" t="s">
        <v>877</v>
      </c>
      <c r="R596" s="40">
        <v>5637.3034969999999</v>
      </c>
      <c r="S596" s="29" t="b">
        <f t="shared" si="2"/>
        <v>1</v>
      </c>
      <c r="T596" s="35"/>
    </row>
    <row r="597" spans="1:20">
      <c r="A597" s="22" t="s">
        <v>3909</v>
      </c>
      <c r="B597" s="23" t="s">
        <v>32</v>
      </c>
      <c r="C597" s="23" t="s">
        <v>62</v>
      </c>
      <c r="D597" s="23" t="s">
        <v>3875</v>
      </c>
      <c r="E597" s="36" t="s">
        <v>3910</v>
      </c>
      <c r="F597" s="23" t="s">
        <v>50</v>
      </c>
      <c r="G597" s="23" t="s">
        <v>39</v>
      </c>
      <c r="H597" s="23">
        <v>9261</v>
      </c>
      <c r="I597" s="23">
        <v>66</v>
      </c>
      <c r="J597" s="23">
        <v>3852</v>
      </c>
      <c r="K597" s="23">
        <v>8526</v>
      </c>
      <c r="L597" s="23">
        <v>9</v>
      </c>
      <c r="M597" s="37">
        <v>6511.0295759999999</v>
      </c>
      <c r="N597" s="31"/>
      <c r="O597" s="32"/>
      <c r="P597" s="38" t="s">
        <v>440</v>
      </c>
      <c r="Q597" s="39" t="s">
        <v>442</v>
      </c>
      <c r="R597" s="40">
        <v>6511.0295759999999</v>
      </c>
      <c r="S597" s="29" t="b">
        <f t="shared" si="2"/>
        <v>1</v>
      </c>
      <c r="T597" s="35"/>
    </row>
    <row r="598" spans="1:20">
      <c r="A598" s="22" t="s">
        <v>3911</v>
      </c>
      <c r="B598" s="23" t="s">
        <v>32</v>
      </c>
      <c r="C598" s="23" t="s">
        <v>80</v>
      </c>
      <c r="D598" s="23" t="s">
        <v>3875</v>
      </c>
      <c r="E598" s="36" t="s">
        <v>3912</v>
      </c>
      <c r="F598" s="23" t="s">
        <v>50</v>
      </c>
      <c r="G598" s="23" t="s">
        <v>39</v>
      </c>
      <c r="H598" s="23">
        <v>9357</v>
      </c>
      <c r="I598" s="23">
        <v>60</v>
      </c>
      <c r="J598" s="23">
        <v>1754</v>
      </c>
      <c r="K598" s="23">
        <v>8343</v>
      </c>
      <c r="L598" s="23">
        <v>10</v>
      </c>
      <c r="M598" s="37">
        <v>6559.4777560000002</v>
      </c>
      <c r="N598" s="31"/>
      <c r="O598" s="32"/>
      <c r="P598" s="38" t="s">
        <v>627</v>
      </c>
      <c r="Q598" s="39" t="s">
        <v>628</v>
      </c>
      <c r="R598" s="40">
        <v>6559.4777560000002</v>
      </c>
      <c r="S598" s="29" t="b">
        <f t="shared" si="2"/>
        <v>1</v>
      </c>
      <c r="T598" s="35"/>
    </row>
    <row r="599" spans="1:20">
      <c r="A599" s="22" t="s">
        <v>3913</v>
      </c>
      <c r="B599" s="23" t="s">
        <v>32</v>
      </c>
      <c r="C599" s="23" t="s">
        <v>46</v>
      </c>
      <c r="D599" s="23" t="s">
        <v>3875</v>
      </c>
      <c r="E599" s="36" t="s">
        <v>3914</v>
      </c>
      <c r="F599" s="23" t="s">
        <v>74</v>
      </c>
      <c r="G599" s="23" t="s">
        <v>39</v>
      </c>
      <c r="H599" s="23">
        <v>18324</v>
      </c>
      <c r="I599" s="23">
        <v>60</v>
      </c>
      <c r="J599" s="23">
        <v>3145</v>
      </c>
      <c r="K599" s="23">
        <v>13703</v>
      </c>
      <c r="L599" s="23">
        <v>8</v>
      </c>
      <c r="M599" s="37">
        <v>6996.2318379999997</v>
      </c>
      <c r="N599" s="31"/>
      <c r="O599" s="32"/>
      <c r="P599" s="38" t="s">
        <v>654</v>
      </c>
      <c r="Q599" s="39" t="s">
        <v>471</v>
      </c>
      <c r="R599" s="40">
        <v>6996.2318379999997</v>
      </c>
      <c r="S599" s="29" t="b">
        <f t="shared" si="2"/>
        <v>1</v>
      </c>
      <c r="T599" s="35"/>
    </row>
    <row r="600" spans="1:20">
      <c r="A600" s="22" t="s">
        <v>3915</v>
      </c>
      <c r="B600" s="23" t="s">
        <v>44</v>
      </c>
      <c r="C600" s="23" t="s">
        <v>80</v>
      </c>
      <c r="D600" s="23" t="s">
        <v>3916</v>
      </c>
      <c r="E600" s="36" t="s">
        <v>3917</v>
      </c>
      <c r="F600" s="23" t="s">
        <v>157</v>
      </c>
      <c r="G600" s="23" t="s">
        <v>39</v>
      </c>
      <c r="H600" s="23">
        <v>13833</v>
      </c>
      <c r="I600" s="23">
        <v>84</v>
      </c>
      <c r="J600" s="23">
        <v>7693</v>
      </c>
      <c r="K600" s="23">
        <v>13237</v>
      </c>
      <c r="L600" s="23">
        <v>6</v>
      </c>
      <c r="M600" s="37">
        <v>1526.7870660000001</v>
      </c>
      <c r="N600" s="31"/>
      <c r="O600" s="32"/>
      <c r="P600" s="38" t="s">
        <v>630</v>
      </c>
      <c r="Q600" s="39" t="s">
        <v>256</v>
      </c>
      <c r="R600" s="40">
        <v>1526.7870660000001</v>
      </c>
      <c r="S600" s="29" t="b">
        <f t="shared" si="2"/>
        <v>1</v>
      </c>
      <c r="T600" s="35"/>
    </row>
    <row r="601" spans="1:20">
      <c r="A601" s="22" t="s">
        <v>3918</v>
      </c>
      <c r="B601" s="23" t="s">
        <v>44</v>
      </c>
      <c r="C601" s="23" t="s">
        <v>80</v>
      </c>
      <c r="D601" s="23" t="s">
        <v>3916</v>
      </c>
      <c r="E601" s="36" t="s">
        <v>3919</v>
      </c>
      <c r="F601" s="23" t="s">
        <v>50</v>
      </c>
      <c r="G601" s="23" t="s">
        <v>39</v>
      </c>
      <c r="H601" s="23">
        <v>10883</v>
      </c>
      <c r="I601" s="23">
        <v>46</v>
      </c>
      <c r="J601" s="23">
        <v>1652</v>
      </c>
      <c r="K601" s="23">
        <v>8869</v>
      </c>
      <c r="L601" s="23">
        <v>16</v>
      </c>
      <c r="M601" s="37">
        <v>1942.482395</v>
      </c>
      <c r="N601" s="31"/>
      <c r="O601" s="32"/>
      <c r="P601" s="38" t="s">
        <v>2218</v>
      </c>
      <c r="Q601" s="39" t="s">
        <v>836</v>
      </c>
      <c r="R601" s="40">
        <v>1942.482395</v>
      </c>
      <c r="S601" s="29" t="b">
        <f t="shared" si="2"/>
        <v>1</v>
      </c>
      <c r="T601" s="35"/>
    </row>
    <row r="602" spans="1:20">
      <c r="A602" s="22" t="s">
        <v>3920</v>
      </c>
      <c r="B602" s="23" t="s">
        <v>32</v>
      </c>
      <c r="C602" s="23" t="s">
        <v>62</v>
      </c>
      <c r="D602" s="23" t="s">
        <v>3916</v>
      </c>
      <c r="E602" s="36" t="s">
        <v>3921</v>
      </c>
      <c r="F602" s="23" t="s">
        <v>157</v>
      </c>
      <c r="G602" s="23" t="s">
        <v>39</v>
      </c>
      <c r="H602" s="23">
        <v>190592</v>
      </c>
      <c r="I602" s="23">
        <v>601</v>
      </c>
      <c r="J602" s="23">
        <v>28906</v>
      </c>
      <c r="K602" s="23">
        <v>172515</v>
      </c>
      <c r="L602" s="23">
        <v>25</v>
      </c>
      <c r="M602" s="37">
        <v>4742.0477659999997</v>
      </c>
      <c r="N602" s="31"/>
      <c r="O602" s="32"/>
      <c r="P602" s="38" t="s">
        <v>1574</v>
      </c>
      <c r="Q602" s="39" t="s">
        <v>628</v>
      </c>
      <c r="R602" s="40">
        <v>4742.0477659999997</v>
      </c>
      <c r="S602" s="29" t="b">
        <f t="shared" si="2"/>
        <v>1</v>
      </c>
      <c r="T602" s="35"/>
    </row>
    <row r="603" spans="1:20">
      <c r="A603" s="22" t="s">
        <v>3922</v>
      </c>
      <c r="B603" s="23" t="s">
        <v>32</v>
      </c>
      <c r="C603" s="23" t="s">
        <v>46</v>
      </c>
      <c r="D603" s="23" t="s">
        <v>3923</v>
      </c>
      <c r="E603" s="36" t="s">
        <v>3924</v>
      </c>
      <c r="F603" s="23" t="s">
        <v>50</v>
      </c>
      <c r="G603" s="23" t="s">
        <v>39</v>
      </c>
      <c r="H603" s="23">
        <v>22180</v>
      </c>
      <c r="I603" s="23">
        <v>60</v>
      </c>
      <c r="J603" s="23">
        <v>4835</v>
      </c>
      <c r="K603" s="23">
        <v>19291</v>
      </c>
      <c r="L603" s="23">
        <v>9</v>
      </c>
      <c r="M603" s="37">
        <v>1441.631095</v>
      </c>
      <c r="N603" s="31"/>
      <c r="O603" s="32"/>
      <c r="P603" s="38" t="s">
        <v>2056</v>
      </c>
      <c r="Q603" s="39" t="s">
        <v>628</v>
      </c>
      <c r="R603" s="40">
        <v>1441.631095</v>
      </c>
      <c r="S603" s="29" t="b">
        <f t="shared" si="2"/>
        <v>1</v>
      </c>
      <c r="T603" s="35"/>
    </row>
    <row r="604" spans="1:20">
      <c r="A604" s="22" t="s">
        <v>3925</v>
      </c>
      <c r="B604" s="23" t="s">
        <v>44</v>
      </c>
      <c r="C604" s="23" t="s">
        <v>80</v>
      </c>
      <c r="D604" s="23" t="s">
        <v>3923</v>
      </c>
      <c r="E604" s="36" t="s">
        <v>3926</v>
      </c>
      <c r="F604" s="23" t="s">
        <v>157</v>
      </c>
      <c r="G604" s="23" t="s">
        <v>75</v>
      </c>
      <c r="H604" s="23">
        <v>21143</v>
      </c>
      <c r="I604" s="23">
        <v>56</v>
      </c>
      <c r="J604" s="23">
        <v>3798</v>
      </c>
      <c r="K604" s="23">
        <v>19588</v>
      </c>
      <c r="L604" s="23">
        <v>3</v>
      </c>
      <c r="M604" s="37">
        <v>1500.41822</v>
      </c>
      <c r="N604" s="31"/>
      <c r="O604" s="32"/>
      <c r="P604" s="38" t="s">
        <v>1631</v>
      </c>
      <c r="Q604" s="39" t="s">
        <v>496</v>
      </c>
      <c r="R604" s="40">
        <v>1500.41822</v>
      </c>
      <c r="S604" s="29" t="b">
        <f t="shared" si="2"/>
        <v>1</v>
      </c>
      <c r="T604" s="35"/>
    </row>
    <row r="605" spans="1:20">
      <c r="A605" s="22" t="s">
        <v>3927</v>
      </c>
      <c r="B605" s="23" t="s">
        <v>44</v>
      </c>
      <c r="C605" s="23" t="s">
        <v>62</v>
      </c>
      <c r="D605" s="23" t="s">
        <v>3923</v>
      </c>
      <c r="E605" s="36" t="s">
        <v>3928</v>
      </c>
      <c r="F605" s="23" t="s">
        <v>50</v>
      </c>
      <c r="G605" s="23" t="s">
        <v>64</v>
      </c>
      <c r="H605" s="23">
        <v>11043</v>
      </c>
      <c r="I605" s="23">
        <v>125</v>
      </c>
      <c r="J605" s="23">
        <v>4547</v>
      </c>
      <c r="K605" s="23">
        <v>9666</v>
      </c>
      <c r="L605" s="23">
        <v>13</v>
      </c>
      <c r="M605" s="37">
        <v>1858.132171</v>
      </c>
      <c r="N605" s="31"/>
      <c r="O605" s="32"/>
      <c r="P605" s="38" t="s">
        <v>2187</v>
      </c>
      <c r="Q605" s="39" t="s">
        <v>1177</v>
      </c>
      <c r="R605" s="40">
        <v>1858.132171</v>
      </c>
      <c r="S605" s="29" t="b">
        <f t="shared" si="2"/>
        <v>1</v>
      </c>
      <c r="T605" s="35"/>
    </row>
    <row r="606" spans="1:20">
      <c r="A606" s="22" t="s">
        <v>3929</v>
      </c>
      <c r="B606" s="23" t="s">
        <v>44</v>
      </c>
      <c r="C606" s="23" t="s">
        <v>80</v>
      </c>
      <c r="D606" s="23" t="s">
        <v>3923</v>
      </c>
      <c r="E606" s="36" t="s">
        <v>3930</v>
      </c>
      <c r="F606" s="23" t="s">
        <v>50</v>
      </c>
      <c r="G606" s="23" t="s">
        <v>39</v>
      </c>
      <c r="H606" s="23">
        <v>17620</v>
      </c>
      <c r="I606" s="23">
        <v>52</v>
      </c>
      <c r="J606" s="23">
        <v>11197</v>
      </c>
      <c r="K606" s="23">
        <v>16687</v>
      </c>
      <c r="L606" s="23">
        <v>9</v>
      </c>
      <c r="M606" s="37">
        <v>2407.7943249999998</v>
      </c>
      <c r="N606" s="31"/>
      <c r="O606" s="32"/>
      <c r="P606" s="38" t="s">
        <v>435</v>
      </c>
      <c r="Q606" s="39" t="s">
        <v>437</v>
      </c>
      <c r="R606" s="40">
        <v>2407.7943249999998</v>
      </c>
      <c r="S606" s="29" t="b">
        <f t="shared" si="2"/>
        <v>1</v>
      </c>
      <c r="T606" s="35"/>
    </row>
    <row r="607" spans="1:20">
      <c r="A607" s="22" t="s">
        <v>3931</v>
      </c>
      <c r="B607" s="23" t="s">
        <v>44</v>
      </c>
      <c r="C607" s="23" t="s">
        <v>80</v>
      </c>
      <c r="D607" s="23" t="s">
        <v>3923</v>
      </c>
      <c r="E607" s="36" t="s">
        <v>3932</v>
      </c>
      <c r="F607" s="23" t="s">
        <v>50</v>
      </c>
      <c r="G607" s="23" t="s">
        <v>39</v>
      </c>
      <c r="H607" s="23">
        <v>15449</v>
      </c>
      <c r="I607" s="23">
        <v>50</v>
      </c>
      <c r="J607" s="23">
        <v>4595</v>
      </c>
      <c r="K607" s="23">
        <v>13765</v>
      </c>
      <c r="L607" s="23">
        <v>1</v>
      </c>
      <c r="M607" s="37">
        <v>3122.9425740000001</v>
      </c>
      <c r="N607" s="31"/>
      <c r="O607" s="32"/>
      <c r="P607" s="38" t="s">
        <v>1153</v>
      </c>
      <c r="Q607" s="39" t="s">
        <v>1155</v>
      </c>
      <c r="R607" s="40">
        <v>3122.9425740000001</v>
      </c>
      <c r="S607" s="29" t="b">
        <f t="shared" si="2"/>
        <v>1</v>
      </c>
      <c r="T607" s="35"/>
    </row>
    <row r="608" spans="1:20">
      <c r="A608" s="22" t="s">
        <v>3933</v>
      </c>
      <c r="B608" s="23" t="s">
        <v>32</v>
      </c>
      <c r="C608" s="23" t="s">
        <v>62</v>
      </c>
      <c r="D608" s="23" t="s">
        <v>3923</v>
      </c>
      <c r="E608" s="36" t="s">
        <v>3934</v>
      </c>
      <c r="F608" s="23" t="s">
        <v>74</v>
      </c>
      <c r="G608" s="23" t="s">
        <v>39</v>
      </c>
      <c r="H608" s="23">
        <v>90463</v>
      </c>
      <c r="I608" s="23">
        <v>204</v>
      </c>
      <c r="J608" s="23">
        <v>803</v>
      </c>
      <c r="K608" s="23">
        <v>2465</v>
      </c>
      <c r="L608" s="23">
        <v>9</v>
      </c>
      <c r="M608" s="37">
        <v>6120.6025140000002</v>
      </c>
      <c r="N608" s="31"/>
      <c r="O608" s="32"/>
      <c r="P608" s="38" t="s">
        <v>886</v>
      </c>
      <c r="Q608" s="39" t="s">
        <v>731</v>
      </c>
      <c r="R608" s="40">
        <v>6120.6025140000002</v>
      </c>
      <c r="S608" s="29" t="b">
        <f t="shared" si="2"/>
        <v>1</v>
      </c>
      <c r="T608" s="35"/>
    </row>
    <row r="609" spans="1:20">
      <c r="A609" s="22" t="s">
        <v>3935</v>
      </c>
      <c r="B609" s="23" t="s">
        <v>123</v>
      </c>
      <c r="C609" s="23" t="s">
        <v>80</v>
      </c>
      <c r="D609" s="23" t="s">
        <v>3936</v>
      </c>
      <c r="E609" s="36" t="s">
        <v>3937</v>
      </c>
      <c r="F609" s="23" t="s">
        <v>50</v>
      </c>
      <c r="G609" s="23" t="s">
        <v>39</v>
      </c>
      <c r="H609" s="23">
        <v>9946</v>
      </c>
      <c r="I609" s="23">
        <v>20</v>
      </c>
      <c r="J609" s="23">
        <v>4818</v>
      </c>
      <c r="K609" s="23">
        <v>7382</v>
      </c>
      <c r="L609" s="23">
        <v>3</v>
      </c>
      <c r="M609" s="37">
        <v>1525.962329</v>
      </c>
      <c r="N609" s="31"/>
      <c r="O609" s="32"/>
      <c r="P609" s="38" t="s">
        <v>711</v>
      </c>
      <c r="Q609" s="39" t="s">
        <v>713</v>
      </c>
      <c r="R609" s="40">
        <v>1525.962329</v>
      </c>
      <c r="S609" s="29" t="b">
        <f t="shared" si="2"/>
        <v>1</v>
      </c>
      <c r="T609" s="35"/>
    </row>
    <row r="610" spans="1:20">
      <c r="A610" s="22" t="s">
        <v>3938</v>
      </c>
      <c r="B610" s="23" t="s">
        <v>32</v>
      </c>
      <c r="C610" s="23" t="s">
        <v>80</v>
      </c>
      <c r="D610" s="23" t="s">
        <v>3936</v>
      </c>
      <c r="E610" s="36" t="s">
        <v>3939</v>
      </c>
      <c r="F610" s="23" t="s">
        <v>131</v>
      </c>
      <c r="G610" s="23" t="s">
        <v>39</v>
      </c>
      <c r="H610" s="23">
        <v>16372</v>
      </c>
      <c r="I610" s="23">
        <v>90</v>
      </c>
      <c r="J610" s="23">
        <v>4731</v>
      </c>
      <c r="K610" s="23">
        <v>15332</v>
      </c>
      <c r="L610" s="23">
        <v>9</v>
      </c>
      <c r="M610" s="37">
        <v>1704.511123</v>
      </c>
      <c r="N610" s="31"/>
      <c r="O610" s="32"/>
      <c r="P610" s="38" t="s">
        <v>1718</v>
      </c>
      <c r="Q610" s="39" t="s">
        <v>982</v>
      </c>
      <c r="R610" s="40">
        <v>1704.511123</v>
      </c>
      <c r="S610" s="29" t="b">
        <f t="shared" si="2"/>
        <v>1</v>
      </c>
      <c r="T610" s="35"/>
    </row>
    <row r="611" spans="1:20">
      <c r="A611" s="22" t="s">
        <v>3940</v>
      </c>
      <c r="B611" s="23" t="s">
        <v>32</v>
      </c>
      <c r="C611" s="23" t="s">
        <v>34</v>
      </c>
      <c r="D611" s="23" t="s">
        <v>3936</v>
      </c>
      <c r="E611" s="36" t="s">
        <v>3941</v>
      </c>
      <c r="F611" s="23" t="s">
        <v>50</v>
      </c>
      <c r="G611" s="23" t="s">
        <v>39</v>
      </c>
      <c r="H611" s="23">
        <v>48436</v>
      </c>
      <c r="I611" s="23">
        <v>171</v>
      </c>
      <c r="J611" s="23">
        <v>16543</v>
      </c>
      <c r="K611" s="23">
        <v>42427</v>
      </c>
      <c r="L611" s="23">
        <v>6</v>
      </c>
      <c r="M611" s="37">
        <v>4386.6482150000002</v>
      </c>
      <c r="N611" s="31"/>
      <c r="O611" s="32"/>
      <c r="P611" s="38" t="s">
        <v>1871</v>
      </c>
      <c r="Q611" s="39" t="s">
        <v>1873</v>
      </c>
      <c r="R611" s="40">
        <v>4386.6482150000002</v>
      </c>
      <c r="S611" s="29" t="b">
        <f t="shared" si="2"/>
        <v>1</v>
      </c>
      <c r="T611" s="35"/>
    </row>
    <row r="612" spans="1:20">
      <c r="A612" s="22" t="s">
        <v>3942</v>
      </c>
      <c r="B612" s="23" t="s">
        <v>32</v>
      </c>
      <c r="C612" s="23" t="s">
        <v>80</v>
      </c>
      <c r="D612" s="23" t="s">
        <v>3943</v>
      </c>
      <c r="E612" s="36" t="s">
        <v>3944</v>
      </c>
      <c r="F612" s="23" t="s">
        <v>186</v>
      </c>
      <c r="G612" s="23" t="s">
        <v>39</v>
      </c>
      <c r="H612" s="23">
        <v>9157</v>
      </c>
      <c r="I612" s="23">
        <v>60</v>
      </c>
      <c r="J612" s="23">
        <v>4520</v>
      </c>
      <c r="K612" s="23">
        <v>8037</v>
      </c>
      <c r="L612" s="23">
        <v>2</v>
      </c>
      <c r="M612" s="37">
        <v>1449.1778039999999</v>
      </c>
      <c r="N612" s="31"/>
      <c r="O612" s="32"/>
      <c r="P612" s="38" t="s">
        <v>1416</v>
      </c>
      <c r="Q612" s="39" t="s">
        <v>1419</v>
      </c>
      <c r="R612" s="40">
        <v>1449.1778039999999</v>
      </c>
      <c r="S612" s="29" t="b">
        <f t="shared" si="2"/>
        <v>1</v>
      </c>
      <c r="T612" s="35"/>
    </row>
    <row r="613" spans="1:20">
      <c r="A613" s="22" t="s">
        <v>3945</v>
      </c>
      <c r="B613" s="23" t="s">
        <v>44</v>
      </c>
      <c r="C613" s="23" t="s">
        <v>34</v>
      </c>
      <c r="D613" s="23" t="s">
        <v>3943</v>
      </c>
      <c r="E613" s="36" t="s">
        <v>3946</v>
      </c>
      <c r="F613" s="23" t="s">
        <v>131</v>
      </c>
      <c r="G613" s="23" t="s">
        <v>64</v>
      </c>
      <c r="H613" s="23">
        <v>81486</v>
      </c>
      <c r="I613" s="23">
        <v>193</v>
      </c>
      <c r="J613" s="23">
        <v>57653</v>
      </c>
      <c r="K613" s="23">
        <v>76803</v>
      </c>
      <c r="L613" s="23">
        <v>6</v>
      </c>
      <c r="M613" s="37">
        <v>1463.8428739999999</v>
      </c>
      <c r="N613" s="31"/>
      <c r="O613" s="32"/>
      <c r="P613" s="38" t="s">
        <v>1280</v>
      </c>
      <c r="Q613" s="39" t="s">
        <v>1282</v>
      </c>
      <c r="R613" s="40">
        <v>1463.8428739999999</v>
      </c>
      <c r="S613" s="29" t="b">
        <f t="shared" si="2"/>
        <v>1</v>
      </c>
      <c r="T613" s="35"/>
    </row>
    <row r="614" spans="1:20">
      <c r="A614" s="22" t="s">
        <v>3947</v>
      </c>
      <c r="B614" s="23" t="s">
        <v>44</v>
      </c>
      <c r="C614" s="23" t="s">
        <v>62</v>
      </c>
      <c r="D614" s="23" t="s">
        <v>3943</v>
      </c>
      <c r="E614" s="36" t="s">
        <v>3948</v>
      </c>
      <c r="F614" s="23" t="s">
        <v>50</v>
      </c>
      <c r="G614" s="23" t="s">
        <v>39</v>
      </c>
      <c r="H614" s="23">
        <v>13464</v>
      </c>
      <c r="I614" s="23">
        <v>84</v>
      </c>
      <c r="J614" s="23">
        <v>1698</v>
      </c>
      <c r="K614" s="23">
        <v>11234</v>
      </c>
      <c r="L614" s="23">
        <v>1</v>
      </c>
      <c r="M614" s="37">
        <v>1466.285104</v>
      </c>
      <c r="N614" s="31"/>
      <c r="O614" s="32"/>
      <c r="P614" s="38" t="s">
        <v>1360</v>
      </c>
      <c r="Q614" s="39" t="s">
        <v>977</v>
      </c>
      <c r="R614" s="40">
        <v>1466.285104</v>
      </c>
      <c r="S614" s="29" t="b">
        <f t="shared" si="2"/>
        <v>1</v>
      </c>
      <c r="T614" s="35"/>
    </row>
    <row r="615" spans="1:20">
      <c r="A615" s="22" t="s">
        <v>3949</v>
      </c>
      <c r="B615" s="23" t="s">
        <v>44</v>
      </c>
      <c r="C615" s="23" t="s">
        <v>62</v>
      </c>
      <c r="D615" s="23" t="s">
        <v>3943</v>
      </c>
      <c r="E615" s="36" t="s">
        <v>3950</v>
      </c>
      <c r="F615" s="23" t="s">
        <v>50</v>
      </c>
      <c r="G615" s="23" t="s">
        <v>75</v>
      </c>
      <c r="H615" s="23">
        <v>32436</v>
      </c>
      <c r="I615" s="23">
        <v>56</v>
      </c>
      <c r="J615" s="23">
        <v>17531</v>
      </c>
      <c r="K615" s="23">
        <v>28429</v>
      </c>
      <c r="L615" s="23">
        <v>6</v>
      </c>
      <c r="M615" s="37">
        <v>1470.670167</v>
      </c>
      <c r="N615" s="31"/>
      <c r="O615" s="32"/>
      <c r="P615" s="38" t="s">
        <v>569</v>
      </c>
      <c r="Q615" s="39" t="s">
        <v>245</v>
      </c>
      <c r="R615" s="40">
        <v>1470.670167</v>
      </c>
      <c r="S615" s="29" t="b">
        <f t="shared" si="2"/>
        <v>1</v>
      </c>
      <c r="T615" s="35"/>
    </row>
    <row r="616" spans="1:20">
      <c r="A616" s="22" t="s">
        <v>3951</v>
      </c>
      <c r="B616" s="23" t="s">
        <v>32</v>
      </c>
      <c r="C616" s="23" t="s">
        <v>80</v>
      </c>
      <c r="D616" s="23" t="s">
        <v>3943</v>
      </c>
      <c r="E616" s="36" t="s">
        <v>3952</v>
      </c>
      <c r="F616" s="23" t="s">
        <v>131</v>
      </c>
      <c r="G616" s="23" t="s">
        <v>39</v>
      </c>
      <c r="H616" s="23">
        <v>15311</v>
      </c>
      <c r="I616" s="23">
        <v>10</v>
      </c>
      <c r="J616" s="23">
        <v>7757</v>
      </c>
      <c r="K616" s="23">
        <v>12630</v>
      </c>
      <c r="L616" s="23">
        <v>19</v>
      </c>
      <c r="M616" s="37">
        <v>1471.187144</v>
      </c>
      <c r="N616" s="31"/>
      <c r="O616" s="32"/>
      <c r="P616" s="38" t="s">
        <v>480</v>
      </c>
      <c r="Q616" s="39" t="s">
        <v>483</v>
      </c>
      <c r="R616" s="40">
        <v>1471.187144</v>
      </c>
      <c r="S616" s="29" t="b">
        <f t="shared" si="2"/>
        <v>1</v>
      </c>
      <c r="T616" s="35"/>
    </row>
    <row r="617" spans="1:20">
      <c r="A617" s="22" t="s">
        <v>3953</v>
      </c>
      <c r="B617" s="23" t="s">
        <v>32</v>
      </c>
      <c r="C617" s="23" t="s">
        <v>80</v>
      </c>
      <c r="D617" s="23" t="s">
        <v>3943</v>
      </c>
      <c r="E617" s="36" t="s">
        <v>3954</v>
      </c>
      <c r="F617" s="23" t="s">
        <v>131</v>
      </c>
      <c r="G617" s="23" t="s">
        <v>39</v>
      </c>
      <c r="H617" s="23">
        <v>12220</v>
      </c>
      <c r="I617" s="23">
        <v>54</v>
      </c>
      <c r="J617" s="23">
        <v>7133</v>
      </c>
      <c r="K617" s="23">
        <v>11331</v>
      </c>
      <c r="L617" s="23">
        <v>3</v>
      </c>
      <c r="M617" s="37">
        <v>1478.392247</v>
      </c>
      <c r="N617" s="31"/>
      <c r="O617" s="32"/>
      <c r="P617" s="38" t="s">
        <v>1561</v>
      </c>
      <c r="Q617" s="39" t="s">
        <v>1564</v>
      </c>
      <c r="R617" s="40">
        <v>1478.392247</v>
      </c>
      <c r="S617" s="29" t="b">
        <f t="shared" si="2"/>
        <v>1</v>
      </c>
      <c r="T617" s="35"/>
    </row>
    <row r="618" spans="1:20">
      <c r="A618" s="22" t="s">
        <v>3955</v>
      </c>
      <c r="B618" s="23" t="s">
        <v>44</v>
      </c>
      <c r="C618" s="23" t="s">
        <v>46</v>
      </c>
      <c r="D618" s="23" t="s">
        <v>3943</v>
      </c>
      <c r="E618" s="36" t="s">
        <v>3956</v>
      </c>
      <c r="F618" s="23" t="s">
        <v>2749</v>
      </c>
      <c r="G618" s="23" t="s">
        <v>75</v>
      </c>
      <c r="H618" s="23">
        <v>37076</v>
      </c>
      <c r="I618" s="23">
        <v>113</v>
      </c>
      <c r="J618" s="23">
        <v>9246</v>
      </c>
      <c r="K618" s="23">
        <v>22565</v>
      </c>
      <c r="L618" s="23">
        <v>12</v>
      </c>
      <c r="M618" s="37">
        <v>1487.9960779999999</v>
      </c>
      <c r="N618" s="31"/>
      <c r="O618" s="32"/>
      <c r="P618" s="38" t="s">
        <v>1401</v>
      </c>
      <c r="Q618" s="39" t="s">
        <v>1404</v>
      </c>
      <c r="R618" s="40">
        <v>1487.9960779999999</v>
      </c>
      <c r="S618" s="29" t="b">
        <f t="shared" si="2"/>
        <v>1</v>
      </c>
      <c r="T618" s="35"/>
    </row>
    <row r="619" spans="1:20">
      <c r="A619" s="22" t="s">
        <v>3957</v>
      </c>
      <c r="B619" s="23" t="s">
        <v>44</v>
      </c>
      <c r="C619" s="23" t="s">
        <v>34</v>
      </c>
      <c r="D619" s="23" t="s">
        <v>3943</v>
      </c>
      <c r="E619" s="36" t="s">
        <v>3958</v>
      </c>
      <c r="F619" s="23" t="s">
        <v>103</v>
      </c>
      <c r="G619" s="23" t="s">
        <v>64</v>
      </c>
      <c r="H619" s="23">
        <v>87245</v>
      </c>
      <c r="I619" s="23">
        <v>350</v>
      </c>
      <c r="J619" s="23">
        <v>71903</v>
      </c>
      <c r="K619" s="23">
        <v>80390</v>
      </c>
      <c r="L619" s="23">
        <v>2</v>
      </c>
      <c r="M619" s="37">
        <v>1500.838771</v>
      </c>
      <c r="N619" s="31"/>
      <c r="O619" s="32"/>
      <c r="P619" s="38" t="s">
        <v>1642</v>
      </c>
      <c r="Q619" s="39" t="s">
        <v>1238</v>
      </c>
      <c r="R619" s="40">
        <v>1500.838771</v>
      </c>
      <c r="S619" s="29" t="b">
        <f t="shared" si="2"/>
        <v>1</v>
      </c>
      <c r="T619" s="35"/>
    </row>
    <row r="620" spans="1:20">
      <c r="A620" s="22" t="s">
        <v>3959</v>
      </c>
      <c r="B620" s="23" t="s">
        <v>32</v>
      </c>
      <c r="C620" s="23" t="s">
        <v>46</v>
      </c>
      <c r="D620" s="23" t="s">
        <v>3943</v>
      </c>
      <c r="E620" s="36" t="s">
        <v>3960</v>
      </c>
      <c r="F620" s="23" t="s">
        <v>50</v>
      </c>
      <c r="G620" s="23" t="s">
        <v>39</v>
      </c>
      <c r="H620" s="23">
        <v>292885</v>
      </c>
      <c r="I620" s="23">
        <v>796</v>
      </c>
      <c r="J620" s="23">
        <v>12733</v>
      </c>
      <c r="K620" s="23">
        <v>203986</v>
      </c>
      <c r="L620" s="23">
        <v>4</v>
      </c>
      <c r="M620" s="37">
        <v>1503.9130540000001</v>
      </c>
      <c r="N620" s="31"/>
      <c r="O620" s="32"/>
      <c r="P620" s="38" t="s">
        <v>1539</v>
      </c>
      <c r="Q620" s="39" t="s">
        <v>1426</v>
      </c>
      <c r="R620" s="40">
        <v>1503.9130540000001</v>
      </c>
      <c r="S620" s="29" t="b">
        <f t="shared" si="2"/>
        <v>1</v>
      </c>
      <c r="T620" s="35"/>
    </row>
    <row r="621" spans="1:20">
      <c r="A621" s="22" t="s">
        <v>3961</v>
      </c>
      <c r="B621" s="23" t="s">
        <v>123</v>
      </c>
      <c r="C621" s="23" t="s">
        <v>62</v>
      </c>
      <c r="D621" s="23" t="s">
        <v>3943</v>
      </c>
      <c r="E621" s="36" t="s">
        <v>3962</v>
      </c>
      <c r="F621" s="23" t="s">
        <v>103</v>
      </c>
      <c r="G621" s="23" t="s">
        <v>39</v>
      </c>
      <c r="H621" s="23">
        <v>10819</v>
      </c>
      <c r="I621" s="23">
        <v>20</v>
      </c>
      <c r="J621" s="23">
        <v>4168</v>
      </c>
      <c r="K621" s="23">
        <v>9768</v>
      </c>
      <c r="L621" s="23">
        <v>2</v>
      </c>
      <c r="M621" s="37">
        <v>1504.3292140000001</v>
      </c>
      <c r="N621" s="31"/>
      <c r="O621" s="32"/>
      <c r="P621" s="38" t="s">
        <v>2309</v>
      </c>
      <c r="Q621" s="39" t="s">
        <v>298</v>
      </c>
      <c r="R621" s="40">
        <v>1504.3292140000001</v>
      </c>
      <c r="S621" s="29" t="b">
        <f t="shared" si="2"/>
        <v>1</v>
      </c>
      <c r="T621" s="35"/>
    </row>
    <row r="622" spans="1:20">
      <c r="A622" s="22" t="s">
        <v>3963</v>
      </c>
      <c r="B622" s="23" t="s">
        <v>32</v>
      </c>
      <c r="C622" s="23" t="s">
        <v>46</v>
      </c>
      <c r="D622" s="23" t="s">
        <v>3943</v>
      </c>
      <c r="E622" s="36" t="s">
        <v>3964</v>
      </c>
      <c r="F622" s="23" t="s">
        <v>103</v>
      </c>
      <c r="G622" s="23" t="s">
        <v>39</v>
      </c>
      <c r="H622" s="23">
        <v>69136</v>
      </c>
      <c r="I622" s="23">
        <v>190</v>
      </c>
      <c r="J622" s="23">
        <v>40571</v>
      </c>
      <c r="K622" s="23">
        <v>63614</v>
      </c>
      <c r="L622" s="23">
        <v>3</v>
      </c>
      <c r="M622" s="37">
        <v>1507.9468509999999</v>
      </c>
      <c r="N622" s="31"/>
      <c r="O622" s="32"/>
      <c r="P622" s="38" t="s">
        <v>1681</v>
      </c>
      <c r="Q622" s="39" t="s">
        <v>1167</v>
      </c>
      <c r="R622" s="40">
        <v>1507.9468509999999</v>
      </c>
      <c r="S622" s="29" t="b">
        <f t="shared" si="2"/>
        <v>1</v>
      </c>
      <c r="T622" s="35"/>
    </row>
    <row r="623" spans="1:20">
      <c r="A623" s="22" t="s">
        <v>3965</v>
      </c>
      <c r="B623" s="23" t="s">
        <v>44</v>
      </c>
      <c r="C623" s="23" t="s">
        <v>46</v>
      </c>
      <c r="D623" s="23" t="s">
        <v>3943</v>
      </c>
      <c r="E623" s="36" t="s">
        <v>3966</v>
      </c>
      <c r="F623" s="23" t="s">
        <v>50</v>
      </c>
      <c r="G623" s="23" t="s">
        <v>75</v>
      </c>
      <c r="H623" s="23">
        <v>76439</v>
      </c>
      <c r="I623" s="23">
        <v>100</v>
      </c>
      <c r="J623" s="23">
        <v>58269</v>
      </c>
      <c r="K623" s="23">
        <v>66924</v>
      </c>
      <c r="L623" s="23">
        <v>8</v>
      </c>
      <c r="M623" s="37">
        <v>1524.8102240000001</v>
      </c>
      <c r="N623" s="31"/>
      <c r="O623" s="32"/>
      <c r="P623" s="38" t="s">
        <v>1027</v>
      </c>
      <c r="Q623" s="39" t="s">
        <v>1030</v>
      </c>
      <c r="R623" s="40">
        <v>1524.8102240000001</v>
      </c>
      <c r="S623" s="29" t="b">
        <f t="shared" si="2"/>
        <v>1</v>
      </c>
      <c r="T623" s="35"/>
    </row>
    <row r="624" spans="1:20">
      <c r="A624" s="22" t="s">
        <v>3967</v>
      </c>
      <c r="B624" s="23" t="s">
        <v>44</v>
      </c>
      <c r="C624" s="23" t="s">
        <v>62</v>
      </c>
      <c r="D624" s="23" t="s">
        <v>3943</v>
      </c>
      <c r="E624" s="36" t="s">
        <v>3968</v>
      </c>
      <c r="F624" s="23" t="s">
        <v>50</v>
      </c>
      <c r="G624" s="23" t="s">
        <v>39</v>
      </c>
      <c r="H624" s="23">
        <v>14763</v>
      </c>
      <c r="I624" s="23">
        <v>40</v>
      </c>
      <c r="J624" s="23">
        <v>8955</v>
      </c>
      <c r="K624" s="23">
        <v>13829</v>
      </c>
      <c r="L624" s="23">
        <v>2</v>
      </c>
      <c r="M624" s="37">
        <v>1531.9268850000001</v>
      </c>
      <c r="N624" s="31"/>
      <c r="O624" s="32"/>
      <c r="P624" s="38" t="s">
        <v>1230</v>
      </c>
      <c r="Q624" s="39" t="s">
        <v>1232</v>
      </c>
      <c r="R624" s="40">
        <v>1531.9268850000001</v>
      </c>
      <c r="S624" s="29" t="b">
        <f t="shared" si="2"/>
        <v>1</v>
      </c>
      <c r="T624" s="35"/>
    </row>
    <row r="625" spans="1:20">
      <c r="A625" s="22" t="s">
        <v>3969</v>
      </c>
      <c r="B625" s="23" t="s">
        <v>32</v>
      </c>
      <c r="C625" s="23" t="s">
        <v>80</v>
      </c>
      <c r="D625" s="23" t="s">
        <v>3943</v>
      </c>
      <c r="E625" s="36" t="s">
        <v>3970</v>
      </c>
      <c r="F625" s="23" t="s">
        <v>103</v>
      </c>
      <c r="G625" s="23" t="s">
        <v>39</v>
      </c>
      <c r="H625" s="23">
        <v>186702</v>
      </c>
      <c r="I625" s="23">
        <v>370</v>
      </c>
      <c r="J625" s="23">
        <v>132038</v>
      </c>
      <c r="K625" s="23">
        <v>167406</v>
      </c>
      <c r="L625" s="23">
        <v>4</v>
      </c>
      <c r="M625" s="37">
        <v>1568.7360200000001</v>
      </c>
      <c r="N625" s="31"/>
      <c r="O625" s="32"/>
      <c r="P625" s="38" t="s">
        <v>1399</v>
      </c>
      <c r="Q625" s="39" t="s">
        <v>1038</v>
      </c>
      <c r="R625" s="40">
        <v>1568.7360200000001</v>
      </c>
      <c r="S625" s="29" t="b">
        <f t="shared" si="2"/>
        <v>1</v>
      </c>
      <c r="T625" s="35"/>
    </row>
    <row r="626" spans="1:20">
      <c r="A626" s="22" t="s">
        <v>3971</v>
      </c>
      <c r="B626" s="23" t="s">
        <v>44</v>
      </c>
      <c r="C626" s="23" t="s">
        <v>46</v>
      </c>
      <c r="D626" s="23" t="s">
        <v>3943</v>
      </c>
      <c r="E626" s="36" t="s">
        <v>3972</v>
      </c>
      <c r="F626" s="23" t="s">
        <v>50</v>
      </c>
      <c r="G626" s="23" t="s">
        <v>39</v>
      </c>
      <c r="H626" s="23">
        <v>284783</v>
      </c>
      <c r="I626" s="23">
        <v>756</v>
      </c>
      <c r="J626" s="23">
        <v>239363</v>
      </c>
      <c r="K626" s="23">
        <v>261467</v>
      </c>
      <c r="L626" s="23">
        <v>9</v>
      </c>
      <c r="M626" s="37">
        <v>1605.5380720000001</v>
      </c>
      <c r="N626" s="31"/>
      <c r="O626" s="32"/>
      <c r="P626" s="38" t="s">
        <v>340</v>
      </c>
      <c r="Q626" s="39" t="s">
        <v>343</v>
      </c>
      <c r="R626" s="40">
        <v>1605.5380720000001</v>
      </c>
      <c r="S626" s="29" t="b">
        <f t="shared" si="2"/>
        <v>1</v>
      </c>
      <c r="T626" s="35"/>
    </row>
    <row r="627" spans="1:20">
      <c r="A627" s="22" t="s">
        <v>3973</v>
      </c>
      <c r="B627" s="23" t="s">
        <v>123</v>
      </c>
      <c r="C627" s="23" t="s">
        <v>34</v>
      </c>
      <c r="D627" s="23" t="s">
        <v>3943</v>
      </c>
      <c r="E627" s="36" t="s">
        <v>3974</v>
      </c>
      <c r="F627" s="23" t="s">
        <v>103</v>
      </c>
      <c r="G627" s="23" t="s">
        <v>39</v>
      </c>
      <c r="H627" s="23">
        <v>68704</v>
      </c>
      <c r="I627" s="23">
        <v>185</v>
      </c>
      <c r="J627" s="23">
        <v>31283</v>
      </c>
      <c r="K627" s="23">
        <v>59462</v>
      </c>
      <c r="L627" s="23">
        <v>16</v>
      </c>
      <c r="M627" s="37">
        <v>1605.5660310000001</v>
      </c>
      <c r="N627" s="31"/>
      <c r="O627" s="32"/>
      <c r="P627" s="38" t="s">
        <v>2262</v>
      </c>
      <c r="Q627" s="39" t="s">
        <v>2265</v>
      </c>
      <c r="R627" s="40">
        <v>1605.5660310000001</v>
      </c>
      <c r="S627" s="29" t="b">
        <f t="shared" si="2"/>
        <v>1</v>
      </c>
      <c r="T627" s="35"/>
    </row>
    <row r="628" spans="1:20">
      <c r="A628" s="22" t="s">
        <v>3975</v>
      </c>
      <c r="B628" s="23" t="s">
        <v>44</v>
      </c>
      <c r="C628" s="23" t="s">
        <v>80</v>
      </c>
      <c r="D628" s="23" t="s">
        <v>3943</v>
      </c>
      <c r="E628" s="36" t="s">
        <v>3976</v>
      </c>
      <c r="F628" s="23" t="s">
        <v>50</v>
      </c>
      <c r="G628" s="23" t="s">
        <v>75</v>
      </c>
      <c r="H628" s="23">
        <v>16354</v>
      </c>
      <c r="I628" s="23">
        <v>40</v>
      </c>
      <c r="J628" s="23">
        <v>8061</v>
      </c>
      <c r="K628" s="23">
        <v>15667</v>
      </c>
      <c r="L628" s="23">
        <v>4</v>
      </c>
      <c r="M628" s="37">
        <v>1610.3199770000001</v>
      </c>
      <c r="N628" s="31"/>
      <c r="O628" s="32"/>
      <c r="P628" s="38" t="s">
        <v>1767</v>
      </c>
      <c r="Q628" s="39" t="s">
        <v>1769</v>
      </c>
      <c r="R628" s="40">
        <v>1610.3199770000001</v>
      </c>
      <c r="S628" s="29" t="b">
        <f t="shared" si="2"/>
        <v>1</v>
      </c>
      <c r="T628" s="35"/>
    </row>
    <row r="629" spans="1:20">
      <c r="A629" s="22" t="s">
        <v>3977</v>
      </c>
      <c r="B629" s="23" t="s">
        <v>44</v>
      </c>
      <c r="C629" s="23" t="s">
        <v>80</v>
      </c>
      <c r="D629" s="23" t="s">
        <v>3943</v>
      </c>
      <c r="E629" s="36" t="s">
        <v>3978</v>
      </c>
      <c r="F629" s="23" t="s">
        <v>50</v>
      </c>
      <c r="G629" s="23" t="s">
        <v>39</v>
      </c>
      <c r="H629" s="23">
        <v>141157</v>
      </c>
      <c r="I629" s="23">
        <v>420</v>
      </c>
      <c r="J629" s="23">
        <v>8280</v>
      </c>
      <c r="K629" s="23">
        <v>107935</v>
      </c>
      <c r="L629" s="23">
        <v>4</v>
      </c>
      <c r="M629" s="37">
        <v>1631.7829489999999</v>
      </c>
      <c r="N629" s="31"/>
      <c r="O629" s="32"/>
      <c r="P629" s="38" t="s">
        <v>1062</v>
      </c>
      <c r="Q629" s="39" t="s">
        <v>1064</v>
      </c>
      <c r="R629" s="40">
        <v>1631.7829489999999</v>
      </c>
      <c r="S629" s="29" t="b">
        <f t="shared" si="2"/>
        <v>1</v>
      </c>
      <c r="T629" s="35"/>
    </row>
    <row r="630" spans="1:20">
      <c r="A630" s="22" t="s">
        <v>3979</v>
      </c>
      <c r="B630" s="23" t="s">
        <v>32</v>
      </c>
      <c r="C630" s="23" t="s">
        <v>62</v>
      </c>
      <c r="D630" s="23" t="s">
        <v>3943</v>
      </c>
      <c r="E630" s="36" t="s">
        <v>3980</v>
      </c>
      <c r="F630" s="23" t="s">
        <v>50</v>
      </c>
      <c r="G630" s="23" t="s">
        <v>39</v>
      </c>
      <c r="H630" s="23">
        <v>11025</v>
      </c>
      <c r="I630" s="23">
        <v>50</v>
      </c>
      <c r="J630" s="23">
        <v>7974</v>
      </c>
      <c r="K630" s="23">
        <v>10311</v>
      </c>
      <c r="L630" s="23">
        <v>4</v>
      </c>
      <c r="M630" s="37">
        <v>1657.159766</v>
      </c>
      <c r="N630" s="31"/>
      <c r="O630" s="32"/>
      <c r="P630" s="38" t="s">
        <v>571</v>
      </c>
      <c r="Q630" s="39" t="s">
        <v>190</v>
      </c>
      <c r="R630" s="40">
        <v>1657.159766</v>
      </c>
      <c r="S630" s="29" t="b">
        <f t="shared" si="2"/>
        <v>1</v>
      </c>
      <c r="T630" s="35"/>
    </row>
    <row r="631" spans="1:20">
      <c r="A631" s="22" t="s">
        <v>3981</v>
      </c>
      <c r="B631" s="23" t="s">
        <v>44</v>
      </c>
      <c r="C631" s="23" t="s">
        <v>80</v>
      </c>
      <c r="D631" s="23" t="s">
        <v>3943</v>
      </c>
      <c r="E631" s="36" t="s">
        <v>3982</v>
      </c>
      <c r="F631" s="23" t="s">
        <v>103</v>
      </c>
      <c r="G631" s="23" t="s">
        <v>39</v>
      </c>
      <c r="H631" s="23">
        <v>10811</v>
      </c>
      <c r="I631" s="23">
        <v>25</v>
      </c>
      <c r="J631" s="23">
        <v>988</v>
      </c>
      <c r="K631" s="23">
        <v>2975</v>
      </c>
      <c r="L631" s="23">
        <v>3</v>
      </c>
      <c r="M631" s="37">
        <v>1679.833815</v>
      </c>
      <c r="N631" s="31"/>
      <c r="O631" s="32"/>
      <c r="P631" s="38" t="s">
        <v>377</v>
      </c>
      <c r="Q631" s="39" t="s">
        <v>382</v>
      </c>
      <c r="R631" s="40">
        <v>1679.833815</v>
      </c>
      <c r="S631" s="29" t="b">
        <f t="shared" si="2"/>
        <v>1</v>
      </c>
      <c r="T631" s="35"/>
    </row>
    <row r="632" spans="1:20">
      <c r="A632" s="22" t="s">
        <v>3983</v>
      </c>
      <c r="B632" s="23" t="s">
        <v>32</v>
      </c>
      <c r="C632" s="23" t="s">
        <v>46</v>
      </c>
      <c r="D632" s="23" t="s">
        <v>3943</v>
      </c>
      <c r="E632" s="36" t="s">
        <v>3984</v>
      </c>
      <c r="F632" s="23" t="s">
        <v>50</v>
      </c>
      <c r="G632" s="23" t="s">
        <v>39</v>
      </c>
      <c r="H632" s="23">
        <v>780475</v>
      </c>
      <c r="I632" s="23">
        <v>2186</v>
      </c>
      <c r="J632" s="23">
        <v>453974</v>
      </c>
      <c r="K632" s="23">
        <v>691696</v>
      </c>
      <c r="L632" s="23">
        <v>11</v>
      </c>
      <c r="M632" s="37">
        <v>1726.2494569999999</v>
      </c>
      <c r="N632" s="31"/>
      <c r="O632" s="32"/>
      <c r="P632" s="38" t="s">
        <v>883</v>
      </c>
      <c r="Q632" s="39" t="s">
        <v>885</v>
      </c>
      <c r="R632" s="40">
        <v>1726.2494569999999</v>
      </c>
      <c r="S632" s="29" t="b">
        <f t="shared" si="2"/>
        <v>1</v>
      </c>
      <c r="T632" s="35"/>
    </row>
    <row r="633" spans="1:20">
      <c r="A633" s="22" t="s">
        <v>3985</v>
      </c>
      <c r="B633" s="23" t="s">
        <v>32</v>
      </c>
      <c r="C633" s="23" t="s">
        <v>62</v>
      </c>
      <c r="D633" s="23" t="s">
        <v>3943</v>
      </c>
      <c r="E633" s="36" t="s">
        <v>3986</v>
      </c>
      <c r="F633" s="23" t="s">
        <v>103</v>
      </c>
      <c r="G633" s="23" t="s">
        <v>39</v>
      </c>
      <c r="H633" s="23">
        <v>64577</v>
      </c>
      <c r="I633" s="23">
        <v>240</v>
      </c>
      <c r="J633" s="23">
        <v>37732</v>
      </c>
      <c r="K633" s="23">
        <v>60357</v>
      </c>
      <c r="L633" s="23">
        <v>11</v>
      </c>
      <c r="M633" s="37">
        <v>1801.3491309999999</v>
      </c>
      <c r="N633" s="31"/>
      <c r="O633" s="32"/>
      <c r="P633" s="38" t="s">
        <v>738</v>
      </c>
      <c r="Q633" s="39" t="s">
        <v>740</v>
      </c>
      <c r="R633" s="40">
        <v>1801.3491309999999</v>
      </c>
      <c r="S633" s="29" t="b">
        <f t="shared" si="2"/>
        <v>1</v>
      </c>
      <c r="T633" s="35"/>
    </row>
    <row r="634" spans="1:20">
      <c r="A634" s="22" t="s">
        <v>3987</v>
      </c>
      <c r="B634" s="23" t="s">
        <v>44</v>
      </c>
      <c r="C634" s="23" t="s">
        <v>62</v>
      </c>
      <c r="D634" s="23" t="s">
        <v>3943</v>
      </c>
      <c r="E634" s="36" t="s">
        <v>3988</v>
      </c>
      <c r="F634" s="23" t="s">
        <v>693</v>
      </c>
      <c r="G634" s="23" t="s">
        <v>39</v>
      </c>
      <c r="H634" s="23">
        <v>292578</v>
      </c>
      <c r="I634" s="23">
        <v>812</v>
      </c>
      <c r="J634" s="23">
        <v>6474</v>
      </c>
      <c r="K634" s="23">
        <v>12323</v>
      </c>
      <c r="L634" s="23">
        <v>4</v>
      </c>
      <c r="M634" s="37">
        <v>1826.3187379999999</v>
      </c>
      <c r="N634" s="31"/>
      <c r="O634" s="32"/>
      <c r="P634" s="38" t="s">
        <v>978</v>
      </c>
      <c r="Q634" s="39" t="s">
        <v>885</v>
      </c>
      <c r="R634" s="40">
        <v>1826.3187379999999</v>
      </c>
      <c r="S634" s="29" t="b">
        <f t="shared" si="2"/>
        <v>1</v>
      </c>
      <c r="T634" s="35"/>
    </row>
    <row r="635" spans="1:20">
      <c r="A635" s="22" t="s">
        <v>3989</v>
      </c>
      <c r="B635" s="23" t="s">
        <v>32</v>
      </c>
      <c r="C635" s="23" t="s">
        <v>80</v>
      </c>
      <c r="D635" s="23" t="s">
        <v>3943</v>
      </c>
      <c r="E635" s="36" t="s">
        <v>3990</v>
      </c>
      <c r="F635" s="23" t="s">
        <v>50</v>
      </c>
      <c r="G635" s="23" t="s">
        <v>39</v>
      </c>
      <c r="H635" s="23">
        <v>9059</v>
      </c>
      <c r="I635" s="23">
        <v>22</v>
      </c>
      <c r="J635" s="23">
        <v>589</v>
      </c>
      <c r="K635" s="23">
        <v>7480</v>
      </c>
      <c r="L635" s="23">
        <v>4</v>
      </c>
      <c r="M635" s="37">
        <v>1908.5261170000001</v>
      </c>
      <c r="N635" s="31"/>
      <c r="O635" s="32"/>
      <c r="P635" s="38" t="s">
        <v>2326</v>
      </c>
      <c r="Q635" s="39" t="s">
        <v>2327</v>
      </c>
      <c r="R635" s="40">
        <v>1908.5261170000001</v>
      </c>
      <c r="S635" s="29" t="b">
        <f t="shared" si="2"/>
        <v>1</v>
      </c>
      <c r="T635" s="35"/>
    </row>
    <row r="636" spans="1:20">
      <c r="A636" s="22" t="s">
        <v>3991</v>
      </c>
      <c r="B636" s="23" t="s">
        <v>32</v>
      </c>
      <c r="C636" s="23" t="s">
        <v>80</v>
      </c>
      <c r="D636" s="23" t="s">
        <v>3943</v>
      </c>
      <c r="E636" s="36" t="s">
        <v>3992</v>
      </c>
      <c r="F636" s="23" t="s">
        <v>50</v>
      </c>
      <c r="G636" s="23" t="s">
        <v>39</v>
      </c>
      <c r="H636" s="23">
        <v>14890</v>
      </c>
      <c r="I636" s="23">
        <v>60</v>
      </c>
      <c r="J636" s="23">
        <v>6248</v>
      </c>
      <c r="K636" s="23">
        <v>11493</v>
      </c>
      <c r="L636" s="23">
        <v>6</v>
      </c>
      <c r="M636" s="37">
        <v>1982.4164840000001</v>
      </c>
      <c r="N636" s="31"/>
      <c r="O636" s="32"/>
      <c r="P636" s="38" t="s">
        <v>736</v>
      </c>
      <c r="Q636" s="39" t="s">
        <v>314</v>
      </c>
      <c r="R636" s="40">
        <v>1982.4164840000001</v>
      </c>
      <c r="S636" s="29" t="b">
        <f t="shared" si="2"/>
        <v>1</v>
      </c>
      <c r="T636" s="35"/>
    </row>
    <row r="637" spans="1:20">
      <c r="A637" s="22" t="s">
        <v>3993</v>
      </c>
      <c r="B637" s="23" t="s">
        <v>44</v>
      </c>
      <c r="C637" s="23" t="s">
        <v>46</v>
      </c>
      <c r="D637" s="23" t="s">
        <v>3943</v>
      </c>
      <c r="E637" s="36" t="s">
        <v>3994</v>
      </c>
      <c r="F637" s="23" t="s">
        <v>74</v>
      </c>
      <c r="G637" s="23" t="s">
        <v>39</v>
      </c>
      <c r="H637" s="23">
        <v>13700</v>
      </c>
      <c r="I637" s="23">
        <v>63</v>
      </c>
      <c r="J637" s="23">
        <v>3609</v>
      </c>
      <c r="K637" s="23">
        <v>12644</v>
      </c>
      <c r="L637" s="23">
        <v>4</v>
      </c>
      <c r="M637" s="37">
        <v>2032.700147</v>
      </c>
      <c r="N637" s="31"/>
      <c r="O637" s="32"/>
      <c r="P637" s="38" t="s">
        <v>2125</v>
      </c>
      <c r="Q637" s="39" t="s">
        <v>2076</v>
      </c>
      <c r="R637" s="40">
        <v>2032.700147</v>
      </c>
      <c r="S637" s="29" t="b">
        <f t="shared" si="2"/>
        <v>1</v>
      </c>
      <c r="T637" s="35"/>
    </row>
    <row r="638" spans="1:20">
      <c r="A638" s="22" t="s">
        <v>144</v>
      </c>
      <c r="B638" s="23" t="s">
        <v>44</v>
      </c>
      <c r="C638" s="23" t="s">
        <v>46</v>
      </c>
      <c r="D638" s="23" t="s">
        <v>3943</v>
      </c>
      <c r="E638" s="36" t="s">
        <v>3995</v>
      </c>
      <c r="F638" s="23" t="s">
        <v>50</v>
      </c>
      <c r="G638" s="23" t="s">
        <v>39</v>
      </c>
      <c r="H638" s="23">
        <v>7472</v>
      </c>
      <c r="I638" s="23">
        <v>10</v>
      </c>
      <c r="J638" s="23">
        <v>1191</v>
      </c>
      <c r="K638" s="23">
        <v>5883</v>
      </c>
      <c r="L638" s="23">
        <v>1</v>
      </c>
      <c r="M638" s="37">
        <v>2183.952037</v>
      </c>
      <c r="N638" s="31"/>
      <c r="O638" s="32"/>
      <c r="P638" s="38" t="s">
        <v>244</v>
      </c>
      <c r="Q638" s="39" t="s">
        <v>245</v>
      </c>
      <c r="R638" s="40">
        <v>2183.952037</v>
      </c>
      <c r="S638" s="29" t="b">
        <f t="shared" si="2"/>
        <v>1</v>
      </c>
      <c r="T638" s="35"/>
    </row>
    <row r="639" spans="1:20">
      <c r="A639" s="22" t="s">
        <v>3996</v>
      </c>
      <c r="B639" s="23" t="s">
        <v>32</v>
      </c>
      <c r="C639" s="23" t="s">
        <v>62</v>
      </c>
      <c r="D639" s="23" t="s">
        <v>3943</v>
      </c>
      <c r="E639" s="36" t="s">
        <v>3997</v>
      </c>
      <c r="F639" s="23" t="s">
        <v>38</v>
      </c>
      <c r="G639" s="23" t="s">
        <v>39</v>
      </c>
      <c r="H639" s="23">
        <v>51056</v>
      </c>
      <c r="I639" s="23">
        <v>120</v>
      </c>
      <c r="J639" s="23">
        <v>24672</v>
      </c>
      <c r="K639" s="23">
        <v>45563</v>
      </c>
      <c r="L639" s="23">
        <v>4</v>
      </c>
      <c r="M639" s="37">
        <v>2215.6318449999999</v>
      </c>
      <c r="N639" s="31"/>
      <c r="O639" s="32"/>
      <c r="P639" s="38" t="s">
        <v>679</v>
      </c>
      <c r="Q639" s="39" t="s">
        <v>328</v>
      </c>
      <c r="R639" s="40">
        <v>2215.6318449999999</v>
      </c>
      <c r="S639" s="29" t="b">
        <f t="shared" si="2"/>
        <v>1</v>
      </c>
      <c r="T639" s="35"/>
    </row>
    <row r="640" spans="1:20">
      <c r="A640" s="22" t="s">
        <v>3998</v>
      </c>
      <c r="B640" s="23" t="s">
        <v>44</v>
      </c>
      <c r="C640" s="23" t="s">
        <v>80</v>
      </c>
      <c r="D640" s="23" t="s">
        <v>3943</v>
      </c>
      <c r="E640" s="36" t="s">
        <v>3999</v>
      </c>
      <c r="F640" s="23" t="s">
        <v>103</v>
      </c>
      <c r="G640" s="23" t="s">
        <v>39</v>
      </c>
      <c r="H640" s="23">
        <v>10653</v>
      </c>
      <c r="I640" s="23">
        <v>68</v>
      </c>
      <c r="J640" s="23">
        <v>5263</v>
      </c>
      <c r="K640" s="23">
        <v>9921</v>
      </c>
      <c r="L640" s="23">
        <v>11</v>
      </c>
      <c r="M640" s="37">
        <v>2641.4783969999999</v>
      </c>
      <c r="N640" s="31"/>
      <c r="O640" s="32"/>
      <c r="P640" s="38" t="s">
        <v>1841</v>
      </c>
      <c r="Q640" s="39" t="s">
        <v>1078</v>
      </c>
      <c r="R640" s="40">
        <v>2641.4783969999999</v>
      </c>
      <c r="S640" s="29" t="b">
        <f t="shared" si="2"/>
        <v>1</v>
      </c>
      <c r="T640" s="35"/>
    </row>
    <row r="641" spans="1:20">
      <c r="A641" s="22" t="s">
        <v>4000</v>
      </c>
      <c r="B641" s="23" t="s">
        <v>44</v>
      </c>
      <c r="C641" s="23" t="s">
        <v>62</v>
      </c>
      <c r="D641" s="23" t="s">
        <v>3943</v>
      </c>
      <c r="E641" s="36" t="s">
        <v>4001</v>
      </c>
      <c r="F641" s="23" t="s">
        <v>50</v>
      </c>
      <c r="G641" s="23" t="s">
        <v>75</v>
      </c>
      <c r="H641" s="23">
        <v>27473</v>
      </c>
      <c r="I641" s="23">
        <v>69</v>
      </c>
      <c r="J641" s="23">
        <v>11306</v>
      </c>
      <c r="K641" s="23">
        <v>20625</v>
      </c>
      <c r="L641" s="23">
        <v>2</v>
      </c>
      <c r="M641" s="37">
        <v>2922.286102</v>
      </c>
      <c r="N641" s="31"/>
      <c r="O641" s="32"/>
      <c r="P641" s="38" t="s">
        <v>1817</v>
      </c>
      <c r="Q641" s="39" t="s">
        <v>1819</v>
      </c>
      <c r="R641" s="40">
        <v>2922.286102</v>
      </c>
      <c r="S641" s="29" t="b">
        <f t="shared" si="2"/>
        <v>1</v>
      </c>
      <c r="T641" s="35"/>
    </row>
    <row r="642" spans="1:20">
      <c r="A642" s="22" t="s">
        <v>4002</v>
      </c>
      <c r="B642" s="23" t="s">
        <v>32</v>
      </c>
      <c r="C642" s="23" t="s">
        <v>34</v>
      </c>
      <c r="D642" s="23" t="s">
        <v>3943</v>
      </c>
      <c r="E642" s="36" t="s">
        <v>4003</v>
      </c>
      <c r="F642" s="23" t="s">
        <v>50</v>
      </c>
      <c r="G642" s="23" t="s">
        <v>39</v>
      </c>
      <c r="H642" s="23">
        <v>10093</v>
      </c>
      <c r="I642" s="23">
        <v>65</v>
      </c>
      <c r="J642" s="23">
        <v>3901</v>
      </c>
      <c r="K642" s="23">
        <v>9645</v>
      </c>
      <c r="L642" s="23">
        <v>2</v>
      </c>
      <c r="M642" s="37">
        <v>3105.2830039999999</v>
      </c>
      <c r="N642" s="31"/>
      <c r="O642" s="32"/>
      <c r="P642" s="38" t="s">
        <v>1661</v>
      </c>
      <c r="Q642" s="39" t="s">
        <v>1663</v>
      </c>
      <c r="R642" s="40">
        <v>3105.2830039999999</v>
      </c>
      <c r="S642" s="29" t="b">
        <f t="shared" si="2"/>
        <v>1</v>
      </c>
      <c r="T642" s="35"/>
    </row>
    <row r="643" spans="1:20">
      <c r="A643" s="22" t="s">
        <v>4004</v>
      </c>
      <c r="B643" s="23" t="s">
        <v>32</v>
      </c>
      <c r="C643" s="23" t="s">
        <v>46</v>
      </c>
      <c r="D643" s="23" t="s">
        <v>3943</v>
      </c>
      <c r="E643" s="36" t="s">
        <v>4005</v>
      </c>
      <c r="F643" s="23" t="s">
        <v>50</v>
      </c>
      <c r="G643" s="23" t="s">
        <v>39</v>
      </c>
      <c r="H643" s="23">
        <v>29107</v>
      </c>
      <c r="I643" s="23">
        <v>64</v>
      </c>
      <c r="J643" s="23">
        <v>4047</v>
      </c>
      <c r="K643" s="23">
        <v>27357</v>
      </c>
      <c r="L643" s="23">
        <v>9</v>
      </c>
      <c r="M643" s="37">
        <v>3339.454322</v>
      </c>
      <c r="N643" s="31"/>
      <c r="O643" s="32"/>
      <c r="P643" s="38" t="s">
        <v>756</v>
      </c>
      <c r="Q643" s="39" t="s">
        <v>758</v>
      </c>
      <c r="R643" s="40">
        <v>3339.454322</v>
      </c>
      <c r="S643" s="29" t="b">
        <f t="shared" si="2"/>
        <v>1</v>
      </c>
      <c r="T643" s="35"/>
    </row>
    <row r="644" spans="1:20">
      <c r="A644" s="22" t="s">
        <v>4006</v>
      </c>
      <c r="B644" s="23" t="s">
        <v>32</v>
      </c>
      <c r="C644" s="23" t="s">
        <v>46</v>
      </c>
      <c r="D644" s="23" t="s">
        <v>3943</v>
      </c>
      <c r="E644" s="36" t="s">
        <v>4007</v>
      </c>
      <c r="F644" s="23" t="s">
        <v>50</v>
      </c>
      <c r="G644" s="23" t="s">
        <v>39</v>
      </c>
      <c r="H644" s="23">
        <v>18771</v>
      </c>
      <c r="I644" s="23">
        <v>69</v>
      </c>
      <c r="J644" s="23">
        <v>10871</v>
      </c>
      <c r="K644" s="23">
        <v>17138</v>
      </c>
      <c r="L644" s="23">
        <v>6</v>
      </c>
      <c r="M644" s="37">
        <v>3827.3663809999998</v>
      </c>
      <c r="N644" s="31"/>
      <c r="O644" s="32"/>
      <c r="P644" s="38" t="s">
        <v>600</v>
      </c>
      <c r="Q644" s="39" t="s">
        <v>603</v>
      </c>
      <c r="R644" s="40">
        <v>3827.3663809999998</v>
      </c>
      <c r="S644" s="29" t="b">
        <f t="shared" si="2"/>
        <v>1</v>
      </c>
      <c r="T644" s="35"/>
    </row>
    <row r="645" spans="1:20">
      <c r="A645" s="22" t="s">
        <v>4008</v>
      </c>
      <c r="B645" s="23" t="s">
        <v>32</v>
      </c>
      <c r="C645" s="23" t="s">
        <v>80</v>
      </c>
      <c r="D645" s="23" t="s">
        <v>3943</v>
      </c>
      <c r="E645" s="36" t="s">
        <v>4009</v>
      </c>
      <c r="F645" s="23" t="s">
        <v>50</v>
      </c>
      <c r="G645" s="23" t="s">
        <v>39</v>
      </c>
      <c r="H645" s="23">
        <v>212009</v>
      </c>
      <c r="I645" s="23">
        <v>555</v>
      </c>
      <c r="J645" s="23">
        <v>16903</v>
      </c>
      <c r="K645" s="23">
        <v>149653</v>
      </c>
      <c r="L645" s="23">
        <v>15</v>
      </c>
      <c r="M645" s="37">
        <v>3983.6217969999998</v>
      </c>
      <c r="N645" s="31"/>
      <c r="O645" s="32"/>
      <c r="P645" s="38" t="s">
        <v>1687</v>
      </c>
      <c r="Q645" s="39" t="s">
        <v>1167</v>
      </c>
      <c r="R645" s="40">
        <v>3983.6217969999998</v>
      </c>
      <c r="S645" s="29" t="b">
        <f t="shared" si="2"/>
        <v>1</v>
      </c>
      <c r="T645" s="35"/>
    </row>
    <row r="646" spans="1:20">
      <c r="A646" s="22" t="s">
        <v>4010</v>
      </c>
      <c r="B646" s="23" t="s">
        <v>123</v>
      </c>
      <c r="C646" s="23" t="s">
        <v>80</v>
      </c>
      <c r="D646" s="23" t="s">
        <v>3943</v>
      </c>
      <c r="E646" s="36" t="s">
        <v>4011</v>
      </c>
      <c r="F646" s="23" t="s">
        <v>74</v>
      </c>
      <c r="G646" s="23" t="s">
        <v>39</v>
      </c>
      <c r="H646" s="23">
        <v>15475</v>
      </c>
      <c r="I646" s="23">
        <v>110</v>
      </c>
      <c r="J646" s="23">
        <v>6019</v>
      </c>
      <c r="K646" s="23">
        <v>10952</v>
      </c>
      <c r="L646" s="23">
        <v>9</v>
      </c>
      <c r="M646" s="37">
        <v>4156.7133830000002</v>
      </c>
      <c r="N646" s="31"/>
      <c r="O646" s="32"/>
      <c r="P646" s="38" t="s">
        <v>783</v>
      </c>
      <c r="Q646" s="39" t="s">
        <v>786</v>
      </c>
      <c r="R646" s="40">
        <v>4156.7133830000002</v>
      </c>
      <c r="S646" s="29" t="b">
        <f t="shared" si="2"/>
        <v>1</v>
      </c>
      <c r="T646" s="35"/>
    </row>
    <row r="647" spans="1:20">
      <c r="A647" s="22" t="s">
        <v>4012</v>
      </c>
      <c r="B647" s="23" t="s">
        <v>44</v>
      </c>
      <c r="C647" s="23" t="s">
        <v>46</v>
      </c>
      <c r="D647" s="23" t="s">
        <v>3943</v>
      </c>
      <c r="E647" s="36" t="s">
        <v>4013</v>
      </c>
      <c r="F647" s="23" t="s">
        <v>3153</v>
      </c>
      <c r="G647" s="23" t="s">
        <v>39</v>
      </c>
      <c r="H647" s="23">
        <v>335461</v>
      </c>
      <c r="I647" s="23">
        <v>963</v>
      </c>
      <c r="J647" s="23">
        <v>171464</v>
      </c>
      <c r="K647" s="23">
        <v>247450</v>
      </c>
      <c r="L647" s="23">
        <v>5</v>
      </c>
      <c r="M647" s="37">
        <v>4445.8746289999999</v>
      </c>
      <c r="N647" s="31"/>
      <c r="O647" s="32"/>
      <c r="P647" s="38" t="s">
        <v>1900</v>
      </c>
      <c r="Q647" s="39" t="s">
        <v>809</v>
      </c>
      <c r="R647" s="40">
        <v>4445.8746289999999</v>
      </c>
      <c r="S647" s="29" t="b">
        <f t="shared" si="2"/>
        <v>1</v>
      </c>
      <c r="T647" s="35"/>
    </row>
    <row r="648" spans="1:20">
      <c r="A648" s="22" t="s">
        <v>4014</v>
      </c>
      <c r="B648" s="23" t="s">
        <v>123</v>
      </c>
      <c r="C648" s="23" t="s">
        <v>62</v>
      </c>
      <c r="D648" s="23" t="s">
        <v>3943</v>
      </c>
      <c r="E648" s="36" t="s">
        <v>4015</v>
      </c>
      <c r="F648" s="23" t="s">
        <v>103</v>
      </c>
      <c r="G648" s="23" t="s">
        <v>39</v>
      </c>
      <c r="H648" s="23">
        <v>13686</v>
      </c>
      <c r="I648" s="23">
        <v>66</v>
      </c>
      <c r="J648" s="23">
        <v>7928</v>
      </c>
      <c r="K648" s="23">
        <v>11931</v>
      </c>
      <c r="L648" s="23">
        <v>11</v>
      </c>
      <c r="M648" s="37">
        <v>4660.5603689999998</v>
      </c>
      <c r="N648" s="31"/>
      <c r="O648" s="32"/>
      <c r="P648" s="38" t="s">
        <v>1124</v>
      </c>
      <c r="Q648" s="39" t="s">
        <v>1127</v>
      </c>
      <c r="R648" s="40">
        <v>4660.5603689999998</v>
      </c>
      <c r="S648" s="29" t="b">
        <f t="shared" si="2"/>
        <v>1</v>
      </c>
      <c r="T648" s="35"/>
    </row>
    <row r="649" spans="1:20">
      <c r="A649" s="22" t="s">
        <v>4016</v>
      </c>
      <c r="B649" s="23" t="s">
        <v>32</v>
      </c>
      <c r="C649" s="23" t="s">
        <v>62</v>
      </c>
      <c r="D649" s="23" t="s">
        <v>3943</v>
      </c>
      <c r="E649" s="36" t="s">
        <v>4017</v>
      </c>
      <c r="F649" s="23" t="s">
        <v>103</v>
      </c>
      <c r="G649" s="23" t="s">
        <v>39</v>
      </c>
      <c r="H649" s="23">
        <v>10835</v>
      </c>
      <c r="I649" s="23">
        <v>25</v>
      </c>
      <c r="J649" s="23">
        <v>2888</v>
      </c>
      <c r="K649" s="23">
        <v>10487</v>
      </c>
      <c r="L649" s="23">
        <v>3</v>
      </c>
      <c r="M649" s="37">
        <v>4704.2499559999997</v>
      </c>
      <c r="N649" s="31"/>
      <c r="O649" s="32"/>
      <c r="P649" s="38" t="s">
        <v>2139</v>
      </c>
      <c r="Q649" s="39" t="s">
        <v>2141</v>
      </c>
      <c r="R649" s="40">
        <v>4704.2499559999997</v>
      </c>
      <c r="S649" s="29" t="b">
        <f t="shared" si="2"/>
        <v>1</v>
      </c>
      <c r="T649" s="35"/>
    </row>
    <row r="650" spans="1:20">
      <c r="A650" s="22" t="s">
        <v>4018</v>
      </c>
      <c r="B650" s="23" t="s">
        <v>44</v>
      </c>
      <c r="C650" s="23" t="s">
        <v>34</v>
      </c>
      <c r="D650" s="23" t="s">
        <v>3943</v>
      </c>
      <c r="E650" s="36" t="s">
        <v>4019</v>
      </c>
      <c r="F650" s="23" t="s">
        <v>50</v>
      </c>
      <c r="G650" s="23" t="s">
        <v>64</v>
      </c>
      <c r="H650" s="23">
        <v>29856</v>
      </c>
      <c r="I650" s="23">
        <v>111</v>
      </c>
      <c r="J650" s="23">
        <v>7664</v>
      </c>
      <c r="K650" s="23">
        <v>21698</v>
      </c>
      <c r="L650" s="23">
        <v>9</v>
      </c>
      <c r="M650" s="37">
        <v>4851.3944460000002</v>
      </c>
      <c r="N650" s="31"/>
      <c r="O650" s="32"/>
      <c r="P650" s="38" t="s">
        <v>485</v>
      </c>
      <c r="Q650" s="39" t="s">
        <v>487</v>
      </c>
      <c r="R650" s="40">
        <v>4851.3944460000002</v>
      </c>
      <c r="S650" s="29" t="b">
        <f t="shared" si="2"/>
        <v>1</v>
      </c>
      <c r="T650" s="35"/>
    </row>
    <row r="651" spans="1:20">
      <c r="A651" s="22" t="s">
        <v>4020</v>
      </c>
      <c r="B651" s="23" t="s">
        <v>44</v>
      </c>
      <c r="C651" s="23" t="s">
        <v>62</v>
      </c>
      <c r="D651" s="23" t="s">
        <v>3943</v>
      </c>
      <c r="E651" s="36" t="s">
        <v>4021</v>
      </c>
      <c r="F651" s="23" t="s">
        <v>50</v>
      </c>
      <c r="G651" s="23" t="s">
        <v>39</v>
      </c>
      <c r="H651" s="23">
        <v>109128</v>
      </c>
      <c r="I651" s="23">
        <v>470</v>
      </c>
      <c r="J651" s="23">
        <v>38487</v>
      </c>
      <c r="K651" s="23">
        <v>90615</v>
      </c>
      <c r="L651" s="23">
        <v>3</v>
      </c>
      <c r="M651" s="37">
        <v>5153.1172040000001</v>
      </c>
      <c r="N651" s="31"/>
      <c r="O651" s="32"/>
      <c r="P651" s="38" t="s">
        <v>811</v>
      </c>
      <c r="Q651" s="39" t="s">
        <v>814</v>
      </c>
      <c r="R651" s="40">
        <v>5153.1172040000001</v>
      </c>
      <c r="S651" s="29" t="b">
        <f t="shared" si="2"/>
        <v>1</v>
      </c>
      <c r="T651" s="35"/>
    </row>
    <row r="652" spans="1:20">
      <c r="A652" s="22" t="s">
        <v>4022</v>
      </c>
      <c r="B652" s="23" t="s">
        <v>44</v>
      </c>
      <c r="C652" s="23" t="s">
        <v>62</v>
      </c>
      <c r="D652" s="23" t="s">
        <v>3943</v>
      </c>
      <c r="E652" s="36" t="s">
        <v>4023</v>
      </c>
      <c r="F652" s="23" t="s">
        <v>186</v>
      </c>
      <c r="G652" s="23" t="s">
        <v>39</v>
      </c>
      <c r="H652" s="23">
        <v>14398</v>
      </c>
      <c r="I652" s="23">
        <v>30</v>
      </c>
      <c r="J652" s="23">
        <v>2807</v>
      </c>
      <c r="K652" s="23">
        <v>13393</v>
      </c>
      <c r="L652" s="23">
        <v>7</v>
      </c>
      <c r="M652" s="37">
        <v>5154.6445549999999</v>
      </c>
      <c r="N652" s="31"/>
      <c r="O652" s="32"/>
      <c r="P652" s="38" t="s">
        <v>1474</v>
      </c>
      <c r="Q652" s="39" t="s">
        <v>1476</v>
      </c>
      <c r="R652" s="40">
        <v>5154.6445549999999</v>
      </c>
      <c r="S652" s="29" t="b">
        <f t="shared" si="2"/>
        <v>1</v>
      </c>
      <c r="T652" s="35"/>
    </row>
    <row r="653" spans="1:20">
      <c r="A653" s="22" t="s">
        <v>4024</v>
      </c>
      <c r="B653" s="23" t="s">
        <v>44</v>
      </c>
      <c r="C653" s="23" t="s">
        <v>34</v>
      </c>
      <c r="D653" s="23" t="s">
        <v>3943</v>
      </c>
      <c r="E653" s="36" t="s">
        <v>4025</v>
      </c>
      <c r="F653" s="23" t="s">
        <v>103</v>
      </c>
      <c r="G653" s="23" t="s">
        <v>39</v>
      </c>
      <c r="H653" s="23">
        <v>11697</v>
      </c>
      <c r="I653" s="23">
        <v>64</v>
      </c>
      <c r="J653" s="23">
        <v>6761</v>
      </c>
      <c r="K653" s="23">
        <v>10783</v>
      </c>
      <c r="L653" s="23">
        <v>3</v>
      </c>
      <c r="M653" s="37">
        <v>5218.0702309999997</v>
      </c>
      <c r="N653" s="31"/>
      <c r="O653" s="32"/>
      <c r="P653" s="38" t="s">
        <v>1188</v>
      </c>
      <c r="Q653" s="39" t="s">
        <v>1191</v>
      </c>
      <c r="R653" s="40">
        <v>5218.0702309999997</v>
      </c>
      <c r="S653" s="29" t="b">
        <f t="shared" si="2"/>
        <v>1</v>
      </c>
      <c r="T653" s="35"/>
    </row>
    <row r="654" spans="1:20">
      <c r="A654" s="22" t="s">
        <v>4026</v>
      </c>
      <c r="B654" s="23" t="s">
        <v>32</v>
      </c>
      <c r="C654" s="23" t="s">
        <v>46</v>
      </c>
      <c r="D654" s="23" t="s">
        <v>3943</v>
      </c>
      <c r="E654" s="36" t="s">
        <v>4027</v>
      </c>
      <c r="F654" s="23" t="s">
        <v>186</v>
      </c>
      <c r="G654" s="23" t="s">
        <v>39</v>
      </c>
      <c r="H654" s="23">
        <v>39794</v>
      </c>
      <c r="I654" s="23">
        <v>101</v>
      </c>
      <c r="J654" s="23">
        <v>17539</v>
      </c>
      <c r="K654" s="23">
        <v>37664</v>
      </c>
      <c r="L654" s="23">
        <v>12</v>
      </c>
      <c r="M654" s="37">
        <v>5328.5245139999997</v>
      </c>
      <c r="N654" s="31"/>
      <c r="O654" s="32"/>
      <c r="P654" s="38" t="s">
        <v>1464</v>
      </c>
      <c r="Q654" s="39" t="s">
        <v>1466</v>
      </c>
      <c r="R654" s="40">
        <v>5328.5245139999997</v>
      </c>
      <c r="S654" s="29" t="b">
        <f t="shared" si="2"/>
        <v>1</v>
      </c>
      <c r="T654" s="35"/>
    </row>
    <row r="655" spans="1:20">
      <c r="A655" s="22" t="s">
        <v>4028</v>
      </c>
      <c r="B655" s="23" t="s">
        <v>32</v>
      </c>
      <c r="C655" s="23" t="s">
        <v>80</v>
      </c>
      <c r="D655" s="23" t="s">
        <v>3943</v>
      </c>
      <c r="E655" s="36" t="s">
        <v>4029</v>
      </c>
      <c r="F655" s="23" t="s">
        <v>103</v>
      </c>
      <c r="G655" s="23" t="s">
        <v>39</v>
      </c>
      <c r="H655" s="23">
        <v>7769</v>
      </c>
      <c r="I655" s="23">
        <v>10</v>
      </c>
      <c r="J655" s="23">
        <v>3152</v>
      </c>
      <c r="K655" s="23">
        <v>6464</v>
      </c>
      <c r="L655" s="23">
        <v>1</v>
      </c>
      <c r="M655" s="37">
        <v>5603.0481319999999</v>
      </c>
      <c r="N655" s="31"/>
      <c r="O655" s="32"/>
      <c r="P655" s="38" t="s">
        <v>2242</v>
      </c>
      <c r="Q655" s="39" t="s">
        <v>273</v>
      </c>
      <c r="R655" s="40">
        <v>5603.0481319999999</v>
      </c>
      <c r="S655" s="29" t="b">
        <f t="shared" si="2"/>
        <v>1</v>
      </c>
      <c r="T655" s="35"/>
    </row>
    <row r="656" spans="1:20">
      <c r="A656" s="22" t="s">
        <v>4030</v>
      </c>
      <c r="B656" s="23" t="s">
        <v>44</v>
      </c>
      <c r="C656" s="23" t="s">
        <v>62</v>
      </c>
      <c r="D656" s="23" t="s">
        <v>3943</v>
      </c>
      <c r="E656" s="36" t="s">
        <v>4031</v>
      </c>
      <c r="F656" s="23" t="s">
        <v>50</v>
      </c>
      <c r="G656" s="23" t="s">
        <v>75</v>
      </c>
      <c r="H656" s="23">
        <v>39163</v>
      </c>
      <c r="I656" s="23">
        <v>113</v>
      </c>
      <c r="J656" s="23">
        <v>16254</v>
      </c>
      <c r="K656" s="23">
        <v>36526</v>
      </c>
      <c r="L656" s="23">
        <v>15</v>
      </c>
      <c r="M656" s="37">
        <v>5692.765813</v>
      </c>
      <c r="N656" s="31"/>
      <c r="O656" s="32"/>
      <c r="P656" s="38" t="s">
        <v>258</v>
      </c>
      <c r="Q656" s="39" t="s">
        <v>260</v>
      </c>
      <c r="R656" s="40">
        <v>5692.765813</v>
      </c>
      <c r="S656" s="29" t="b">
        <f t="shared" si="2"/>
        <v>1</v>
      </c>
      <c r="T656" s="35"/>
    </row>
    <row r="657" spans="1:20">
      <c r="A657" s="22" t="s">
        <v>4032</v>
      </c>
      <c r="B657" s="23" t="s">
        <v>32</v>
      </c>
      <c r="C657" s="23" t="s">
        <v>46</v>
      </c>
      <c r="D657" s="23" t="s">
        <v>3943</v>
      </c>
      <c r="E657" s="36" t="s">
        <v>4033</v>
      </c>
      <c r="F657" s="23" t="s">
        <v>50</v>
      </c>
      <c r="G657" s="23" t="s">
        <v>39</v>
      </c>
      <c r="H657" s="23">
        <v>48947</v>
      </c>
      <c r="I657" s="23">
        <v>230</v>
      </c>
      <c r="J657" s="23">
        <v>32089</v>
      </c>
      <c r="K657" s="23">
        <v>45597</v>
      </c>
      <c r="L657" s="23">
        <v>21</v>
      </c>
      <c r="M657" s="37">
        <v>5702.2902649999996</v>
      </c>
      <c r="N657" s="31"/>
      <c r="O657" s="32"/>
      <c r="P657" s="38" t="s">
        <v>1369</v>
      </c>
      <c r="Q657" s="39" t="s">
        <v>1371</v>
      </c>
      <c r="R657" s="40">
        <v>5702.2902649999996</v>
      </c>
      <c r="S657" s="29" t="b">
        <f t="shared" si="2"/>
        <v>1</v>
      </c>
      <c r="T657" s="35"/>
    </row>
    <row r="658" spans="1:20">
      <c r="A658" s="22" t="s">
        <v>4034</v>
      </c>
      <c r="B658" s="23" t="s">
        <v>44</v>
      </c>
      <c r="C658" s="23" t="s">
        <v>46</v>
      </c>
      <c r="D658" s="23" t="s">
        <v>3943</v>
      </c>
      <c r="E658" s="36" t="s">
        <v>4035</v>
      </c>
      <c r="F658" s="23" t="s">
        <v>50</v>
      </c>
      <c r="G658" s="23" t="s">
        <v>75</v>
      </c>
      <c r="H658" s="23">
        <v>127090</v>
      </c>
      <c r="I658" s="23">
        <v>299</v>
      </c>
      <c r="J658" s="23">
        <v>30178</v>
      </c>
      <c r="K658" s="23">
        <v>113438</v>
      </c>
      <c r="L658" s="23">
        <v>24</v>
      </c>
      <c r="M658" s="37">
        <v>5808.9112539999996</v>
      </c>
      <c r="N658" s="31"/>
      <c r="O658" s="32"/>
      <c r="P658" s="38" t="s">
        <v>2173</v>
      </c>
      <c r="Q658" s="39" t="s">
        <v>1326</v>
      </c>
      <c r="R658" s="40">
        <v>5808.9112539999996</v>
      </c>
      <c r="S658" s="29" t="b">
        <f t="shared" si="2"/>
        <v>1</v>
      </c>
      <c r="T658" s="35"/>
    </row>
    <row r="659" spans="1:20">
      <c r="A659" s="22" t="s">
        <v>4036</v>
      </c>
      <c r="B659" s="23" t="s">
        <v>123</v>
      </c>
      <c r="C659" s="23" t="s">
        <v>80</v>
      </c>
      <c r="D659" s="23" t="s">
        <v>3943</v>
      </c>
      <c r="E659" s="36" t="s">
        <v>4037</v>
      </c>
      <c r="F659" s="23" t="s">
        <v>50</v>
      </c>
      <c r="G659" s="23" t="s">
        <v>39</v>
      </c>
      <c r="H659" s="23">
        <v>257862</v>
      </c>
      <c r="I659" s="23">
        <v>700</v>
      </c>
      <c r="J659" s="23">
        <v>105048</v>
      </c>
      <c r="K659" s="23">
        <v>238629</v>
      </c>
      <c r="L659" s="23">
        <v>21</v>
      </c>
      <c r="M659" s="37">
        <v>5899.4294829999999</v>
      </c>
      <c r="N659" s="31"/>
      <c r="O659" s="32"/>
      <c r="P659" s="38" t="s">
        <v>971</v>
      </c>
      <c r="Q659" s="39" t="s">
        <v>973</v>
      </c>
      <c r="R659" s="40">
        <v>5899.4294829999999</v>
      </c>
      <c r="S659" s="29" t="b">
        <f t="shared" si="2"/>
        <v>1</v>
      </c>
      <c r="T659" s="35"/>
    </row>
    <row r="660" spans="1:20">
      <c r="A660" s="22" t="s">
        <v>4038</v>
      </c>
      <c r="B660" s="23" t="s">
        <v>32</v>
      </c>
      <c r="C660" s="23" t="s">
        <v>34</v>
      </c>
      <c r="D660" s="23" t="s">
        <v>3943</v>
      </c>
      <c r="E660" s="36" t="s">
        <v>4039</v>
      </c>
      <c r="F660" s="23" t="s">
        <v>50</v>
      </c>
      <c r="G660" s="23" t="s">
        <v>39</v>
      </c>
      <c r="H660" s="23">
        <v>14038</v>
      </c>
      <c r="I660" s="23">
        <v>63</v>
      </c>
      <c r="J660" s="23">
        <v>1600</v>
      </c>
      <c r="K660" s="23">
        <v>11345</v>
      </c>
      <c r="L660" s="23">
        <v>8</v>
      </c>
      <c r="M660" s="37">
        <v>6368.8629129999999</v>
      </c>
      <c r="N660" s="31"/>
      <c r="O660" s="32"/>
      <c r="P660" s="38" t="s">
        <v>161</v>
      </c>
      <c r="Q660" s="39" t="s">
        <v>165</v>
      </c>
      <c r="R660" s="40">
        <v>6368.8629129999999</v>
      </c>
      <c r="S660" s="29" t="b">
        <f t="shared" si="2"/>
        <v>1</v>
      </c>
      <c r="T660" s="35"/>
    </row>
    <row r="661" spans="1:20">
      <c r="A661" s="22" t="s">
        <v>4040</v>
      </c>
      <c r="B661" s="23" t="s">
        <v>123</v>
      </c>
      <c r="C661" s="23" t="s">
        <v>80</v>
      </c>
      <c r="D661" s="23" t="s">
        <v>3943</v>
      </c>
      <c r="E661" s="36" t="s">
        <v>4041</v>
      </c>
      <c r="F661" s="23" t="s">
        <v>186</v>
      </c>
      <c r="G661" s="23" t="s">
        <v>39</v>
      </c>
      <c r="H661" s="23">
        <v>9560</v>
      </c>
      <c r="I661" s="23">
        <v>98</v>
      </c>
      <c r="J661" s="23">
        <v>3076</v>
      </c>
      <c r="K661" s="23">
        <v>6252</v>
      </c>
      <c r="L661" s="23">
        <v>17</v>
      </c>
      <c r="M661" s="37">
        <v>6420.2181229999997</v>
      </c>
      <c r="N661" s="31"/>
      <c r="O661" s="32"/>
      <c r="P661" s="38" t="s">
        <v>182</v>
      </c>
      <c r="Q661" s="39" t="s">
        <v>184</v>
      </c>
      <c r="R661" s="40">
        <v>6420.2181229999997</v>
      </c>
      <c r="S661" s="29" t="b">
        <f t="shared" si="2"/>
        <v>1</v>
      </c>
      <c r="T661" s="35"/>
    </row>
    <row r="662" spans="1:20">
      <c r="A662" s="22" t="s">
        <v>4042</v>
      </c>
      <c r="B662" s="23" t="s">
        <v>32</v>
      </c>
      <c r="C662" s="23" t="s">
        <v>62</v>
      </c>
      <c r="D662" s="23" t="s">
        <v>3943</v>
      </c>
      <c r="E662" s="36" t="s">
        <v>4043</v>
      </c>
      <c r="F662" s="23" t="s">
        <v>186</v>
      </c>
      <c r="G662" s="23" t="s">
        <v>39</v>
      </c>
      <c r="H662" s="23">
        <v>47360</v>
      </c>
      <c r="I662" s="23">
        <v>126</v>
      </c>
      <c r="J662" s="23">
        <v>8047</v>
      </c>
      <c r="K662" s="23">
        <v>33641</v>
      </c>
      <c r="L662" s="23">
        <v>9</v>
      </c>
      <c r="M662" s="37">
        <v>6502.2749329999997</v>
      </c>
      <c r="N662" s="31"/>
      <c r="O662" s="32"/>
      <c r="P662" s="38" t="s">
        <v>831</v>
      </c>
      <c r="Q662" s="39" t="s">
        <v>833</v>
      </c>
      <c r="R662" s="40">
        <v>6502.2749329999997</v>
      </c>
      <c r="S662" s="29" t="b">
        <f t="shared" si="2"/>
        <v>1</v>
      </c>
      <c r="T662" s="35"/>
    </row>
    <row r="663" spans="1:20">
      <c r="A663" s="22" t="s">
        <v>4044</v>
      </c>
      <c r="B663" s="23" t="s">
        <v>44</v>
      </c>
      <c r="C663" s="23" t="s">
        <v>80</v>
      </c>
      <c r="D663" s="23" t="s">
        <v>3943</v>
      </c>
      <c r="E663" s="36" t="s">
        <v>4045</v>
      </c>
      <c r="F663" s="23" t="s">
        <v>50</v>
      </c>
      <c r="G663" s="23" t="s">
        <v>39</v>
      </c>
      <c r="H663" s="23">
        <v>7862</v>
      </c>
      <c r="I663" s="23">
        <v>20</v>
      </c>
      <c r="J663" s="23">
        <v>2152</v>
      </c>
      <c r="K663" s="23">
        <v>6039</v>
      </c>
      <c r="L663" s="23">
        <v>2</v>
      </c>
      <c r="M663" s="37">
        <v>6506.4336869999997</v>
      </c>
      <c r="N663" s="31"/>
      <c r="O663" s="32"/>
      <c r="P663" s="38" t="s">
        <v>1777</v>
      </c>
      <c r="Q663" s="39" t="s">
        <v>1329</v>
      </c>
      <c r="R663" s="40">
        <v>6506.4336869999997</v>
      </c>
      <c r="S663" s="29" t="b">
        <f t="shared" si="2"/>
        <v>1</v>
      </c>
      <c r="T663" s="35"/>
    </row>
    <row r="664" spans="1:20">
      <c r="A664" s="22" t="s">
        <v>4046</v>
      </c>
      <c r="B664" s="23" t="s">
        <v>123</v>
      </c>
      <c r="C664" s="23" t="s">
        <v>80</v>
      </c>
      <c r="D664" s="23" t="s">
        <v>3943</v>
      </c>
      <c r="E664" s="36" t="s">
        <v>4047</v>
      </c>
      <c r="F664" s="23" t="s">
        <v>50</v>
      </c>
      <c r="G664" s="23" t="s">
        <v>39</v>
      </c>
      <c r="H664" s="23">
        <v>9238</v>
      </c>
      <c r="I664" s="23">
        <v>84</v>
      </c>
      <c r="J664" s="23">
        <v>4626</v>
      </c>
      <c r="K664" s="23">
        <v>8264</v>
      </c>
      <c r="L664" s="23">
        <v>15</v>
      </c>
      <c r="M664" s="37">
        <v>6683.2254869999997</v>
      </c>
      <c r="N664" s="31"/>
      <c r="O664" s="32"/>
      <c r="P664" s="38" t="s">
        <v>2268</v>
      </c>
      <c r="Q664" s="39" t="s">
        <v>331</v>
      </c>
      <c r="R664" s="40">
        <v>6683.2254869999997</v>
      </c>
      <c r="S664" s="29" t="b">
        <f t="shared" si="2"/>
        <v>1</v>
      </c>
      <c r="T664" s="35"/>
    </row>
    <row r="665" spans="1:20">
      <c r="A665" s="22" t="s">
        <v>4048</v>
      </c>
      <c r="B665" s="23" t="s">
        <v>32</v>
      </c>
      <c r="C665" s="23" t="s">
        <v>62</v>
      </c>
      <c r="D665" s="23" t="s">
        <v>3943</v>
      </c>
      <c r="E665" s="36" t="s">
        <v>4049</v>
      </c>
      <c r="F665" s="23" t="s">
        <v>74</v>
      </c>
      <c r="G665" s="23" t="s">
        <v>39</v>
      </c>
      <c r="H665" s="23">
        <v>1601933</v>
      </c>
      <c r="I665" s="23">
        <v>4265</v>
      </c>
      <c r="J665" s="23">
        <v>1135085</v>
      </c>
      <c r="K665" s="23">
        <v>1487426</v>
      </c>
      <c r="L665" s="23">
        <v>29</v>
      </c>
      <c r="M665" s="37">
        <v>6785.7097899999999</v>
      </c>
      <c r="N665" s="31"/>
      <c r="O665" s="32"/>
      <c r="P665" s="38" t="s">
        <v>1394</v>
      </c>
      <c r="Q665" s="39" t="s">
        <v>1396</v>
      </c>
      <c r="R665" s="40">
        <v>6785.7097899999999</v>
      </c>
      <c r="S665" s="29" t="b">
        <f t="shared" si="2"/>
        <v>1</v>
      </c>
      <c r="T665" s="35"/>
    </row>
    <row r="666" spans="1:20">
      <c r="A666" s="22" t="s">
        <v>4050</v>
      </c>
      <c r="B666" s="23" t="s">
        <v>32</v>
      </c>
      <c r="C666" s="23" t="s">
        <v>62</v>
      </c>
      <c r="D666" s="23" t="s">
        <v>3943</v>
      </c>
      <c r="E666" s="36" t="s">
        <v>4051</v>
      </c>
      <c r="F666" s="23" t="s">
        <v>50</v>
      </c>
      <c r="G666" s="23" t="s">
        <v>39</v>
      </c>
      <c r="H666" s="23">
        <v>11511</v>
      </c>
      <c r="I666" s="23">
        <v>33</v>
      </c>
      <c r="J666" s="23">
        <v>8268</v>
      </c>
      <c r="K666" s="23">
        <v>11042</v>
      </c>
      <c r="L666" s="23">
        <v>3</v>
      </c>
      <c r="M666" s="37">
        <v>6815.7123250000004</v>
      </c>
      <c r="N666" s="31"/>
      <c r="O666" s="32"/>
      <c r="P666" s="38" t="s">
        <v>1209</v>
      </c>
      <c r="Q666" s="39" t="s">
        <v>565</v>
      </c>
      <c r="R666" s="40">
        <v>6815.7123250000004</v>
      </c>
      <c r="S666" s="29" t="b">
        <f t="shared" si="2"/>
        <v>1</v>
      </c>
      <c r="T666" s="35"/>
    </row>
    <row r="667" spans="1:20">
      <c r="A667" s="22" t="s">
        <v>4052</v>
      </c>
      <c r="B667" s="23" t="s">
        <v>44</v>
      </c>
      <c r="C667" s="23" t="s">
        <v>62</v>
      </c>
      <c r="D667" s="23" t="s">
        <v>3943</v>
      </c>
      <c r="E667" s="36" t="s">
        <v>4053</v>
      </c>
      <c r="F667" s="23" t="s">
        <v>103</v>
      </c>
      <c r="G667" s="23" t="s">
        <v>64</v>
      </c>
      <c r="H667" s="23">
        <v>7585</v>
      </c>
      <c r="I667" s="23">
        <v>13</v>
      </c>
      <c r="J667" s="23">
        <v>5396</v>
      </c>
      <c r="K667" s="23">
        <v>7417</v>
      </c>
      <c r="L667" s="23">
        <v>24</v>
      </c>
      <c r="M667" s="37">
        <v>7082.6538019999998</v>
      </c>
      <c r="N667" s="31"/>
      <c r="O667" s="32"/>
      <c r="P667" s="38" t="s">
        <v>1179</v>
      </c>
      <c r="Q667" s="39" t="s">
        <v>1181</v>
      </c>
      <c r="R667" s="40">
        <v>7082.6538019999998</v>
      </c>
      <c r="S667" s="29" t="b">
        <f t="shared" si="2"/>
        <v>1</v>
      </c>
      <c r="T667" s="35"/>
    </row>
    <row r="668" spans="1:20">
      <c r="A668" s="22" t="s">
        <v>4054</v>
      </c>
      <c r="B668" s="23" t="s">
        <v>32</v>
      </c>
      <c r="C668" s="23" t="s">
        <v>46</v>
      </c>
      <c r="D668" s="23" t="s">
        <v>3943</v>
      </c>
      <c r="E668" s="36" t="s">
        <v>4055</v>
      </c>
      <c r="F668" s="23" t="s">
        <v>74</v>
      </c>
      <c r="G668" s="23" t="s">
        <v>39</v>
      </c>
      <c r="H668" s="23">
        <v>39881</v>
      </c>
      <c r="I668" s="23">
        <v>125</v>
      </c>
      <c r="J668" s="23">
        <v>6331</v>
      </c>
      <c r="K668" s="23">
        <v>36245</v>
      </c>
      <c r="L668" s="23">
        <v>10</v>
      </c>
      <c r="M668" s="37">
        <v>7098.8897059999999</v>
      </c>
      <c r="N668" s="31"/>
      <c r="O668" s="32"/>
      <c r="P668" s="38" t="s">
        <v>1702</v>
      </c>
      <c r="Q668" s="39" t="s">
        <v>1078</v>
      </c>
      <c r="R668" s="40">
        <v>7098.8897059999999</v>
      </c>
      <c r="S668" s="29" t="b">
        <f t="shared" si="2"/>
        <v>1</v>
      </c>
      <c r="T668" s="35"/>
    </row>
    <row r="669" spans="1:20">
      <c r="A669" s="22" t="s">
        <v>4056</v>
      </c>
      <c r="B669" s="23" t="s">
        <v>44</v>
      </c>
      <c r="C669" s="23" t="s">
        <v>34</v>
      </c>
      <c r="D669" s="23" t="s">
        <v>3943</v>
      </c>
      <c r="E669" s="36" t="s">
        <v>4057</v>
      </c>
      <c r="F669" s="23" t="s">
        <v>50</v>
      </c>
      <c r="G669" s="23" t="s">
        <v>39</v>
      </c>
      <c r="H669" s="23">
        <v>75531</v>
      </c>
      <c r="I669" s="23">
        <v>200</v>
      </c>
      <c r="J669" s="23">
        <v>63816</v>
      </c>
      <c r="K669" s="23">
        <v>70011</v>
      </c>
      <c r="L669" s="23">
        <v>9</v>
      </c>
      <c r="M669" s="37">
        <v>7261.8650399999997</v>
      </c>
      <c r="N669" s="31"/>
      <c r="O669" s="32"/>
      <c r="P669" s="38" t="s">
        <v>84</v>
      </c>
      <c r="Q669" s="39" t="s">
        <v>87</v>
      </c>
      <c r="R669" s="40">
        <v>7261.8650399999997</v>
      </c>
      <c r="S669" s="29" t="b">
        <f t="shared" si="2"/>
        <v>1</v>
      </c>
      <c r="T669" s="35"/>
    </row>
    <row r="670" spans="1:20">
      <c r="A670" s="22" t="s">
        <v>4058</v>
      </c>
      <c r="B670" s="23" t="s">
        <v>32</v>
      </c>
      <c r="C670" s="23" t="s">
        <v>62</v>
      </c>
      <c r="D670" s="23" t="s">
        <v>3943</v>
      </c>
      <c r="E670" s="36" t="s">
        <v>4059</v>
      </c>
      <c r="F670" s="23" t="s">
        <v>74</v>
      </c>
      <c r="G670" s="23" t="s">
        <v>39</v>
      </c>
      <c r="H670" s="23">
        <v>686858</v>
      </c>
      <c r="I670" s="23">
        <v>2085</v>
      </c>
      <c r="J670" s="23">
        <v>81956</v>
      </c>
      <c r="K670" s="23">
        <v>624118</v>
      </c>
      <c r="L670" s="23">
        <v>19</v>
      </c>
      <c r="M670" s="37">
        <v>7467.0814870000004</v>
      </c>
      <c r="N670" s="31"/>
      <c r="O670" s="32"/>
      <c r="P670" s="38" t="s">
        <v>1851</v>
      </c>
      <c r="Q670" s="39" t="s">
        <v>1854</v>
      </c>
      <c r="R670" s="40">
        <v>7467.0814870000004</v>
      </c>
      <c r="S670" s="29" t="b">
        <f t="shared" si="2"/>
        <v>1</v>
      </c>
      <c r="T670" s="35"/>
    </row>
    <row r="671" spans="1:20">
      <c r="A671" s="22" t="s">
        <v>4060</v>
      </c>
      <c r="B671" s="23" t="s">
        <v>32</v>
      </c>
      <c r="C671" s="23" t="s">
        <v>46</v>
      </c>
      <c r="D671" s="23" t="s">
        <v>3943</v>
      </c>
      <c r="E671" s="36" t="s">
        <v>4061</v>
      </c>
      <c r="F671" s="23" t="s">
        <v>50</v>
      </c>
      <c r="G671" s="23" t="s">
        <v>39</v>
      </c>
      <c r="H671" s="23">
        <v>999915</v>
      </c>
      <c r="I671" s="23">
        <v>2748</v>
      </c>
      <c r="J671" s="23">
        <v>618816</v>
      </c>
      <c r="K671" s="23">
        <v>829942</v>
      </c>
      <c r="L671" s="23">
        <v>23</v>
      </c>
      <c r="M671" s="37">
        <v>7879.3167869999997</v>
      </c>
      <c r="N671" s="31"/>
      <c r="O671" s="32"/>
      <c r="P671" s="38" t="s">
        <v>2222</v>
      </c>
      <c r="Q671" s="39" t="s">
        <v>1480</v>
      </c>
      <c r="R671" s="40">
        <v>7879.3167869999997</v>
      </c>
      <c r="S671" s="29" t="b">
        <f t="shared" si="2"/>
        <v>1</v>
      </c>
      <c r="T671" s="35"/>
    </row>
    <row r="672" spans="1:20">
      <c r="A672" s="22" t="s">
        <v>4062</v>
      </c>
      <c r="B672" s="23" t="s">
        <v>123</v>
      </c>
      <c r="C672" s="23" t="s">
        <v>62</v>
      </c>
      <c r="D672" s="23" t="s">
        <v>4063</v>
      </c>
      <c r="E672" s="36" t="s">
        <v>4064</v>
      </c>
      <c r="F672" s="23" t="s">
        <v>50</v>
      </c>
      <c r="G672" s="23" t="s">
        <v>39</v>
      </c>
      <c r="H672" s="23">
        <v>7394</v>
      </c>
      <c r="I672" s="23">
        <v>20</v>
      </c>
      <c r="J672" s="23">
        <v>3441</v>
      </c>
      <c r="K672" s="23">
        <v>6663</v>
      </c>
      <c r="L672" s="23">
        <v>1</v>
      </c>
      <c r="M672" s="37">
        <v>1624.840774</v>
      </c>
      <c r="N672" s="31"/>
      <c r="O672" s="32"/>
      <c r="P672" s="38" t="s">
        <v>1585</v>
      </c>
      <c r="Q672" s="39" t="s">
        <v>1588</v>
      </c>
      <c r="R672" s="40">
        <v>1624.840774</v>
      </c>
      <c r="S672" s="29" t="b">
        <f t="shared" si="2"/>
        <v>1</v>
      </c>
      <c r="T672" s="35"/>
    </row>
    <row r="673" spans="1:20">
      <c r="A673" s="22" t="s">
        <v>4065</v>
      </c>
      <c r="B673" s="23" t="s">
        <v>44</v>
      </c>
      <c r="C673" s="23" t="s">
        <v>34</v>
      </c>
      <c r="D673" s="23" t="s">
        <v>4063</v>
      </c>
      <c r="E673" s="36" t="s">
        <v>4066</v>
      </c>
      <c r="F673" s="23" t="s">
        <v>50</v>
      </c>
      <c r="G673" s="23" t="s">
        <v>39</v>
      </c>
      <c r="H673" s="23">
        <v>8730</v>
      </c>
      <c r="I673" s="23">
        <v>22</v>
      </c>
      <c r="J673" s="23">
        <v>3725</v>
      </c>
      <c r="K673" s="23">
        <v>7413</v>
      </c>
      <c r="L673" s="23">
        <v>3</v>
      </c>
      <c r="M673" s="37">
        <v>3268.007134</v>
      </c>
      <c r="N673" s="31"/>
      <c r="O673" s="32"/>
      <c r="P673" s="38" t="s">
        <v>2256</v>
      </c>
      <c r="Q673" s="39" t="s">
        <v>260</v>
      </c>
      <c r="R673" s="40">
        <v>3268.007134</v>
      </c>
      <c r="S673" s="29" t="b">
        <f t="shared" si="2"/>
        <v>1</v>
      </c>
      <c r="T673" s="35"/>
    </row>
    <row r="674" spans="1:20">
      <c r="A674" s="22" t="s">
        <v>4067</v>
      </c>
      <c r="B674" s="23" t="s">
        <v>32</v>
      </c>
      <c r="C674" s="23" t="s">
        <v>34</v>
      </c>
      <c r="D674" s="23" t="s">
        <v>4063</v>
      </c>
      <c r="E674" s="36" t="s">
        <v>4068</v>
      </c>
      <c r="F674" s="23" t="s">
        <v>131</v>
      </c>
      <c r="G674" s="23" t="s">
        <v>39</v>
      </c>
      <c r="H674" s="23">
        <v>252170</v>
      </c>
      <c r="I674" s="23">
        <v>650</v>
      </c>
      <c r="J674" s="23">
        <v>9248</v>
      </c>
      <c r="K674" s="23">
        <v>14192</v>
      </c>
      <c r="L674" s="23">
        <v>1</v>
      </c>
      <c r="M674" s="37">
        <v>5874.0047800000002</v>
      </c>
      <c r="N674" s="31"/>
      <c r="O674" s="32"/>
      <c r="P674" s="38" t="s">
        <v>1885</v>
      </c>
      <c r="Q674" s="39" t="s">
        <v>1887</v>
      </c>
      <c r="R674" s="40">
        <v>5874.0047800000002</v>
      </c>
      <c r="S674" s="29" t="b">
        <f t="shared" si="2"/>
        <v>1</v>
      </c>
      <c r="T674" s="35"/>
    </row>
    <row r="675" spans="1:20">
      <c r="A675" s="22" t="s">
        <v>4069</v>
      </c>
      <c r="B675" s="23" t="s">
        <v>32</v>
      </c>
      <c r="C675" s="23" t="s">
        <v>34</v>
      </c>
      <c r="D675" s="23" t="s">
        <v>4063</v>
      </c>
      <c r="E675" s="36" t="s">
        <v>4070</v>
      </c>
      <c r="F675" s="23" t="s">
        <v>725</v>
      </c>
      <c r="G675" s="23" t="s">
        <v>39</v>
      </c>
      <c r="H675" s="23">
        <v>83957</v>
      </c>
      <c r="I675" s="23">
        <v>185</v>
      </c>
      <c r="J675" s="23">
        <v>1420</v>
      </c>
      <c r="K675" s="23">
        <v>69246</v>
      </c>
      <c r="L675" s="23">
        <v>19</v>
      </c>
      <c r="M675" s="37">
        <v>6651.51451</v>
      </c>
      <c r="N675" s="31"/>
      <c r="O675" s="32"/>
      <c r="P675" s="38" t="s">
        <v>1068</v>
      </c>
      <c r="Q675" s="39" t="s">
        <v>1071</v>
      </c>
      <c r="R675" s="40">
        <v>6651.51451</v>
      </c>
      <c r="S675" s="29" t="b">
        <f t="shared" si="2"/>
        <v>1</v>
      </c>
      <c r="T675" s="35"/>
    </row>
    <row r="676" spans="1:20">
      <c r="A676" s="22" t="s">
        <v>4071</v>
      </c>
      <c r="B676" s="23" t="s">
        <v>44</v>
      </c>
      <c r="C676" s="23" t="s">
        <v>46</v>
      </c>
      <c r="D676" s="23" t="s">
        <v>4072</v>
      </c>
      <c r="E676" s="36" t="s">
        <v>4073</v>
      </c>
      <c r="F676" s="23" t="s">
        <v>131</v>
      </c>
      <c r="G676" s="23" t="s">
        <v>39</v>
      </c>
      <c r="H676" s="23">
        <v>177632</v>
      </c>
      <c r="I676" s="23">
        <v>485</v>
      </c>
      <c r="J676" s="23">
        <v>70865</v>
      </c>
      <c r="K676" s="23">
        <v>95871</v>
      </c>
      <c r="L676" s="23">
        <v>5</v>
      </c>
      <c r="M676" s="37">
        <v>1483.3844039999999</v>
      </c>
      <c r="N676" s="31"/>
      <c r="O676" s="32"/>
      <c r="P676" s="38" t="s">
        <v>1982</v>
      </c>
      <c r="Q676" s="39" t="s">
        <v>1986</v>
      </c>
      <c r="R676" s="40">
        <v>1483.3844039999999</v>
      </c>
      <c r="S676" s="29" t="b">
        <f t="shared" si="2"/>
        <v>1</v>
      </c>
      <c r="T676" s="35"/>
    </row>
    <row r="677" spans="1:20">
      <c r="A677" s="22" t="s">
        <v>4074</v>
      </c>
      <c r="B677" s="23" t="s">
        <v>44</v>
      </c>
      <c r="C677" s="23" t="s">
        <v>80</v>
      </c>
      <c r="D677" s="23" t="s">
        <v>4072</v>
      </c>
      <c r="E677" s="36" t="s">
        <v>4075</v>
      </c>
      <c r="F677" s="23" t="s">
        <v>74</v>
      </c>
      <c r="G677" s="23" t="s">
        <v>75</v>
      </c>
      <c r="H677" s="23">
        <v>57257</v>
      </c>
      <c r="I677" s="23">
        <v>167</v>
      </c>
      <c r="J677" s="23">
        <v>3797</v>
      </c>
      <c r="K677" s="23">
        <v>51520</v>
      </c>
      <c r="L677" s="23">
        <v>1</v>
      </c>
      <c r="M677" s="37">
        <v>1841.3581260000001</v>
      </c>
      <c r="N677" s="31"/>
      <c r="O677" s="32"/>
      <c r="P677" s="38" t="s">
        <v>387</v>
      </c>
      <c r="Q677" s="39" t="s">
        <v>390</v>
      </c>
      <c r="R677" s="40">
        <v>1841.3581260000001</v>
      </c>
      <c r="S677" s="29" t="b">
        <f t="shared" si="2"/>
        <v>1</v>
      </c>
      <c r="T677" s="35"/>
    </row>
    <row r="678" spans="1:20">
      <c r="A678" s="22" t="s">
        <v>4076</v>
      </c>
      <c r="B678" s="23" t="s">
        <v>44</v>
      </c>
      <c r="C678" s="23" t="s">
        <v>80</v>
      </c>
      <c r="D678" s="23" t="s">
        <v>4077</v>
      </c>
      <c r="E678" s="36" t="s">
        <v>4078</v>
      </c>
      <c r="F678" s="23" t="s">
        <v>50</v>
      </c>
      <c r="G678" s="23" t="s">
        <v>39</v>
      </c>
      <c r="H678" s="23">
        <v>77748</v>
      </c>
      <c r="I678" s="23">
        <v>227</v>
      </c>
      <c r="J678" s="23">
        <v>6170</v>
      </c>
      <c r="K678" s="23">
        <v>53603</v>
      </c>
      <c r="L678" s="23">
        <v>3</v>
      </c>
      <c r="M678" s="37">
        <v>1498.3009</v>
      </c>
      <c r="N678" s="31"/>
      <c r="O678" s="32"/>
      <c r="P678" s="38" t="s">
        <v>1553</v>
      </c>
      <c r="Q678" s="39" t="s">
        <v>1556</v>
      </c>
      <c r="R678" s="40">
        <v>1498.3009</v>
      </c>
      <c r="S678" s="29" t="b">
        <f t="shared" si="2"/>
        <v>1</v>
      </c>
      <c r="T678" s="35"/>
    </row>
    <row r="679" spans="1:20">
      <c r="A679" s="22" t="s">
        <v>4079</v>
      </c>
      <c r="B679" s="23" t="s">
        <v>32</v>
      </c>
      <c r="C679" s="23" t="s">
        <v>34</v>
      </c>
      <c r="D679" s="23" t="s">
        <v>4077</v>
      </c>
      <c r="E679" s="36" t="s">
        <v>4080</v>
      </c>
      <c r="F679" s="23" t="s">
        <v>131</v>
      </c>
      <c r="G679" s="23" t="s">
        <v>39</v>
      </c>
      <c r="H679" s="23">
        <v>12354</v>
      </c>
      <c r="I679" s="23">
        <v>10</v>
      </c>
      <c r="J679" s="23">
        <v>8561</v>
      </c>
      <c r="K679" s="23">
        <v>11782</v>
      </c>
      <c r="L679" s="23">
        <v>5</v>
      </c>
      <c r="M679" s="37">
        <v>1808.307918</v>
      </c>
      <c r="N679" s="31"/>
      <c r="O679" s="32"/>
      <c r="P679" s="38" t="s">
        <v>1557</v>
      </c>
      <c r="Q679" s="39" t="s">
        <v>1052</v>
      </c>
      <c r="R679" s="40">
        <v>1808.307918</v>
      </c>
      <c r="S679" s="29" t="b">
        <f t="shared" si="2"/>
        <v>1</v>
      </c>
      <c r="T679" s="35"/>
    </row>
    <row r="680" spans="1:20">
      <c r="A680" s="22" t="s">
        <v>262</v>
      </c>
      <c r="B680" s="23" t="s">
        <v>32</v>
      </c>
      <c r="C680" s="23" t="s">
        <v>46</v>
      </c>
      <c r="D680" s="23" t="s">
        <v>4077</v>
      </c>
      <c r="E680" s="36" t="s">
        <v>4081</v>
      </c>
      <c r="F680" s="23" t="s">
        <v>74</v>
      </c>
      <c r="G680" s="23" t="s">
        <v>39</v>
      </c>
      <c r="H680" s="23">
        <v>239164</v>
      </c>
      <c r="I680" s="23">
        <v>699</v>
      </c>
      <c r="J680" s="23">
        <v>86250</v>
      </c>
      <c r="K680" s="23">
        <v>198209</v>
      </c>
      <c r="L680" s="23">
        <v>41</v>
      </c>
      <c r="M680" s="37">
        <v>2819.935266</v>
      </c>
      <c r="N680" s="31"/>
      <c r="O680" s="32"/>
      <c r="P680" s="38" t="s">
        <v>261</v>
      </c>
      <c r="Q680" s="39" t="s">
        <v>263</v>
      </c>
      <c r="R680" s="40">
        <v>2819.935266</v>
      </c>
      <c r="S680" s="29" t="b">
        <f t="shared" si="2"/>
        <v>1</v>
      </c>
      <c r="T680" s="35"/>
    </row>
    <row r="681" spans="1:20">
      <c r="A681" s="22" t="s">
        <v>4082</v>
      </c>
      <c r="B681" s="23" t="s">
        <v>32</v>
      </c>
      <c r="C681" s="23" t="s">
        <v>34</v>
      </c>
      <c r="D681" s="23" t="s">
        <v>4077</v>
      </c>
      <c r="E681" s="36" t="s">
        <v>4083</v>
      </c>
      <c r="F681" s="23" t="s">
        <v>74</v>
      </c>
      <c r="G681" s="23" t="s">
        <v>39</v>
      </c>
      <c r="H681" s="23">
        <v>14181</v>
      </c>
      <c r="I681" s="23">
        <v>65</v>
      </c>
      <c r="J681" s="23">
        <v>7106</v>
      </c>
      <c r="K681" s="23">
        <v>13189</v>
      </c>
      <c r="L681" s="23">
        <v>17</v>
      </c>
      <c r="M681" s="37">
        <v>2912.4671560000002</v>
      </c>
      <c r="N681" s="31"/>
      <c r="O681" s="32"/>
      <c r="P681" s="38" t="s">
        <v>646</v>
      </c>
      <c r="Q681" s="39" t="s">
        <v>649</v>
      </c>
      <c r="R681" s="40">
        <v>2912.4671560000002</v>
      </c>
      <c r="S681" s="29" t="b">
        <f t="shared" si="2"/>
        <v>1</v>
      </c>
      <c r="T681" s="35"/>
    </row>
    <row r="682" spans="1:20">
      <c r="A682" s="22" t="s">
        <v>4084</v>
      </c>
      <c r="B682" s="23" t="s">
        <v>44</v>
      </c>
      <c r="C682" s="23" t="s">
        <v>80</v>
      </c>
      <c r="D682" s="23" t="s">
        <v>4077</v>
      </c>
      <c r="E682" s="36" t="s">
        <v>4085</v>
      </c>
      <c r="F682" s="23" t="s">
        <v>50</v>
      </c>
      <c r="G682" s="23" t="s">
        <v>64</v>
      </c>
      <c r="H682" s="23">
        <v>21599</v>
      </c>
      <c r="I682" s="23">
        <v>66</v>
      </c>
      <c r="J682" s="23">
        <v>13600</v>
      </c>
      <c r="K682" s="23">
        <v>20256</v>
      </c>
      <c r="L682" s="23">
        <v>9</v>
      </c>
      <c r="M682" s="37">
        <v>5551.3874150000001</v>
      </c>
      <c r="N682" s="31"/>
      <c r="O682" s="32"/>
      <c r="P682" s="38" t="s">
        <v>1183</v>
      </c>
      <c r="Q682" s="39" t="s">
        <v>1185</v>
      </c>
      <c r="R682" s="40">
        <v>5551.3874150000001</v>
      </c>
      <c r="S682" s="29" t="b">
        <f t="shared" si="2"/>
        <v>1</v>
      </c>
      <c r="T682" s="35"/>
    </row>
    <row r="683" spans="1:20">
      <c r="A683" s="22" t="s">
        <v>4086</v>
      </c>
      <c r="B683" s="23" t="s">
        <v>32</v>
      </c>
      <c r="C683" s="23" t="s">
        <v>80</v>
      </c>
      <c r="D683" s="23" t="s">
        <v>4077</v>
      </c>
      <c r="E683" s="36" t="s">
        <v>4087</v>
      </c>
      <c r="F683" s="23" t="s">
        <v>50</v>
      </c>
      <c r="G683" s="23" t="s">
        <v>39</v>
      </c>
      <c r="H683" s="23">
        <v>14011</v>
      </c>
      <c r="I683" s="23">
        <v>40</v>
      </c>
      <c r="J683" s="23">
        <v>5060</v>
      </c>
      <c r="K683" s="23">
        <v>12459</v>
      </c>
      <c r="L683" s="23">
        <v>5</v>
      </c>
      <c r="M683" s="37">
        <v>5632.0879729999997</v>
      </c>
      <c r="N683" s="31"/>
      <c r="O683" s="32"/>
      <c r="P683" s="38" t="s">
        <v>2336</v>
      </c>
      <c r="Q683" s="39" t="s">
        <v>2338</v>
      </c>
      <c r="R683" s="40">
        <v>5632.0879729999997</v>
      </c>
      <c r="S683" s="29" t="b">
        <f t="shared" si="2"/>
        <v>1</v>
      </c>
      <c r="T683" s="35"/>
    </row>
    <row r="684" spans="1:20">
      <c r="A684" s="22" t="s">
        <v>4088</v>
      </c>
      <c r="B684" s="23" t="s">
        <v>32</v>
      </c>
      <c r="C684" s="23" t="s">
        <v>34</v>
      </c>
      <c r="D684" s="23" t="s">
        <v>4077</v>
      </c>
      <c r="E684" s="36" t="s">
        <v>4089</v>
      </c>
      <c r="F684" s="23" t="s">
        <v>103</v>
      </c>
      <c r="G684" s="23" t="s">
        <v>39</v>
      </c>
      <c r="H684" s="23">
        <v>8204</v>
      </c>
      <c r="I684" s="23">
        <v>20</v>
      </c>
      <c r="J684" s="23">
        <v>1348</v>
      </c>
      <c r="K684" s="23">
        <v>7832</v>
      </c>
      <c r="L684" s="23">
        <v>1</v>
      </c>
      <c r="M684" s="37">
        <v>5973.3798919999999</v>
      </c>
      <c r="N684" s="31"/>
      <c r="O684" s="32"/>
      <c r="P684" s="38" t="s">
        <v>2200</v>
      </c>
      <c r="Q684" s="39" t="s">
        <v>923</v>
      </c>
      <c r="R684" s="40">
        <v>5973.3798919999999</v>
      </c>
      <c r="S684" s="29" t="b">
        <f t="shared" si="2"/>
        <v>1</v>
      </c>
      <c r="T684" s="35"/>
    </row>
    <row r="685" spans="1:20">
      <c r="A685" s="22" t="s">
        <v>4090</v>
      </c>
      <c r="B685" s="23" t="s">
        <v>32</v>
      </c>
      <c r="C685" s="23" t="s">
        <v>80</v>
      </c>
      <c r="D685" s="23" t="s">
        <v>4091</v>
      </c>
      <c r="E685" s="36" t="s">
        <v>4092</v>
      </c>
      <c r="F685" s="23" t="s">
        <v>50</v>
      </c>
      <c r="G685" s="23" t="s">
        <v>39</v>
      </c>
      <c r="H685" s="23">
        <v>47931</v>
      </c>
      <c r="I685" s="23">
        <v>170</v>
      </c>
      <c r="J685" s="23">
        <v>15989</v>
      </c>
      <c r="K685" s="23">
        <v>38916</v>
      </c>
      <c r="L685" s="23">
        <v>4</v>
      </c>
      <c r="M685" s="37">
        <v>1487.228625</v>
      </c>
      <c r="N685" s="31"/>
      <c r="O685" s="32"/>
      <c r="P685" s="38" t="s">
        <v>1496</v>
      </c>
      <c r="Q685" s="39" t="s">
        <v>1498</v>
      </c>
      <c r="R685" s="40">
        <v>1487.228625</v>
      </c>
      <c r="S685" s="29" t="b">
        <f t="shared" si="2"/>
        <v>1</v>
      </c>
      <c r="T685" s="35"/>
    </row>
    <row r="686" spans="1:20">
      <c r="A686" s="22" t="s">
        <v>4093</v>
      </c>
      <c r="B686" s="23" t="s">
        <v>44</v>
      </c>
      <c r="C686" s="23" t="s">
        <v>34</v>
      </c>
      <c r="D686" s="23" t="s">
        <v>4091</v>
      </c>
      <c r="E686" s="36" t="s">
        <v>4094</v>
      </c>
      <c r="F686" s="23" t="s">
        <v>186</v>
      </c>
      <c r="G686" s="23" t="s">
        <v>39</v>
      </c>
      <c r="H686" s="23">
        <v>197192</v>
      </c>
      <c r="I686" s="23">
        <v>519</v>
      </c>
      <c r="J686" s="23">
        <v>80623</v>
      </c>
      <c r="K686" s="23">
        <v>181763</v>
      </c>
      <c r="L686" s="23">
        <v>5</v>
      </c>
      <c r="M686" s="37">
        <v>1584.731757</v>
      </c>
      <c r="N686" s="31"/>
      <c r="O686" s="32"/>
      <c r="P686" s="38" t="s">
        <v>1319</v>
      </c>
      <c r="Q686" s="39" t="s">
        <v>1320</v>
      </c>
      <c r="R686" s="40">
        <v>1584.731757</v>
      </c>
      <c r="S686" s="29" t="b">
        <f t="shared" si="2"/>
        <v>1</v>
      </c>
      <c r="T686" s="35"/>
    </row>
    <row r="687" spans="1:20">
      <c r="A687" s="22" t="s">
        <v>4095</v>
      </c>
      <c r="B687" s="23" t="s">
        <v>44</v>
      </c>
      <c r="C687" s="23" t="s">
        <v>62</v>
      </c>
      <c r="D687" s="23" t="s">
        <v>4091</v>
      </c>
      <c r="E687" s="36" t="s">
        <v>4096</v>
      </c>
      <c r="F687" s="23" t="s">
        <v>50</v>
      </c>
      <c r="G687" s="23" t="s">
        <v>39</v>
      </c>
      <c r="H687" s="23">
        <v>189462</v>
      </c>
      <c r="I687" s="23">
        <v>478</v>
      </c>
      <c r="J687" s="23">
        <v>53431</v>
      </c>
      <c r="K687" s="23">
        <v>163634</v>
      </c>
      <c r="L687" s="23">
        <v>5</v>
      </c>
      <c r="M687" s="37">
        <v>1625.17488</v>
      </c>
      <c r="N687" s="31"/>
      <c r="O687" s="32"/>
      <c r="P687" s="38" t="s">
        <v>1192</v>
      </c>
      <c r="Q687" s="39" t="s">
        <v>1194</v>
      </c>
      <c r="R687" s="40">
        <v>1625.17488</v>
      </c>
      <c r="S687" s="29" t="b">
        <f t="shared" si="2"/>
        <v>1</v>
      </c>
      <c r="T687" s="35"/>
    </row>
    <row r="688" spans="1:20">
      <c r="A688" s="22" t="s">
        <v>4097</v>
      </c>
      <c r="B688" s="23" t="s">
        <v>32</v>
      </c>
      <c r="C688" s="23" t="s">
        <v>80</v>
      </c>
      <c r="D688" s="23" t="s">
        <v>4091</v>
      </c>
      <c r="E688" s="36" t="s">
        <v>4098</v>
      </c>
      <c r="F688" s="23" t="s">
        <v>157</v>
      </c>
      <c r="G688" s="23" t="s">
        <v>39</v>
      </c>
      <c r="H688" s="23">
        <v>9078</v>
      </c>
      <c r="I688" s="23">
        <v>21</v>
      </c>
      <c r="J688" s="23">
        <v>4051</v>
      </c>
      <c r="K688" s="23">
        <v>6215</v>
      </c>
      <c r="L688" s="23">
        <v>1</v>
      </c>
      <c r="M688" s="37">
        <v>1700.795736</v>
      </c>
      <c r="N688" s="31"/>
      <c r="O688" s="32"/>
      <c r="P688" s="38" t="s">
        <v>1548</v>
      </c>
      <c r="Q688" s="39" t="s">
        <v>1551</v>
      </c>
      <c r="R688" s="40">
        <v>1700.795736</v>
      </c>
      <c r="S688" s="29" t="b">
        <f t="shared" si="2"/>
        <v>1</v>
      </c>
      <c r="T688" s="35"/>
    </row>
    <row r="689" spans="1:20">
      <c r="A689" s="22" t="s">
        <v>4099</v>
      </c>
      <c r="B689" s="23" t="s">
        <v>32</v>
      </c>
      <c r="C689" s="23" t="s">
        <v>46</v>
      </c>
      <c r="D689" s="23" t="s">
        <v>4091</v>
      </c>
      <c r="E689" s="36" t="s">
        <v>4100</v>
      </c>
      <c r="F689" s="23" t="s">
        <v>50</v>
      </c>
      <c r="G689" s="23" t="s">
        <v>39</v>
      </c>
      <c r="H689" s="23">
        <v>29393</v>
      </c>
      <c r="I689" s="23">
        <v>70</v>
      </c>
      <c r="J689" s="23">
        <v>3277</v>
      </c>
      <c r="K689" s="23">
        <v>25959</v>
      </c>
      <c r="L689" s="23">
        <v>19</v>
      </c>
      <c r="M689" s="37">
        <v>2120.7576979999999</v>
      </c>
      <c r="N689" s="31"/>
      <c r="O689" s="32"/>
      <c r="P689" s="38" t="s">
        <v>132</v>
      </c>
      <c r="Q689" s="39" t="s">
        <v>136</v>
      </c>
      <c r="R689" s="40">
        <v>2120.7576979999999</v>
      </c>
      <c r="S689" s="29" t="b">
        <f t="shared" si="2"/>
        <v>1</v>
      </c>
      <c r="T689" s="35"/>
    </row>
    <row r="690" spans="1:20">
      <c r="A690" s="22" t="s">
        <v>4101</v>
      </c>
      <c r="B690" s="23" t="s">
        <v>32</v>
      </c>
      <c r="C690" s="23" t="s">
        <v>34</v>
      </c>
      <c r="D690" s="23" t="s">
        <v>4091</v>
      </c>
      <c r="E690" s="36" t="s">
        <v>4102</v>
      </c>
      <c r="F690" s="23" t="s">
        <v>186</v>
      </c>
      <c r="G690" s="23" t="s">
        <v>39</v>
      </c>
      <c r="H690" s="23">
        <v>45285</v>
      </c>
      <c r="I690" s="23">
        <v>190</v>
      </c>
      <c r="J690" s="23">
        <v>30225</v>
      </c>
      <c r="K690" s="23">
        <v>43298</v>
      </c>
      <c r="L690" s="23">
        <v>11</v>
      </c>
      <c r="M690" s="37">
        <v>4728.0124059999998</v>
      </c>
      <c r="N690" s="31"/>
      <c r="O690" s="32"/>
      <c r="P690" s="38" t="s">
        <v>526</v>
      </c>
      <c r="Q690" s="39" t="s">
        <v>528</v>
      </c>
      <c r="R690" s="40">
        <v>4728.0124059999998</v>
      </c>
      <c r="S690" s="29" t="b">
        <f t="shared" si="2"/>
        <v>1</v>
      </c>
      <c r="T690" s="35"/>
    </row>
    <row r="691" spans="1:20">
      <c r="A691" s="22" t="s">
        <v>4103</v>
      </c>
      <c r="B691" s="23" t="s">
        <v>32</v>
      </c>
      <c r="C691" s="23" t="s">
        <v>46</v>
      </c>
      <c r="D691" s="23" t="s">
        <v>4091</v>
      </c>
      <c r="E691" s="36" t="s">
        <v>4104</v>
      </c>
      <c r="F691" s="23" t="s">
        <v>74</v>
      </c>
      <c r="G691" s="23" t="s">
        <v>39</v>
      </c>
      <c r="H691" s="23">
        <v>42884</v>
      </c>
      <c r="I691" s="23">
        <v>104</v>
      </c>
      <c r="J691" s="23">
        <v>4345</v>
      </c>
      <c r="K691" s="23">
        <v>25153</v>
      </c>
      <c r="L691" s="23">
        <v>9</v>
      </c>
      <c r="M691" s="37">
        <v>6322.1526549999999</v>
      </c>
      <c r="N691" s="31"/>
      <c r="O691" s="32"/>
      <c r="P691" s="38" t="s">
        <v>1340</v>
      </c>
      <c r="Q691" s="39" t="s">
        <v>1320</v>
      </c>
      <c r="R691" s="40">
        <v>6322.1526549999999</v>
      </c>
      <c r="S691" s="29" t="b">
        <f t="shared" si="2"/>
        <v>1</v>
      </c>
      <c r="T691" s="35"/>
    </row>
    <row r="692" spans="1:20">
      <c r="A692" s="22" t="s">
        <v>4105</v>
      </c>
      <c r="B692" s="23" t="s">
        <v>44</v>
      </c>
      <c r="C692" s="23" t="s">
        <v>34</v>
      </c>
      <c r="D692" s="23" t="s">
        <v>4106</v>
      </c>
      <c r="E692" s="36" t="s">
        <v>4107</v>
      </c>
      <c r="F692" s="23" t="s">
        <v>50</v>
      </c>
      <c r="G692" s="23" t="s">
        <v>39</v>
      </c>
      <c r="H692" s="23">
        <v>7427</v>
      </c>
      <c r="I692" s="23">
        <v>0</v>
      </c>
      <c r="J692" s="23">
        <v>4752</v>
      </c>
      <c r="K692" s="23">
        <v>6566</v>
      </c>
      <c r="L692" s="23">
        <v>1</v>
      </c>
      <c r="M692" s="37">
        <v>1504.784161</v>
      </c>
      <c r="N692" s="31"/>
      <c r="O692" s="32"/>
      <c r="P692" s="38" t="s">
        <v>4108</v>
      </c>
      <c r="Q692" s="39" t="s">
        <v>1471</v>
      </c>
      <c r="R692" s="40">
        <v>1504.784161</v>
      </c>
      <c r="S692" s="29" t="b">
        <f t="shared" si="2"/>
        <v>1</v>
      </c>
      <c r="T692" s="35"/>
    </row>
    <row r="693" spans="1:20">
      <c r="A693" s="22" t="s">
        <v>4109</v>
      </c>
      <c r="B693" s="23" t="s">
        <v>44</v>
      </c>
      <c r="C693" s="23" t="s">
        <v>34</v>
      </c>
      <c r="D693" s="23" t="s">
        <v>4106</v>
      </c>
      <c r="E693" s="36" t="s">
        <v>4110</v>
      </c>
      <c r="F693" s="23" t="s">
        <v>50</v>
      </c>
      <c r="G693" s="23" t="s">
        <v>64</v>
      </c>
      <c r="H693" s="23">
        <v>16719</v>
      </c>
      <c r="I693" s="23">
        <v>35</v>
      </c>
      <c r="J693" s="23">
        <v>9944</v>
      </c>
      <c r="K693" s="23">
        <v>15714</v>
      </c>
      <c r="L693" s="23">
        <v>13</v>
      </c>
      <c r="M693" s="37">
        <v>1588.6475</v>
      </c>
      <c r="N693" s="31"/>
      <c r="O693" s="32"/>
      <c r="P693" s="38" t="s">
        <v>2137</v>
      </c>
      <c r="Q693" s="39" t="s">
        <v>1999</v>
      </c>
      <c r="R693" s="40">
        <v>1588.6475</v>
      </c>
      <c r="S693" s="29" t="b">
        <f t="shared" si="2"/>
        <v>1</v>
      </c>
      <c r="T693" s="35"/>
    </row>
    <row r="694" spans="1:20">
      <c r="A694" s="22" t="s">
        <v>4111</v>
      </c>
      <c r="B694" s="23" t="s">
        <v>32</v>
      </c>
      <c r="C694" s="23" t="s">
        <v>46</v>
      </c>
      <c r="D694" s="23" t="s">
        <v>4106</v>
      </c>
      <c r="E694" s="36" t="s">
        <v>4112</v>
      </c>
      <c r="F694" s="23" t="s">
        <v>103</v>
      </c>
      <c r="G694" s="23" t="s">
        <v>39</v>
      </c>
      <c r="H694" s="23">
        <v>10992</v>
      </c>
      <c r="I694" s="23">
        <v>97</v>
      </c>
      <c r="J694" s="23">
        <v>6677</v>
      </c>
      <c r="K694" s="23">
        <v>10132</v>
      </c>
      <c r="L694" s="23">
        <v>3</v>
      </c>
      <c r="M694" s="37">
        <v>1675.987427</v>
      </c>
      <c r="N694" s="31"/>
      <c r="O694" s="32"/>
      <c r="P694" s="38" t="s">
        <v>879</v>
      </c>
      <c r="Q694" s="39" t="s">
        <v>882</v>
      </c>
      <c r="R694" s="40">
        <v>1675.987427</v>
      </c>
      <c r="S694" s="29" t="b">
        <f t="shared" si="2"/>
        <v>1</v>
      </c>
      <c r="T694" s="35"/>
    </row>
    <row r="695" spans="1:20">
      <c r="A695" s="22" t="s">
        <v>4113</v>
      </c>
      <c r="B695" s="23" t="s">
        <v>44</v>
      </c>
      <c r="C695" s="23" t="s">
        <v>46</v>
      </c>
      <c r="D695" s="23" t="s">
        <v>4106</v>
      </c>
      <c r="E695" s="36" t="s">
        <v>4114</v>
      </c>
      <c r="F695" s="23" t="s">
        <v>50</v>
      </c>
      <c r="G695" s="23" t="s">
        <v>75</v>
      </c>
      <c r="H695" s="23">
        <v>19951</v>
      </c>
      <c r="I695" s="23">
        <v>81</v>
      </c>
      <c r="J695" s="23">
        <v>10511</v>
      </c>
      <c r="K695" s="23">
        <v>18132</v>
      </c>
      <c r="L695" s="23">
        <v>15</v>
      </c>
      <c r="M695" s="37">
        <v>1801.14885</v>
      </c>
      <c r="N695" s="31"/>
      <c r="O695" s="32"/>
      <c r="P695" s="38" t="s">
        <v>1723</v>
      </c>
      <c r="Q695" s="39" t="s">
        <v>1725</v>
      </c>
      <c r="R695" s="40">
        <v>1801.14885</v>
      </c>
      <c r="S695" s="29" t="b">
        <f t="shared" si="2"/>
        <v>1</v>
      </c>
      <c r="T695" s="35"/>
    </row>
    <row r="696" spans="1:20">
      <c r="A696" s="22" t="s">
        <v>4115</v>
      </c>
      <c r="B696" s="23" t="s">
        <v>123</v>
      </c>
      <c r="C696" s="23" t="s">
        <v>80</v>
      </c>
      <c r="D696" s="23" t="s">
        <v>4106</v>
      </c>
      <c r="E696" s="36" t="s">
        <v>4116</v>
      </c>
      <c r="F696" s="23" t="s">
        <v>74</v>
      </c>
      <c r="G696" s="23" t="s">
        <v>39</v>
      </c>
      <c r="H696" s="23">
        <v>7531</v>
      </c>
      <c r="I696" s="23">
        <v>10</v>
      </c>
      <c r="J696" s="23">
        <v>3059</v>
      </c>
      <c r="K696" s="23">
        <v>6523</v>
      </c>
      <c r="L696" s="23">
        <v>1</v>
      </c>
      <c r="M696" s="37">
        <v>1937.0583879999999</v>
      </c>
      <c r="N696" s="31"/>
      <c r="O696" s="32"/>
      <c r="P696" s="38" t="s">
        <v>803</v>
      </c>
      <c r="Q696" s="39" t="s">
        <v>805</v>
      </c>
      <c r="R696" s="40">
        <v>1937.0583879999999</v>
      </c>
      <c r="S696" s="29" t="b">
        <f t="shared" si="2"/>
        <v>1</v>
      </c>
      <c r="T696" s="35"/>
    </row>
    <row r="697" spans="1:20">
      <c r="A697" s="41" t="s">
        <v>4117</v>
      </c>
      <c r="B697" s="23" t="s">
        <v>32</v>
      </c>
      <c r="C697" s="23" t="s">
        <v>62</v>
      </c>
      <c r="D697" s="23" t="s">
        <v>4106</v>
      </c>
      <c r="E697" s="36" t="s">
        <v>4118</v>
      </c>
      <c r="F697" s="23" t="s">
        <v>103</v>
      </c>
      <c r="G697" s="23" t="s">
        <v>39</v>
      </c>
      <c r="H697" s="23">
        <v>43666</v>
      </c>
      <c r="I697" s="23">
        <v>133</v>
      </c>
      <c r="J697" s="23">
        <v>18513</v>
      </c>
      <c r="K697" s="23">
        <v>40506</v>
      </c>
      <c r="L697" s="23">
        <v>18</v>
      </c>
      <c r="M697" s="37">
        <v>1980.393834</v>
      </c>
      <c r="N697" s="31"/>
      <c r="O697" s="32"/>
      <c r="P697" s="38" t="s">
        <v>501</v>
      </c>
      <c r="Q697" s="39" t="s">
        <v>503</v>
      </c>
      <c r="R697" s="40">
        <v>1980.393834</v>
      </c>
      <c r="S697" s="29" t="b">
        <f t="shared" si="2"/>
        <v>1</v>
      </c>
      <c r="T697" s="35"/>
    </row>
    <row r="698" spans="1:20">
      <c r="A698" s="22" t="s">
        <v>4119</v>
      </c>
      <c r="B698" s="23" t="s">
        <v>32</v>
      </c>
      <c r="C698" s="23" t="s">
        <v>46</v>
      </c>
      <c r="D698" s="23" t="s">
        <v>4106</v>
      </c>
      <c r="E698" s="36" t="s">
        <v>4120</v>
      </c>
      <c r="F698" s="23" t="s">
        <v>50</v>
      </c>
      <c r="G698" s="23" t="s">
        <v>39</v>
      </c>
      <c r="H698" s="23">
        <v>31003</v>
      </c>
      <c r="I698" s="23">
        <v>87</v>
      </c>
      <c r="J698" s="23">
        <v>12591</v>
      </c>
      <c r="K698" s="23">
        <v>22656</v>
      </c>
      <c r="L698" s="23">
        <v>8</v>
      </c>
      <c r="M698" s="37">
        <v>2294.0037779999998</v>
      </c>
      <c r="N698" s="31"/>
      <c r="O698" s="32"/>
      <c r="P698" s="38" t="s">
        <v>1457</v>
      </c>
      <c r="Q698" s="39" t="s">
        <v>376</v>
      </c>
      <c r="R698" s="40">
        <v>2294.0037779999998</v>
      </c>
      <c r="S698" s="29" t="b">
        <f t="shared" si="2"/>
        <v>1</v>
      </c>
      <c r="T698" s="35"/>
    </row>
    <row r="699" spans="1:20">
      <c r="A699" s="22" t="s">
        <v>4121</v>
      </c>
      <c r="B699" s="23" t="s">
        <v>44</v>
      </c>
      <c r="C699" s="23" t="s">
        <v>80</v>
      </c>
      <c r="D699" s="23" t="s">
        <v>4106</v>
      </c>
      <c r="E699" s="36" t="s">
        <v>4122</v>
      </c>
      <c r="F699" s="23" t="s">
        <v>50</v>
      </c>
      <c r="G699" s="23" t="s">
        <v>64</v>
      </c>
      <c r="H699" s="23">
        <v>45668</v>
      </c>
      <c r="I699" s="23">
        <v>130</v>
      </c>
      <c r="J699" s="23">
        <v>16872</v>
      </c>
      <c r="K699" s="23">
        <v>32085</v>
      </c>
      <c r="L699" s="23">
        <v>9</v>
      </c>
      <c r="M699" s="37">
        <v>3444.2029459999999</v>
      </c>
      <c r="N699" s="31"/>
      <c r="O699" s="32"/>
      <c r="P699" s="38" t="s">
        <v>2324</v>
      </c>
      <c r="Q699" s="39" t="s">
        <v>1271</v>
      </c>
      <c r="R699" s="40">
        <v>3444.2029459999999</v>
      </c>
      <c r="S699" s="29" t="b">
        <f t="shared" si="2"/>
        <v>1</v>
      </c>
      <c r="T699" s="35"/>
    </row>
    <row r="700" spans="1:20">
      <c r="A700" s="22" t="s">
        <v>4123</v>
      </c>
      <c r="B700" s="23" t="s">
        <v>44</v>
      </c>
      <c r="C700" s="23" t="s">
        <v>34</v>
      </c>
      <c r="D700" s="23" t="s">
        <v>4106</v>
      </c>
      <c r="E700" s="36" t="s">
        <v>4124</v>
      </c>
      <c r="F700" s="23" t="s">
        <v>50</v>
      </c>
      <c r="G700" s="23" t="s">
        <v>75</v>
      </c>
      <c r="H700" s="23">
        <v>24875</v>
      </c>
      <c r="I700" s="23">
        <v>67</v>
      </c>
      <c r="J700" s="23">
        <v>14213</v>
      </c>
      <c r="K700" s="23">
        <v>23455</v>
      </c>
      <c r="L700" s="23">
        <v>8</v>
      </c>
      <c r="M700" s="37">
        <v>4652.2420510000002</v>
      </c>
      <c r="N700" s="31"/>
      <c r="O700" s="32"/>
      <c r="P700" s="38" t="s">
        <v>2098</v>
      </c>
      <c r="Q700" s="39" t="s">
        <v>263</v>
      </c>
      <c r="R700" s="40">
        <v>4652.2420510000002</v>
      </c>
      <c r="S700" s="29" t="b">
        <f t="shared" si="2"/>
        <v>1</v>
      </c>
      <c r="T700" s="35"/>
    </row>
    <row r="701" spans="1:20">
      <c r="A701" s="22" t="s">
        <v>4125</v>
      </c>
      <c r="B701" s="23" t="s">
        <v>44</v>
      </c>
      <c r="C701" s="23" t="s">
        <v>62</v>
      </c>
      <c r="D701" s="23" t="s">
        <v>4106</v>
      </c>
      <c r="E701" s="36" t="s">
        <v>4126</v>
      </c>
      <c r="F701" s="23" t="s">
        <v>103</v>
      </c>
      <c r="G701" s="23" t="s">
        <v>39</v>
      </c>
      <c r="H701" s="23">
        <v>8420</v>
      </c>
      <c r="I701" s="23">
        <v>80</v>
      </c>
      <c r="J701" s="23">
        <v>4430</v>
      </c>
      <c r="K701" s="23">
        <v>7869</v>
      </c>
      <c r="L701" s="23">
        <v>8</v>
      </c>
      <c r="M701" s="37">
        <v>5184.5854239999999</v>
      </c>
      <c r="N701" s="31"/>
      <c r="O701" s="32"/>
      <c r="P701" s="38" t="s">
        <v>1942</v>
      </c>
      <c r="Q701" s="39" t="s">
        <v>1813</v>
      </c>
      <c r="R701" s="40">
        <v>5184.5854239999999</v>
      </c>
      <c r="S701" s="29" t="b">
        <f t="shared" si="2"/>
        <v>1</v>
      </c>
      <c r="T701" s="35"/>
    </row>
    <row r="702" spans="1:20">
      <c r="A702" s="22" t="s">
        <v>4127</v>
      </c>
      <c r="B702" s="23" t="s">
        <v>44</v>
      </c>
      <c r="C702" s="23" t="s">
        <v>34</v>
      </c>
      <c r="D702" s="23" t="s">
        <v>4106</v>
      </c>
      <c r="E702" s="36" t="s">
        <v>4128</v>
      </c>
      <c r="F702" s="23" t="s">
        <v>103</v>
      </c>
      <c r="G702" s="23" t="s">
        <v>39</v>
      </c>
      <c r="H702" s="23">
        <v>12974</v>
      </c>
      <c r="I702" s="23">
        <v>84</v>
      </c>
      <c r="J702" s="23">
        <v>7521</v>
      </c>
      <c r="K702" s="23">
        <v>10959</v>
      </c>
      <c r="L702" s="23">
        <v>7</v>
      </c>
      <c r="M702" s="37">
        <v>6301.8688469999997</v>
      </c>
      <c r="N702" s="31"/>
      <c r="O702" s="32"/>
      <c r="P702" s="38" t="s">
        <v>1073</v>
      </c>
      <c r="Q702" s="39" t="s">
        <v>1075</v>
      </c>
      <c r="R702" s="40">
        <v>6301.8688469999997</v>
      </c>
      <c r="S702" s="29" t="b">
        <f t="shared" si="2"/>
        <v>1</v>
      </c>
      <c r="T702" s="35"/>
    </row>
    <row r="703" spans="1:20">
      <c r="A703" s="22" t="s">
        <v>4129</v>
      </c>
      <c r="B703" s="23" t="s">
        <v>32</v>
      </c>
      <c r="C703" s="23" t="s">
        <v>80</v>
      </c>
      <c r="D703" s="23" t="s">
        <v>4106</v>
      </c>
      <c r="E703" s="36" t="s">
        <v>4130</v>
      </c>
      <c r="F703" s="23" t="s">
        <v>50</v>
      </c>
      <c r="G703" s="23" t="s">
        <v>39</v>
      </c>
      <c r="H703" s="23">
        <v>210700</v>
      </c>
      <c r="I703" s="23">
        <v>704</v>
      </c>
      <c r="J703" s="23">
        <v>94625</v>
      </c>
      <c r="K703" s="23">
        <v>180681</v>
      </c>
      <c r="L703" s="23">
        <v>3</v>
      </c>
      <c r="M703" s="37">
        <v>6341.8793009999999</v>
      </c>
      <c r="N703" s="31"/>
      <c r="O703" s="32"/>
      <c r="P703" s="38" t="s">
        <v>403</v>
      </c>
      <c r="Q703" s="39" t="s">
        <v>245</v>
      </c>
      <c r="R703" s="40">
        <v>6341.8793009999999</v>
      </c>
      <c r="S703" s="29" t="b">
        <f t="shared" si="2"/>
        <v>1</v>
      </c>
      <c r="T703" s="35"/>
    </row>
    <row r="704" spans="1:20">
      <c r="A704" s="22" t="s">
        <v>4131</v>
      </c>
      <c r="B704" s="23" t="s">
        <v>32</v>
      </c>
      <c r="C704" s="23" t="s">
        <v>80</v>
      </c>
      <c r="D704" s="23" t="s">
        <v>4106</v>
      </c>
      <c r="E704" s="36" t="s">
        <v>4132</v>
      </c>
      <c r="F704" s="23" t="s">
        <v>103</v>
      </c>
      <c r="G704" s="23" t="s">
        <v>39</v>
      </c>
      <c r="H704" s="23">
        <v>63794</v>
      </c>
      <c r="I704" s="23">
        <v>200</v>
      </c>
      <c r="J704" s="23">
        <v>46557</v>
      </c>
      <c r="K704" s="23">
        <v>60868</v>
      </c>
      <c r="L704" s="23">
        <v>9</v>
      </c>
      <c r="M704" s="37">
        <v>6832.9400670000005</v>
      </c>
      <c r="N704" s="31"/>
      <c r="O704" s="32"/>
      <c r="P704" s="38" t="s">
        <v>2333</v>
      </c>
      <c r="Q704" s="39" t="s">
        <v>2335</v>
      </c>
      <c r="R704" s="40">
        <v>6832.9400670000005</v>
      </c>
      <c r="S704" s="29" t="b">
        <f t="shared" si="2"/>
        <v>1</v>
      </c>
      <c r="T704" s="35"/>
    </row>
    <row r="705" spans="1:20">
      <c r="A705" s="22" t="s">
        <v>4133</v>
      </c>
      <c r="B705" s="23" t="s">
        <v>32</v>
      </c>
      <c r="C705" s="23" t="s">
        <v>62</v>
      </c>
      <c r="D705" s="23" t="s">
        <v>4134</v>
      </c>
      <c r="E705" s="36" t="s">
        <v>4135</v>
      </c>
      <c r="F705" s="23" t="s">
        <v>50</v>
      </c>
      <c r="G705" s="23" t="s">
        <v>39</v>
      </c>
      <c r="H705" s="23">
        <v>21229</v>
      </c>
      <c r="I705" s="23">
        <v>80</v>
      </c>
      <c r="J705" s="23">
        <v>18073</v>
      </c>
      <c r="K705" s="23">
        <v>19655</v>
      </c>
      <c r="L705" s="23">
        <v>10</v>
      </c>
      <c r="M705" s="37">
        <v>1550.0766550000001</v>
      </c>
      <c r="N705" s="31"/>
      <c r="O705" s="32"/>
      <c r="P705" s="38" t="s">
        <v>983</v>
      </c>
      <c r="Q705" s="39" t="s">
        <v>766</v>
      </c>
      <c r="R705" s="40">
        <v>1550.0766550000001</v>
      </c>
      <c r="S705" s="29" t="b">
        <f t="shared" si="2"/>
        <v>1</v>
      </c>
      <c r="T705" s="35"/>
    </row>
    <row r="706" spans="1:20">
      <c r="A706" s="22" t="s">
        <v>4136</v>
      </c>
      <c r="B706" s="23" t="s">
        <v>32</v>
      </c>
      <c r="C706" s="23" t="s">
        <v>34</v>
      </c>
      <c r="D706" s="23" t="s">
        <v>4134</v>
      </c>
      <c r="E706" s="36" t="s">
        <v>4137</v>
      </c>
      <c r="F706" s="23" t="s">
        <v>50</v>
      </c>
      <c r="G706" s="23" t="s">
        <v>39</v>
      </c>
      <c r="H706" s="23">
        <v>198754</v>
      </c>
      <c r="I706" s="23">
        <v>480</v>
      </c>
      <c r="J706" s="23">
        <v>137649</v>
      </c>
      <c r="K706" s="23">
        <v>178415</v>
      </c>
      <c r="L706" s="23">
        <v>4</v>
      </c>
      <c r="M706" s="37">
        <v>1803.0814969999999</v>
      </c>
      <c r="N706" s="31"/>
      <c r="O706" s="32"/>
      <c r="P706" s="38" t="s">
        <v>419</v>
      </c>
      <c r="Q706" s="39" t="s">
        <v>423</v>
      </c>
      <c r="R706" s="40">
        <v>1803.0814969999999</v>
      </c>
      <c r="S706" s="29" t="b">
        <f t="shared" si="2"/>
        <v>1</v>
      </c>
      <c r="T706" s="35"/>
    </row>
    <row r="707" spans="1:20">
      <c r="A707" s="22" t="s">
        <v>366</v>
      </c>
      <c r="B707" s="23" t="s">
        <v>44</v>
      </c>
      <c r="C707" s="23" t="s">
        <v>46</v>
      </c>
      <c r="D707" s="23" t="s">
        <v>4138</v>
      </c>
      <c r="E707" s="36" t="s">
        <v>4139</v>
      </c>
      <c r="F707" s="23" t="s">
        <v>50</v>
      </c>
      <c r="G707" s="23" t="s">
        <v>39</v>
      </c>
      <c r="H707" s="23">
        <v>311753</v>
      </c>
      <c r="I707" s="23">
        <v>763</v>
      </c>
      <c r="J707" s="23">
        <v>170122</v>
      </c>
      <c r="K707" s="23">
        <v>256841</v>
      </c>
      <c r="L707" s="23">
        <v>6</v>
      </c>
      <c r="M707" s="37">
        <v>1543.6126549999999</v>
      </c>
      <c r="N707" s="31"/>
      <c r="O707" s="32"/>
      <c r="P707" s="38" t="s">
        <v>364</v>
      </c>
      <c r="Q707" s="39" t="s">
        <v>367</v>
      </c>
      <c r="R707" s="40">
        <v>1543.6126549999999</v>
      </c>
      <c r="S707" s="29" t="b">
        <f t="shared" si="2"/>
        <v>1</v>
      </c>
      <c r="T707" s="35"/>
    </row>
    <row r="708" spans="1:20">
      <c r="A708" s="22" t="s">
        <v>4140</v>
      </c>
      <c r="B708" s="23" t="s">
        <v>32</v>
      </c>
      <c r="C708" s="23" t="s">
        <v>80</v>
      </c>
      <c r="D708" s="23" t="s">
        <v>4138</v>
      </c>
      <c r="E708" s="36" t="s">
        <v>4141</v>
      </c>
      <c r="F708" s="23" t="s">
        <v>50</v>
      </c>
      <c r="G708" s="23" t="s">
        <v>39</v>
      </c>
      <c r="H708" s="23">
        <v>13168</v>
      </c>
      <c r="I708" s="23">
        <v>84</v>
      </c>
      <c r="J708" s="23">
        <v>8527</v>
      </c>
      <c r="K708" s="23">
        <v>12625</v>
      </c>
      <c r="L708" s="23">
        <v>4</v>
      </c>
      <c r="M708" s="37">
        <v>1639.72335</v>
      </c>
      <c r="N708" s="31"/>
      <c r="O708" s="32"/>
      <c r="P708" s="38" t="s">
        <v>2091</v>
      </c>
      <c r="Q708" s="39" t="s">
        <v>1531</v>
      </c>
      <c r="R708" s="40">
        <v>1639.72335</v>
      </c>
      <c r="S708" s="29" t="b">
        <f t="shared" si="2"/>
        <v>1</v>
      </c>
      <c r="T708" s="35"/>
    </row>
    <row r="709" spans="1:20">
      <c r="A709" s="22" t="s">
        <v>4142</v>
      </c>
      <c r="B709" s="23" t="s">
        <v>32</v>
      </c>
      <c r="C709" s="23" t="s">
        <v>46</v>
      </c>
      <c r="D709" s="23" t="s">
        <v>4138</v>
      </c>
      <c r="E709" s="36" t="s">
        <v>4143</v>
      </c>
      <c r="F709" s="23" t="s">
        <v>131</v>
      </c>
      <c r="G709" s="23" t="s">
        <v>39</v>
      </c>
      <c r="H709" s="23">
        <v>27371</v>
      </c>
      <c r="I709" s="23">
        <v>60</v>
      </c>
      <c r="J709" s="23">
        <v>22256</v>
      </c>
      <c r="K709" s="23">
        <v>25986</v>
      </c>
      <c r="L709" s="23">
        <v>5</v>
      </c>
      <c r="M709" s="37">
        <v>4984.4855829999997</v>
      </c>
      <c r="N709" s="31"/>
      <c r="O709" s="32"/>
      <c r="P709" s="38" t="s">
        <v>2249</v>
      </c>
      <c r="Q709" s="39" t="s">
        <v>2251</v>
      </c>
      <c r="R709" s="40">
        <v>4984.4855829999997</v>
      </c>
      <c r="S709" s="29" t="b">
        <f t="shared" si="2"/>
        <v>1</v>
      </c>
      <c r="T709" s="35"/>
    </row>
    <row r="710" spans="1:20">
      <c r="A710" s="22" t="s">
        <v>4144</v>
      </c>
      <c r="B710" s="23" t="s">
        <v>32</v>
      </c>
      <c r="C710" s="23" t="s">
        <v>46</v>
      </c>
      <c r="D710" s="23" t="s">
        <v>4138</v>
      </c>
      <c r="E710" s="36" t="s">
        <v>4145</v>
      </c>
      <c r="F710" s="23" t="s">
        <v>103</v>
      </c>
      <c r="G710" s="23" t="s">
        <v>39</v>
      </c>
      <c r="H710" s="23">
        <v>14047</v>
      </c>
      <c r="I710" s="23">
        <v>44</v>
      </c>
      <c r="J710" s="23">
        <v>9934</v>
      </c>
      <c r="K710" s="23">
        <v>13377</v>
      </c>
      <c r="L710" s="23">
        <v>7</v>
      </c>
      <c r="M710" s="37">
        <v>5729.6507549999997</v>
      </c>
      <c r="N710" s="31"/>
      <c r="O710" s="32"/>
      <c r="P710" s="38" t="s">
        <v>1929</v>
      </c>
      <c r="Q710" s="39" t="s">
        <v>952</v>
      </c>
      <c r="R710" s="40">
        <v>5729.6507549999997</v>
      </c>
      <c r="S710" s="29" t="b">
        <f t="shared" si="2"/>
        <v>1</v>
      </c>
      <c r="T710" s="35"/>
    </row>
    <row r="711" spans="1:20">
      <c r="A711" s="22" t="s">
        <v>4146</v>
      </c>
      <c r="B711" s="23" t="s">
        <v>44</v>
      </c>
      <c r="C711" s="23" t="s">
        <v>62</v>
      </c>
      <c r="D711" s="23" t="s">
        <v>4147</v>
      </c>
      <c r="E711" s="36" t="s">
        <v>4148</v>
      </c>
      <c r="F711" s="23" t="s">
        <v>118</v>
      </c>
      <c r="G711" s="23" t="s">
        <v>39</v>
      </c>
      <c r="H711" s="23">
        <v>217824</v>
      </c>
      <c r="I711" s="23">
        <v>560</v>
      </c>
      <c r="J711" s="23">
        <v>75089</v>
      </c>
      <c r="K711" s="23">
        <v>179723</v>
      </c>
      <c r="L711" s="23">
        <v>16</v>
      </c>
      <c r="M711" s="37">
        <v>1451.808544</v>
      </c>
      <c r="N711" s="31"/>
      <c r="O711" s="32"/>
      <c r="P711" s="38" t="s">
        <v>839</v>
      </c>
      <c r="Q711" s="39" t="s">
        <v>843</v>
      </c>
      <c r="R711" s="40">
        <v>1451.808544</v>
      </c>
      <c r="S711" s="29" t="b">
        <f t="shared" si="2"/>
        <v>1</v>
      </c>
      <c r="T711" s="35"/>
    </row>
    <row r="712" spans="1:20">
      <c r="A712" s="22" t="s">
        <v>4149</v>
      </c>
      <c r="B712" s="23" t="s">
        <v>44</v>
      </c>
      <c r="C712" s="23" t="s">
        <v>46</v>
      </c>
      <c r="D712" s="23" t="s">
        <v>4147</v>
      </c>
      <c r="E712" s="36" t="s">
        <v>4150</v>
      </c>
      <c r="F712" s="23" t="s">
        <v>157</v>
      </c>
      <c r="G712" s="23" t="s">
        <v>75</v>
      </c>
      <c r="H712" s="23">
        <v>76724</v>
      </c>
      <c r="I712" s="23">
        <v>187</v>
      </c>
      <c r="J712" s="23">
        <v>43209</v>
      </c>
      <c r="K712" s="23">
        <v>69530</v>
      </c>
      <c r="L712" s="23">
        <v>9</v>
      </c>
      <c r="M712" s="37">
        <v>1493.204528</v>
      </c>
      <c r="N712" s="31"/>
      <c r="O712" s="32"/>
      <c r="P712" s="38" t="s">
        <v>1017</v>
      </c>
      <c r="Q712" s="39" t="s">
        <v>1019</v>
      </c>
      <c r="R712" s="40">
        <v>1493.204528</v>
      </c>
      <c r="S712" s="29" t="b">
        <f t="shared" si="2"/>
        <v>1</v>
      </c>
      <c r="T712" s="35"/>
    </row>
    <row r="713" spans="1:20">
      <c r="A713" s="22" t="s">
        <v>4151</v>
      </c>
      <c r="B713" s="23" t="s">
        <v>44</v>
      </c>
      <c r="C713" s="23" t="s">
        <v>62</v>
      </c>
      <c r="D713" s="23" t="s">
        <v>4147</v>
      </c>
      <c r="E713" s="36" t="s">
        <v>4152</v>
      </c>
      <c r="F713" s="23" t="s">
        <v>74</v>
      </c>
      <c r="G713" s="23" t="s">
        <v>75</v>
      </c>
      <c r="H713" s="23">
        <v>32173</v>
      </c>
      <c r="I713" s="23">
        <v>104</v>
      </c>
      <c r="J713" s="23">
        <v>24427</v>
      </c>
      <c r="K713" s="23">
        <v>30084</v>
      </c>
      <c r="L713" s="23">
        <v>11</v>
      </c>
      <c r="M713" s="37">
        <v>1498.2915399999999</v>
      </c>
      <c r="N713" s="31"/>
      <c r="O713" s="32"/>
      <c r="P713" s="38" t="s">
        <v>65</v>
      </c>
      <c r="Q713" s="39" t="s">
        <v>70</v>
      </c>
      <c r="R713" s="40">
        <v>1498.2915399999999</v>
      </c>
      <c r="S713" s="29" t="b">
        <f t="shared" si="2"/>
        <v>1</v>
      </c>
      <c r="T713" s="35"/>
    </row>
    <row r="714" spans="1:20">
      <c r="A714" s="22" t="s">
        <v>4153</v>
      </c>
      <c r="B714" s="23" t="s">
        <v>32</v>
      </c>
      <c r="C714" s="23" t="s">
        <v>46</v>
      </c>
      <c r="D714" s="23" t="s">
        <v>4147</v>
      </c>
      <c r="E714" s="36" t="s">
        <v>4154</v>
      </c>
      <c r="F714" s="23" t="s">
        <v>50</v>
      </c>
      <c r="G714" s="23" t="s">
        <v>39</v>
      </c>
      <c r="H714" s="23">
        <v>20572</v>
      </c>
      <c r="I714" s="23">
        <v>90</v>
      </c>
      <c r="J714" s="23">
        <v>2226</v>
      </c>
      <c r="K714" s="23">
        <v>16510</v>
      </c>
      <c r="L714" s="23">
        <v>10</v>
      </c>
      <c r="M714" s="37">
        <v>1529.307229</v>
      </c>
      <c r="N714" s="31"/>
      <c r="O714" s="32"/>
      <c r="P714" s="38" t="s">
        <v>464</v>
      </c>
      <c r="Q714" s="39" t="s">
        <v>466</v>
      </c>
      <c r="R714" s="40">
        <v>1529.307229</v>
      </c>
      <c r="S714" s="29" t="b">
        <f t="shared" si="2"/>
        <v>1</v>
      </c>
      <c r="T714" s="35"/>
    </row>
    <row r="715" spans="1:20">
      <c r="A715" s="22" t="s">
        <v>4155</v>
      </c>
      <c r="B715" s="23" t="s">
        <v>44</v>
      </c>
      <c r="C715" s="23" t="s">
        <v>80</v>
      </c>
      <c r="D715" s="23" t="s">
        <v>4147</v>
      </c>
      <c r="E715" s="36" t="s">
        <v>4156</v>
      </c>
      <c r="F715" s="23" t="s">
        <v>74</v>
      </c>
      <c r="G715" s="23" t="s">
        <v>64</v>
      </c>
      <c r="H715" s="23">
        <v>73567</v>
      </c>
      <c r="I715" s="23">
        <v>197</v>
      </c>
      <c r="J715" s="23">
        <v>28800</v>
      </c>
      <c r="K715" s="23">
        <v>68566</v>
      </c>
      <c r="L715" s="23">
        <v>2</v>
      </c>
      <c r="M715" s="37">
        <v>1567.3660709999999</v>
      </c>
      <c r="N715" s="31"/>
      <c r="O715" s="32"/>
      <c r="P715" s="38" t="s">
        <v>333</v>
      </c>
      <c r="Q715" s="39" t="s">
        <v>335</v>
      </c>
      <c r="R715" s="40">
        <v>1567.3660709999999</v>
      </c>
      <c r="S715" s="29" t="b">
        <f t="shared" si="2"/>
        <v>1</v>
      </c>
      <c r="T715" s="35"/>
    </row>
    <row r="716" spans="1:20">
      <c r="A716" s="22" t="s">
        <v>4157</v>
      </c>
      <c r="B716" s="23" t="s">
        <v>44</v>
      </c>
      <c r="C716" s="23" t="s">
        <v>34</v>
      </c>
      <c r="D716" s="23" t="s">
        <v>4147</v>
      </c>
      <c r="E716" s="36" t="s">
        <v>4158</v>
      </c>
      <c r="F716" s="23" t="s">
        <v>74</v>
      </c>
      <c r="G716" s="23" t="s">
        <v>75</v>
      </c>
      <c r="H716" s="23">
        <v>61442</v>
      </c>
      <c r="I716" s="23">
        <v>190</v>
      </c>
      <c r="J716" s="23">
        <v>17048</v>
      </c>
      <c r="K716" s="23">
        <v>54166</v>
      </c>
      <c r="L716" s="23">
        <v>1</v>
      </c>
      <c r="M716" s="37">
        <v>1609.1499329999999</v>
      </c>
      <c r="N716" s="31"/>
      <c r="O716" s="32"/>
      <c r="P716" s="38" t="s">
        <v>2156</v>
      </c>
      <c r="Q716" s="39" t="s">
        <v>2157</v>
      </c>
      <c r="R716" s="40">
        <v>1609.1499329999999</v>
      </c>
      <c r="S716" s="29" t="b">
        <f t="shared" si="2"/>
        <v>1</v>
      </c>
      <c r="T716" s="35"/>
    </row>
    <row r="717" spans="1:20">
      <c r="A717" s="22" t="s">
        <v>4159</v>
      </c>
      <c r="B717" s="23" t="s">
        <v>123</v>
      </c>
      <c r="C717" s="23" t="s">
        <v>34</v>
      </c>
      <c r="D717" s="23" t="s">
        <v>4147</v>
      </c>
      <c r="E717" s="36" t="s">
        <v>4160</v>
      </c>
      <c r="F717" s="23" t="s">
        <v>103</v>
      </c>
      <c r="G717" s="23" t="s">
        <v>39</v>
      </c>
      <c r="H717" s="23">
        <v>69722</v>
      </c>
      <c r="I717" s="23">
        <v>194</v>
      </c>
      <c r="J717" s="23">
        <v>40640</v>
      </c>
      <c r="K717" s="23">
        <v>64819</v>
      </c>
      <c r="L717" s="23">
        <v>10</v>
      </c>
      <c r="M717" s="37">
        <v>1667.6558950000001</v>
      </c>
      <c r="N717" s="31"/>
      <c r="O717" s="32"/>
      <c r="P717" s="38" t="s">
        <v>336</v>
      </c>
      <c r="Q717" s="39" t="s">
        <v>338</v>
      </c>
      <c r="R717" s="40">
        <v>1667.6558950000001</v>
      </c>
      <c r="S717" s="29" t="b">
        <f t="shared" si="2"/>
        <v>1</v>
      </c>
      <c r="T717" s="35"/>
    </row>
    <row r="718" spans="1:20">
      <c r="A718" s="22" t="s">
        <v>4161</v>
      </c>
      <c r="B718" s="23" t="s">
        <v>123</v>
      </c>
      <c r="C718" s="23" t="s">
        <v>34</v>
      </c>
      <c r="D718" s="23" t="s">
        <v>4147</v>
      </c>
      <c r="E718" s="36" t="s">
        <v>4162</v>
      </c>
      <c r="F718" s="23" t="s">
        <v>103</v>
      </c>
      <c r="G718" s="23" t="s">
        <v>39</v>
      </c>
      <c r="H718" s="23">
        <v>37717</v>
      </c>
      <c r="I718" s="23">
        <v>69</v>
      </c>
      <c r="J718" s="23">
        <v>26541</v>
      </c>
      <c r="K718" s="23">
        <v>35126</v>
      </c>
      <c r="L718" s="23">
        <v>5</v>
      </c>
      <c r="M718" s="37">
        <v>1725.2713630000001</v>
      </c>
      <c r="N718" s="31"/>
      <c r="O718" s="32"/>
      <c r="P718" s="38" t="s">
        <v>683</v>
      </c>
      <c r="Q718" s="39" t="s">
        <v>685</v>
      </c>
      <c r="R718" s="40">
        <v>1725.2713630000001</v>
      </c>
      <c r="S718" s="29" t="b">
        <f t="shared" si="2"/>
        <v>1</v>
      </c>
      <c r="T718" s="35"/>
    </row>
    <row r="719" spans="1:20">
      <c r="A719" s="22" t="s">
        <v>4163</v>
      </c>
      <c r="B719" s="23" t="s">
        <v>44</v>
      </c>
      <c r="C719" s="23" t="s">
        <v>62</v>
      </c>
      <c r="D719" s="23" t="s">
        <v>4147</v>
      </c>
      <c r="E719" s="36" t="s">
        <v>4164</v>
      </c>
      <c r="F719" s="23" t="s">
        <v>3153</v>
      </c>
      <c r="G719" s="23" t="s">
        <v>39</v>
      </c>
      <c r="H719" s="23">
        <v>35034</v>
      </c>
      <c r="I719" s="23">
        <v>145</v>
      </c>
      <c r="J719" s="23">
        <v>13904</v>
      </c>
      <c r="K719" s="23">
        <v>34123</v>
      </c>
      <c r="L719" s="23">
        <v>3</v>
      </c>
      <c r="M719" s="37">
        <v>2141.4693459999999</v>
      </c>
      <c r="N719" s="31"/>
      <c r="O719" s="32"/>
      <c r="P719" s="38" t="s">
        <v>1830</v>
      </c>
      <c r="Q719" s="39" t="s">
        <v>1832</v>
      </c>
      <c r="R719" s="40">
        <v>2141.4693459999999</v>
      </c>
      <c r="S719" s="29" t="b">
        <f t="shared" si="2"/>
        <v>1</v>
      </c>
      <c r="T719" s="35"/>
    </row>
    <row r="720" spans="1:20">
      <c r="A720" s="22" t="s">
        <v>4165</v>
      </c>
      <c r="B720" s="23" t="s">
        <v>123</v>
      </c>
      <c r="C720" s="23" t="s">
        <v>34</v>
      </c>
      <c r="D720" s="23" t="s">
        <v>4147</v>
      </c>
      <c r="E720" s="36" t="s">
        <v>4166</v>
      </c>
      <c r="F720" s="23" t="s">
        <v>118</v>
      </c>
      <c r="G720" s="23" t="s">
        <v>39</v>
      </c>
      <c r="H720" s="23">
        <v>88022</v>
      </c>
      <c r="I720" s="23">
        <v>370</v>
      </c>
      <c r="J720" s="23">
        <v>45972</v>
      </c>
      <c r="K720" s="23">
        <v>83922</v>
      </c>
      <c r="L720" s="23">
        <v>11</v>
      </c>
      <c r="M720" s="37">
        <v>5669.1447600000001</v>
      </c>
      <c r="N720" s="31"/>
      <c r="O720" s="32"/>
      <c r="P720" s="38" t="s">
        <v>1346</v>
      </c>
      <c r="Q720" s="39" t="s">
        <v>487</v>
      </c>
      <c r="R720" s="40">
        <v>5669.1447600000001</v>
      </c>
      <c r="S720" s="29" t="b">
        <f t="shared" si="2"/>
        <v>1</v>
      </c>
      <c r="T720" s="35"/>
    </row>
    <row r="721" spans="1:27">
      <c r="A721" s="22" t="s">
        <v>4167</v>
      </c>
      <c r="B721" s="23" t="s">
        <v>32</v>
      </c>
      <c r="C721" s="23" t="s">
        <v>80</v>
      </c>
      <c r="D721" s="23" t="s">
        <v>4147</v>
      </c>
      <c r="E721" s="36" t="s">
        <v>4168</v>
      </c>
      <c r="F721" s="23" t="s">
        <v>103</v>
      </c>
      <c r="G721" s="23" t="s">
        <v>39</v>
      </c>
      <c r="H721" s="23">
        <v>35178</v>
      </c>
      <c r="I721" s="23">
        <v>155</v>
      </c>
      <c r="J721" s="23">
        <v>23374</v>
      </c>
      <c r="K721" s="23">
        <v>33779</v>
      </c>
      <c r="L721" s="23">
        <v>8</v>
      </c>
      <c r="M721" s="37">
        <v>5738.8090890000003</v>
      </c>
      <c r="N721" s="31"/>
      <c r="O721" s="32"/>
      <c r="P721" s="38" t="s">
        <v>98</v>
      </c>
      <c r="Q721" s="39" t="s">
        <v>101</v>
      </c>
      <c r="R721" s="40">
        <v>5738.8090890000003</v>
      </c>
      <c r="S721" s="29" t="b">
        <f t="shared" si="2"/>
        <v>1</v>
      </c>
      <c r="T721" s="35"/>
    </row>
    <row r="722" spans="1:27">
      <c r="A722" s="22" t="s">
        <v>4169</v>
      </c>
      <c r="B722" s="23" t="s">
        <v>44</v>
      </c>
      <c r="C722" s="23" t="s">
        <v>46</v>
      </c>
      <c r="D722" s="23" t="s">
        <v>4147</v>
      </c>
      <c r="E722" s="36" t="s">
        <v>4170</v>
      </c>
      <c r="F722" s="23" t="s">
        <v>50</v>
      </c>
      <c r="G722" s="23" t="s">
        <v>39</v>
      </c>
      <c r="H722" s="23">
        <v>53464</v>
      </c>
      <c r="I722" s="23">
        <v>212</v>
      </c>
      <c r="J722" s="23">
        <v>22151</v>
      </c>
      <c r="K722" s="23">
        <v>49058</v>
      </c>
      <c r="L722" s="23">
        <v>9</v>
      </c>
      <c r="M722" s="37">
        <v>5741.0980449999997</v>
      </c>
      <c r="N722" s="31"/>
      <c r="O722" s="32"/>
      <c r="P722" s="38" t="s">
        <v>1421</v>
      </c>
      <c r="Q722" s="39" t="s">
        <v>1323</v>
      </c>
      <c r="R722" s="40">
        <v>5741.0980449999997</v>
      </c>
      <c r="S722" s="29" t="b">
        <f t="shared" si="2"/>
        <v>1</v>
      </c>
      <c r="T722" s="35"/>
    </row>
    <row r="723" spans="1:27">
      <c r="A723" s="22" t="s">
        <v>4171</v>
      </c>
      <c r="B723" s="23" t="s">
        <v>44</v>
      </c>
      <c r="C723" s="23" t="s">
        <v>62</v>
      </c>
      <c r="D723" s="23" t="s">
        <v>4147</v>
      </c>
      <c r="E723" s="36" t="s">
        <v>4172</v>
      </c>
      <c r="F723" s="23" t="s">
        <v>131</v>
      </c>
      <c r="G723" s="23" t="s">
        <v>39</v>
      </c>
      <c r="H723" s="23">
        <v>57168</v>
      </c>
      <c r="I723" s="23">
        <v>160</v>
      </c>
      <c r="J723" s="23">
        <v>43261</v>
      </c>
      <c r="K723" s="23">
        <v>55261</v>
      </c>
      <c r="L723" s="23">
        <v>12</v>
      </c>
      <c r="M723" s="37">
        <v>5841.1513599999998</v>
      </c>
      <c r="N723" s="31"/>
      <c r="O723" s="32"/>
      <c r="P723" s="38" t="s">
        <v>1386</v>
      </c>
      <c r="Q723" s="39" t="s">
        <v>1388</v>
      </c>
      <c r="R723" s="40">
        <v>5841.1513599999998</v>
      </c>
      <c r="S723" s="29" t="b">
        <f t="shared" si="2"/>
        <v>1</v>
      </c>
      <c r="T723" s="35"/>
    </row>
    <row r="724" spans="1:27">
      <c r="A724" s="22" t="s">
        <v>4173</v>
      </c>
      <c r="B724" s="23" t="s">
        <v>44</v>
      </c>
      <c r="C724" s="23" t="s">
        <v>62</v>
      </c>
      <c r="D724" s="23" t="s">
        <v>4147</v>
      </c>
      <c r="E724" s="36" t="s">
        <v>4174</v>
      </c>
      <c r="F724" s="23" t="s">
        <v>103</v>
      </c>
      <c r="G724" s="23" t="s">
        <v>39</v>
      </c>
      <c r="H724" s="23">
        <v>43057</v>
      </c>
      <c r="I724" s="23">
        <v>122</v>
      </c>
      <c r="J724" s="23">
        <v>23767</v>
      </c>
      <c r="K724" s="23">
        <v>41484</v>
      </c>
      <c r="L724" s="23">
        <v>7</v>
      </c>
      <c r="M724" s="37">
        <v>5884.9313940000002</v>
      </c>
      <c r="N724" s="31"/>
      <c r="O724" s="32"/>
      <c r="P724" s="38" t="s">
        <v>1432</v>
      </c>
      <c r="Q724" s="39" t="s">
        <v>1434</v>
      </c>
      <c r="R724" s="40">
        <v>5884.9313940000002</v>
      </c>
      <c r="S724" s="29" t="b">
        <f t="shared" si="2"/>
        <v>1</v>
      </c>
      <c r="T724" s="35"/>
    </row>
    <row r="725" spans="1:27">
      <c r="A725" s="22" t="s">
        <v>4175</v>
      </c>
      <c r="B725" s="23" t="s">
        <v>44</v>
      </c>
      <c r="C725" s="23" t="s">
        <v>46</v>
      </c>
      <c r="D725" s="23" t="s">
        <v>4147</v>
      </c>
      <c r="E725" s="36" t="s">
        <v>4176</v>
      </c>
      <c r="F725" s="23" t="s">
        <v>103</v>
      </c>
      <c r="G725" s="23" t="s">
        <v>39</v>
      </c>
      <c r="H725" s="23">
        <v>12092</v>
      </c>
      <c r="I725" s="23">
        <v>30</v>
      </c>
      <c r="J725" s="23">
        <v>2042</v>
      </c>
      <c r="K725" s="23">
        <v>10315</v>
      </c>
      <c r="L725" s="23">
        <v>8</v>
      </c>
      <c r="M725" s="37">
        <v>6245.1347930000002</v>
      </c>
      <c r="N725" s="31"/>
      <c r="O725" s="32"/>
      <c r="P725" s="38" t="s">
        <v>1105</v>
      </c>
      <c r="Q725" s="39" t="s">
        <v>1107</v>
      </c>
      <c r="R725" s="40">
        <v>6245.1347930000002</v>
      </c>
      <c r="S725" s="29" t="b">
        <f t="shared" si="2"/>
        <v>1</v>
      </c>
      <c r="T725" s="35"/>
    </row>
    <row r="726" spans="1:27">
      <c r="A726" s="22" t="s">
        <v>4177</v>
      </c>
      <c r="B726" s="23" t="s">
        <v>32</v>
      </c>
      <c r="C726" s="23" t="s">
        <v>80</v>
      </c>
      <c r="D726" s="23" t="s">
        <v>4147</v>
      </c>
      <c r="E726" s="36" t="s">
        <v>4178</v>
      </c>
      <c r="F726" s="23" t="s">
        <v>50</v>
      </c>
      <c r="G726" s="23" t="s">
        <v>39</v>
      </c>
      <c r="H726" s="23">
        <v>102905</v>
      </c>
      <c r="I726" s="23">
        <v>421</v>
      </c>
      <c r="J726" s="23">
        <v>45324</v>
      </c>
      <c r="K726" s="23">
        <v>99065</v>
      </c>
      <c r="L726" s="23">
        <v>1</v>
      </c>
      <c r="M726" s="37">
        <v>6407.5818280000003</v>
      </c>
      <c r="N726" s="31"/>
      <c r="O726" s="32"/>
      <c r="P726" s="38" t="s">
        <v>1442</v>
      </c>
      <c r="Q726" s="39" t="s">
        <v>1444</v>
      </c>
      <c r="R726" s="40">
        <v>6407.5818280000003</v>
      </c>
      <c r="S726" s="29" t="b">
        <f t="shared" si="2"/>
        <v>1</v>
      </c>
      <c r="T726" s="35"/>
    </row>
    <row r="727" spans="1:27">
      <c r="A727" s="22" t="s">
        <v>4179</v>
      </c>
      <c r="B727" s="23" t="s">
        <v>32</v>
      </c>
      <c r="C727" s="23" t="s">
        <v>80</v>
      </c>
      <c r="D727" s="23" t="s">
        <v>4147</v>
      </c>
      <c r="E727" s="36" t="s">
        <v>4180</v>
      </c>
      <c r="F727" s="23" t="s">
        <v>103</v>
      </c>
      <c r="G727" s="23" t="s">
        <v>39</v>
      </c>
      <c r="H727" s="23">
        <v>115544</v>
      </c>
      <c r="I727" s="23">
        <v>412</v>
      </c>
      <c r="J727" s="23">
        <v>79182</v>
      </c>
      <c r="K727" s="23">
        <v>109463</v>
      </c>
      <c r="L727" s="23">
        <v>56</v>
      </c>
      <c r="M727" s="37">
        <v>6721.0944529999997</v>
      </c>
      <c r="N727" s="31"/>
      <c r="O727" s="32"/>
      <c r="P727" s="38" t="s">
        <v>2266</v>
      </c>
      <c r="Q727" s="39" t="s">
        <v>645</v>
      </c>
      <c r="R727" s="40">
        <v>6721.0944529999997</v>
      </c>
      <c r="S727" s="29" t="b">
        <f t="shared" si="2"/>
        <v>1</v>
      </c>
      <c r="T727" s="35"/>
    </row>
    <row r="728" spans="1:27">
      <c r="A728" s="44" t="s">
        <v>4181</v>
      </c>
      <c r="B728" s="45" t="s">
        <v>32</v>
      </c>
      <c r="C728" s="45" t="s">
        <v>34</v>
      </c>
      <c r="D728" s="45" t="s">
        <v>4147</v>
      </c>
      <c r="E728" s="46" t="s">
        <v>4182</v>
      </c>
      <c r="F728" s="45" t="s">
        <v>50</v>
      </c>
      <c r="G728" s="45" t="s">
        <v>39</v>
      </c>
      <c r="H728" s="45">
        <v>26820</v>
      </c>
      <c r="I728" s="45">
        <v>80</v>
      </c>
      <c r="J728" s="45">
        <v>13553</v>
      </c>
      <c r="K728" s="45">
        <v>21192</v>
      </c>
      <c r="L728" s="45">
        <v>12</v>
      </c>
      <c r="M728" s="47">
        <v>6745.1034399999999</v>
      </c>
      <c r="N728" s="31"/>
      <c r="O728" s="32"/>
      <c r="P728" s="48" t="s">
        <v>1689</v>
      </c>
      <c r="Q728" s="49" t="s">
        <v>1691</v>
      </c>
      <c r="R728" s="50">
        <v>6745.1034399999999</v>
      </c>
      <c r="S728" s="29" t="b">
        <f t="shared" si="2"/>
        <v>1</v>
      </c>
      <c r="T728" s="35"/>
    </row>
    <row r="729" spans="1:27">
      <c r="A729" s="51"/>
      <c r="B729" s="51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2"/>
      <c r="O729" s="52"/>
      <c r="P729" s="52" t="s">
        <v>4183</v>
      </c>
      <c r="Q729" s="53" t="s">
        <v>2658</v>
      </c>
      <c r="R729" s="53" t="s">
        <v>4184</v>
      </c>
      <c r="S729" s="54" t="b">
        <f t="shared" si="2"/>
        <v>0</v>
      </c>
      <c r="T729" s="55"/>
      <c r="U729" s="54"/>
      <c r="V729" s="54"/>
      <c r="W729" s="54"/>
      <c r="X729" s="54"/>
      <c r="Y729" s="54"/>
      <c r="Z729" s="54"/>
      <c r="AA729" s="54"/>
    </row>
    <row r="730" spans="1:27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7"/>
      <c r="O730" s="57"/>
      <c r="P730" s="57" t="s">
        <v>4185</v>
      </c>
      <c r="Q730" s="58" t="s">
        <v>1630</v>
      </c>
      <c r="R730" s="58" t="s">
        <v>4184</v>
      </c>
      <c r="S730" s="29" t="b">
        <f t="shared" si="2"/>
        <v>0</v>
      </c>
      <c r="T730" s="35"/>
    </row>
    <row r="731" spans="1:27">
      <c r="N731" s="59"/>
      <c r="O731" s="60"/>
      <c r="P731" s="20"/>
      <c r="Q731" s="20"/>
      <c r="R731" s="20"/>
    </row>
    <row r="732" spans="1:27">
      <c r="N732" s="59"/>
      <c r="O732" s="60"/>
      <c r="P732" s="20"/>
      <c r="Q732" s="20"/>
      <c r="R732" s="20"/>
    </row>
    <row r="733" spans="1:27">
      <c r="N733" s="59"/>
      <c r="O733" s="60"/>
      <c r="P733" s="20"/>
      <c r="Q733" s="20"/>
      <c r="R733" s="20"/>
    </row>
    <row r="734" spans="1:27">
      <c r="N734" s="59"/>
      <c r="O734" s="60"/>
      <c r="P734" s="20"/>
      <c r="Q734" s="20"/>
      <c r="R734" s="20"/>
    </row>
    <row r="735" spans="1:27">
      <c r="N735" s="59"/>
      <c r="O735" s="60"/>
      <c r="P735" s="20"/>
      <c r="Q735" s="20"/>
      <c r="R735" s="20"/>
    </row>
    <row r="736" spans="1:27">
      <c r="N736" s="59"/>
      <c r="O736" s="60"/>
      <c r="P736" s="20"/>
      <c r="Q736" s="20"/>
      <c r="R736" s="20"/>
    </row>
    <row r="737" spans="14:18">
      <c r="N737" s="59"/>
      <c r="O737" s="60"/>
      <c r="P737" s="20"/>
      <c r="Q737" s="20"/>
      <c r="R737" s="20"/>
    </row>
    <row r="738" spans="14:18">
      <c r="N738" s="59"/>
      <c r="O738" s="60"/>
      <c r="P738" s="20"/>
      <c r="Q738" s="20"/>
      <c r="R738" s="20"/>
    </row>
    <row r="739" spans="14:18">
      <c r="N739" s="59"/>
      <c r="O739" s="60"/>
      <c r="P739" s="20"/>
      <c r="Q739" s="20"/>
      <c r="R739" s="20"/>
    </row>
    <row r="740" spans="14:18">
      <c r="N740" s="59"/>
      <c r="O740" s="60"/>
      <c r="P740" s="20"/>
      <c r="Q740" s="20"/>
      <c r="R740" s="20"/>
    </row>
    <row r="741" spans="14:18">
      <c r="N741" s="59"/>
      <c r="O741" s="60"/>
      <c r="P741" s="20"/>
      <c r="Q741" s="20"/>
      <c r="R741" s="20"/>
    </row>
    <row r="742" spans="14:18">
      <c r="N742" s="59"/>
      <c r="O742" s="60"/>
      <c r="P742" s="20"/>
      <c r="Q742" s="20"/>
      <c r="R742" s="20"/>
    </row>
    <row r="743" spans="14:18">
      <c r="N743" s="59"/>
      <c r="O743" s="60"/>
      <c r="P743" s="20"/>
      <c r="Q743" s="20"/>
      <c r="R743" s="20"/>
    </row>
    <row r="744" spans="14:18">
      <c r="N744" s="59"/>
      <c r="O744" s="60"/>
      <c r="P744" s="20"/>
      <c r="Q744" s="20"/>
      <c r="R744" s="20"/>
    </row>
    <row r="745" spans="14:18">
      <c r="N745" s="59"/>
      <c r="O745" s="60"/>
      <c r="P745" s="20"/>
      <c r="Q745" s="20"/>
      <c r="R745" s="20"/>
    </row>
    <row r="746" spans="14:18">
      <c r="N746" s="59"/>
      <c r="O746" s="60"/>
      <c r="P746" s="20"/>
      <c r="Q746" s="20"/>
      <c r="R746" s="20"/>
    </row>
    <row r="747" spans="14:18">
      <c r="N747" s="59"/>
      <c r="O747" s="60"/>
      <c r="P747" s="20"/>
      <c r="Q747" s="20"/>
      <c r="R747" s="20"/>
    </row>
    <row r="748" spans="14:18">
      <c r="N748" s="59"/>
      <c r="O748" s="60"/>
      <c r="P748" s="20"/>
      <c r="Q748" s="20"/>
      <c r="R748" s="20"/>
    </row>
    <row r="749" spans="14:18">
      <c r="N749" s="59"/>
      <c r="O749" s="60"/>
      <c r="P749" s="20"/>
      <c r="Q749" s="20"/>
      <c r="R749" s="20"/>
    </row>
    <row r="750" spans="14:18">
      <c r="N750" s="59"/>
      <c r="O750" s="60"/>
      <c r="P750" s="20"/>
      <c r="Q750" s="20"/>
      <c r="R750" s="20"/>
    </row>
    <row r="751" spans="14:18">
      <c r="N751" s="59"/>
      <c r="O751" s="60"/>
      <c r="P751" s="20"/>
      <c r="Q751" s="20"/>
      <c r="R751" s="20"/>
    </row>
    <row r="752" spans="14:18">
      <c r="N752" s="59"/>
      <c r="O752" s="60"/>
      <c r="P752" s="20"/>
      <c r="Q752" s="20"/>
      <c r="R752" s="20"/>
    </row>
    <row r="753" spans="14:18">
      <c r="N753" s="59"/>
      <c r="O753" s="60"/>
      <c r="P753" s="20"/>
      <c r="Q753" s="20"/>
      <c r="R753" s="20"/>
    </row>
    <row r="754" spans="14:18">
      <c r="N754" s="59"/>
      <c r="O754" s="60"/>
      <c r="P754" s="20"/>
      <c r="Q754" s="20"/>
      <c r="R754" s="20"/>
    </row>
    <row r="755" spans="14:18">
      <c r="N755" s="59"/>
      <c r="O755" s="60"/>
      <c r="P755" s="20"/>
      <c r="Q755" s="20"/>
      <c r="R755" s="20"/>
    </row>
    <row r="756" spans="14:18">
      <c r="N756" s="59"/>
      <c r="O756" s="60"/>
      <c r="P756" s="20"/>
      <c r="Q756" s="20"/>
      <c r="R756" s="20"/>
    </row>
    <row r="757" spans="14:18">
      <c r="N757" s="59"/>
      <c r="O757" s="60"/>
      <c r="P757" s="20"/>
      <c r="Q757" s="20"/>
      <c r="R757" s="20"/>
    </row>
    <row r="758" spans="14:18">
      <c r="N758" s="59"/>
      <c r="O758" s="60"/>
      <c r="P758" s="20"/>
      <c r="Q758" s="20"/>
      <c r="R758" s="20"/>
    </row>
    <row r="759" spans="14:18">
      <c r="N759" s="59"/>
      <c r="O759" s="60"/>
      <c r="P759" s="20"/>
      <c r="Q759" s="20"/>
      <c r="R759" s="20"/>
    </row>
    <row r="760" spans="14:18">
      <c r="N760" s="59"/>
      <c r="O760" s="60"/>
      <c r="P760" s="20"/>
      <c r="Q760" s="20"/>
      <c r="R760" s="20"/>
    </row>
    <row r="761" spans="14:18">
      <c r="N761" s="59"/>
      <c r="O761" s="60"/>
      <c r="P761" s="20"/>
      <c r="Q761" s="20"/>
      <c r="R761" s="20"/>
    </row>
    <row r="762" spans="14:18">
      <c r="N762" s="59"/>
      <c r="O762" s="60"/>
      <c r="P762" s="20"/>
      <c r="Q762" s="20"/>
      <c r="R762" s="20"/>
    </row>
    <row r="763" spans="14:18">
      <c r="N763" s="59"/>
      <c r="O763" s="60"/>
      <c r="P763" s="20"/>
      <c r="Q763" s="20"/>
      <c r="R763" s="20"/>
    </row>
    <row r="764" spans="14:18">
      <c r="N764" s="59"/>
      <c r="O764" s="60"/>
      <c r="P764" s="20"/>
      <c r="Q764" s="20"/>
      <c r="R764" s="20"/>
    </row>
    <row r="765" spans="14:18">
      <c r="N765" s="59"/>
      <c r="O765" s="60"/>
      <c r="P765" s="20"/>
      <c r="Q765" s="20"/>
      <c r="R765" s="20"/>
    </row>
    <row r="766" spans="14:18">
      <c r="N766" s="59"/>
      <c r="O766" s="60"/>
      <c r="P766" s="20"/>
      <c r="Q766" s="20"/>
      <c r="R766" s="20"/>
    </row>
    <row r="767" spans="14:18">
      <c r="N767" s="59"/>
      <c r="O767" s="60"/>
      <c r="P767" s="20"/>
      <c r="Q767" s="20"/>
      <c r="R767" s="20"/>
    </row>
    <row r="768" spans="14:18">
      <c r="N768" s="59"/>
      <c r="O768" s="60"/>
      <c r="P768" s="20"/>
      <c r="Q768" s="20"/>
      <c r="R768" s="20"/>
    </row>
    <row r="769" spans="14:18">
      <c r="N769" s="59"/>
      <c r="O769" s="60"/>
      <c r="P769" s="20"/>
      <c r="Q769" s="20"/>
      <c r="R769" s="20"/>
    </row>
    <row r="770" spans="14:18">
      <c r="N770" s="59"/>
      <c r="O770" s="60"/>
      <c r="P770" s="20"/>
      <c r="Q770" s="20"/>
      <c r="R770" s="20"/>
    </row>
    <row r="771" spans="14:18">
      <c r="N771" s="59"/>
      <c r="O771" s="60"/>
      <c r="P771" s="20"/>
      <c r="Q771" s="20"/>
      <c r="R771" s="20"/>
    </row>
    <row r="772" spans="14:18">
      <c r="N772" s="59"/>
      <c r="O772" s="60"/>
      <c r="P772" s="20"/>
      <c r="Q772" s="20"/>
      <c r="R772" s="20"/>
    </row>
    <row r="773" spans="14:18">
      <c r="N773" s="59"/>
      <c r="O773" s="60"/>
      <c r="P773" s="20"/>
      <c r="Q773" s="20"/>
      <c r="R773" s="20"/>
    </row>
    <row r="774" spans="14:18">
      <c r="N774" s="59"/>
      <c r="O774" s="60"/>
      <c r="P774" s="20"/>
      <c r="Q774" s="20"/>
      <c r="R774" s="20"/>
    </row>
    <row r="775" spans="14:18">
      <c r="N775" s="59"/>
      <c r="O775" s="60"/>
      <c r="P775" s="20"/>
      <c r="Q775" s="20"/>
      <c r="R775" s="20"/>
    </row>
    <row r="776" spans="14:18">
      <c r="N776" s="59"/>
      <c r="O776" s="60"/>
      <c r="P776" s="20"/>
      <c r="Q776" s="20"/>
      <c r="R776" s="20"/>
    </row>
    <row r="777" spans="14:18">
      <c r="N777" s="59"/>
      <c r="O777" s="60"/>
      <c r="P777" s="20"/>
      <c r="Q777" s="20"/>
      <c r="R777" s="20"/>
    </row>
    <row r="778" spans="14:18">
      <c r="N778" s="59"/>
      <c r="O778" s="60"/>
      <c r="P778" s="20"/>
      <c r="Q778" s="20"/>
      <c r="R778" s="20"/>
    </row>
    <row r="779" spans="14:18">
      <c r="N779" s="59"/>
      <c r="O779" s="60"/>
      <c r="P779" s="20"/>
      <c r="Q779" s="20"/>
      <c r="R779" s="20"/>
    </row>
    <row r="780" spans="14:18">
      <c r="N780" s="59"/>
      <c r="O780" s="60"/>
      <c r="P780" s="20"/>
      <c r="Q780" s="20"/>
      <c r="R780" s="20"/>
    </row>
    <row r="781" spans="14:18">
      <c r="N781" s="59"/>
      <c r="O781" s="60"/>
      <c r="P781" s="20"/>
      <c r="Q781" s="20"/>
      <c r="R781" s="20"/>
    </row>
    <row r="782" spans="14:18">
      <c r="N782" s="59"/>
      <c r="O782" s="60"/>
      <c r="P782" s="20"/>
      <c r="Q782" s="20"/>
      <c r="R782" s="20"/>
    </row>
    <row r="783" spans="14:18">
      <c r="N783" s="59"/>
      <c r="O783" s="60"/>
      <c r="P783" s="20"/>
      <c r="Q783" s="20"/>
      <c r="R783" s="20"/>
    </row>
    <row r="784" spans="14:18">
      <c r="N784" s="59"/>
      <c r="O784" s="60"/>
      <c r="P784" s="20"/>
      <c r="Q784" s="20"/>
      <c r="R784" s="20"/>
    </row>
    <row r="785" spans="14:18">
      <c r="N785" s="59"/>
      <c r="O785" s="60"/>
      <c r="P785" s="20"/>
      <c r="Q785" s="20"/>
      <c r="R785" s="20"/>
    </row>
    <row r="786" spans="14:18">
      <c r="N786" s="59"/>
      <c r="O786" s="60"/>
      <c r="P786" s="20"/>
      <c r="Q786" s="20"/>
      <c r="R786" s="20"/>
    </row>
    <row r="787" spans="14:18">
      <c r="N787" s="59"/>
      <c r="O787" s="60"/>
      <c r="P787" s="20"/>
      <c r="Q787" s="20"/>
      <c r="R787" s="20"/>
    </row>
    <row r="788" spans="14:18">
      <c r="N788" s="59"/>
      <c r="O788" s="60"/>
      <c r="P788" s="20"/>
      <c r="Q788" s="20"/>
      <c r="R788" s="20"/>
    </row>
    <row r="789" spans="14:18">
      <c r="N789" s="59"/>
      <c r="O789" s="60"/>
      <c r="P789" s="20"/>
      <c r="Q789" s="20"/>
      <c r="R789" s="20"/>
    </row>
    <row r="790" spans="14:18">
      <c r="N790" s="59"/>
      <c r="O790" s="60"/>
      <c r="P790" s="20"/>
      <c r="Q790" s="20"/>
      <c r="R790" s="20"/>
    </row>
    <row r="791" spans="14:18">
      <c r="N791" s="59"/>
      <c r="O791" s="60"/>
      <c r="P791" s="20"/>
      <c r="Q791" s="20"/>
      <c r="R791" s="20"/>
    </row>
    <row r="792" spans="14:18">
      <c r="N792" s="59"/>
      <c r="O792" s="60"/>
      <c r="P792" s="20"/>
      <c r="Q792" s="20"/>
      <c r="R792" s="20"/>
    </row>
    <row r="793" spans="14:18">
      <c r="N793" s="59"/>
      <c r="O793" s="60"/>
      <c r="P793" s="20"/>
      <c r="Q793" s="20"/>
      <c r="R793" s="20"/>
    </row>
    <row r="794" spans="14:18">
      <c r="N794" s="59"/>
      <c r="O794" s="60"/>
      <c r="P794" s="20"/>
      <c r="Q794" s="20"/>
      <c r="R794" s="20"/>
    </row>
    <row r="795" spans="14:18">
      <c r="N795" s="59"/>
      <c r="O795" s="60"/>
      <c r="P795" s="20"/>
      <c r="Q795" s="20"/>
      <c r="R795" s="20"/>
    </row>
    <row r="796" spans="14:18">
      <c r="N796" s="59"/>
      <c r="O796" s="60"/>
      <c r="P796" s="20"/>
      <c r="Q796" s="20"/>
      <c r="R796" s="20"/>
    </row>
    <row r="797" spans="14:18">
      <c r="N797" s="59"/>
      <c r="O797" s="60"/>
      <c r="P797" s="20"/>
      <c r="Q797" s="20"/>
      <c r="R797" s="20"/>
    </row>
    <row r="798" spans="14:18">
      <c r="N798" s="59"/>
      <c r="O798" s="60"/>
      <c r="P798" s="20"/>
      <c r="Q798" s="20"/>
      <c r="R798" s="20"/>
    </row>
    <row r="799" spans="14:18">
      <c r="N799" s="59"/>
      <c r="O799" s="60"/>
      <c r="P799" s="20"/>
      <c r="Q799" s="20"/>
      <c r="R799" s="20"/>
    </row>
    <row r="800" spans="14:18">
      <c r="N800" s="59"/>
      <c r="O800" s="60"/>
      <c r="P800" s="20"/>
      <c r="Q800" s="20"/>
      <c r="R800" s="20"/>
    </row>
    <row r="801" spans="14:18">
      <c r="N801" s="59"/>
      <c r="O801" s="60"/>
      <c r="P801" s="20"/>
      <c r="Q801" s="20"/>
      <c r="R801" s="20"/>
    </row>
    <row r="802" spans="14:18">
      <c r="N802" s="59"/>
      <c r="O802" s="60"/>
      <c r="P802" s="20"/>
      <c r="Q802" s="20"/>
      <c r="R802" s="20"/>
    </row>
    <row r="803" spans="14:18">
      <c r="N803" s="59"/>
      <c r="O803" s="60"/>
      <c r="P803" s="20"/>
      <c r="Q803" s="20"/>
      <c r="R803" s="20"/>
    </row>
    <row r="804" spans="14:18">
      <c r="N804" s="59"/>
      <c r="O804" s="60"/>
      <c r="P804" s="20"/>
      <c r="Q804" s="20"/>
      <c r="R804" s="20"/>
    </row>
    <row r="805" spans="14:18">
      <c r="N805" s="59"/>
      <c r="O805" s="60"/>
      <c r="P805" s="20"/>
      <c r="Q805" s="20"/>
      <c r="R805" s="20"/>
    </row>
    <row r="806" spans="14:18">
      <c r="N806" s="59"/>
      <c r="O806" s="60"/>
      <c r="P806" s="20"/>
      <c r="Q806" s="20"/>
      <c r="R806" s="20"/>
    </row>
    <row r="807" spans="14:18">
      <c r="N807" s="59"/>
      <c r="O807" s="60"/>
      <c r="P807" s="20"/>
      <c r="Q807" s="20"/>
      <c r="R807" s="20"/>
    </row>
    <row r="808" spans="14:18">
      <c r="N808" s="59"/>
      <c r="O808" s="60"/>
      <c r="P808" s="20"/>
      <c r="Q808" s="20"/>
      <c r="R808" s="20"/>
    </row>
    <row r="809" spans="14:18">
      <c r="N809" s="59"/>
      <c r="O809" s="60"/>
      <c r="P809" s="20"/>
      <c r="Q809" s="20"/>
      <c r="R809" s="20"/>
    </row>
    <row r="810" spans="14:18">
      <c r="N810" s="59"/>
      <c r="O810" s="60"/>
      <c r="P810" s="20"/>
      <c r="Q810" s="20"/>
      <c r="R810" s="20"/>
    </row>
    <row r="811" spans="14:18">
      <c r="N811" s="59"/>
      <c r="O811" s="60"/>
      <c r="P811" s="20"/>
      <c r="Q811" s="20"/>
      <c r="R811" s="20"/>
    </row>
    <row r="812" spans="14:18">
      <c r="N812" s="59"/>
      <c r="O812" s="60"/>
      <c r="P812" s="20"/>
      <c r="Q812" s="20"/>
      <c r="R812" s="20"/>
    </row>
    <row r="813" spans="14:18">
      <c r="N813" s="59"/>
      <c r="O813" s="60"/>
      <c r="P813" s="20"/>
      <c r="Q813" s="20"/>
      <c r="R813" s="20"/>
    </row>
    <row r="814" spans="14:18">
      <c r="N814" s="59"/>
      <c r="O814" s="60"/>
      <c r="P814" s="20"/>
      <c r="Q814" s="20"/>
      <c r="R814" s="20"/>
    </row>
    <row r="815" spans="14:18">
      <c r="N815" s="59"/>
      <c r="O815" s="60"/>
      <c r="P815" s="20"/>
      <c r="Q815" s="20"/>
      <c r="R815" s="20"/>
    </row>
    <row r="816" spans="14:18">
      <c r="N816" s="59"/>
      <c r="O816" s="60"/>
      <c r="P816" s="20"/>
      <c r="Q816" s="20"/>
      <c r="R816" s="20"/>
    </row>
    <row r="817" spans="14:18">
      <c r="N817" s="59"/>
      <c r="O817" s="60"/>
      <c r="P817" s="20"/>
      <c r="Q817" s="20"/>
      <c r="R817" s="20"/>
    </row>
    <row r="818" spans="14:18">
      <c r="N818" s="59"/>
      <c r="O818" s="60"/>
      <c r="P818" s="20"/>
      <c r="Q818" s="20"/>
      <c r="R818" s="20"/>
    </row>
    <row r="819" spans="14:18">
      <c r="N819" s="59"/>
      <c r="O819" s="60"/>
      <c r="P819" s="20"/>
      <c r="Q819" s="20"/>
      <c r="R819" s="20"/>
    </row>
    <row r="820" spans="14:18">
      <c r="N820" s="59"/>
      <c r="O820" s="60"/>
      <c r="P820" s="20"/>
      <c r="Q820" s="20"/>
      <c r="R820" s="20"/>
    </row>
    <row r="821" spans="14:18">
      <c r="N821" s="59"/>
      <c r="O821" s="60"/>
      <c r="P821" s="20"/>
      <c r="Q821" s="20"/>
      <c r="R821" s="20"/>
    </row>
    <row r="822" spans="14:18">
      <c r="N822" s="59"/>
      <c r="O822" s="60"/>
      <c r="P822" s="20"/>
      <c r="Q822" s="20"/>
      <c r="R822" s="20"/>
    </row>
    <row r="823" spans="14:18">
      <c r="N823" s="59"/>
      <c r="O823" s="60"/>
      <c r="P823" s="20"/>
      <c r="Q823" s="20"/>
      <c r="R823" s="20"/>
    </row>
    <row r="824" spans="14:18">
      <c r="N824" s="59"/>
      <c r="O824" s="60"/>
      <c r="P824" s="20"/>
      <c r="Q824" s="20"/>
      <c r="R824" s="20"/>
    </row>
    <row r="825" spans="14:18">
      <c r="N825" s="59"/>
      <c r="O825" s="60"/>
      <c r="P825" s="20"/>
      <c r="Q825" s="20"/>
      <c r="R825" s="20"/>
    </row>
    <row r="826" spans="14:18">
      <c r="N826" s="59"/>
      <c r="O826" s="60"/>
      <c r="P826" s="20"/>
      <c r="Q826" s="20"/>
      <c r="R826" s="20"/>
    </row>
    <row r="827" spans="14:18">
      <c r="N827" s="59"/>
      <c r="O827" s="60"/>
      <c r="P827" s="20"/>
      <c r="Q827" s="20"/>
      <c r="R827" s="20"/>
    </row>
    <row r="828" spans="14:18">
      <c r="N828" s="59"/>
      <c r="O828" s="60"/>
      <c r="P828" s="20"/>
      <c r="Q828" s="20"/>
      <c r="R828" s="20"/>
    </row>
    <row r="829" spans="14:18">
      <c r="N829" s="59"/>
      <c r="O829" s="60"/>
      <c r="P829" s="20"/>
      <c r="Q829" s="20"/>
      <c r="R829" s="20"/>
    </row>
    <row r="830" spans="14:18">
      <c r="N830" s="59"/>
      <c r="O830" s="60"/>
      <c r="P830" s="20"/>
      <c r="Q830" s="20"/>
      <c r="R830" s="20"/>
    </row>
    <row r="831" spans="14:18">
      <c r="N831" s="59"/>
      <c r="O831" s="60"/>
      <c r="P831" s="20"/>
      <c r="Q831" s="20"/>
      <c r="R831" s="20"/>
    </row>
    <row r="832" spans="14:18">
      <c r="N832" s="59"/>
      <c r="O832" s="60"/>
      <c r="P832" s="20"/>
      <c r="Q832" s="20"/>
      <c r="R832" s="20"/>
    </row>
    <row r="833" spans="14:18">
      <c r="N833" s="59"/>
      <c r="O833" s="60"/>
      <c r="P833" s="20"/>
      <c r="Q833" s="20"/>
      <c r="R833" s="20"/>
    </row>
    <row r="834" spans="14:18">
      <c r="N834" s="59"/>
      <c r="O834" s="60"/>
      <c r="P834" s="20"/>
      <c r="Q834" s="20"/>
      <c r="R834" s="20"/>
    </row>
    <row r="835" spans="14:18">
      <c r="N835" s="59"/>
      <c r="O835" s="60"/>
      <c r="P835" s="20"/>
      <c r="Q835" s="20"/>
      <c r="R835" s="20"/>
    </row>
    <row r="836" spans="14:18">
      <c r="N836" s="59"/>
      <c r="O836" s="60"/>
      <c r="P836" s="20"/>
      <c r="Q836" s="20"/>
      <c r="R836" s="20"/>
    </row>
    <row r="837" spans="14:18">
      <c r="N837" s="59"/>
      <c r="O837" s="60"/>
      <c r="P837" s="20"/>
      <c r="Q837" s="20"/>
      <c r="R837" s="20"/>
    </row>
    <row r="838" spans="14:18">
      <c r="N838" s="59"/>
      <c r="O838" s="60"/>
      <c r="P838" s="20"/>
      <c r="Q838" s="20"/>
      <c r="R838" s="20"/>
    </row>
    <row r="839" spans="14:18">
      <c r="N839" s="59"/>
      <c r="O839" s="60"/>
      <c r="P839" s="20"/>
      <c r="Q839" s="20"/>
      <c r="R839" s="20"/>
    </row>
    <row r="840" spans="14:18">
      <c r="N840" s="59"/>
      <c r="O840" s="60"/>
      <c r="P840" s="20"/>
      <c r="Q840" s="20"/>
      <c r="R840" s="20"/>
    </row>
    <row r="841" spans="14:18">
      <c r="N841" s="59"/>
      <c r="O841" s="60"/>
      <c r="P841" s="20"/>
      <c r="Q841" s="20"/>
      <c r="R841" s="20"/>
    </row>
    <row r="842" spans="14:18">
      <c r="N842" s="59"/>
      <c r="O842" s="60"/>
      <c r="P842" s="20"/>
      <c r="Q842" s="20"/>
      <c r="R842" s="20"/>
    </row>
    <row r="843" spans="14:18">
      <c r="N843" s="59"/>
      <c r="O843" s="60"/>
      <c r="P843" s="20"/>
      <c r="Q843" s="20"/>
      <c r="R843" s="20"/>
    </row>
    <row r="844" spans="14:18">
      <c r="N844" s="59"/>
      <c r="O844" s="60"/>
      <c r="P844" s="20"/>
      <c r="Q844" s="20"/>
      <c r="R844" s="20"/>
    </row>
    <row r="845" spans="14:18">
      <c r="N845" s="59"/>
      <c r="O845" s="60"/>
      <c r="P845" s="20"/>
      <c r="Q845" s="20"/>
      <c r="R845" s="20"/>
    </row>
    <row r="846" spans="14:18">
      <c r="N846" s="59"/>
      <c r="O846" s="60"/>
      <c r="P846" s="20"/>
      <c r="Q846" s="20"/>
      <c r="R846" s="20"/>
    </row>
    <row r="847" spans="14:18">
      <c r="N847" s="59"/>
      <c r="O847" s="60"/>
      <c r="P847" s="20"/>
      <c r="Q847" s="20"/>
      <c r="R847" s="20"/>
    </row>
    <row r="848" spans="14:18">
      <c r="N848" s="59"/>
      <c r="O848" s="60"/>
      <c r="P848" s="20"/>
      <c r="Q848" s="20"/>
      <c r="R848" s="20"/>
    </row>
    <row r="849" spans="14:18">
      <c r="N849" s="59"/>
      <c r="O849" s="60"/>
      <c r="P849" s="20"/>
      <c r="Q849" s="20"/>
      <c r="R849" s="20"/>
    </row>
    <row r="850" spans="14:18">
      <c r="N850" s="59"/>
      <c r="O850" s="60"/>
      <c r="P850" s="20"/>
      <c r="Q850" s="20"/>
      <c r="R850" s="20"/>
    </row>
    <row r="851" spans="14:18">
      <c r="N851" s="59"/>
      <c r="O851" s="60"/>
      <c r="P851" s="20"/>
      <c r="Q851" s="20"/>
      <c r="R851" s="20"/>
    </row>
    <row r="852" spans="14:18">
      <c r="N852" s="59"/>
      <c r="O852" s="60"/>
      <c r="P852" s="20"/>
      <c r="Q852" s="20"/>
      <c r="R852" s="20"/>
    </row>
    <row r="853" spans="14:18">
      <c r="N853" s="59"/>
      <c r="O853" s="60"/>
      <c r="P853" s="20"/>
      <c r="Q853" s="20"/>
      <c r="R853" s="20"/>
    </row>
    <row r="854" spans="14:18">
      <c r="N854" s="59"/>
      <c r="O854" s="60"/>
      <c r="P854" s="20"/>
      <c r="Q854" s="20"/>
      <c r="R854" s="20"/>
    </row>
    <row r="855" spans="14:18">
      <c r="N855" s="59"/>
      <c r="O855" s="60"/>
      <c r="P855" s="20"/>
      <c r="Q855" s="20"/>
      <c r="R855" s="20"/>
    </row>
    <row r="856" spans="14:18">
      <c r="N856" s="59"/>
      <c r="O856" s="60"/>
      <c r="P856" s="20"/>
      <c r="Q856" s="20"/>
      <c r="R856" s="20"/>
    </row>
    <row r="857" spans="14:18">
      <c r="N857" s="59"/>
      <c r="O857" s="60"/>
      <c r="P857" s="20"/>
      <c r="Q857" s="20"/>
      <c r="R857" s="20"/>
    </row>
    <row r="858" spans="14:18">
      <c r="N858" s="59"/>
      <c r="O858" s="60"/>
      <c r="P858" s="20"/>
      <c r="Q858" s="20"/>
      <c r="R858" s="20"/>
    </row>
    <row r="859" spans="14:18">
      <c r="N859" s="59"/>
      <c r="O859" s="60"/>
      <c r="P859" s="20"/>
      <c r="Q859" s="20"/>
      <c r="R859" s="20"/>
    </row>
    <row r="860" spans="14:18">
      <c r="N860" s="59"/>
      <c r="O860" s="60"/>
      <c r="P860" s="20"/>
      <c r="Q860" s="20"/>
      <c r="R860" s="20"/>
    </row>
    <row r="861" spans="14:18">
      <c r="N861" s="59"/>
      <c r="O861" s="60"/>
      <c r="P861" s="20"/>
      <c r="Q861" s="20"/>
      <c r="R861" s="20"/>
    </row>
    <row r="862" spans="14:18">
      <c r="N862" s="59"/>
      <c r="O862" s="60"/>
      <c r="P862" s="20"/>
      <c r="Q862" s="20"/>
      <c r="R862" s="20"/>
    </row>
    <row r="863" spans="14:18">
      <c r="N863" s="59"/>
      <c r="O863" s="60"/>
      <c r="P863" s="20"/>
      <c r="Q863" s="20"/>
      <c r="R863" s="20"/>
    </row>
    <row r="864" spans="14:18">
      <c r="N864" s="59"/>
      <c r="O864" s="60"/>
      <c r="P864" s="20"/>
      <c r="Q864" s="20"/>
      <c r="R864" s="20"/>
    </row>
    <row r="865" spans="14:18">
      <c r="N865" s="59"/>
      <c r="O865" s="60"/>
      <c r="P865" s="20"/>
      <c r="Q865" s="20"/>
      <c r="R865" s="20"/>
    </row>
    <row r="866" spans="14:18">
      <c r="N866" s="59"/>
      <c r="O866" s="60"/>
      <c r="P866" s="20"/>
      <c r="Q866" s="20"/>
      <c r="R866" s="20"/>
    </row>
    <row r="867" spans="14:18">
      <c r="N867" s="59"/>
      <c r="O867" s="60"/>
      <c r="P867" s="20"/>
      <c r="Q867" s="20"/>
      <c r="R867" s="20"/>
    </row>
    <row r="868" spans="14:18">
      <c r="N868" s="59"/>
      <c r="O868" s="60"/>
      <c r="P868" s="20"/>
      <c r="Q868" s="20"/>
      <c r="R868" s="20"/>
    </row>
    <row r="869" spans="14:18">
      <c r="N869" s="59"/>
      <c r="O869" s="60"/>
      <c r="P869" s="20"/>
      <c r="Q869" s="20"/>
      <c r="R869" s="20"/>
    </row>
    <row r="870" spans="14:18">
      <c r="N870" s="59"/>
      <c r="O870" s="60"/>
      <c r="P870" s="20"/>
      <c r="Q870" s="20"/>
      <c r="R870" s="20"/>
    </row>
    <row r="871" spans="14:18">
      <c r="N871" s="59"/>
      <c r="O871" s="60"/>
      <c r="P871" s="20"/>
      <c r="Q871" s="20"/>
      <c r="R871" s="20"/>
    </row>
    <row r="872" spans="14:18">
      <c r="N872" s="59"/>
      <c r="O872" s="60"/>
      <c r="P872" s="20"/>
      <c r="Q872" s="20"/>
      <c r="R872" s="20"/>
    </row>
    <row r="873" spans="14:18">
      <c r="N873" s="59"/>
      <c r="O873" s="60"/>
      <c r="P873" s="20"/>
      <c r="Q873" s="20"/>
      <c r="R873" s="20"/>
    </row>
    <row r="874" spans="14:18">
      <c r="N874" s="59"/>
      <c r="O874" s="60"/>
      <c r="P874" s="20"/>
      <c r="Q874" s="20"/>
      <c r="R874" s="20"/>
    </row>
    <row r="875" spans="14:18">
      <c r="N875" s="59"/>
      <c r="O875" s="60"/>
      <c r="P875" s="20"/>
      <c r="Q875" s="20"/>
      <c r="R875" s="20"/>
    </row>
    <row r="876" spans="14:18">
      <c r="N876" s="59"/>
      <c r="O876" s="60"/>
      <c r="P876" s="20"/>
      <c r="Q876" s="20"/>
      <c r="R876" s="20"/>
    </row>
    <row r="877" spans="14:18">
      <c r="N877" s="59"/>
      <c r="O877" s="60"/>
      <c r="P877" s="20"/>
      <c r="Q877" s="20"/>
      <c r="R877" s="20"/>
    </row>
    <row r="878" spans="14:18">
      <c r="N878" s="59"/>
      <c r="O878" s="60"/>
      <c r="P878" s="20"/>
      <c r="Q878" s="20"/>
      <c r="R878" s="20"/>
    </row>
    <row r="879" spans="14:18">
      <c r="N879" s="59"/>
      <c r="O879" s="60"/>
      <c r="P879" s="20"/>
      <c r="Q879" s="20"/>
      <c r="R879" s="20"/>
    </row>
    <row r="880" spans="14:18">
      <c r="N880" s="59"/>
      <c r="O880" s="60"/>
      <c r="P880" s="20"/>
      <c r="Q880" s="20"/>
      <c r="R880" s="20"/>
    </row>
    <row r="881" spans="14:18">
      <c r="N881" s="59"/>
      <c r="O881" s="60"/>
      <c r="P881" s="20"/>
      <c r="Q881" s="20"/>
      <c r="R881" s="20"/>
    </row>
    <row r="882" spans="14:18">
      <c r="N882" s="59"/>
      <c r="O882" s="60"/>
      <c r="P882" s="20"/>
      <c r="Q882" s="20"/>
      <c r="R882" s="20"/>
    </row>
    <row r="883" spans="14:18">
      <c r="N883" s="59"/>
      <c r="O883" s="60"/>
      <c r="P883" s="20"/>
      <c r="Q883" s="20"/>
      <c r="R883" s="20"/>
    </row>
    <row r="884" spans="14:18">
      <c r="N884" s="59"/>
      <c r="O884" s="60"/>
      <c r="P884" s="20"/>
      <c r="Q884" s="20"/>
      <c r="R884" s="20"/>
    </row>
    <row r="885" spans="14:18">
      <c r="N885" s="59"/>
      <c r="O885" s="60"/>
      <c r="P885" s="20"/>
      <c r="Q885" s="20"/>
      <c r="R885" s="20"/>
    </row>
    <row r="886" spans="14:18">
      <c r="N886" s="59"/>
      <c r="O886" s="60"/>
      <c r="P886" s="20"/>
      <c r="Q886" s="20"/>
      <c r="R886" s="20"/>
    </row>
    <row r="887" spans="14:18">
      <c r="N887" s="59"/>
      <c r="O887" s="60"/>
      <c r="P887" s="20"/>
      <c r="Q887" s="20"/>
      <c r="R887" s="20"/>
    </row>
    <row r="888" spans="14:18">
      <c r="N888" s="59"/>
      <c r="O888" s="60"/>
      <c r="P888" s="20"/>
      <c r="Q888" s="20"/>
      <c r="R888" s="20"/>
    </row>
    <row r="889" spans="14:18">
      <c r="N889" s="59"/>
      <c r="O889" s="60"/>
      <c r="P889" s="20"/>
      <c r="Q889" s="20"/>
      <c r="R889" s="20"/>
    </row>
    <row r="890" spans="14:18">
      <c r="N890" s="59"/>
      <c r="O890" s="60"/>
      <c r="P890" s="20"/>
      <c r="Q890" s="20"/>
      <c r="R890" s="20"/>
    </row>
    <row r="891" spans="14:18">
      <c r="N891" s="59"/>
      <c r="O891" s="60"/>
      <c r="P891" s="20"/>
      <c r="Q891" s="20"/>
      <c r="R891" s="20"/>
    </row>
    <row r="892" spans="14:18">
      <c r="N892" s="59"/>
      <c r="O892" s="60"/>
      <c r="P892" s="20"/>
      <c r="Q892" s="20"/>
      <c r="R892" s="20"/>
    </row>
    <row r="893" spans="14:18">
      <c r="N893" s="59"/>
      <c r="O893" s="60"/>
      <c r="P893" s="20"/>
      <c r="Q893" s="20"/>
      <c r="R893" s="20"/>
    </row>
    <row r="894" spans="14:18">
      <c r="N894" s="59"/>
      <c r="O894" s="60"/>
      <c r="P894" s="20"/>
      <c r="Q894" s="20"/>
      <c r="R894" s="20"/>
    </row>
    <row r="895" spans="14:18">
      <c r="N895" s="59"/>
      <c r="O895" s="60"/>
      <c r="P895" s="20"/>
      <c r="Q895" s="20"/>
      <c r="R895" s="20"/>
    </row>
    <row r="896" spans="14:18">
      <c r="N896" s="59"/>
      <c r="O896" s="60"/>
      <c r="P896" s="20"/>
      <c r="Q896" s="20"/>
      <c r="R896" s="20"/>
    </row>
    <row r="897" spans="14:18">
      <c r="N897" s="59"/>
      <c r="O897" s="60"/>
      <c r="P897" s="20"/>
      <c r="Q897" s="20"/>
      <c r="R897" s="20"/>
    </row>
    <row r="898" spans="14:18">
      <c r="N898" s="59"/>
      <c r="O898" s="60"/>
      <c r="P898" s="20"/>
      <c r="Q898" s="20"/>
      <c r="R898" s="20"/>
    </row>
    <row r="899" spans="14:18">
      <c r="N899" s="59"/>
      <c r="O899" s="60"/>
      <c r="P899" s="20"/>
      <c r="Q899" s="20"/>
      <c r="R899" s="20"/>
    </row>
    <row r="900" spans="14:18">
      <c r="N900" s="59"/>
      <c r="O900" s="60"/>
      <c r="P900" s="20"/>
      <c r="Q900" s="20"/>
      <c r="R900" s="20"/>
    </row>
    <row r="901" spans="14:18">
      <c r="N901" s="59"/>
      <c r="O901" s="60"/>
      <c r="P901" s="20"/>
      <c r="Q901" s="20"/>
      <c r="R901" s="20"/>
    </row>
    <row r="902" spans="14:18">
      <c r="N902" s="59"/>
      <c r="O902" s="60"/>
      <c r="P902" s="20"/>
      <c r="Q902" s="20"/>
      <c r="R902" s="20"/>
    </row>
    <row r="903" spans="14:18">
      <c r="N903" s="59"/>
      <c r="O903" s="60"/>
      <c r="P903" s="20"/>
      <c r="Q903" s="20"/>
      <c r="R903" s="20"/>
    </row>
    <row r="904" spans="14:18">
      <c r="N904" s="59"/>
      <c r="O904" s="60"/>
      <c r="P904" s="20"/>
      <c r="Q904" s="20"/>
      <c r="R904" s="20"/>
    </row>
    <row r="905" spans="14:18">
      <c r="N905" s="59"/>
      <c r="O905" s="60"/>
      <c r="P905" s="20"/>
      <c r="Q905" s="20"/>
      <c r="R905" s="20"/>
    </row>
    <row r="906" spans="14:18">
      <c r="N906" s="59"/>
      <c r="O906" s="60"/>
      <c r="P906" s="20"/>
      <c r="Q906" s="20"/>
      <c r="R906" s="20"/>
    </row>
    <row r="907" spans="14:18">
      <c r="N907" s="59"/>
      <c r="O907" s="60"/>
      <c r="P907" s="20"/>
      <c r="Q907" s="20"/>
      <c r="R907" s="20"/>
    </row>
    <row r="908" spans="14:18">
      <c r="N908" s="59"/>
      <c r="O908" s="60"/>
      <c r="P908" s="20"/>
      <c r="Q908" s="20"/>
      <c r="R908" s="20"/>
    </row>
    <row r="909" spans="14:18">
      <c r="N909" s="59"/>
      <c r="O909" s="60"/>
      <c r="P909" s="20"/>
      <c r="Q909" s="20"/>
      <c r="R909" s="20"/>
    </row>
    <row r="910" spans="14:18">
      <c r="N910" s="59"/>
      <c r="O910" s="60"/>
      <c r="P910" s="20"/>
      <c r="Q910" s="20"/>
      <c r="R910" s="20"/>
    </row>
    <row r="911" spans="14:18">
      <c r="N911" s="59"/>
      <c r="O911" s="60"/>
      <c r="P911" s="20"/>
      <c r="Q911" s="20"/>
      <c r="R911" s="20"/>
    </row>
    <row r="912" spans="14:18">
      <c r="N912" s="59"/>
      <c r="O912" s="60"/>
      <c r="P912" s="20"/>
      <c r="Q912" s="20"/>
      <c r="R912" s="20"/>
    </row>
    <row r="913" spans="14:18">
      <c r="N913" s="59"/>
      <c r="O913" s="60"/>
      <c r="P913" s="20"/>
      <c r="Q913" s="20"/>
      <c r="R913" s="20"/>
    </row>
    <row r="914" spans="14:18">
      <c r="N914" s="59"/>
      <c r="O914" s="60"/>
      <c r="P914" s="20"/>
      <c r="Q914" s="20"/>
      <c r="R914" s="20"/>
    </row>
    <row r="915" spans="14:18">
      <c r="N915" s="59"/>
      <c r="O915" s="60"/>
      <c r="P915" s="20"/>
      <c r="Q915" s="20"/>
      <c r="R915" s="20"/>
    </row>
    <row r="916" spans="14:18">
      <c r="N916" s="59"/>
      <c r="O916" s="60"/>
      <c r="P916" s="20"/>
      <c r="Q916" s="20"/>
      <c r="R916" s="20"/>
    </row>
    <row r="917" spans="14:18">
      <c r="N917" s="59"/>
      <c r="O917" s="60"/>
      <c r="P917" s="20"/>
      <c r="Q917" s="20"/>
      <c r="R917" s="20"/>
    </row>
    <row r="918" spans="14:18">
      <c r="N918" s="59"/>
      <c r="O918" s="60"/>
      <c r="P918" s="20"/>
      <c r="Q918" s="20"/>
      <c r="R918" s="20"/>
    </row>
    <row r="919" spans="14:18">
      <c r="N919" s="59"/>
      <c r="O919" s="60"/>
      <c r="P919" s="20"/>
      <c r="Q919" s="20"/>
      <c r="R919" s="20"/>
    </row>
    <row r="920" spans="14:18">
      <c r="N920" s="59"/>
      <c r="O920" s="60"/>
      <c r="P920" s="20"/>
      <c r="Q920" s="20"/>
      <c r="R920" s="20"/>
    </row>
    <row r="921" spans="14:18">
      <c r="N921" s="59"/>
      <c r="O921" s="60"/>
      <c r="P921" s="20"/>
      <c r="Q921" s="20"/>
      <c r="R921" s="20"/>
    </row>
    <row r="922" spans="14:18">
      <c r="N922" s="59"/>
      <c r="O922" s="60"/>
      <c r="P922" s="20"/>
      <c r="Q922" s="20"/>
      <c r="R922" s="20"/>
    </row>
    <row r="923" spans="14:18">
      <c r="N923" s="59"/>
      <c r="O923" s="60"/>
      <c r="P923" s="20"/>
      <c r="Q923" s="20"/>
      <c r="R923" s="20"/>
    </row>
    <row r="924" spans="14:18">
      <c r="N924" s="59"/>
      <c r="O924" s="60"/>
      <c r="P924" s="20"/>
      <c r="Q924" s="20"/>
      <c r="R924" s="20"/>
    </row>
    <row r="925" spans="14:18">
      <c r="N925" s="59"/>
      <c r="O925" s="60"/>
      <c r="P925" s="20"/>
      <c r="Q925" s="20"/>
      <c r="R925" s="20"/>
    </row>
    <row r="926" spans="14:18">
      <c r="N926" s="59"/>
      <c r="O926" s="60"/>
      <c r="P926" s="20"/>
      <c r="Q926" s="20"/>
      <c r="R926" s="20"/>
    </row>
    <row r="927" spans="14:18">
      <c r="N927" s="59"/>
      <c r="O927" s="60"/>
      <c r="P927" s="20"/>
      <c r="Q927" s="20"/>
      <c r="R927" s="20"/>
    </row>
    <row r="928" spans="14:18">
      <c r="N928" s="59"/>
      <c r="O928" s="60"/>
      <c r="P928" s="20"/>
      <c r="Q928" s="20"/>
      <c r="R928" s="20"/>
    </row>
    <row r="929" spans="14:18">
      <c r="N929" s="59"/>
      <c r="O929" s="60"/>
      <c r="P929" s="20"/>
      <c r="Q929" s="20"/>
      <c r="R929" s="20"/>
    </row>
    <row r="930" spans="14:18">
      <c r="N930" s="59"/>
      <c r="O930" s="60"/>
      <c r="P930" s="20"/>
      <c r="Q930" s="20"/>
      <c r="R930" s="20"/>
    </row>
    <row r="931" spans="14:18">
      <c r="N931" s="59"/>
      <c r="O931" s="60"/>
      <c r="P931" s="20"/>
      <c r="Q931" s="20"/>
      <c r="R931" s="20"/>
    </row>
    <row r="932" spans="14:18">
      <c r="N932" s="59"/>
      <c r="O932" s="60"/>
      <c r="P932" s="20"/>
      <c r="Q932" s="20"/>
      <c r="R932" s="20"/>
    </row>
    <row r="933" spans="14:18">
      <c r="N933" s="59"/>
      <c r="O933" s="60"/>
      <c r="P933" s="20"/>
      <c r="Q933" s="20"/>
      <c r="R933" s="20"/>
    </row>
    <row r="934" spans="14:18">
      <c r="N934" s="59"/>
      <c r="O934" s="60"/>
      <c r="P934" s="20"/>
      <c r="Q934" s="20"/>
      <c r="R934" s="20"/>
    </row>
    <row r="935" spans="14:18">
      <c r="N935" s="59"/>
      <c r="O935" s="60"/>
      <c r="P935" s="20"/>
      <c r="Q935" s="20"/>
      <c r="R935" s="20"/>
    </row>
    <row r="936" spans="14:18">
      <c r="N936" s="59"/>
      <c r="O936" s="60"/>
      <c r="P936" s="20"/>
      <c r="Q936" s="20"/>
      <c r="R936" s="20"/>
    </row>
    <row r="937" spans="14:18">
      <c r="N937" s="59"/>
      <c r="O937" s="60"/>
      <c r="P937" s="20"/>
      <c r="Q937" s="20"/>
      <c r="R937" s="20"/>
    </row>
    <row r="938" spans="14:18">
      <c r="N938" s="59"/>
      <c r="O938" s="60"/>
      <c r="P938" s="20"/>
      <c r="Q938" s="20"/>
      <c r="R938" s="20"/>
    </row>
    <row r="939" spans="14:18">
      <c r="N939" s="59"/>
      <c r="O939" s="60"/>
      <c r="P939" s="20"/>
      <c r="Q939" s="20"/>
      <c r="R939" s="20"/>
    </row>
    <row r="940" spans="14:18">
      <c r="N940" s="59"/>
      <c r="O940" s="60"/>
      <c r="P940" s="20"/>
      <c r="Q940" s="20"/>
      <c r="R940" s="20"/>
    </row>
    <row r="941" spans="14:18">
      <c r="N941" s="59"/>
      <c r="O941" s="60"/>
      <c r="P941" s="20"/>
      <c r="Q941" s="20"/>
      <c r="R941" s="20"/>
    </row>
    <row r="942" spans="14:18">
      <c r="N942" s="59"/>
      <c r="O942" s="60"/>
      <c r="P942" s="20"/>
      <c r="Q942" s="20"/>
      <c r="R942" s="20"/>
    </row>
    <row r="943" spans="14:18">
      <c r="N943" s="59"/>
      <c r="O943" s="60"/>
      <c r="P943" s="20"/>
      <c r="Q943" s="20"/>
      <c r="R943" s="20"/>
    </row>
    <row r="944" spans="14:18">
      <c r="N944" s="59"/>
      <c r="O944" s="60"/>
      <c r="P944" s="20"/>
      <c r="Q944" s="20"/>
      <c r="R944" s="20"/>
    </row>
    <row r="945" spans="14:18">
      <c r="N945" s="59"/>
      <c r="O945" s="60"/>
      <c r="P945" s="20"/>
      <c r="Q945" s="20"/>
      <c r="R945" s="20"/>
    </row>
    <row r="946" spans="14:18">
      <c r="N946" s="59"/>
      <c r="O946" s="60"/>
      <c r="P946" s="20"/>
      <c r="Q946" s="20"/>
      <c r="R946" s="20"/>
    </row>
    <row r="947" spans="14:18">
      <c r="N947" s="59"/>
      <c r="O947" s="60"/>
      <c r="P947" s="20"/>
      <c r="Q947" s="20"/>
      <c r="R947" s="20"/>
    </row>
    <row r="948" spans="14:18">
      <c r="N948" s="59"/>
      <c r="O948" s="60"/>
      <c r="P948" s="20"/>
      <c r="Q948" s="20"/>
      <c r="R948" s="20"/>
    </row>
    <row r="949" spans="14:18">
      <c r="N949" s="59"/>
      <c r="O949" s="60"/>
      <c r="P949" s="20"/>
      <c r="Q949" s="20"/>
      <c r="R949" s="20"/>
    </row>
    <row r="950" spans="14:18">
      <c r="N950" s="59"/>
      <c r="O950" s="60"/>
      <c r="P950" s="20"/>
      <c r="Q950" s="20"/>
      <c r="R950" s="20"/>
    </row>
    <row r="951" spans="14:18">
      <c r="N951" s="59"/>
      <c r="O951" s="60"/>
      <c r="P951" s="20"/>
      <c r="Q951" s="20"/>
      <c r="R951" s="20"/>
    </row>
    <row r="952" spans="14:18">
      <c r="N952" s="59"/>
      <c r="O952" s="60"/>
      <c r="P952" s="20"/>
      <c r="Q952" s="20"/>
      <c r="R952" s="20"/>
    </row>
    <row r="953" spans="14:18">
      <c r="N953" s="59"/>
      <c r="O953" s="60"/>
      <c r="P953" s="20"/>
      <c r="Q953" s="20"/>
      <c r="R953" s="20"/>
    </row>
    <row r="954" spans="14:18">
      <c r="N954" s="59"/>
      <c r="O954" s="60"/>
      <c r="P954" s="20"/>
      <c r="Q954" s="20"/>
      <c r="R954" s="20"/>
    </row>
    <row r="955" spans="14:18">
      <c r="N955" s="59"/>
      <c r="O955" s="60"/>
      <c r="P955" s="20"/>
      <c r="Q955" s="20"/>
      <c r="R955" s="20"/>
    </row>
    <row r="956" spans="14:18">
      <c r="N956" s="59"/>
      <c r="O956" s="60"/>
      <c r="P956" s="20"/>
      <c r="Q956" s="20"/>
      <c r="R956" s="20"/>
    </row>
    <row r="957" spans="14:18">
      <c r="N957" s="59"/>
      <c r="O957" s="60"/>
      <c r="P957" s="20"/>
      <c r="Q957" s="20"/>
      <c r="R957" s="20"/>
    </row>
    <row r="958" spans="14:18">
      <c r="N958" s="59"/>
      <c r="O958" s="60"/>
      <c r="P958" s="20"/>
      <c r="Q958" s="20"/>
      <c r="R958" s="20"/>
    </row>
    <row r="959" spans="14:18">
      <c r="N959" s="59"/>
      <c r="O959" s="60"/>
      <c r="P959" s="20"/>
      <c r="Q959" s="20"/>
      <c r="R959" s="20"/>
    </row>
    <row r="960" spans="14:18">
      <c r="N960" s="59"/>
      <c r="O960" s="60"/>
      <c r="P960" s="20"/>
      <c r="Q960" s="20"/>
      <c r="R960" s="20"/>
    </row>
    <row r="961" spans="14:18">
      <c r="N961" s="59"/>
      <c r="O961" s="60"/>
      <c r="P961" s="20"/>
      <c r="Q961" s="20"/>
      <c r="R961" s="20"/>
    </row>
    <row r="962" spans="14:18">
      <c r="N962" s="59"/>
      <c r="O962" s="60"/>
      <c r="P962" s="20"/>
      <c r="Q962" s="20"/>
      <c r="R962" s="20"/>
    </row>
    <row r="963" spans="14:18">
      <c r="N963" s="59"/>
      <c r="O963" s="60"/>
      <c r="P963" s="20"/>
      <c r="Q963" s="20"/>
      <c r="R963" s="20"/>
    </row>
    <row r="964" spans="14:18">
      <c r="N964" s="59"/>
      <c r="O964" s="60"/>
      <c r="P964" s="20"/>
      <c r="Q964" s="20"/>
      <c r="R964" s="20"/>
    </row>
    <row r="965" spans="14:18">
      <c r="N965" s="59"/>
      <c r="O965" s="60"/>
      <c r="P965" s="20"/>
      <c r="Q965" s="20"/>
      <c r="R965" s="20"/>
    </row>
    <row r="966" spans="14:18">
      <c r="N966" s="59"/>
      <c r="O966" s="60"/>
      <c r="P966" s="20"/>
      <c r="Q966" s="20"/>
      <c r="R966" s="20"/>
    </row>
    <row r="967" spans="14:18">
      <c r="N967" s="59"/>
      <c r="O967" s="60"/>
      <c r="P967" s="20"/>
      <c r="Q967" s="20"/>
      <c r="R967" s="20"/>
    </row>
    <row r="968" spans="14:18">
      <c r="N968" s="59"/>
      <c r="O968" s="60"/>
      <c r="P968" s="20"/>
      <c r="Q968" s="20"/>
      <c r="R968" s="20"/>
    </row>
    <row r="969" spans="14:18">
      <c r="N969" s="59"/>
      <c r="O969" s="60"/>
      <c r="P969" s="20"/>
      <c r="Q969" s="20"/>
      <c r="R969" s="20"/>
    </row>
    <row r="970" spans="14:18">
      <c r="N970" s="59"/>
      <c r="O970" s="60"/>
      <c r="P970" s="20"/>
      <c r="Q970" s="20"/>
      <c r="R970" s="20"/>
    </row>
    <row r="971" spans="14:18">
      <c r="N971" s="59"/>
      <c r="O971" s="60"/>
      <c r="P971" s="20"/>
      <c r="Q971" s="20"/>
      <c r="R971" s="20"/>
    </row>
    <row r="972" spans="14:18">
      <c r="N972" s="59"/>
      <c r="O972" s="60"/>
      <c r="P972" s="20"/>
      <c r="Q972" s="20"/>
      <c r="R972" s="20"/>
    </row>
    <row r="973" spans="14:18">
      <c r="N973" s="59"/>
      <c r="O973" s="60"/>
      <c r="P973" s="20"/>
      <c r="Q973" s="20"/>
      <c r="R973" s="20"/>
    </row>
    <row r="974" spans="14:18">
      <c r="N974" s="59"/>
      <c r="O974" s="60"/>
      <c r="P974" s="20"/>
      <c r="Q974" s="20"/>
      <c r="R974" s="20"/>
    </row>
    <row r="975" spans="14:18">
      <c r="N975" s="59"/>
      <c r="O975" s="60"/>
      <c r="P975" s="20"/>
      <c r="Q975" s="20"/>
      <c r="R975" s="20"/>
    </row>
    <row r="976" spans="14:18">
      <c r="N976" s="59"/>
      <c r="O976" s="60"/>
      <c r="P976" s="20"/>
      <c r="Q976" s="20"/>
      <c r="R976" s="20"/>
    </row>
    <row r="977" spans="14:18">
      <c r="N977" s="59"/>
      <c r="O977" s="60"/>
      <c r="P977" s="20"/>
      <c r="Q977" s="20"/>
      <c r="R977" s="20"/>
    </row>
    <row r="978" spans="14:18">
      <c r="N978" s="59"/>
      <c r="O978" s="60"/>
      <c r="P978" s="20"/>
      <c r="Q978" s="20"/>
      <c r="R978" s="20"/>
    </row>
    <row r="979" spans="14:18">
      <c r="N979" s="59"/>
      <c r="O979" s="60"/>
      <c r="P979" s="20"/>
      <c r="Q979" s="20"/>
      <c r="R979" s="20"/>
    </row>
    <row r="980" spans="14:18">
      <c r="N980" s="59"/>
      <c r="O980" s="60"/>
      <c r="P980" s="20"/>
      <c r="Q980" s="20"/>
      <c r="R980" s="20"/>
    </row>
    <row r="981" spans="14:18">
      <c r="N981" s="59"/>
      <c r="O981" s="60"/>
      <c r="P981" s="20"/>
      <c r="Q981" s="20"/>
      <c r="R981" s="20"/>
    </row>
    <row r="982" spans="14:18">
      <c r="N982" s="59"/>
      <c r="O982" s="60"/>
      <c r="P982" s="20"/>
      <c r="Q982" s="20"/>
      <c r="R982" s="20"/>
    </row>
    <row r="983" spans="14:18">
      <c r="N983" s="59"/>
      <c r="O983" s="60"/>
      <c r="P983" s="20"/>
      <c r="Q983" s="20"/>
      <c r="R983" s="20"/>
    </row>
    <row r="984" spans="14:18">
      <c r="N984" s="59"/>
      <c r="O984" s="60"/>
      <c r="P984" s="20"/>
      <c r="Q984" s="20"/>
      <c r="R984" s="20"/>
    </row>
    <row r="985" spans="14:18">
      <c r="N985" s="59"/>
      <c r="O985" s="60"/>
      <c r="P985" s="20"/>
      <c r="Q985" s="20"/>
      <c r="R985" s="20"/>
    </row>
    <row r="986" spans="14:18">
      <c r="N986" s="59"/>
      <c r="O986" s="60"/>
      <c r="P986" s="20"/>
      <c r="Q986" s="20"/>
      <c r="R986" s="20"/>
    </row>
    <row r="987" spans="14:18">
      <c r="N987" s="59"/>
      <c r="O987" s="60"/>
      <c r="P987" s="20"/>
      <c r="Q987" s="20"/>
      <c r="R987" s="20"/>
    </row>
    <row r="988" spans="14:18">
      <c r="N988" s="59"/>
      <c r="O988" s="60"/>
      <c r="P988" s="20"/>
      <c r="Q988" s="20"/>
      <c r="R988" s="20"/>
    </row>
    <row r="989" spans="14:18">
      <c r="N989" s="59"/>
      <c r="O989" s="60"/>
      <c r="P989" s="20"/>
      <c r="Q989" s="20"/>
      <c r="R989" s="20"/>
    </row>
    <row r="990" spans="14:18">
      <c r="N990" s="59"/>
      <c r="O990" s="60"/>
      <c r="P990" s="20"/>
      <c r="Q990" s="20"/>
      <c r="R990" s="20"/>
    </row>
    <row r="991" spans="14:18">
      <c r="N991" s="59"/>
      <c r="O991" s="60"/>
      <c r="P991" s="20"/>
      <c r="Q991" s="20"/>
      <c r="R991" s="20"/>
    </row>
    <row r="992" spans="14:18">
      <c r="N992" s="59"/>
      <c r="O992" s="60"/>
      <c r="P992" s="20"/>
      <c r="Q992" s="20"/>
      <c r="R992" s="20"/>
    </row>
    <row r="993" spans="14:18">
      <c r="N993" s="59"/>
      <c r="O993" s="60"/>
      <c r="P993" s="20"/>
      <c r="Q993" s="20"/>
      <c r="R993" s="20"/>
    </row>
    <row r="994" spans="14:18">
      <c r="N994" s="59"/>
      <c r="O994" s="60"/>
      <c r="P994" s="20"/>
      <c r="Q994" s="20"/>
      <c r="R994" s="20"/>
    </row>
    <row r="995" spans="14:18">
      <c r="N995" s="59"/>
      <c r="O995" s="60"/>
      <c r="P995" s="20"/>
      <c r="Q995" s="20"/>
      <c r="R995" s="20"/>
    </row>
    <row r="996" spans="14:18">
      <c r="N996" s="59"/>
      <c r="O996" s="60"/>
      <c r="P996" s="20"/>
      <c r="Q996" s="20"/>
      <c r="R996" s="20"/>
    </row>
    <row r="997" spans="14:18">
      <c r="N997" s="59"/>
      <c r="O997" s="60"/>
      <c r="P997" s="20"/>
      <c r="Q997" s="20"/>
      <c r="R997" s="20"/>
    </row>
    <row r="998" spans="14:18">
      <c r="N998" s="59"/>
      <c r="O998" s="60"/>
      <c r="P998" s="20"/>
      <c r="Q998" s="20"/>
      <c r="R998" s="20"/>
    </row>
    <row r="999" spans="14:18">
      <c r="N999" s="59"/>
      <c r="O999" s="60"/>
      <c r="P999" s="20"/>
      <c r="Q999" s="20"/>
      <c r="R999" s="20"/>
    </row>
    <row r="1000" spans="14:18">
      <c r="N1000" s="59"/>
      <c r="O1000" s="60"/>
      <c r="P1000" s="20"/>
      <c r="Q1000" s="20"/>
      <c r="R1000" s="20"/>
    </row>
  </sheetData>
  <autoFilter ref="A1:R1000" xr:uid="{00000000-0009-0000-0000-000006000000}"/>
  <hyperlinks>
    <hyperlink ref="E2" r:id="rId1" xr:uid="{00000000-0004-0000-0600-000000000000}"/>
    <hyperlink ref="E3" r:id="rId2" xr:uid="{00000000-0004-0000-0600-000001000000}"/>
    <hyperlink ref="E4" r:id="rId3" xr:uid="{00000000-0004-0000-0600-000002000000}"/>
    <hyperlink ref="E5" r:id="rId4" xr:uid="{00000000-0004-0000-0600-000003000000}"/>
    <hyperlink ref="E6" r:id="rId5" xr:uid="{00000000-0004-0000-0600-000004000000}"/>
    <hyperlink ref="E7" r:id="rId6" xr:uid="{00000000-0004-0000-0600-000005000000}"/>
    <hyperlink ref="E8" r:id="rId7" xr:uid="{00000000-0004-0000-0600-000006000000}"/>
    <hyperlink ref="E9" r:id="rId8" xr:uid="{00000000-0004-0000-0600-000007000000}"/>
    <hyperlink ref="E10" r:id="rId9" xr:uid="{00000000-0004-0000-0600-000008000000}"/>
    <hyperlink ref="E11" r:id="rId10" xr:uid="{00000000-0004-0000-0600-000009000000}"/>
    <hyperlink ref="E12" r:id="rId11" xr:uid="{00000000-0004-0000-0600-00000A000000}"/>
    <hyperlink ref="E13" r:id="rId12" xr:uid="{00000000-0004-0000-0600-00000B000000}"/>
    <hyperlink ref="E14" r:id="rId13" xr:uid="{00000000-0004-0000-0600-00000C000000}"/>
    <hyperlink ref="E15" r:id="rId14" xr:uid="{00000000-0004-0000-0600-00000D000000}"/>
    <hyperlink ref="E16" r:id="rId15" xr:uid="{00000000-0004-0000-0600-00000E000000}"/>
    <hyperlink ref="E17" r:id="rId16" xr:uid="{00000000-0004-0000-0600-00000F000000}"/>
    <hyperlink ref="E18" r:id="rId17" xr:uid="{00000000-0004-0000-0600-000010000000}"/>
    <hyperlink ref="E19" r:id="rId18" xr:uid="{00000000-0004-0000-0600-000011000000}"/>
    <hyperlink ref="E20" r:id="rId19" xr:uid="{00000000-0004-0000-0600-000012000000}"/>
    <hyperlink ref="E21" r:id="rId20" xr:uid="{00000000-0004-0000-0600-000013000000}"/>
    <hyperlink ref="E22" r:id="rId21" xr:uid="{00000000-0004-0000-0600-000014000000}"/>
    <hyperlink ref="E23" r:id="rId22" xr:uid="{00000000-0004-0000-0600-000015000000}"/>
    <hyperlink ref="E24" r:id="rId23" xr:uid="{00000000-0004-0000-0600-000016000000}"/>
    <hyperlink ref="E25" r:id="rId24" xr:uid="{00000000-0004-0000-0600-000017000000}"/>
    <hyperlink ref="E26" r:id="rId25" xr:uid="{00000000-0004-0000-0600-000018000000}"/>
    <hyperlink ref="E27" r:id="rId26" xr:uid="{00000000-0004-0000-0600-000019000000}"/>
    <hyperlink ref="E28" r:id="rId27" xr:uid="{00000000-0004-0000-0600-00001A000000}"/>
    <hyperlink ref="E29" r:id="rId28" xr:uid="{00000000-0004-0000-0600-00001B000000}"/>
    <hyperlink ref="E30" r:id="rId29" xr:uid="{00000000-0004-0000-0600-00001C000000}"/>
    <hyperlink ref="E31" r:id="rId30" xr:uid="{00000000-0004-0000-0600-00001D000000}"/>
    <hyperlink ref="E32" r:id="rId31" xr:uid="{00000000-0004-0000-0600-00001E000000}"/>
    <hyperlink ref="E33" r:id="rId32" xr:uid="{00000000-0004-0000-0600-00001F000000}"/>
    <hyperlink ref="E34" r:id="rId33" xr:uid="{00000000-0004-0000-0600-000020000000}"/>
    <hyperlink ref="E35" r:id="rId34" xr:uid="{00000000-0004-0000-0600-000021000000}"/>
    <hyperlink ref="E36" r:id="rId35" xr:uid="{00000000-0004-0000-0600-000022000000}"/>
    <hyperlink ref="E37" r:id="rId36" xr:uid="{00000000-0004-0000-0600-000023000000}"/>
    <hyperlink ref="E38" r:id="rId37" xr:uid="{00000000-0004-0000-0600-000024000000}"/>
    <hyperlink ref="E39" r:id="rId38" xr:uid="{00000000-0004-0000-0600-000025000000}"/>
    <hyperlink ref="E40" r:id="rId39" xr:uid="{00000000-0004-0000-0600-000026000000}"/>
    <hyperlink ref="E41" r:id="rId40" xr:uid="{00000000-0004-0000-0600-000027000000}"/>
    <hyperlink ref="E42" r:id="rId41" xr:uid="{00000000-0004-0000-0600-000028000000}"/>
    <hyperlink ref="E43" r:id="rId42" xr:uid="{00000000-0004-0000-0600-000029000000}"/>
    <hyperlink ref="E44" r:id="rId43" xr:uid="{00000000-0004-0000-0600-00002A000000}"/>
    <hyperlink ref="E45" r:id="rId44" xr:uid="{00000000-0004-0000-0600-00002B000000}"/>
    <hyperlink ref="E46" r:id="rId45" xr:uid="{00000000-0004-0000-0600-00002C000000}"/>
    <hyperlink ref="E47" r:id="rId46" xr:uid="{00000000-0004-0000-0600-00002D000000}"/>
    <hyperlink ref="E48" r:id="rId47" xr:uid="{00000000-0004-0000-0600-00002E000000}"/>
    <hyperlink ref="E49" r:id="rId48" xr:uid="{00000000-0004-0000-0600-00002F000000}"/>
    <hyperlink ref="E50" r:id="rId49" xr:uid="{00000000-0004-0000-0600-000030000000}"/>
    <hyperlink ref="E51" r:id="rId50" xr:uid="{00000000-0004-0000-0600-000031000000}"/>
    <hyperlink ref="E52" r:id="rId51" xr:uid="{00000000-0004-0000-0600-000032000000}"/>
    <hyperlink ref="E53" r:id="rId52" xr:uid="{00000000-0004-0000-0600-000033000000}"/>
    <hyperlink ref="E54" r:id="rId53" xr:uid="{00000000-0004-0000-0600-000034000000}"/>
    <hyperlink ref="E55" r:id="rId54" xr:uid="{00000000-0004-0000-0600-000035000000}"/>
    <hyperlink ref="E56" r:id="rId55" xr:uid="{00000000-0004-0000-0600-000036000000}"/>
    <hyperlink ref="E57" r:id="rId56" xr:uid="{00000000-0004-0000-0600-000037000000}"/>
    <hyperlink ref="E58" r:id="rId57" xr:uid="{00000000-0004-0000-0600-000038000000}"/>
    <hyperlink ref="E59" r:id="rId58" xr:uid="{00000000-0004-0000-0600-000039000000}"/>
    <hyperlink ref="E60" r:id="rId59" xr:uid="{00000000-0004-0000-0600-00003A000000}"/>
    <hyperlink ref="E61" r:id="rId60" xr:uid="{00000000-0004-0000-0600-00003B000000}"/>
    <hyperlink ref="E62" r:id="rId61" xr:uid="{00000000-0004-0000-0600-00003C000000}"/>
    <hyperlink ref="A63" r:id="rId62" xr:uid="{00000000-0004-0000-0600-00003D000000}"/>
    <hyperlink ref="E63" r:id="rId63" xr:uid="{00000000-0004-0000-0600-00003E000000}"/>
    <hyperlink ref="E64" r:id="rId64" xr:uid="{00000000-0004-0000-0600-00003F000000}"/>
    <hyperlink ref="E65" r:id="rId65" xr:uid="{00000000-0004-0000-0600-000040000000}"/>
    <hyperlink ref="E66" r:id="rId66" xr:uid="{00000000-0004-0000-0600-000041000000}"/>
    <hyperlink ref="E67" r:id="rId67" xr:uid="{00000000-0004-0000-0600-000042000000}"/>
    <hyperlink ref="E68" r:id="rId68" xr:uid="{00000000-0004-0000-0600-000043000000}"/>
    <hyperlink ref="E69" r:id="rId69" xr:uid="{00000000-0004-0000-0600-000044000000}"/>
    <hyperlink ref="E70" r:id="rId70" xr:uid="{00000000-0004-0000-0600-000045000000}"/>
    <hyperlink ref="E71" r:id="rId71" xr:uid="{00000000-0004-0000-0600-000046000000}"/>
    <hyperlink ref="E72" r:id="rId72" xr:uid="{00000000-0004-0000-0600-000047000000}"/>
    <hyperlink ref="E73" r:id="rId73" xr:uid="{00000000-0004-0000-0600-000048000000}"/>
    <hyperlink ref="E74" r:id="rId74" xr:uid="{00000000-0004-0000-0600-000049000000}"/>
    <hyperlink ref="E75" r:id="rId75" xr:uid="{00000000-0004-0000-0600-00004A000000}"/>
    <hyperlink ref="E76" r:id="rId76" xr:uid="{00000000-0004-0000-0600-00004B000000}"/>
    <hyperlink ref="E77" r:id="rId77" xr:uid="{00000000-0004-0000-0600-00004C000000}"/>
    <hyperlink ref="E78" r:id="rId78" xr:uid="{00000000-0004-0000-0600-00004D000000}"/>
    <hyperlink ref="E79" r:id="rId79" xr:uid="{00000000-0004-0000-0600-00004E000000}"/>
    <hyperlink ref="E80" r:id="rId80" xr:uid="{00000000-0004-0000-0600-00004F000000}"/>
    <hyperlink ref="E81" r:id="rId81" xr:uid="{00000000-0004-0000-0600-000050000000}"/>
    <hyperlink ref="E82" r:id="rId82" xr:uid="{00000000-0004-0000-0600-000051000000}"/>
    <hyperlink ref="E83" r:id="rId83" xr:uid="{00000000-0004-0000-0600-000052000000}"/>
    <hyperlink ref="E84" r:id="rId84" xr:uid="{00000000-0004-0000-0600-000053000000}"/>
    <hyperlink ref="E85" r:id="rId85" xr:uid="{00000000-0004-0000-0600-000054000000}"/>
    <hyperlink ref="E86" r:id="rId86" xr:uid="{00000000-0004-0000-0600-000055000000}"/>
    <hyperlink ref="E87" r:id="rId87" xr:uid="{00000000-0004-0000-0600-000056000000}"/>
    <hyperlink ref="E88" r:id="rId88" xr:uid="{00000000-0004-0000-0600-000057000000}"/>
    <hyperlink ref="E89" r:id="rId89" xr:uid="{00000000-0004-0000-0600-000058000000}"/>
    <hyperlink ref="E90" r:id="rId90" xr:uid="{00000000-0004-0000-0600-000059000000}"/>
    <hyperlink ref="E91" r:id="rId91" xr:uid="{00000000-0004-0000-0600-00005A000000}"/>
    <hyperlink ref="E92" r:id="rId92" xr:uid="{00000000-0004-0000-0600-00005B000000}"/>
    <hyperlink ref="E93" r:id="rId93" xr:uid="{00000000-0004-0000-0600-00005C000000}"/>
    <hyperlink ref="E94" r:id="rId94" xr:uid="{00000000-0004-0000-0600-00005D000000}"/>
    <hyperlink ref="E95" r:id="rId95" xr:uid="{00000000-0004-0000-0600-00005E000000}"/>
    <hyperlink ref="E96" r:id="rId96" xr:uid="{00000000-0004-0000-0600-00005F000000}"/>
    <hyperlink ref="E97" r:id="rId97" xr:uid="{00000000-0004-0000-0600-000060000000}"/>
    <hyperlink ref="E98" r:id="rId98" xr:uid="{00000000-0004-0000-0600-000061000000}"/>
    <hyperlink ref="E99" r:id="rId99" xr:uid="{00000000-0004-0000-0600-000062000000}"/>
    <hyperlink ref="E100" r:id="rId100" xr:uid="{00000000-0004-0000-0600-000063000000}"/>
    <hyperlink ref="E101" r:id="rId101" xr:uid="{00000000-0004-0000-0600-000064000000}"/>
    <hyperlink ref="E102" r:id="rId102" xr:uid="{00000000-0004-0000-0600-000065000000}"/>
    <hyperlink ref="E103" r:id="rId103" xr:uid="{00000000-0004-0000-0600-000066000000}"/>
    <hyperlink ref="E104" r:id="rId104" xr:uid="{00000000-0004-0000-0600-000067000000}"/>
    <hyperlink ref="E105" r:id="rId105" xr:uid="{00000000-0004-0000-0600-000068000000}"/>
    <hyperlink ref="E106" r:id="rId106" xr:uid="{00000000-0004-0000-0600-000069000000}"/>
    <hyperlink ref="E107" r:id="rId107" xr:uid="{00000000-0004-0000-0600-00006A000000}"/>
    <hyperlink ref="E108" r:id="rId108" xr:uid="{00000000-0004-0000-0600-00006B000000}"/>
    <hyperlink ref="E109" r:id="rId109" xr:uid="{00000000-0004-0000-0600-00006C000000}"/>
    <hyperlink ref="E110" r:id="rId110" xr:uid="{00000000-0004-0000-0600-00006D000000}"/>
    <hyperlink ref="E111" r:id="rId111" xr:uid="{00000000-0004-0000-0600-00006E000000}"/>
    <hyperlink ref="E112" r:id="rId112" xr:uid="{00000000-0004-0000-0600-00006F000000}"/>
    <hyperlink ref="E113" r:id="rId113" xr:uid="{00000000-0004-0000-0600-000070000000}"/>
    <hyperlink ref="E114" r:id="rId114" xr:uid="{00000000-0004-0000-0600-000071000000}"/>
    <hyperlink ref="E115" r:id="rId115" xr:uid="{00000000-0004-0000-0600-000072000000}"/>
    <hyperlink ref="E116" r:id="rId116" xr:uid="{00000000-0004-0000-0600-000073000000}"/>
    <hyperlink ref="E117" r:id="rId117" xr:uid="{00000000-0004-0000-0600-000074000000}"/>
    <hyperlink ref="E118" r:id="rId118" xr:uid="{00000000-0004-0000-0600-000075000000}"/>
    <hyperlink ref="E119" r:id="rId119" xr:uid="{00000000-0004-0000-0600-000076000000}"/>
    <hyperlink ref="E120" r:id="rId120" xr:uid="{00000000-0004-0000-0600-000077000000}"/>
    <hyperlink ref="E121" r:id="rId121" xr:uid="{00000000-0004-0000-0600-000078000000}"/>
    <hyperlink ref="E122" r:id="rId122" xr:uid="{00000000-0004-0000-0600-000079000000}"/>
    <hyperlink ref="E123" r:id="rId123" xr:uid="{00000000-0004-0000-0600-00007A000000}"/>
    <hyperlink ref="E124" r:id="rId124" xr:uid="{00000000-0004-0000-0600-00007B000000}"/>
    <hyperlink ref="E125" r:id="rId125" xr:uid="{00000000-0004-0000-0600-00007C000000}"/>
    <hyperlink ref="E126" r:id="rId126" xr:uid="{00000000-0004-0000-0600-00007D000000}"/>
    <hyperlink ref="E127" r:id="rId127" xr:uid="{00000000-0004-0000-0600-00007E000000}"/>
    <hyperlink ref="E128" r:id="rId128" xr:uid="{00000000-0004-0000-0600-00007F000000}"/>
    <hyperlink ref="E129" r:id="rId129" xr:uid="{00000000-0004-0000-0600-000080000000}"/>
    <hyperlink ref="E130" r:id="rId130" xr:uid="{00000000-0004-0000-0600-000081000000}"/>
    <hyperlink ref="E131" r:id="rId131" xr:uid="{00000000-0004-0000-0600-000082000000}"/>
    <hyperlink ref="E132" r:id="rId132" xr:uid="{00000000-0004-0000-0600-000083000000}"/>
    <hyperlink ref="E133" r:id="rId133" xr:uid="{00000000-0004-0000-0600-000084000000}"/>
    <hyperlink ref="E134" r:id="rId134" xr:uid="{00000000-0004-0000-0600-000085000000}"/>
    <hyperlink ref="E135" r:id="rId135" xr:uid="{00000000-0004-0000-0600-000086000000}"/>
    <hyperlink ref="E136" r:id="rId136" xr:uid="{00000000-0004-0000-0600-000087000000}"/>
    <hyperlink ref="E137" r:id="rId137" xr:uid="{00000000-0004-0000-0600-000088000000}"/>
    <hyperlink ref="E138" r:id="rId138" xr:uid="{00000000-0004-0000-0600-000089000000}"/>
    <hyperlink ref="E139" r:id="rId139" xr:uid="{00000000-0004-0000-0600-00008A000000}"/>
    <hyperlink ref="E140" r:id="rId140" xr:uid="{00000000-0004-0000-0600-00008B000000}"/>
    <hyperlink ref="E141" r:id="rId141" xr:uid="{00000000-0004-0000-0600-00008C000000}"/>
    <hyperlink ref="E142" r:id="rId142" xr:uid="{00000000-0004-0000-0600-00008D000000}"/>
    <hyperlink ref="E143" r:id="rId143" xr:uid="{00000000-0004-0000-0600-00008E000000}"/>
    <hyperlink ref="E144" r:id="rId144" xr:uid="{00000000-0004-0000-0600-00008F000000}"/>
    <hyperlink ref="E145" r:id="rId145" xr:uid="{00000000-0004-0000-0600-000090000000}"/>
    <hyperlink ref="E146" r:id="rId146" xr:uid="{00000000-0004-0000-0600-000091000000}"/>
    <hyperlink ref="E147" r:id="rId147" xr:uid="{00000000-0004-0000-0600-000092000000}"/>
    <hyperlink ref="E148" r:id="rId148" xr:uid="{00000000-0004-0000-0600-000093000000}"/>
    <hyperlink ref="E149" r:id="rId149" xr:uid="{00000000-0004-0000-0600-000094000000}"/>
    <hyperlink ref="E150" r:id="rId150" xr:uid="{00000000-0004-0000-0600-000095000000}"/>
    <hyperlink ref="E151" r:id="rId151" xr:uid="{00000000-0004-0000-0600-000096000000}"/>
    <hyperlink ref="E152" r:id="rId152" xr:uid="{00000000-0004-0000-0600-000097000000}"/>
    <hyperlink ref="E153" r:id="rId153" xr:uid="{00000000-0004-0000-0600-000098000000}"/>
    <hyperlink ref="E154" r:id="rId154" xr:uid="{00000000-0004-0000-0600-000099000000}"/>
    <hyperlink ref="E155" r:id="rId155" xr:uid="{00000000-0004-0000-0600-00009A000000}"/>
    <hyperlink ref="E156" r:id="rId156" xr:uid="{00000000-0004-0000-0600-00009B000000}"/>
    <hyperlink ref="E157" r:id="rId157" xr:uid="{00000000-0004-0000-0600-00009C000000}"/>
    <hyperlink ref="E158" r:id="rId158" xr:uid="{00000000-0004-0000-0600-00009D000000}"/>
    <hyperlink ref="E159" r:id="rId159" xr:uid="{00000000-0004-0000-0600-00009E000000}"/>
    <hyperlink ref="E160" r:id="rId160" xr:uid="{00000000-0004-0000-0600-00009F000000}"/>
    <hyperlink ref="E161" r:id="rId161" xr:uid="{00000000-0004-0000-0600-0000A0000000}"/>
    <hyperlink ref="E162" r:id="rId162" xr:uid="{00000000-0004-0000-0600-0000A1000000}"/>
    <hyperlink ref="E163" r:id="rId163" xr:uid="{00000000-0004-0000-0600-0000A2000000}"/>
    <hyperlink ref="E164" r:id="rId164" xr:uid="{00000000-0004-0000-0600-0000A3000000}"/>
    <hyperlink ref="E165" r:id="rId165" xr:uid="{00000000-0004-0000-0600-0000A4000000}"/>
    <hyperlink ref="E166" r:id="rId166" xr:uid="{00000000-0004-0000-0600-0000A5000000}"/>
    <hyperlink ref="E167" r:id="rId167" xr:uid="{00000000-0004-0000-0600-0000A6000000}"/>
    <hyperlink ref="E168" r:id="rId168" xr:uid="{00000000-0004-0000-0600-0000A7000000}"/>
    <hyperlink ref="E169" r:id="rId169" xr:uid="{00000000-0004-0000-0600-0000A8000000}"/>
    <hyperlink ref="E170" r:id="rId170" xr:uid="{00000000-0004-0000-0600-0000A9000000}"/>
    <hyperlink ref="E171" r:id="rId171" xr:uid="{00000000-0004-0000-0600-0000AA000000}"/>
    <hyperlink ref="E172" r:id="rId172" xr:uid="{00000000-0004-0000-0600-0000AB000000}"/>
    <hyperlink ref="E173" r:id="rId173" xr:uid="{00000000-0004-0000-0600-0000AC000000}"/>
    <hyperlink ref="E174" r:id="rId174" xr:uid="{00000000-0004-0000-0600-0000AD000000}"/>
    <hyperlink ref="E175" r:id="rId175" xr:uid="{00000000-0004-0000-0600-0000AE000000}"/>
    <hyperlink ref="E176" r:id="rId176" xr:uid="{00000000-0004-0000-0600-0000AF000000}"/>
    <hyperlink ref="E177" r:id="rId177" xr:uid="{00000000-0004-0000-0600-0000B0000000}"/>
    <hyperlink ref="E178" r:id="rId178" xr:uid="{00000000-0004-0000-0600-0000B1000000}"/>
    <hyperlink ref="E179" r:id="rId179" xr:uid="{00000000-0004-0000-0600-0000B2000000}"/>
    <hyperlink ref="E180" r:id="rId180" xr:uid="{00000000-0004-0000-0600-0000B3000000}"/>
    <hyperlink ref="E181" r:id="rId181" xr:uid="{00000000-0004-0000-0600-0000B4000000}"/>
    <hyperlink ref="E182" r:id="rId182" xr:uid="{00000000-0004-0000-0600-0000B5000000}"/>
    <hyperlink ref="E183" r:id="rId183" xr:uid="{00000000-0004-0000-0600-0000B6000000}"/>
    <hyperlink ref="E184" r:id="rId184" xr:uid="{00000000-0004-0000-0600-0000B7000000}"/>
    <hyperlink ref="E185" r:id="rId185" xr:uid="{00000000-0004-0000-0600-0000B8000000}"/>
    <hyperlink ref="E186" r:id="rId186" xr:uid="{00000000-0004-0000-0600-0000B9000000}"/>
    <hyperlink ref="E187" r:id="rId187" xr:uid="{00000000-0004-0000-0600-0000BA000000}"/>
    <hyperlink ref="A188" r:id="rId188" xr:uid="{00000000-0004-0000-0600-0000BB000000}"/>
    <hyperlink ref="E188" r:id="rId189" xr:uid="{00000000-0004-0000-0600-0000BC000000}"/>
    <hyperlink ref="E189" r:id="rId190" xr:uid="{00000000-0004-0000-0600-0000BD000000}"/>
    <hyperlink ref="E190" r:id="rId191" xr:uid="{00000000-0004-0000-0600-0000BE000000}"/>
    <hyperlink ref="E191" r:id="rId192" xr:uid="{00000000-0004-0000-0600-0000BF000000}"/>
    <hyperlink ref="E192" r:id="rId193" xr:uid="{00000000-0004-0000-0600-0000C0000000}"/>
    <hyperlink ref="E193" r:id="rId194" xr:uid="{00000000-0004-0000-0600-0000C1000000}"/>
    <hyperlink ref="E194" r:id="rId195" xr:uid="{00000000-0004-0000-0600-0000C2000000}"/>
    <hyperlink ref="E195" r:id="rId196" xr:uid="{00000000-0004-0000-0600-0000C3000000}"/>
    <hyperlink ref="E196" r:id="rId197" xr:uid="{00000000-0004-0000-0600-0000C4000000}"/>
    <hyperlink ref="E197" r:id="rId198" xr:uid="{00000000-0004-0000-0600-0000C5000000}"/>
    <hyperlink ref="E198" r:id="rId199" xr:uid="{00000000-0004-0000-0600-0000C6000000}"/>
    <hyperlink ref="E199" r:id="rId200" xr:uid="{00000000-0004-0000-0600-0000C7000000}"/>
    <hyperlink ref="E200" r:id="rId201" xr:uid="{00000000-0004-0000-0600-0000C8000000}"/>
    <hyperlink ref="E201" r:id="rId202" xr:uid="{00000000-0004-0000-0600-0000C9000000}"/>
    <hyperlink ref="E202" r:id="rId203" xr:uid="{00000000-0004-0000-0600-0000CA000000}"/>
    <hyperlink ref="E203" r:id="rId204" xr:uid="{00000000-0004-0000-0600-0000CB000000}"/>
    <hyperlink ref="E204" r:id="rId205" xr:uid="{00000000-0004-0000-0600-0000CC000000}"/>
    <hyperlink ref="E205" r:id="rId206" xr:uid="{00000000-0004-0000-0600-0000CD000000}"/>
    <hyperlink ref="E206" r:id="rId207" xr:uid="{00000000-0004-0000-0600-0000CE000000}"/>
    <hyperlink ref="E207" r:id="rId208" xr:uid="{00000000-0004-0000-0600-0000CF000000}"/>
    <hyperlink ref="E208" r:id="rId209" xr:uid="{00000000-0004-0000-0600-0000D0000000}"/>
    <hyperlink ref="E209" r:id="rId210" xr:uid="{00000000-0004-0000-0600-0000D1000000}"/>
    <hyperlink ref="E210" r:id="rId211" xr:uid="{00000000-0004-0000-0600-0000D2000000}"/>
    <hyperlink ref="E211" r:id="rId212" xr:uid="{00000000-0004-0000-0600-0000D3000000}"/>
    <hyperlink ref="E212" r:id="rId213" xr:uid="{00000000-0004-0000-0600-0000D4000000}"/>
    <hyperlink ref="E213" r:id="rId214" xr:uid="{00000000-0004-0000-0600-0000D5000000}"/>
    <hyperlink ref="E214" r:id="rId215" xr:uid="{00000000-0004-0000-0600-0000D6000000}"/>
    <hyperlink ref="E215" r:id="rId216" xr:uid="{00000000-0004-0000-0600-0000D7000000}"/>
    <hyperlink ref="E216" r:id="rId217" xr:uid="{00000000-0004-0000-0600-0000D8000000}"/>
    <hyperlink ref="E217" r:id="rId218" xr:uid="{00000000-0004-0000-0600-0000D9000000}"/>
    <hyperlink ref="E218" r:id="rId219" xr:uid="{00000000-0004-0000-0600-0000DA000000}"/>
    <hyperlink ref="E219" r:id="rId220" xr:uid="{00000000-0004-0000-0600-0000DB000000}"/>
    <hyperlink ref="E220" r:id="rId221" xr:uid="{00000000-0004-0000-0600-0000DC000000}"/>
    <hyperlink ref="E221" r:id="rId222" xr:uid="{00000000-0004-0000-0600-0000DD000000}"/>
    <hyperlink ref="E222" r:id="rId223" xr:uid="{00000000-0004-0000-0600-0000DE000000}"/>
    <hyperlink ref="E223" r:id="rId224" xr:uid="{00000000-0004-0000-0600-0000DF000000}"/>
    <hyperlink ref="E224" r:id="rId225" xr:uid="{00000000-0004-0000-0600-0000E0000000}"/>
    <hyperlink ref="E225" r:id="rId226" xr:uid="{00000000-0004-0000-0600-0000E1000000}"/>
    <hyperlink ref="E226" r:id="rId227" xr:uid="{00000000-0004-0000-0600-0000E2000000}"/>
    <hyperlink ref="E227" r:id="rId228" xr:uid="{00000000-0004-0000-0600-0000E3000000}"/>
    <hyperlink ref="E228" r:id="rId229" xr:uid="{00000000-0004-0000-0600-0000E4000000}"/>
    <hyperlink ref="E229" r:id="rId230" xr:uid="{00000000-0004-0000-0600-0000E5000000}"/>
    <hyperlink ref="E230" r:id="rId231" xr:uid="{00000000-0004-0000-0600-0000E6000000}"/>
    <hyperlink ref="E231" r:id="rId232" xr:uid="{00000000-0004-0000-0600-0000E7000000}"/>
    <hyperlink ref="E232" r:id="rId233" xr:uid="{00000000-0004-0000-0600-0000E8000000}"/>
    <hyperlink ref="E233" r:id="rId234" xr:uid="{00000000-0004-0000-0600-0000E9000000}"/>
    <hyperlink ref="E234" r:id="rId235" xr:uid="{00000000-0004-0000-0600-0000EA000000}"/>
    <hyperlink ref="E235" r:id="rId236" xr:uid="{00000000-0004-0000-0600-0000EB000000}"/>
    <hyperlink ref="E236" r:id="rId237" xr:uid="{00000000-0004-0000-0600-0000EC000000}"/>
    <hyperlink ref="E237" r:id="rId238" xr:uid="{00000000-0004-0000-0600-0000ED000000}"/>
    <hyperlink ref="E238" r:id="rId239" xr:uid="{00000000-0004-0000-0600-0000EE000000}"/>
    <hyperlink ref="E239" r:id="rId240" xr:uid="{00000000-0004-0000-0600-0000EF000000}"/>
    <hyperlink ref="E240" r:id="rId241" xr:uid="{00000000-0004-0000-0600-0000F0000000}"/>
    <hyperlink ref="E241" r:id="rId242" xr:uid="{00000000-0004-0000-0600-0000F1000000}"/>
    <hyperlink ref="E242" r:id="rId243" xr:uid="{00000000-0004-0000-0600-0000F2000000}"/>
    <hyperlink ref="E243" r:id="rId244" xr:uid="{00000000-0004-0000-0600-0000F3000000}"/>
    <hyperlink ref="E244" r:id="rId245" xr:uid="{00000000-0004-0000-0600-0000F4000000}"/>
    <hyperlink ref="E245" r:id="rId246" xr:uid="{00000000-0004-0000-0600-0000F5000000}"/>
    <hyperlink ref="E246" r:id="rId247" xr:uid="{00000000-0004-0000-0600-0000F6000000}"/>
    <hyperlink ref="E247" r:id="rId248" xr:uid="{00000000-0004-0000-0600-0000F7000000}"/>
    <hyperlink ref="E248" r:id="rId249" xr:uid="{00000000-0004-0000-0600-0000F8000000}"/>
    <hyperlink ref="E249" r:id="rId250" xr:uid="{00000000-0004-0000-0600-0000F9000000}"/>
    <hyperlink ref="E250" r:id="rId251" xr:uid="{00000000-0004-0000-0600-0000FA000000}"/>
    <hyperlink ref="E251" r:id="rId252" xr:uid="{00000000-0004-0000-0600-0000FB000000}"/>
    <hyperlink ref="E252" r:id="rId253" xr:uid="{00000000-0004-0000-0600-0000FC000000}"/>
    <hyperlink ref="E253" r:id="rId254" xr:uid="{00000000-0004-0000-0600-0000FD000000}"/>
    <hyperlink ref="E254" r:id="rId255" xr:uid="{00000000-0004-0000-0600-0000FE000000}"/>
    <hyperlink ref="E255" r:id="rId256" xr:uid="{00000000-0004-0000-0600-0000FF000000}"/>
    <hyperlink ref="E256" r:id="rId257" xr:uid="{00000000-0004-0000-0600-000000010000}"/>
    <hyperlink ref="E257" r:id="rId258" xr:uid="{00000000-0004-0000-0600-000001010000}"/>
    <hyperlink ref="E258" r:id="rId259" xr:uid="{00000000-0004-0000-0600-000002010000}"/>
    <hyperlink ref="E259" r:id="rId260" xr:uid="{00000000-0004-0000-0600-000003010000}"/>
    <hyperlink ref="E260" r:id="rId261" xr:uid="{00000000-0004-0000-0600-000004010000}"/>
    <hyperlink ref="E261" r:id="rId262" xr:uid="{00000000-0004-0000-0600-000005010000}"/>
    <hyperlink ref="E262" r:id="rId263" xr:uid="{00000000-0004-0000-0600-000006010000}"/>
    <hyperlink ref="E263" r:id="rId264" xr:uid="{00000000-0004-0000-0600-000007010000}"/>
    <hyperlink ref="E264" r:id="rId265" xr:uid="{00000000-0004-0000-0600-000008010000}"/>
    <hyperlink ref="E265" r:id="rId266" xr:uid="{00000000-0004-0000-0600-000009010000}"/>
    <hyperlink ref="E266" r:id="rId267" xr:uid="{00000000-0004-0000-0600-00000A010000}"/>
    <hyperlink ref="E267" r:id="rId268" xr:uid="{00000000-0004-0000-0600-00000B010000}"/>
    <hyperlink ref="E268" r:id="rId269" xr:uid="{00000000-0004-0000-0600-00000C010000}"/>
    <hyperlink ref="E269" r:id="rId270" xr:uid="{00000000-0004-0000-0600-00000D010000}"/>
    <hyperlink ref="E270" r:id="rId271" xr:uid="{00000000-0004-0000-0600-00000E010000}"/>
    <hyperlink ref="E271" r:id="rId272" xr:uid="{00000000-0004-0000-0600-00000F010000}"/>
    <hyperlink ref="E272" r:id="rId273" xr:uid="{00000000-0004-0000-0600-000010010000}"/>
    <hyperlink ref="E273" r:id="rId274" xr:uid="{00000000-0004-0000-0600-000011010000}"/>
    <hyperlink ref="E274" r:id="rId275" xr:uid="{00000000-0004-0000-0600-000012010000}"/>
    <hyperlink ref="E275" r:id="rId276" xr:uid="{00000000-0004-0000-0600-000013010000}"/>
    <hyperlink ref="E276" r:id="rId277" xr:uid="{00000000-0004-0000-0600-000014010000}"/>
    <hyperlink ref="E277" r:id="rId278" xr:uid="{00000000-0004-0000-0600-000015010000}"/>
    <hyperlink ref="E278" r:id="rId279" xr:uid="{00000000-0004-0000-0600-000016010000}"/>
    <hyperlink ref="E279" r:id="rId280" xr:uid="{00000000-0004-0000-0600-000017010000}"/>
    <hyperlink ref="E280" r:id="rId281" xr:uid="{00000000-0004-0000-0600-000018010000}"/>
    <hyperlink ref="E281" r:id="rId282" xr:uid="{00000000-0004-0000-0600-000019010000}"/>
    <hyperlink ref="E282" r:id="rId283" xr:uid="{00000000-0004-0000-0600-00001A010000}"/>
    <hyperlink ref="E283" r:id="rId284" xr:uid="{00000000-0004-0000-0600-00001B010000}"/>
    <hyperlink ref="E284" r:id="rId285" xr:uid="{00000000-0004-0000-0600-00001C010000}"/>
    <hyperlink ref="E285" r:id="rId286" xr:uid="{00000000-0004-0000-0600-00001D010000}"/>
    <hyperlink ref="E286" r:id="rId287" xr:uid="{00000000-0004-0000-0600-00001E010000}"/>
    <hyperlink ref="E287" r:id="rId288" xr:uid="{00000000-0004-0000-0600-00001F010000}"/>
    <hyperlink ref="E288" r:id="rId289" xr:uid="{00000000-0004-0000-0600-000020010000}"/>
    <hyperlink ref="E289" r:id="rId290" xr:uid="{00000000-0004-0000-0600-000021010000}"/>
    <hyperlink ref="E290" r:id="rId291" xr:uid="{00000000-0004-0000-0600-000022010000}"/>
    <hyperlink ref="E291" r:id="rId292" xr:uid="{00000000-0004-0000-0600-000023010000}"/>
    <hyperlink ref="E292" r:id="rId293" xr:uid="{00000000-0004-0000-0600-000024010000}"/>
    <hyperlink ref="E293" r:id="rId294" xr:uid="{00000000-0004-0000-0600-000025010000}"/>
    <hyperlink ref="E294" r:id="rId295" xr:uid="{00000000-0004-0000-0600-000026010000}"/>
    <hyperlink ref="E295" r:id="rId296" xr:uid="{00000000-0004-0000-0600-000027010000}"/>
    <hyperlink ref="E296" r:id="rId297" xr:uid="{00000000-0004-0000-0600-000028010000}"/>
    <hyperlink ref="E297" r:id="rId298" xr:uid="{00000000-0004-0000-0600-000029010000}"/>
    <hyperlink ref="E298" r:id="rId299" xr:uid="{00000000-0004-0000-0600-00002A010000}"/>
    <hyperlink ref="E299" r:id="rId300" xr:uid="{00000000-0004-0000-0600-00002B010000}"/>
    <hyperlink ref="E300" r:id="rId301" xr:uid="{00000000-0004-0000-0600-00002C010000}"/>
    <hyperlink ref="E301" r:id="rId302" xr:uid="{00000000-0004-0000-0600-00002D010000}"/>
    <hyperlink ref="E302" r:id="rId303" xr:uid="{00000000-0004-0000-0600-00002E010000}"/>
    <hyperlink ref="E303" r:id="rId304" xr:uid="{00000000-0004-0000-0600-00002F010000}"/>
    <hyperlink ref="E304" r:id="rId305" xr:uid="{00000000-0004-0000-0600-000030010000}"/>
    <hyperlink ref="E305" r:id="rId306" xr:uid="{00000000-0004-0000-0600-000031010000}"/>
    <hyperlink ref="E306" r:id="rId307" xr:uid="{00000000-0004-0000-0600-000032010000}"/>
    <hyperlink ref="E307" r:id="rId308" xr:uid="{00000000-0004-0000-0600-000033010000}"/>
    <hyperlink ref="E308" r:id="rId309" xr:uid="{00000000-0004-0000-0600-000034010000}"/>
    <hyperlink ref="E309" r:id="rId310" xr:uid="{00000000-0004-0000-0600-000035010000}"/>
    <hyperlink ref="E310" r:id="rId311" xr:uid="{00000000-0004-0000-0600-000036010000}"/>
    <hyperlink ref="E311" r:id="rId312" xr:uid="{00000000-0004-0000-0600-000037010000}"/>
    <hyperlink ref="E312" r:id="rId313" xr:uid="{00000000-0004-0000-0600-000038010000}"/>
    <hyperlink ref="E313" r:id="rId314" xr:uid="{00000000-0004-0000-0600-000039010000}"/>
    <hyperlink ref="E314" r:id="rId315" xr:uid="{00000000-0004-0000-0600-00003A010000}"/>
    <hyperlink ref="E315" r:id="rId316" xr:uid="{00000000-0004-0000-0600-00003B010000}"/>
    <hyperlink ref="E316" r:id="rId317" xr:uid="{00000000-0004-0000-0600-00003C010000}"/>
    <hyperlink ref="E317" r:id="rId318" xr:uid="{00000000-0004-0000-0600-00003D010000}"/>
    <hyperlink ref="E318" r:id="rId319" xr:uid="{00000000-0004-0000-0600-00003E010000}"/>
    <hyperlink ref="E319" r:id="rId320" xr:uid="{00000000-0004-0000-0600-00003F010000}"/>
    <hyperlink ref="E320" r:id="rId321" xr:uid="{00000000-0004-0000-0600-000040010000}"/>
    <hyperlink ref="E321" r:id="rId322" xr:uid="{00000000-0004-0000-0600-000041010000}"/>
    <hyperlink ref="E322" r:id="rId323" xr:uid="{00000000-0004-0000-0600-000042010000}"/>
    <hyperlink ref="E323" r:id="rId324" xr:uid="{00000000-0004-0000-0600-000043010000}"/>
    <hyperlink ref="E324" r:id="rId325" xr:uid="{00000000-0004-0000-0600-000044010000}"/>
    <hyperlink ref="E325" r:id="rId326" xr:uid="{00000000-0004-0000-0600-000045010000}"/>
    <hyperlink ref="E326" r:id="rId327" xr:uid="{00000000-0004-0000-0600-000046010000}"/>
    <hyperlink ref="E327" r:id="rId328" xr:uid="{00000000-0004-0000-0600-000047010000}"/>
    <hyperlink ref="E328" r:id="rId329" xr:uid="{00000000-0004-0000-0600-000048010000}"/>
    <hyperlink ref="E329" r:id="rId330" xr:uid="{00000000-0004-0000-0600-000049010000}"/>
    <hyperlink ref="E330" r:id="rId331" xr:uid="{00000000-0004-0000-0600-00004A010000}"/>
    <hyperlink ref="E331" r:id="rId332" xr:uid="{00000000-0004-0000-0600-00004B010000}"/>
    <hyperlink ref="E332" r:id="rId333" xr:uid="{00000000-0004-0000-0600-00004C010000}"/>
    <hyperlink ref="E333" r:id="rId334" xr:uid="{00000000-0004-0000-0600-00004D010000}"/>
    <hyperlink ref="E334" r:id="rId335" xr:uid="{00000000-0004-0000-0600-00004E010000}"/>
    <hyperlink ref="E335" r:id="rId336" xr:uid="{00000000-0004-0000-0600-00004F010000}"/>
    <hyperlink ref="E336" r:id="rId337" xr:uid="{00000000-0004-0000-0600-000050010000}"/>
    <hyperlink ref="E337" r:id="rId338" xr:uid="{00000000-0004-0000-0600-000051010000}"/>
    <hyperlink ref="E338" r:id="rId339" xr:uid="{00000000-0004-0000-0600-000052010000}"/>
    <hyperlink ref="E339" r:id="rId340" xr:uid="{00000000-0004-0000-0600-000053010000}"/>
    <hyperlink ref="E340" r:id="rId341" xr:uid="{00000000-0004-0000-0600-000054010000}"/>
    <hyperlink ref="E341" r:id="rId342" xr:uid="{00000000-0004-0000-0600-000055010000}"/>
    <hyperlink ref="E342" r:id="rId343" xr:uid="{00000000-0004-0000-0600-000056010000}"/>
    <hyperlink ref="E343" r:id="rId344" xr:uid="{00000000-0004-0000-0600-000057010000}"/>
    <hyperlink ref="E344" r:id="rId345" xr:uid="{00000000-0004-0000-0600-000058010000}"/>
    <hyperlink ref="E345" r:id="rId346" xr:uid="{00000000-0004-0000-0600-000059010000}"/>
    <hyperlink ref="E346" r:id="rId347" xr:uid="{00000000-0004-0000-0600-00005A010000}"/>
    <hyperlink ref="E347" r:id="rId348" xr:uid="{00000000-0004-0000-0600-00005B010000}"/>
    <hyperlink ref="E348" r:id="rId349" xr:uid="{00000000-0004-0000-0600-00005C010000}"/>
    <hyperlink ref="E349" r:id="rId350" xr:uid="{00000000-0004-0000-0600-00005D010000}"/>
    <hyperlink ref="E350" r:id="rId351" xr:uid="{00000000-0004-0000-0600-00005E010000}"/>
    <hyperlink ref="E351" r:id="rId352" xr:uid="{00000000-0004-0000-0600-00005F010000}"/>
    <hyperlink ref="E352" r:id="rId353" xr:uid="{00000000-0004-0000-0600-000060010000}"/>
    <hyperlink ref="E353" r:id="rId354" xr:uid="{00000000-0004-0000-0600-000061010000}"/>
    <hyperlink ref="E354" r:id="rId355" xr:uid="{00000000-0004-0000-0600-000062010000}"/>
    <hyperlink ref="E355" r:id="rId356" xr:uid="{00000000-0004-0000-0600-000063010000}"/>
    <hyperlink ref="E356" r:id="rId357" xr:uid="{00000000-0004-0000-0600-000064010000}"/>
    <hyperlink ref="E357" r:id="rId358" xr:uid="{00000000-0004-0000-0600-000065010000}"/>
    <hyperlink ref="E358" r:id="rId359" xr:uid="{00000000-0004-0000-0600-000066010000}"/>
    <hyperlink ref="E359" r:id="rId360" xr:uid="{00000000-0004-0000-0600-000067010000}"/>
    <hyperlink ref="E360" r:id="rId361" xr:uid="{00000000-0004-0000-0600-000068010000}"/>
    <hyperlink ref="E361" r:id="rId362" xr:uid="{00000000-0004-0000-0600-000069010000}"/>
    <hyperlink ref="E362" r:id="rId363" xr:uid="{00000000-0004-0000-0600-00006A010000}"/>
    <hyperlink ref="E363" r:id="rId364" xr:uid="{00000000-0004-0000-0600-00006B010000}"/>
    <hyperlink ref="E364" r:id="rId365" xr:uid="{00000000-0004-0000-0600-00006C010000}"/>
    <hyperlink ref="E365" r:id="rId366" xr:uid="{00000000-0004-0000-0600-00006D010000}"/>
    <hyperlink ref="E366" r:id="rId367" xr:uid="{00000000-0004-0000-0600-00006E010000}"/>
    <hyperlink ref="E367" r:id="rId368" xr:uid="{00000000-0004-0000-0600-00006F010000}"/>
    <hyperlink ref="E368" r:id="rId369" xr:uid="{00000000-0004-0000-0600-000070010000}"/>
    <hyperlink ref="E369" r:id="rId370" xr:uid="{00000000-0004-0000-0600-000071010000}"/>
    <hyperlink ref="E370" r:id="rId371" xr:uid="{00000000-0004-0000-0600-000072010000}"/>
    <hyperlink ref="E371" r:id="rId372" xr:uid="{00000000-0004-0000-0600-000073010000}"/>
    <hyperlink ref="E372" r:id="rId373" xr:uid="{00000000-0004-0000-0600-000074010000}"/>
    <hyperlink ref="E373" r:id="rId374" xr:uid="{00000000-0004-0000-0600-000075010000}"/>
    <hyperlink ref="E374" r:id="rId375" xr:uid="{00000000-0004-0000-0600-000076010000}"/>
    <hyperlink ref="E375" r:id="rId376" xr:uid="{00000000-0004-0000-0600-000077010000}"/>
    <hyperlink ref="E376" r:id="rId377" xr:uid="{00000000-0004-0000-0600-000078010000}"/>
    <hyperlink ref="E377" r:id="rId378" xr:uid="{00000000-0004-0000-0600-000079010000}"/>
    <hyperlink ref="E378" r:id="rId379" xr:uid="{00000000-0004-0000-0600-00007A010000}"/>
    <hyperlink ref="E379" r:id="rId380" xr:uid="{00000000-0004-0000-0600-00007B010000}"/>
    <hyperlink ref="E380" r:id="rId381" xr:uid="{00000000-0004-0000-0600-00007C010000}"/>
    <hyperlink ref="E381" r:id="rId382" xr:uid="{00000000-0004-0000-0600-00007D010000}"/>
    <hyperlink ref="E382" r:id="rId383" xr:uid="{00000000-0004-0000-0600-00007E010000}"/>
    <hyperlink ref="E383" r:id="rId384" xr:uid="{00000000-0004-0000-0600-00007F010000}"/>
    <hyperlink ref="E384" r:id="rId385" xr:uid="{00000000-0004-0000-0600-000080010000}"/>
    <hyperlink ref="E385" r:id="rId386" xr:uid="{00000000-0004-0000-0600-000081010000}"/>
    <hyperlink ref="E386" r:id="rId387" xr:uid="{00000000-0004-0000-0600-000082010000}"/>
    <hyperlink ref="E387" r:id="rId388" xr:uid="{00000000-0004-0000-0600-000083010000}"/>
    <hyperlink ref="E388" r:id="rId389" xr:uid="{00000000-0004-0000-0600-000084010000}"/>
    <hyperlink ref="E389" r:id="rId390" xr:uid="{00000000-0004-0000-0600-000085010000}"/>
    <hyperlink ref="E390" r:id="rId391" xr:uid="{00000000-0004-0000-0600-000086010000}"/>
    <hyperlink ref="A391" r:id="rId392" xr:uid="{00000000-0004-0000-0600-000087010000}"/>
    <hyperlink ref="E391" r:id="rId393" xr:uid="{00000000-0004-0000-0600-000088010000}"/>
    <hyperlink ref="E392" r:id="rId394" xr:uid="{00000000-0004-0000-0600-000089010000}"/>
    <hyperlink ref="E393" r:id="rId395" xr:uid="{00000000-0004-0000-0600-00008A010000}"/>
    <hyperlink ref="E394" r:id="rId396" xr:uid="{00000000-0004-0000-0600-00008B010000}"/>
    <hyperlink ref="E395" r:id="rId397" xr:uid="{00000000-0004-0000-0600-00008C010000}"/>
    <hyperlink ref="E396" r:id="rId398" xr:uid="{00000000-0004-0000-0600-00008D010000}"/>
    <hyperlink ref="E397" r:id="rId399" xr:uid="{00000000-0004-0000-0600-00008E010000}"/>
    <hyperlink ref="E398" r:id="rId400" xr:uid="{00000000-0004-0000-0600-00008F010000}"/>
    <hyperlink ref="E399" r:id="rId401" xr:uid="{00000000-0004-0000-0600-000090010000}"/>
    <hyperlink ref="E400" r:id="rId402" xr:uid="{00000000-0004-0000-0600-000091010000}"/>
    <hyperlink ref="E401" r:id="rId403" xr:uid="{00000000-0004-0000-0600-000092010000}"/>
    <hyperlink ref="E402" r:id="rId404" xr:uid="{00000000-0004-0000-0600-000093010000}"/>
    <hyperlink ref="E403" r:id="rId405" xr:uid="{00000000-0004-0000-0600-000094010000}"/>
    <hyperlink ref="E404" r:id="rId406" xr:uid="{00000000-0004-0000-0600-000095010000}"/>
    <hyperlink ref="E405" r:id="rId407" xr:uid="{00000000-0004-0000-0600-000096010000}"/>
    <hyperlink ref="E406" r:id="rId408" xr:uid="{00000000-0004-0000-0600-000097010000}"/>
    <hyperlink ref="E407" r:id="rId409" xr:uid="{00000000-0004-0000-0600-000098010000}"/>
    <hyperlink ref="E408" r:id="rId410" xr:uid="{00000000-0004-0000-0600-000099010000}"/>
    <hyperlink ref="E409" r:id="rId411" xr:uid="{00000000-0004-0000-0600-00009A010000}"/>
    <hyperlink ref="E410" r:id="rId412" xr:uid="{00000000-0004-0000-0600-00009B010000}"/>
    <hyperlink ref="E411" r:id="rId413" xr:uid="{00000000-0004-0000-0600-00009C010000}"/>
    <hyperlink ref="E412" r:id="rId414" xr:uid="{00000000-0004-0000-0600-00009D010000}"/>
    <hyperlink ref="E413" r:id="rId415" xr:uid="{00000000-0004-0000-0600-00009E010000}"/>
    <hyperlink ref="E414" r:id="rId416" xr:uid="{00000000-0004-0000-0600-00009F010000}"/>
    <hyperlink ref="E415" r:id="rId417" xr:uid="{00000000-0004-0000-0600-0000A0010000}"/>
    <hyperlink ref="E416" r:id="rId418" xr:uid="{00000000-0004-0000-0600-0000A1010000}"/>
    <hyperlink ref="E417" r:id="rId419" xr:uid="{00000000-0004-0000-0600-0000A2010000}"/>
    <hyperlink ref="E418" r:id="rId420" xr:uid="{00000000-0004-0000-0600-0000A3010000}"/>
    <hyperlink ref="E419" r:id="rId421" xr:uid="{00000000-0004-0000-0600-0000A4010000}"/>
    <hyperlink ref="E420" r:id="rId422" xr:uid="{00000000-0004-0000-0600-0000A5010000}"/>
    <hyperlink ref="E421" r:id="rId423" xr:uid="{00000000-0004-0000-0600-0000A6010000}"/>
    <hyperlink ref="E422" r:id="rId424" xr:uid="{00000000-0004-0000-0600-0000A7010000}"/>
    <hyperlink ref="E423" r:id="rId425" xr:uid="{00000000-0004-0000-0600-0000A8010000}"/>
    <hyperlink ref="E424" r:id="rId426" xr:uid="{00000000-0004-0000-0600-0000A9010000}"/>
    <hyperlink ref="E425" r:id="rId427" xr:uid="{00000000-0004-0000-0600-0000AA010000}"/>
    <hyperlink ref="E426" r:id="rId428" xr:uid="{00000000-0004-0000-0600-0000AB010000}"/>
    <hyperlink ref="E427" r:id="rId429" xr:uid="{00000000-0004-0000-0600-0000AC010000}"/>
    <hyperlink ref="E428" r:id="rId430" xr:uid="{00000000-0004-0000-0600-0000AD010000}"/>
    <hyperlink ref="E429" r:id="rId431" xr:uid="{00000000-0004-0000-0600-0000AE010000}"/>
    <hyperlink ref="E430" r:id="rId432" xr:uid="{00000000-0004-0000-0600-0000AF010000}"/>
    <hyperlink ref="E431" r:id="rId433" xr:uid="{00000000-0004-0000-0600-0000B0010000}"/>
    <hyperlink ref="E432" r:id="rId434" xr:uid="{00000000-0004-0000-0600-0000B1010000}"/>
    <hyperlink ref="E433" r:id="rId435" xr:uid="{00000000-0004-0000-0600-0000B2010000}"/>
    <hyperlink ref="E434" r:id="rId436" xr:uid="{00000000-0004-0000-0600-0000B3010000}"/>
    <hyperlink ref="E435" r:id="rId437" xr:uid="{00000000-0004-0000-0600-0000B4010000}"/>
    <hyperlink ref="E436" r:id="rId438" xr:uid="{00000000-0004-0000-0600-0000B5010000}"/>
    <hyperlink ref="E437" r:id="rId439" xr:uid="{00000000-0004-0000-0600-0000B6010000}"/>
    <hyperlink ref="E438" r:id="rId440" xr:uid="{00000000-0004-0000-0600-0000B7010000}"/>
    <hyperlink ref="E439" r:id="rId441" xr:uid="{00000000-0004-0000-0600-0000B8010000}"/>
    <hyperlink ref="E440" r:id="rId442" xr:uid="{00000000-0004-0000-0600-0000B9010000}"/>
    <hyperlink ref="E441" r:id="rId443" xr:uid="{00000000-0004-0000-0600-0000BA010000}"/>
    <hyperlink ref="A442" r:id="rId444" xr:uid="{00000000-0004-0000-0600-0000BB010000}"/>
    <hyperlink ref="E442" r:id="rId445" xr:uid="{00000000-0004-0000-0600-0000BC010000}"/>
    <hyperlink ref="E443" r:id="rId446" xr:uid="{00000000-0004-0000-0600-0000BD010000}"/>
    <hyperlink ref="E444" r:id="rId447" xr:uid="{00000000-0004-0000-0600-0000BE010000}"/>
    <hyperlink ref="E445" r:id="rId448" xr:uid="{00000000-0004-0000-0600-0000BF010000}"/>
    <hyperlink ref="E446" r:id="rId449" xr:uid="{00000000-0004-0000-0600-0000C0010000}"/>
    <hyperlink ref="E447" r:id="rId450" xr:uid="{00000000-0004-0000-0600-0000C1010000}"/>
    <hyperlink ref="E448" r:id="rId451" xr:uid="{00000000-0004-0000-0600-0000C2010000}"/>
    <hyperlink ref="E449" r:id="rId452" xr:uid="{00000000-0004-0000-0600-0000C3010000}"/>
    <hyperlink ref="E450" r:id="rId453" xr:uid="{00000000-0004-0000-0600-0000C4010000}"/>
    <hyperlink ref="E451" r:id="rId454" xr:uid="{00000000-0004-0000-0600-0000C5010000}"/>
    <hyperlink ref="E452" r:id="rId455" xr:uid="{00000000-0004-0000-0600-0000C6010000}"/>
    <hyperlink ref="E453" r:id="rId456" xr:uid="{00000000-0004-0000-0600-0000C7010000}"/>
    <hyperlink ref="E454" r:id="rId457" xr:uid="{00000000-0004-0000-0600-0000C8010000}"/>
    <hyperlink ref="E455" r:id="rId458" xr:uid="{00000000-0004-0000-0600-0000C9010000}"/>
    <hyperlink ref="E456" r:id="rId459" xr:uid="{00000000-0004-0000-0600-0000CA010000}"/>
    <hyperlink ref="E457" r:id="rId460" xr:uid="{00000000-0004-0000-0600-0000CB010000}"/>
    <hyperlink ref="E458" r:id="rId461" xr:uid="{00000000-0004-0000-0600-0000CC010000}"/>
    <hyperlink ref="E459" r:id="rId462" xr:uid="{00000000-0004-0000-0600-0000CD010000}"/>
    <hyperlink ref="E460" r:id="rId463" xr:uid="{00000000-0004-0000-0600-0000CE010000}"/>
    <hyperlink ref="E461" r:id="rId464" xr:uid="{00000000-0004-0000-0600-0000CF010000}"/>
    <hyperlink ref="E462" r:id="rId465" xr:uid="{00000000-0004-0000-0600-0000D0010000}"/>
    <hyperlink ref="E463" r:id="rId466" xr:uid="{00000000-0004-0000-0600-0000D1010000}"/>
    <hyperlink ref="E464" r:id="rId467" xr:uid="{00000000-0004-0000-0600-0000D2010000}"/>
    <hyperlink ref="E465" r:id="rId468" xr:uid="{00000000-0004-0000-0600-0000D3010000}"/>
    <hyperlink ref="E466" r:id="rId469" xr:uid="{00000000-0004-0000-0600-0000D4010000}"/>
    <hyperlink ref="E467" r:id="rId470" xr:uid="{00000000-0004-0000-0600-0000D5010000}"/>
    <hyperlink ref="E468" r:id="rId471" xr:uid="{00000000-0004-0000-0600-0000D6010000}"/>
    <hyperlink ref="E469" r:id="rId472" xr:uid="{00000000-0004-0000-0600-0000D7010000}"/>
    <hyperlink ref="E470" r:id="rId473" xr:uid="{00000000-0004-0000-0600-0000D8010000}"/>
    <hyperlink ref="E471" r:id="rId474" xr:uid="{00000000-0004-0000-0600-0000D9010000}"/>
    <hyperlink ref="E472" r:id="rId475" xr:uid="{00000000-0004-0000-0600-0000DA010000}"/>
    <hyperlink ref="E473" r:id="rId476" xr:uid="{00000000-0004-0000-0600-0000DB010000}"/>
    <hyperlink ref="E474" r:id="rId477" xr:uid="{00000000-0004-0000-0600-0000DC010000}"/>
    <hyperlink ref="E475" r:id="rId478" xr:uid="{00000000-0004-0000-0600-0000DD010000}"/>
    <hyperlink ref="E476" r:id="rId479" xr:uid="{00000000-0004-0000-0600-0000DE010000}"/>
    <hyperlink ref="E477" r:id="rId480" xr:uid="{00000000-0004-0000-0600-0000DF010000}"/>
    <hyperlink ref="E478" r:id="rId481" xr:uid="{00000000-0004-0000-0600-0000E0010000}"/>
    <hyperlink ref="E479" r:id="rId482" xr:uid="{00000000-0004-0000-0600-0000E1010000}"/>
    <hyperlink ref="E480" r:id="rId483" xr:uid="{00000000-0004-0000-0600-0000E2010000}"/>
    <hyperlink ref="E481" r:id="rId484" xr:uid="{00000000-0004-0000-0600-0000E3010000}"/>
    <hyperlink ref="E482" r:id="rId485" xr:uid="{00000000-0004-0000-0600-0000E4010000}"/>
    <hyperlink ref="E483" r:id="rId486" xr:uid="{00000000-0004-0000-0600-0000E5010000}"/>
    <hyperlink ref="E484" r:id="rId487" xr:uid="{00000000-0004-0000-0600-0000E6010000}"/>
    <hyperlink ref="E485" r:id="rId488" xr:uid="{00000000-0004-0000-0600-0000E7010000}"/>
    <hyperlink ref="E486" r:id="rId489" xr:uid="{00000000-0004-0000-0600-0000E8010000}"/>
    <hyperlink ref="E487" r:id="rId490" xr:uid="{00000000-0004-0000-0600-0000E9010000}"/>
    <hyperlink ref="E488" r:id="rId491" xr:uid="{00000000-0004-0000-0600-0000EA010000}"/>
    <hyperlink ref="E489" r:id="rId492" xr:uid="{00000000-0004-0000-0600-0000EB010000}"/>
    <hyperlink ref="E490" r:id="rId493" xr:uid="{00000000-0004-0000-0600-0000EC010000}"/>
    <hyperlink ref="E491" r:id="rId494" xr:uid="{00000000-0004-0000-0600-0000ED010000}"/>
    <hyperlink ref="E492" r:id="rId495" xr:uid="{00000000-0004-0000-0600-0000EE010000}"/>
    <hyperlink ref="E493" r:id="rId496" xr:uid="{00000000-0004-0000-0600-0000EF010000}"/>
    <hyperlink ref="E494" r:id="rId497" xr:uid="{00000000-0004-0000-0600-0000F0010000}"/>
    <hyperlink ref="E495" r:id="rId498" xr:uid="{00000000-0004-0000-0600-0000F1010000}"/>
    <hyperlink ref="E496" r:id="rId499" xr:uid="{00000000-0004-0000-0600-0000F2010000}"/>
    <hyperlink ref="E497" r:id="rId500" xr:uid="{00000000-0004-0000-0600-0000F3010000}"/>
    <hyperlink ref="E498" r:id="rId501" xr:uid="{00000000-0004-0000-0600-0000F4010000}"/>
    <hyperlink ref="E499" r:id="rId502" xr:uid="{00000000-0004-0000-0600-0000F5010000}"/>
    <hyperlink ref="E500" r:id="rId503" xr:uid="{00000000-0004-0000-0600-0000F6010000}"/>
    <hyperlink ref="E501" r:id="rId504" xr:uid="{00000000-0004-0000-0600-0000F7010000}"/>
    <hyperlink ref="E502" r:id="rId505" xr:uid="{00000000-0004-0000-0600-0000F8010000}"/>
    <hyperlink ref="E503" r:id="rId506" xr:uid="{00000000-0004-0000-0600-0000F9010000}"/>
    <hyperlink ref="E504" r:id="rId507" xr:uid="{00000000-0004-0000-0600-0000FA010000}"/>
    <hyperlink ref="E505" r:id="rId508" xr:uid="{00000000-0004-0000-0600-0000FB010000}"/>
    <hyperlink ref="E506" r:id="rId509" xr:uid="{00000000-0004-0000-0600-0000FC010000}"/>
    <hyperlink ref="E507" r:id="rId510" xr:uid="{00000000-0004-0000-0600-0000FD010000}"/>
    <hyperlink ref="E508" r:id="rId511" xr:uid="{00000000-0004-0000-0600-0000FE010000}"/>
    <hyperlink ref="E509" r:id="rId512" xr:uid="{00000000-0004-0000-0600-0000FF010000}"/>
    <hyperlink ref="E510" r:id="rId513" xr:uid="{00000000-0004-0000-0600-000000020000}"/>
    <hyperlink ref="E511" r:id="rId514" xr:uid="{00000000-0004-0000-0600-000001020000}"/>
    <hyperlink ref="E512" r:id="rId515" xr:uid="{00000000-0004-0000-0600-000002020000}"/>
    <hyperlink ref="E513" r:id="rId516" xr:uid="{00000000-0004-0000-0600-000003020000}"/>
    <hyperlink ref="E514" r:id="rId517" xr:uid="{00000000-0004-0000-0600-000004020000}"/>
    <hyperlink ref="E515" r:id="rId518" xr:uid="{00000000-0004-0000-0600-000005020000}"/>
    <hyperlink ref="E516" r:id="rId519" xr:uid="{00000000-0004-0000-0600-000006020000}"/>
    <hyperlink ref="E517" r:id="rId520" xr:uid="{00000000-0004-0000-0600-000007020000}"/>
    <hyperlink ref="E518" r:id="rId521" xr:uid="{00000000-0004-0000-0600-000008020000}"/>
    <hyperlink ref="E519" r:id="rId522" xr:uid="{00000000-0004-0000-0600-000009020000}"/>
    <hyperlink ref="E520" r:id="rId523" xr:uid="{00000000-0004-0000-0600-00000A020000}"/>
    <hyperlink ref="E521" r:id="rId524" xr:uid="{00000000-0004-0000-0600-00000B020000}"/>
    <hyperlink ref="E522" r:id="rId525" xr:uid="{00000000-0004-0000-0600-00000C020000}"/>
    <hyperlink ref="E523" r:id="rId526" xr:uid="{00000000-0004-0000-0600-00000D020000}"/>
    <hyperlink ref="E524" r:id="rId527" xr:uid="{00000000-0004-0000-0600-00000E020000}"/>
    <hyperlink ref="E525" r:id="rId528" xr:uid="{00000000-0004-0000-0600-00000F020000}"/>
    <hyperlink ref="E526" r:id="rId529" xr:uid="{00000000-0004-0000-0600-000010020000}"/>
    <hyperlink ref="E527" r:id="rId530" xr:uid="{00000000-0004-0000-0600-000011020000}"/>
    <hyperlink ref="E528" r:id="rId531" xr:uid="{00000000-0004-0000-0600-000012020000}"/>
    <hyperlink ref="E529" r:id="rId532" xr:uid="{00000000-0004-0000-0600-000013020000}"/>
    <hyperlink ref="E530" r:id="rId533" xr:uid="{00000000-0004-0000-0600-000014020000}"/>
    <hyperlink ref="E531" r:id="rId534" xr:uid="{00000000-0004-0000-0600-000015020000}"/>
    <hyperlink ref="E532" r:id="rId535" xr:uid="{00000000-0004-0000-0600-000016020000}"/>
    <hyperlink ref="E533" r:id="rId536" xr:uid="{00000000-0004-0000-0600-000017020000}"/>
    <hyperlink ref="E534" r:id="rId537" xr:uid="{00000000-0004-0000-0600-000018020000}"/>
    <hyperlink ref="E535" r:id="rId538" xr:uid="{00000000-0004-0000-0600-000019020000}"/>
    <hyperlink ref="E536" r:id="rId539" xr:uid="{00000000-0004-0000-0600-00001A020000}"/>
    <hyperlink ref="E537" r:id="rId540" xr:uid="{00000000-0004-0000-0600-00001B020000}"/>
    <hyperlink ref="E538" r:id="rId541" xr:uid="{00000000-0004-0000-0600-00001C020000}"/>
    <hyperlink ref="E539" r:id="rId542" xr:uid="{00000000-0004-0000-0600-00001D020000}"/>
    <hyperlink ref="E540" r:id="rId543" xr:uid="{00000000-0004-0000-0600-00001E020000}"/>
    <hyperlink ref="E541" r:id="rId544" xr:uid="{00000000-0004-0000-0600-00001F020000}"/>
    <hyperlink ref="E542" r:id="rId545" xr:uid="{00000000-0004-0000-0600-000020020000}"/>
    <hyperlink ref="E543" r:id="rId546" xr:uid="{00000000-0004-0000-0600-000021020000}"/>
    <hyperlink ref="E544" r:id="rId547" xr:uid="{00000000-0004-0000-0600-000022020000}"/>
    <hyperlink ref="E545" r:id="rId548" xr:uid="{00000000-0004-0000-0600-000023020000}"/>
    <hyperlink ref="E546" r:id="rId549" xr:uid="{00000000-0004-0000-0600-000024020000}"/>
    <hyperlink ref="E547" r:id="rId550" xr:uid="{00000000-0004-0000-0600-000025020000}"/>
    <hyperlink ref="E548" r:id="rId551" xr:uid="{00000000-0004-0000-0600-000026020000}"/>
    <hyperlink ref="E549" r:id="rId552" xr:uid="{00000000-0004-0000-0600-000027020000}"/>
    <hyperlink ref="E550" r:id="rId553" xr:uid="{00000000-0004-0000-0600-000028020000}"/>
    <hyperlink ref="E551" r:id="rId554" xr:uid="{00000000-0004-0000-0600-000029020000}"/>
    <hyperlink ref="E552" r:id="rId555" xr:uid="{00000000-0004-0000-0600-00002A020000}"/>
    <hyperlink ref="E553" r:id="rId556" xr:uid="{00000000-0004-0000-0600-00002B020000}"/>
    <hyperlink ref="E554" r:id="rId557" xr:uid="{00000000-0004-0000-0600-00002C020000}"/>
    <hyperlink ref="E555" r:id="rId558" xr:uid="{00000000-0004-0000-0600-00002D020000}"/>
    <hyperlink ref="E556" r:id="rId559" xr:uid="{00000000-0004-0000-0600-00002E020000}"/>
    <hyperlink ref="E557" r:id="rId560" xr:uid="{00000000-0004-0000-0600-00002F020000}"/>
    <hyperlink ref="E558" r:id="rId561" xr:uid="{00000000-0004-0000-0600-000030020000}"/>
    <hyperlink ref="E559" r:id="rId562" xr:uid="{00000000-0004-0000-0600-000031020000}"/>
    <hyperlink ref="E560" r:id="rId563" xr:uid="{00000000-0004-0000-0600-000032020000}"/>
    <hyperlink ref="E561" r:id="rId564" xr:uid="{00000000-0004-0000-0600-000033020000}"/>
    <hyperlink ref="E562" r:id="rId565" xr:uid="{00000000-0004-0000-0600-000034020000}"/>
    <hyperlink ref="E563" r:id="rId566" xr:uid="{00000000-0004-0000-0600-000035020000}"/>
    <hyperlink ref="E564" r:id="rId567" xr:uid="{00000000-0004-0000-0600-000036020000}"/>
    <hyperlink ref="E565" r:id="rId568" xr:uid="{00000000-0004-0000-0600-000037020000}"/>
    <hyperlink ref="E566" r:id="rId569" xr:uid="{00000000-0004-0000-0600-000038020000}"/>
    <hyperlink ref="E567" r:id="rId570" xr:uid="{00000000-0004-0000-0600-000039020000}"/>
    <hyperlink ref="E568" r:id="rId571" xr:uid="{00000000-0004-0000-0600-00003A020000}"/>
    <hyperlink ref="E569" r:id="rId572" xr:uid="{00000000-0004-0000-0600-00003B020000}"/>
    <hyperlink ref="E570" r:id="rId573" xr:uid="{00000000-0004-0000-0600-00003C020000}"/>
    <hyperlink ref="E571" r:id="rId574" xr:uid="{00000000-0004-0000-0600-00003D020000}"/>
    <hyperlink ref="E572" r:id="rId575" xr:uid="{00000000-0004-0000-0600-00003E020000}"/>
    <hyperlink ref="E573" r:id="rId576" xr:uid="{00000000-0004-0000-0600-00003F020000}"/>
    <hyperlink ref="E574" r:id="rId577" xr:uid="{00000000-0004-0000-0600-000040020000}"/>
    <hyperlink ref="E575" r:id="rId578" xr:uid="{00000000-0004-0000-0600-000041020000}"/>
    <hyperlink ref="E576" r:id="rId579" xr:uid="{00000000-0004-0000-0600-000042020000}"/>
    <hyperlink ref="E577" r:id="rId580" xr:uid="{00000000-0004-0000-0600-000043020000}"/>
    <hyperlink ref="E578" r:id="rId581" xr:uid="{00000000-0004-0000-0600-000044020000}"/>
    <hyperlink ref="E579" r:id="rId582" xr:uid="{00000000-0004-0000-0600-000045020000}"/>
    <hyperlink ref="E580" r:id="rId583" xr:uid="{00000000-0004-0000-0600-000046020000}"/>
    <hyperlink ref="E581" r:id="rId584" xr:uid="{00000000-0004-0000-0600-000047020000}"/>
    <hyperlink ref="E582" r:id="rId585" xr:uid="{00000000-0004-0000-0600-000048020000}"/>
    <hyperlink ref="E583" r:id="rId586" xr:uid="{00000000-0004-0000-0600-000049020000}"/>
    <hyperlink ref="E584" r:id="rId587" xr:uid="{00000000-0004-0000-0600-00004A020000}"/>
    <hyperlink ref="E585" r:id="rId588" xr:uid="{00000000-0004-0000-0600-00004B020000}"/>
    <hyperlink ref="E586" r:id="rId589" xr:uid="{00000000-0004-0000-0600-00004C020000}"/>
    <hyperlink ref="E587" r:id="rId590" xr:uid="{00000000-0004-0000-0600-00004D020000}"/>
    <hyperlink ref="E588" r:id="rId591" xr:uid="{00000000-0004-0000-0600-00004E020000}"/>
    <hyperlink ref="E589" r:id="rId592" xr:uid="{00000000-0004-0000-0600-00004F020000}"/>
    <hyperlink ref="E590" r:id="rId593" xr:uid="{00000000-0004-0000-0600-000050020000}"/>
    <hyperlink ref="E591" r:id="rId594" xr:uid="{00000000-0004-0000-0600-000051020000}"/>
    <hyperlink ref="E592" r:id="rId595" xr:uid="{00000000-0004-0000-0600-000052020000}"/>
    <hyperlink ref="E593" r:id="rId596" xr:uid="{00000000-0004-0000-0600-000053020000}"/>
    <hyperlink ref="E594" r:id="rId597" xr:uid="{00000000-0004-0000-0600-000054020000}"/>
    <hyperlink ref="E595" r:id="rId598" xr:uid="{00000000-0004-0000-0600-000055020000}"/>
    <hyperlink ref="E596" r:id="rId599" xr:uid="{00000000-0004-0000-0600-000056020000}"/>
    <hyperlink ref="E597" r:id="rId600" xr:uid="{00000000-0004-0000-0600-000057020000}"/>
    <hyperlink ref="E598" r:id="rId601" xr:uid="{00000000-0004-0000-0600-000058020000}"/>
    <hyperlink ref="E599" r:id="rId602" xr:uid="{00000000-0004-0000-0600-000059020000}"/>
    <hyperlink ref="E600" r:id="rId603" xr:uid="{00000000-0004-0000-0600-00005A020000}"/>
    <hyperlink ref="E601" r:id="rId604" xr:uid="{00000000-0004-0000-0600-00005B020000}"/>
    <hyperlink ref="E602" r:id="rId605" xr:uid="{00000000-0004-0000-0600-00005C020000}"/>
    <hyperlink ref="E603" r:id="rId606" xr:uid="{00000000-0004-0000-0600-00005D020000}"/>
    <hyperlink ref="E604" r:id="rId607" xr:uid="{00000000-0004-0000-0600-00005E020000}"/>
    <hyperlink ref="E605" r:id="rId608" xr:uid="{00000000-0004-0000-0600-00005F020000}"/>
    <hyperlink ref="E606" r:id="rId609" xr:uid="{00000000-0004-0000-0600-000060020000}"/>
    <hyperlink ref="E607" r:id="rId610" xr:uid="{00000000-0004-0000-0600-000061020000}"/>
    <hyperlink ref="E608" r:id="rId611" xr:uid="{00000000-0004-0000-0600-000062020000}"/>
    <hyperlink ref="E609" r:id="rId612" xr:uid="{00000000-0004-0000-0600-000063020000}"/>
    <hyperlink ref="E610" r:id="rId613" xr:uid="{00000000-0004-0000-0600-000064020000}"/>
    <hyperlink ref="E611" r:id="rId614" xr:uid="{00000000-0004-0000-0600-000065020000}"/>
    <hyperlink ref="E612" r:id="rId615" xr:uid="{00000000-0004-0000-0600-000066020000}"/>
    <hyperlink ref="E613" r:id="rId616" xr:uid="{00000000-0004-0000-0600-000067020000}"/>
    <hyperlink ref="E614" r:id="rId617" xr:uid="{00000000-0004-0000-0600-000068020000}"/>
    <hyperlink ref="E615" r:id="rId618" xr:uid="{00000000-0004-0000-0600-000069020000}"/>
    <hyperlink ref="E616" r:id="rId619" xr:uid="{00000000-0004-0000-0600-00006A020000}"/>
    <hyperlink ref="E617" r:id="rId620" xr:uid="{00000000-0004-0000-0600-00006B020000}"/>
    <hyperlink ref="E618" r:id="rId621" xr:uid="{00000000-0004-0000-0600-00006C020000}"/>
    <hyperlink ref="E619" r:id="rId622" xr:uid="{00000000-0004-0000-0600-00006D020000}"/>
    <hyperlink ref="E620" r:id="rId623" xr:uid="{00000000-0004-0000-0600-00006E020000}"/>
    <hyperlink ref="E621" r:id="rId624" xr:uid="{00000000-0004-0000-0600-00006F020000}"/>
    <hyperlink ref="E622" r:id="rId625" xr:uid="{00000000-0004-0000-0600-000070020000}"/>
    <hyperlink ref="E623" r:id="rId626" xr:uid="{00000000-0004-0000-0600-000071020000}"/>
    <hyperlink ref="E624" r:id="rId627" xr:uid="{00000000-0004-0000-0600-000072020000}"/>
    <hyperlink ref="E625" r:id="rId628" xr:uid="{00000000-0004-0000-0600-000073020000}"/>
    <hyperlink ref="E626" r:id="rId629" xr:uid="{00000000-0004-0000-0600-000074020000}"/>
    <hyperlink ref="E627" r:id="rId630" xr:uid="{00000000-0004-0000-0600-000075020000}"/>
    <hyperlink ref="E628" r:id="rId631" xr:uid="{00000000-0004-0000-0600-000076020000}"/>
    <hyperlink ref="E629" r:id="rId632" xr:uid="{00000000-0004-0000-0600-000077020000}"/>
    <hyperlink ref="E630" r:id="rId633" xr:uid="{00000000-0004-0000-0600-000078020000}"/>
    <hyperlink ref="E631" r:id="rId634" xr:uid="{00000000-0004-0000-0600-000079020000}"/>
    <hyperlink ref="E632" r:id="rId635" xr:uid="{00000000-0004-0000-0600-00007A020000}"/>
    <hyperlink ref="E633" r:id="rId636" xr:uid="{00000000-0004-0000-0600-00007B020000}"/>
    <hyperlink ref="E634" r:id="rId637" xr:uid="{00000000-0004-0000-0600-00007C020000}"/>
    <hyperlink ref="E635" r:id="rId638" xr:uid="{00000000-0004-0000-0600-00007D020000}"/>
    <hyperlink ref="E636" r:id="rId639" xr:uid="{00000000-0004-0000-0600-00007E020000}"/>
    <hyperlink ref="E637" r:id="rId640" xr:uid="{00000000-0004-0000-0600-00007F020000}"/>
    <hyperlink ref="E638" r:id="rId641" xr:uid="{00000000-0004-0000-0600-000080020000}"/>
    <hyperlink ref="E639" r:id="rId642" xr:uid="{00000000-0004-0000-0600-000081020000}"/>
    <hyperlink ref="E640" r:id="rId643" xr:uid="{00000000-0004-0000-0600-000082020000}"/>
    <hyperlink ref="E641" r:id="rId644" xr:uid="{00000000-0004-0000-0600-000083020000}"/>
    <hyperlink ref="E642" r:id="rId645" xr:uid="{00000000-0004-0000-0600-000084020000}"/>
    <hyperlink ref="E643" r:id="rId646" xr:uid="{00000000-0004-0000-0600-000085020000}"/>
    <hyperlink ref="E644" r:id="rId647" xr:uid="{00000000-0004-0000-0600-000086020000}"/>
    <hyperlink ref="E645" r:id="rId648" xr:uid="{00000000-0004-0000-0600-000087020000}"/>
    <hyperlink ref="E646" r:id="rId649" xr:uid="{00000000-0004-0000-0600-000088020000}"/>
    <hyperlink ref="E647" r:id="rId650" xr:uid="{00000000-0004-0000-0600-000089020000}"/>
    <hyperlink ref="E648" r:id="rId651" xr:uid="{00000000-0004-0000-0600-00008A020000}"/>
    <hyperlink ref="E649" r:id="rId652" xr:uid="{00000000-0004-0000-0600-00008B020000}"/>
    <hyperlink ref="E650" r:id="rId653" xr:uid="{00000000-0004-0000-0600-00008C020000}"/>
    <hyperlink ref="E651" r:id="rId654" xr:uid="{00000000-0004-0000-0600-00008D020000}"/>
    <hyperlink ref="E652" r:id="rId655" xr:uid="{00000000-0004-0000-0600-00008E020000}"/>
    <hyperlink ref="E653" r:id="rId656" xr:uid="{00000000-0004-0000-0600-00008F020000}"/>
    <hyperlink ref="E654" r:id="rId657" xr:uid="{00000000-0004-0000-0600-000090020000}"/>
    <hyperlink ref="E655" r:id="rId658" xr:uid="{00000000-0004-0000-0600-000091020000}"/>
    <hyperlink ref="E656" r:id="rId659" xr:uid="{00000000-0004-0000-0600-000092020000}"/>
    <hyperlink ref="E657" r:id="rId660" xr:uid="{00000000-0004-0000-0600-000093020000}"/>
    <hyperlink ref="E658" r:id="rId661" xr:uid="{00000000-0004-0000-0600-000094020000}"/>
    <hyperlink ref="E659" r:id="rId662" xr:uid="{00000000-0004-0000-0600-000095020000}"/>
    <hyperlink ref="E660" r:id="rId663" xr:uid="{00000000-0004-0000-0600-000096020000}"/>
    <hyperlink ref="E661" r:id="rId664" xr:uid="{00000000-0004-0000-0600-000097020000}"/>
    <hyperlink ref="E662" r:id="rId665" xr:uid="{00000000-0004-0000-0600-000098020000}"/>
    <hyperlink ref="E663" r:id="rId666" xr:uid="{00000000-0004-0000-0600-000099020000}"/>
    <hyperlink ref="E664" r:id="rId667" xr:uid="{00000000-0004-0000-0600-00009A020000}"/>
    <hyperlink ref="E665" r:id="rId668" xr:uid="{00000000-0004-0000-0600-00009B020000}"/>
    <hyperlink ref="E666" r:id="rId669" xr:uid="{00000000-0004-0000-0600-00009C020000}"/>
    <hyperlink ref="E667" r:id="rId670" xr:uid="{00000000-0004-0000-0600-00009D020000}"/>
    <hyperlink ref="E668" r:id="rId671" xr:uid="{00000000-0004-0000-0600-00009E020000}"/>
    <hyperlink ref="E669" r:id="rId672" xr:uid="{00000000-0004-0000-0600-00009F020000}"/>
    <hyperlink ref="E670" r:id="rId673" xr:uid="{00000000-0004-0000-0600-0000A0020000}"/>
    <hyperlink ref="E671" r:id="rId674" xr:uid="{00000000-0004-0000-0600-0000A1020000}"/>
    <hyperlink ref="E672" r:id="rId675" xr:uid="{00000000-0004-0000-0600-0000A2020000}"/>
    <hyperlink ref="E673" r:id="rId676" xr:uid="{00000000-0004-0000-0600-0000A3020000}"/>
    <hyperlink ref="E674" r:id="rId677" xr:uid="{00000000-0004-0000-0600-0000A4020000}"/>
    <hyperlink ref="E675" r:id="rId678" xr:uid="{00000000-0004-0000-0600-0000A5020000}"/>
    <hyperlink ref="E676" r:id="rId679" xr:uid="{00000000-0004-0000-0600-0000A6020000}"/>
    <hyperlink ref="E677" r:id="rId680" xr:uid="{00000000-0004-0000-0600-0000A7020000}"/>
    <hyperlink ref="E678" r:id="rId681" xr:uid="{00000000-0004-0000-0600-0000A8020000}"/>
    <hyperlink ref="E679" r:id="rId682" xr:uid="{00000000-0004-0000-0600-0000A9020000}"/>
    <hyperlink ref="E680" r:id="rId683" xr:uid="{00000000-0004-0000-0600-0000AA020000}"/>
    <hyperlink ref="E681" r:id="rId684" xr:uid="{00000000-0004-0000-0600-0000AB020000}"/>
    <hyperlink ref="E682" r:id="rId685" xr:uid="{00000000-0004-0000-0600-0000AC020000}"/>
    <hyperlink ref="E683" r:id="rId686" xr:uid="{00000000-0004-0000-0600-0000AD020000}"/>
    <hyperlink ref="E684" r:id="rId687" xr:uid="{00000000-0004-0000-0600-0000AE020000}"/>
    <hyperlink ref="E685" r:id="rId688" xr:uid="{00000000-0004-0000-0600-0000AF020000}"/>
    <hyperlink ref="E686" r:id="rId689" xr:uid="{00000000-0004-0000-0600-0000B0020000}"/>
    <hyperlink ref="E687" r:id="rId690" xr:uid="{00000000-0004-0000-0600-0000B1020000}"/>
    <hyperlink ref="E688" r:id="rId691" xr:uid="{00000000-0004-0000-0600-0000B2020000}"/>
    <hyperlink ref="E689" r:id="rId692" xr:uid="{00000000-0004-0000-0600-0000B3020000}"/>
    <hyperlink ref="E690" r:id="rId693" xr:uid="{00000000-0004-0000-0600-0000B4020000}"/>
    <hyperlink ref="E691" r:id="rId694" xr:uid="{00000000-0004-0000-0600-0000B5020000}"/>
    <hyperlink ref="E692" r:id="rId695" xr:uid="{00000000-0004-0000-0600-0000B6020000}"/>
    <hyperlink ref="E693" r:id="rId696" xr:uid="{00000000-0004-0000-0600-0000B7020000}"/>
    <hyperlink ref="E694" r:id="rId697" xr:uid="{00000000-0004-0000-0600-0000B8020000}"/>
    <hyperlink ref="E695" r:id="rId698" xr:uid="{00000000-0004-0000-0600-0000B9020000}"/>
    <hyperlink ref="E696" r:id="rId699" xr:uid="{00000000-0004-0000-0600-0000BA020000}"/>
    <hyperlink ref="A697" r:id="rId700" xr:uid="{00000000-0004-0000-0600-0000BB020000}"/>
    <hyperlink ref="E697" r:id="rId701" xr:uid="{00000000-0004-0000-0600-0000BC020000}"/>
    <hyperlink ref="E698" r:id="rId702" xr:uid="{00000000-0004-0000-0600-0000BD020000}"/>
    <hyperlink ref="E699" r:id="rId703" xr:uid="{00000000-0004-0000-0600-0000BE020000}"/>
    <hyperlink ref="E700" r:id="rId704" xr:uid="{00000000-0004-0000-0600-0000BF020000}"/>
    <hyperlink ref="E701" r:id="rId705" xr:uid="{00000000-0004-0000-0600-0000C0020000}"/>
    <hyperlink ref="E702" r:id="rId706" xr:uid="{00000000-0004-0000-0600-0000C1020000}"/>
    <hyperlink ref="E703" r:id="rId707" xr:uid="{00000000-0004-0000-0600-0000C2020000}"/>
    <hyperlink ref="E704" r:id="rId708" xr:uid="{00000000-0004-0000-0600-0000C3020000}"/>
    <hyperlink ref="E705" r:id="rId709" xr:uid="{00000000-0004-0000-0600-0000C4020000}"/>
    <hyperlink ref="E706" r:id="rId710" xr:uid="{00000000-0004-0000-0600-0000C5020000}"/>
    <hyperlink ref="E707" r:id="rId711" xr:uid="{00000000-0004-0000-0600-0000C6020000}"/>
    <hyperlink ref="E708" r:id="rId712" xr:uid="{00000000-0004-0000-0600-0000C7020000}"/>
    <hyperlink ref="E709" r:id="rId713" xr:uid="{00000000-0004-0000-0600-0000C8020000}"/>
    <hyperlink ref="E710" r:id="rId714" xr:uid="{00000000-0004-0000-0600-0000C9020000}"/>
    <hyperlink ref="E711" r:id="rId715" xr:uid="{00000000-0004-0000-0600-0000CA020000}"/>
    <hyperlink ref="E712" r:id="rId716" xr:uid="{00000000-0004-0000-0600-0000CB020000}"/>
    <hyperlink ref="E713" r:id="rId717" xr:uid="{00000000-0004-0000-0600-0000CC020000}"/>
    <hyperlink ref="E714" r:id="rId718" xr:uid="{00000000-0004-0000-0600-0000CD020000}"/>
    <hyperlink ref="E715" r:id="rId719" xr:uid="{00000000-0004-0000-0600-0000CE020000}"/>
    <hyperlink ref="E716" r:id="rId720" xr:uid="{00000000-0004-0000-0600-0000CF020000}"/>
    <hyperlink ref="E717" r:id="rId721" xr:uid="{00000000-0004-0000-0600-0000D0020000}"/>
    <hyperlink ref="E718" r:id="rId722" xr:uid="{00000000-0004-0000-0600-0000D1020000}"/>
    <hyperlink ref="E719" r:id="rId723" xr:uid="{00000000-0004-0000-0600-0000D2020000}"/>
    <hyperlink ref="E720" r:id="rId724" xr:uid="{00000000-0004-0000-0600-0000D3020000}"/>
    <hyperlink ref="E721" r:id="rId725" xr:uid="{00000000-0004-0000-0600-0000D4020000}"/>
    <hyperlink ref="E722" r:id="rId726" xr:uid="{00000000-0004-0000-0600-0000D5020000}"/>
    <hyperlink ref="E723" r:id="rId727" xr:uid="{00000000-0004-0000-0600-0000D6020000}"/>
    <hyperlink ref="E724" r:id="rId728" xr:uid="{00000000-0004-0000-0600-0000D7020000}"/>
    <hyperlink ref="E725" r:id="rId729" xr:uid="{00000000-0004-0000-0600-0000D8020000}"/>
    <hyperlink ref="E726" r:id="rId730" xr:uid="{00000000-0004-0000-0600-0000D9020000}"/>
    <hyperlink ref="E727" r:id="rId731" xr:uid="{00000000-0004-0000-0600-0000DA020000}"/>
    <hyperlink ref="E728" r:id="rId732" xr:uid="{00000000-0004-0000-0600-0000DB02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H730"/>
  <sheetViews>
    <sheetView workbookViewId="0"/>
  </sheetViews>
  <sheetFormatPr defaultColWidth="12.5703125" defaultRowHeight="15.75" customHeight="1"/>
  <sheetData>
    <row r="1" spans="1:8">
      <c r="A1" s="21" t="s">
        <v>2351</v>
      </c>
      <c r="B1" s="21" t="s">
        <v>2353</v>
      </c>
      <c r="C1" s="21" t="s">
        <v>2355</v>
      </c>
      <c r="D1" s="21" t="s">
        <v>2357</v>
      </c>
      <c r="E1" s="21" t="s">
        <v>2359</v>
      </c>
      <c r="F1" s="21" t="s">
        <v>2361</v>
      </c>
      <c r="G1" s="21" t="s">
        <v>2362</v>
      </c>
      <c r="H1" s="21" t="s">
        <v>2364</v>
      </c>
    </row>
    <row r="2" spans="1:8">
      <c r="A2" s="22" t="s">
        <v>2373</v>
      </c>
      <c r="B2" s="23" t="s">
        <v>1370</v>
      </c>
      <c r="C2" s="23">
        <v>37</v>
      </c>
      <c r="D2" s="23" t="s">
        <v>2681</v>
      </c>
      <c r="E2" s="24">
        <v>45638</v>
      </c>
      <c r="F2" s="23" t="s">
        <v>2655</v>
      </c>
      <c r="G2" s="23" t="s">
        <v>2656</v>
      </c>
      <c r="H2" s="23">
        <v>4</v>
      </c>
    </row>
    <row r="3" spans="1:8">
      <c r="A3" s="22" t="s">
        <v>1213</v>
      </c>
      <c r="B3" s="23" t="s">
        <v>1176</v>
      </c>
      <c r="C3" s="23">
        <v>22</v>
      </c>
      <c r="D3" s="23" t="s">
        <v>417</v>
      </c>
      <c r="E3" s="24">
        <v>45692</v>
      </c>
      <c r="F3" s="23" t="s">
        <v>2653</v>
      </c>
      <c r="G3" s="23" t="s">
        <v>2654</v>
      </c>
      <c r="H3" s="23">
        <v>0</v>
      </c>
    </row>
    <row r="4" spans="1:8">
      <c r="A4" s="22" t="s">
        <v>911</v>
      </c>
      <c r="B4" s="23" t="s">
        <v>1370</v>
      </c>
      <c r="C4" s="23">
        <v>65</v>
      </c>
      <c r="D4" s="23" t="s">
        <v>2673</v>
      </c>
      <c r="E4" s="24">
        <v>45536</v>
      </c>
      <c r="F4" s="23" t="s">
        <v>2653</v>
      </c>
      <c r="G4" s="23" t="s">
        <v>2654</v>
      </c>
      <c r="H4" s="23">
        <v>0</v>
      </c>
    </row>
    <row r="5" spans="1:8">
      <c r="A5" s="22" t="s">
        <v>2374</v>
      </c>
      <c r="B5" s="23" t="s">
        <v>1370</v>
      </c>
      <c r="C5" s="23">
        <v>57</v>
      </c>
      <c r="D5" s="23" t="s">
        <v>2690</v>
      </c>
      <c r="E5" s="24">
        <v>45650</v>
      </c>
      <c r="F5" s="23" t="s">
        <v>2655</v>
      </c>
      <c r="G5" s="23" t="s">
        <v>2656</v>
      </c>
      <c r="H5" s="23">
        <v>1</v>
      </c>
    </row>
    <row r="6" spans="1:8">
      <c r="A6" s="22" t="s">
        <v>2375</v>
      </c>
      <c r="B6" s="23" t="s">
        <v>1176</v>
      </c>
      <c r="C6" s="23">
        <v>20</v>
      </c>
      <c r="D6" s="23" t="s">
        <v>2681</v>
      </c>
      <c r="E6" s="24">
        <v>45746</v>
      </c>
      <c r="F6" s="23" t="s">
        <v>2653</v>
      </c>
      <c r="G6" s="23" t="s">
        <v>2654</v>
      </c>
      <c r="H6" s="23">
        <v>0</v>
      </c>
    </row>
    <row r="7" spans="1:8">
      <c r="A7" s="22" t="s">
        <v>412</v>
      </c>
      <c r="B7" s="23" t="s">
        <v>1176</v>
      </c>
      <c r="C7" s="23">
        <v>27</v>
      </c>
      <c r="D7" s="23" t="s">
        <v>2683</v>
      </c>
      <c r="E7" s="24">
        <v>45561</v>
      </c>
      <c r="F7" s="23" t="s">
        <v>2653</v>
      </c>
      <c r="G7" s="23" t="s">
        <v>2656</v>
      </c>
      <c r="H7" s="23">
        <v>2</v>
      </c>
    </row>
    <row r="8" spans="1:8">
      <c r="A8" s="22" t="s">
        <v>1431</v>
      </c>
      <c r="B8" s="23" t="s">
        <v>1176</v>
      </c>
      <c r="C8" s="23">
        <v>53</v>
      </c>
      <c r="D8" s="23" t="s">
        <v>2682</v>
      </c>
      <c r="E8" s="24">
        <v>45674</v>
      </c>
      <c r="F8" s="23" t="s">
        <v>2655</v>
      </c>
      <c r="G8" s="23" t="s">
        <v>2656</v>
      </c>
      <c r="H8" s="23">
        <v>1</v>
      </c>
    </row>
    <row r="9" spans="1:8">
      <c r="A9" s="22" t="s">
        <v>2376</v>
      </c>
      <c r="B9" s="23" t="s">
        <v>1176</v>
      </c>
      <c r="C9" s="23">
        <v>25</v>
      </c>
      <c r="D9" s="23" t="s">
        <v>2673</v>
      </c>
      <c r="E9" s="24">
        <v>45570</v>
      </c>
      <c r="F9" s="23" t="s">
        <v>2653</v>
      </c>
      <c r="G9" s="23" t="s">
        <v>2656</v>
      </c>
      <c r="H9" s="23">
        <v>4</v>
      </c>
    </row>
    <row r="10" spans="1:8">
      <c r="A10" s="22" t="s">
        <v>263</v>
      </c>
      <c r="B10" s="23" t="s">
        <v>1370</v>
      </c>
      <c r="C10" s="23">
        <v>32</v>
      </c>
      <c r="D10" s="23" t="s">
        <v>2684</v>
      </c>
      <c r="E10" s="24">
        <v>45548</v>
      </c>
      <c r="F10" s="23" t="s">
        <v>2655</v>
      </c>
      <c r="G10" s="23" t="s">
        <v>2654</v>
      </c>
      <c r="H10" s="23">
        <v>0</v>
      </c>
    </row>
    <row r="11" spans="1:8">
      <c r="A11" s="22" t="s">
        <v>2377</v>
      </c>
      <c r="B11" s="23" t="s">
        <v>1370</v>
      </c>
      <c r="C11" s="23">
        <v>44</v>
      </c>
      <c r="D11" s="23" t="s">
        <v>417</v>
      </c>
      <c r="E11" s="24">
        <v>45720</v>
      </c>
      <c r="F11" s="23" t="s">
        <v>2655</v>
      </c>
      <c r="G11" s="23" t="s">
        <v>2654</v>
      </c>
      <c r="H11" s="23">
        <v>0</v>
      </c>
    </row>
    <row r="12" spans="1:8">
      <c r="A12" s="22" t="s">
        <v>740</v>
      </c>
      <c r="B12" s="23" t="s">
        <v>1176</v>
      </c>
      <c r="C12" s="23">
        <v>18</v>
      </c>
      <c r="D12" s="23" t="s">
        <v>359</v>
      </c>
      <c r="E12" s="24">
        <v>45729</v>
      </c>
      <c r="F12" s="23" t="s">
        <v>2653</v>
      </c>
      <c r="G12" s="23" t="s">
        <v>2654</v>
      </c>
      <c r="H12" s="23">
        <v>0</v>
      </c>
    </row>
    <row r="13" spans="1:8">
      <c r="A13" s="22" t="s">
        <v>1714</v>
      </c>
      <c r="B13" s="23" t="s">
        <v>1370</v>
      </c>
      <c r="C13" s="23">
        <v>56</v>
      </c>
      <c r="D13" s="23" t="s">
        <v>2661</v>
      </c>
      <c r="E13" s="24">
        <v>45731</v>
      </c>
      <c r="F13" s="23" t="s">
        <v>2653</v>
      </c>
      <c r="G13" s="23" t="s">
        <v>2654</v>
      </c>
      <c r="H13" s="23">
        <v>0</v>
      </c>
    </row>
    <row r="14" spans="1:8">
      <c r="A14" s="22" t="s">
        <v>347</v>
      </c>
      <c r="B14" s="23" t="s">
        <v>1176</v>
      </c>
      <c r="C14" s="23">
        <v>35</v>
      </c>
      <c r="D14" s="23" t="s">
        <v>2673</v>
      </c>
      <c r="E14" s="24">
        <v>45609</v>
      </c>
      <c r="F14" s="23" t="s">
        <v>2655</v>
      </c>
      <c r="G14" s="23" t="s">
        <v>2654</v>
      </c>
      <c r="H14" s="23">
        <v>0</v>
      </c>
    </row>
    <row r="15" spans="1:8">
      <c r="A15" s="22" t="s">
        <v>2378</v>
      </c>
      <c r="B15" s="23" t="s">
        <v>1370</v>
      </c>
      <c r="C15" s="23">
        <v>53</v>
      </c>
      <c r="D15" s="23" t="s">
        <v>2670</v>
      </c>
      <c r="E15" s="24">
        <v>45577</v>
      </c>
      <c r="F15" s="23" t="s">
        <v>2653</v>
      </c>
      <c r="G15" s="23" t="s">
        <v>2654</v>
      </c>
      <c r="H15" s="23">
        <v>0</v>
      </c>
    </row>
    <row r="16" spans="1:8">
      <c r="A16" s="22" t="s">
        <v>2379</v>
      </c>
      <c r="B16" s="23" t="s">
        <v>1370</v>
      </c>
      <c r="C16" s="23">
        <v>62</v>
      </c>
      <c r="D16" s="23" t="s">
        <v>228</v>
      </c>
      <c r="E16" s="24">
        <v>45551</v>
      </c>
      <c r="F16" s="23" t="s">
        <v>2653</v>
      </c>
      <c r="G16" s="23" t="s">
        <v>2656</v>
      </c>
      <c r="H16" s="23">
        <v>4</v>
      </c>
    </row>
    <row r="17" spans="1:8">
      <c r="A17" s="22" t="s">
        <v>1006</v>
      </c>
      <c r="B17" s="23" t="s">
        <v>1176</v>
      </c>
      <c r="C17" s="23">
        <v>52</v>
      </c>
      <c r="D17" s="23" t="s">
        <v>82</v>
      </c>
      <c r="E17" s="24">
        <v>45545</v>
      </c>
      <c r="F17" s="23" t="s">
        <v>2655</v>
      </c>
      <c r="G17" s="23" t="s">
        <v>2656</v>
      </c>
      <c r="H17" s="23">
        <v>4</v>
      </c>
    </row>
    <row r="18" spans="1:8">
      <c r="A18" s="22" t="s">
        <v>338</v>
      </c>
      <c r="B18" s="23" t="s">
        <v>1370</v>
      </c>
      <c r="C18" s="23">
        <v>65</v>
      </c>
      <c r="D18" s="23" t="s">
        <v>2688</v>
      </c>
      <c r="E18" s="24">
        <v>45566</v>
      </c>
      <c r="F18" s="23" t="s">
        <v>2653</v>
      </c>
      <c r="G18" s="23" t="s">
        <v>2654</v>
      </c>
      <c r="H18" s="23">
        <v>0</v>
      </c>
    </row>
    <row r="19" spans="1:8">
      <c r="A19" s="22" t="s">
        <v>2380</v>
      </c>
      <c r="B19" s="23" t="s">
        <v>1370</v>
      </c>
      <c r="C19" s="23">
        <v>55</v>
      </c>
      <c r="D19" s="23" t="s">
        <v>2664</v>
      </c>
      <c r="E19" s="24">
        <v>45656</v>
      </c>
      <c r="F19" s="23" t="s">
        <v>2655</v>
      </c>
      <c r="G19" s="23" t="s">
        <v>2656</v>
      </c>
      <c r="H19" s="23">
        <v>2</v>
      </c>
    </row>
    <row r="20" spans="1:8">
      <c r="A20" s="22" t="s">
        <v>1139</v>
      </c>
      <c r="B20" s="23" t="s">
        <v>1176</v>
      </c>
      <c r="C20" s="23">
        <v>56</v>
      </c>
      <c r="D20" s="23" t="s">
        <v>2659</v>
      </c>
      <c r="E20" s="24">
        <v>45685</v>
      </c>
      <c r="F20" s="23" t="s">
        <v>2655</v>
      </c>
      <c r="G20" s="23" t="s">
        <v>2654</v>
      </c>
      <c r="H20" s="23">
        <v>0</v>
      </c>
    </row>
    <row r="21" spans="1:8">
      <c r="A21" s="22" t="s">
        <v>273</v>
      </c>
      <c r="B21" s="23" t="s">
        <v>1176</v>
      </c>
      <c r="C21" s="23">
        <v>23</v>
      </c>
      <c r="D21" s="23" t="s">
        <v>2668</v>
      </c>
      <c r="E21" s="24">
        <v>45678</v>
      </c>
      <c r="F21" s="23" t="s">
        <v>2653</v>
      </c>
      <c r="G21" s="23" t="s">
        <v>2654</v>
      </c>
      <c r="H21" s="23">
        <v>0</v>
      </c>
    </row>
    <row r="22" spans="1:8">
      <c r="A22" s="22" t="s">
        <v>1638</v>
      </c>
      <c r="B22" s="23" t="s">
        <v>1370</v>
      </c>
      <c r="C22" s="23">
        <v>21</v>
      </c>
      <c r="D22" s="23" t="s">
        <v>2679</v>
      </c>
      <c r="E22" s="24">
        <v>45598</v>
      </c>
      <c r="F22" s="23" t="s">
        <v>2655</v>
      </c>
      <c r="G22" s="23" t="s">
        <v>2654</v>
      </c>
      <c r="H22" s="23">
        <v>0</v>
      </c>
    </row>
    <row r="23" spans="1:8">
      <c r="A23" s="22" t="s">
        <v>2381</v>
      </c>
      <c r="B23" s="23" t="s">
        <v>1370</v>
      </c>
      <c r="C23" s="23">
        <v>23</v>
      </c>
      <c r="D23" s="23" t="s">
        <v>2678</v>
      </c>
      <c r="E23" s="24">
        <v>45687</v>
      </c>
      <c r="F23" s="23" t="s">
        <v>2653</v>
      </c>
      <c r="G23" s="23" t="s">
        <v>2656</v>
      </c>
      <c r="H23" s="23">
        <v>4</v>
      </c>
    </row>
    <row r="24" spans="1:8">
      <c r="A24" s="22" t="s">
        <v>382</v>
      </c>
      <c r="B24" s="23" t="s">
        <v>1370</v>
      </c>
      <c r="C24" s="23">
        <v>33</v>
      </c>
      <c r="D24" s="23" t="s">
        <v>36</v>
      </c>
      <c r="E24" s="24">
        <v>45669</v>
      </c>
      <c r="F24" s="23" t="s">
        <v>2655</v>
      </c>
      <c r="G24" s="23" t="s">
        <v>2654</v>
      </c>
      <c r="H24" s="23">
        <v>0</v>
      </c>
    </row>
    <row r="25" spans="1:8">
      <c r="A25" s="22" t="s">
        <v>2382</v>
      </c>
      <c r="B25" s="23" t="s">
        <v>1176</v>
      </c>
      <c r="C25" s="23">
        <v>35</v>
      </c>
      <c r="D25" s="23" t="s">
        <v>2669</v>
      </c>
      <c r="E25" s="24">
        <v>45569</v>
      </c>
      <c r="F25" s="23" t="s">
        <v>2653</v>
      </c>
      <c r="G25" s="23" t="s">
        <v>2654</v>
      </c>
      <c r="H25" s="23">
        <v>0</v>
      </c>
    </row>
    <row r="26" spans="1:8">
      <c r="A26" s="22" t="s">
        <v>2383</v>
      </c>
      <c r="B26" s="23" t="s">
        <v>1370</v>
      </c>
      <c r="C26" s="23">
        <v>39</v>
      </c>
      <c r="D26" s="23" t="s">
        <v>2690</v>
      </c>
      <c r="E26" s="24">
        <v>45542</v>
      </c>
      <c r="F26" s="23" t="s">
        <v>2653</v>
      </c>
      <c r="G26" s="23" t="s">
        <v>2656</v>
      </c>
      <c r="H26" s="23">
        <v>1</v>
      </c>
    </row>
    <row r="27" spans="1:8">
      <c r="A27" s="22" t="s">
        <v>982</v>
      </c>
      <c r="B27" s="23" t="s">
        <v>1176</v>
      </c>
      <c r="C27" s="23">
        <v>41</v>
      </c>
      <c r="D27" s="23" t="s">
        <v>2692</v>
      </c>
      <c r="E27" s="24">
        <v>45564</v>
      </c>
      <c r="F27" s="23" t="s">
        <v>2653</v>
      </c>
      <c r="G27" s="23" t="s">
        <v>2656</v>
      </c>
      <c r="H27" s="23">
        <v>3</v>
      </c>
    </row>
    <row r="28" spans="1:8">
      <c r="A28" s="22" t="s">
        <v>1012</v>
      </c>
      <c r="B28" s="23" t="s">
        <v>1176</v>
      </c>
      <c r="C28" s="23">
        <v>58</v>
      </c>
      <c r="D28" s="23" t="s">
        <v>57</v>
      </c>
      <c r="E28" s="24">
        <v>45731</v>
      </c>
      <c r="F28" s="23" t="s">
        <v>2655</v>
      </c>
      <c r="G28" s="23" t="s">
        <v>2656</v>
      </c>
      <c r="H28" s="23">
        <v>1</v>
      </c>
    </row>
    <row r="29" spans="1:8">
      <c r="A29" s="22" t="s">
        <v>2384</v>
      </c>
      <c r="B29" s="23" t="s">
        <v>1370</v>
      </c>
      <c r="C29" s="23">
        <v>25</v>
      </c>
      <c r="D29" s="23" t="s">
        <v>57</v>
      </c>
      <c r="E29" s="24">
        <v>45695</v>
      </c>
      <c r="F29" s="23" t="s">
        <v>2655</v>
      </c>
      <c r="G29" s="23" t="s">
        <v>2654</v>
      </c>
      <c r="H29" s="23">
        <v>0</v>
      </c>
    </row>
    <row r="30" spans="1:8">
      <c r="A30" s="22" t="s">
        <v>718</v>
      </c>
      <c r="B30" s="23" t="s">
        <v>1370</v>
      </c>
      <c r="C30" s="23">
        <v>39</v>
      </c>
      <c r="D30" s="23" t="s">
        <v>2679</v>
      </c>
      <c r="E30" s="24">
        <v>45652</v>
      </c>
      <c r="F30" s="23" t="s">
        <v>2653</v>
      </c>
      <c r="G30" s="23" t="s">
        <v>2656</v>
      </c>
      <c r="H30" s="23">
        <v>2</v>
      </c>
    </row>
    <row r="31" spans="1:8">
      <c r="A31" s="22" t="s">
        <v>1215</v>
      </c>
      <c r="B31" s="23" t="s">
        <v>1370</v>
      </c>
      <c r="C31" s="23">
        <v>33</v>
      </c>
      <c r="D31" s="23" t="s">
        <v>2683</v>
      </c>
      <c r="E31" s="24">
        <v>45645</v>
      </c>
      <c r="F31" s="23" t="s">
        <v>2653</v>
      </c>
      <c r="G31" s="23" t="s">
        <v>2656</v>
      </c>
      <c r="H31" s="23">
        <v>2</v>
      </c>
    </row>
    <row r="32" spans="1:8">
      <c r="A32" s="22" t="s">
        <v>1285</v>
      </c>
      <c r="B32" s="23" t="s">
        <v>1370</v>
      </c>
      <c r="C32" s="23">
        <v>25</v>
      </c>
      <c r="D32" s="23" t="s">
        <v>72</v>
      </c>
      <c r="E32" s="24">
        <v>45539</v>
      </c>
      <c r="F32" s="23" t="s">
        <v>2653</v>
      </c>
      <c r="G32" s="23" t="s">
        <v>2654</v>
      </c>
      <c r="H32" s="23">
        <v>0</v>
      </c>
    </row>
    <row r="33" spans="1:8">
      <c r="A33" s="22" t="s">
        <v>2385</v>
      </c>
      <c r="B33" s="23" t="s">
        <v>1370</v>
      </c>
      <c r="C33" s="23">
        <v>59</v>
      </c>
      <c r="D33" s="23" t="s">
        <v>2660</v>
      </c>
      <c r="E33" s="24">
        <v>45550</v>
      </c>
      <c r="F33" s="23" t="s">
        <v>2655</v>
      </c>
      <c r="G33" s="23" t="s">
        <v>2656</v>
      </c>
      <c r="H33" s="23">
        <v>3</v>
      </c>
    </row>
    <row r="34" spans="1:8">
      <c r="A34" s="22" t="s">
        <v>2386</v>
      </c>
      <c r="B34" s="23" t="s">
        <v>1370</v>
      </c>
      <c r="C34" s="23">
        <v>31</v>
      </c>
      <c r="D34" s="23" t="s">
        <v>2332</v>
      </c>
      <c r="E34" s="24">
        <v>45698</v>
      </c>
      <c r="F34" s="23" t="s">
        <v>2655</v>
      </c>
      <c r="G34" s="23" t="s">
        <v>2656</v>
      </c>
      <c r="H34" s="23">
        <v>1</v>
      </c>
    </row>
    <row r="35" spans="1:8">
      <c r="A35" s="22" t="s">
        <v>2387</v>
      </c>
      <c r="B35" s="23" t="s">
        <v>1370</v>
      </c>
      <c r="C35" s="23">
        <v>59</v>
      </c>
      <c r="D35" s="23" t="s">
        <v>2665</v>
      </c>
      <c r="E35" s="24">
        <v>45578</v>
      </c>
      <c r="F35" s="23" t="s">
        <v>2655</v>
      </c>
      <c r="G35" s="23" t="s">
        <v>2656</v>
      </c>
      <c r="H35" s="23">
        <v>1</v>
      </c>
    </row>
    <row r="36" spans="1:8">
      <c r="A36" s="22" t="s">
        <v>2388</v>
      </c>
      <c r="B36" s="23" t="s">
        <v>1370</v>
      </c>
      <c r="C36" s="23">
        <v>53</v>
      </c>
      <c r="D36" s="23" t="s">
        <v>89</v>
      </c>
      <c r="E36" s="24">
        <v>45549</v>
      </c>
      <c r="F36" s="23" t="s">
        <v>2653</v>
      </c>
      <c r="G36" s="23" t="s">
        <v>2656</v>
      </c>
      <c r="H36" s="23">
        <v>4</v>
      </c>
    </row>
    <row r="37" spans="1:8">
      <c r="A37" s="22" t="s">
        <v>2193</v>
      </c>
      <c r="B37" s="23" t="s">
        <v>1176</v>
      </c>
      <c r="C37" s="23">
        <v>41</v>
      </c>
      <c r="D37" s="23" t="s">
        <v>2662</v>
      </c>
      <c r="E37" s="24">
        <v>45693</v>
      </c>
      <c r="F37" s="23" t="s">
        <v>2655</v>
      </c>
      <c r="G37" s="23" t="s">
        <v>2656</v>
      </c>
      <c r="H37" s="23">
        <v>3</v>
      </c>
    </row>
    <row r="38" spans="1:8">
      <c r="A38" s="22" t="s">
        <v>159</v>
      </c>
      <c r="B38" s="23" t="s">
        <v>1176</v>
      </c>
      <c r="C38" s="23">
        <v>34</v>
      </c>
      <c r="D38" s="23" t="s">
        <v>2666</v>
      </c>
      <c r="E38" s="24">
        <v>45661</v>
      </c>
      <c r="F38" s="23" t="s">
        <v>2653</v>
      </c>
      <c r="G38" s="23" t="s">
        <v>2656</v>
      </c>
      <c r="H38" s="23">
        <v>4</v>
      </c>
    </row>
    <row r="39" spans="1:8">
      <c r="A39" s="22" t="s">
        <v>2389</v>
      </c>
      <c r="B39" s="23" t="s">
        <v>1370</v>
      </c>
      <c r="C39" s="23">
        <v>40</v>
      </c>
      <c r="D39" s="23" t="s">
        <v>2684</v>
      </c>
      <c r="E39" s="24">
        <v>45584</v>
      </c>
      <c r="F39" s="23" t="s">
        <v>2655</v>
      </c>
      <c r="G39" s="23" t="s">
        <v>2656</v>
      </c>
      <c r="H39" s="23">
        <v>3</v>
      </c>
    </row>
    <row r="40" spans="1:8">
      <c r="A40" s="22" t="s">
        <v>1808</v>
      </c>
      <c r="B40" s="23" t="s">
        <v>1370</v>
      </c>
      <c r="C40" s="23">
        <v>29</v>
      </c>
      <c r="D40" s="23" t="s">
        <v>2686</v>
      </c>
      <c r="E40" s="24">
        <v>45745</v>
      </c>
      <c r="F40" s="23" t="s">
        <v>2653</v>
      </c>
      <c r="G40" s="23" t="s">
        <v>2654</v>
      </c>
      <c r="H40" s="23">
        <v>0</v>
      </c>
    </row>
    <row r="41" spans="1:8">
      <c r="A41" s="22" t="s">
        <v>2390</v>
      </c>
      <c r="B41" s="23" t="s">
        <v>1370</v>
      </c>
      <c r="C41" s="23">
        <v>54</v>
      </c>
      <c r="D41" s="23" t="s">
        <v>2663</v>
      </c>
      <c r="E41" s="24">
        <v>45660</v>
      </c>
      <c r="F41" s="23" t="s">
        <v>2653</v>
      </c>
      <c r="G41" s="23" t="s">
        <v>2654</v>
      </c>
      <c r="H41" s="23">
        <v>0</v>
      </c>
    </row>
    <row r="42" spans="1:8">
      <c r="A42" s="22" t="s">
        <v>1676</v>
      </c>
      <c r="B42" s="23" t="s">
        <v>1370</v>
      </c>
      <c r="C42" s="23">
        <v>35</v>
      </c>
      <c r="D42" s="23" t="s">
        <v>425</v>
      </c>
      <c r="E42" s="24">
        <v>45652</v>
      </c>
      <c r="F42" s="23" t="s">
        <v>2653</v>
      </c>
      <c r="G42" s="23" t="s">
        <v>2654</v>
      </c>
      <c r="H42" s="23">
        <v>0</v>
      </c>
    </row>
    <row r="43" spans="1:8">
      <c r="A43" s="22" t="s">
        <v>45</v>
      </c>
      <c r="B43" s="23" t="s">
        <v>1370</v>
      </c>
      <c r="C43" s="23">
        <v>50</v>
      </c>
      <c r="D43" s="23" t="s">
        <v>2684</v>
      </c>
      <c r="E43" s="24">
        <v>45561</v>
      </c>
      <c r="F43" s="23" t="s">
        <v>2653</v>
      </c>
      <c r="G43" s="23" t="s">
        <v>2656</v>
      </c>
      <c r="H43" s="23">
        <v>4</v>
      </c>
    </row>
    <row r="44" spans="1:8">
      <c r="A44" s="22" t="s">
        <v>2392</v>
      </c>
      <c r="B44" s="23" t="s">
        <v>1176</v>
      </c>
      <c r="C44" s="23">
        <v>18</v>
      </c>
      <c r="D44" s="23" t="s">
        <v>2669</v>
      </c>
      <c r="E44" s="24">
        <v>45665</v>
      </c>
      <c r="F44" s="23" t="s">
        <v>2653</v>
      </c>
      <c r="G44" s="23" t="s">
        <v>2656</v>
      </c>
      <c r="H44" s="23">
        <v>4</v>
      </c>
    </row>
    <row r="45" spans="1:8">
      <c r="A45" s="22" t="s">
        <v>1745</v>
      </c>
      <c r="B45" s="23" t="s">
        <v>1176</v>
      </c>
      <c r="C45" s="23">
        <v>58</v>
      </c>
      <c r="D45" s="23" t="s">
        <v>2666</v>
      </c>
      <c r="E45" s="24">
        <v>45595</v>
      </c>
      <c r="F45" s="23" t="s">
        <v>2655</v>
      </c>
      <c r="G45" s="23" t="s">
        <v>2654</v>
      </c>
      <c r="H45" s="23">
        <v>0</v>
      </c>
    </row>
    <row r="46" spans="1:8">
      <c r="A46" s="22" t="s">
        <v>2391</v>
      </c>
      <c r="B46" s="23" t="s">
        <v>1176</v>
      </c>
      <c r="C46" s="23">
        <v>57</v>
      </c>
      <c r="D46" s="23" t="s">
        <v>72</v>
      </c>
      <c r="E46" s="24">
        <v>45705</v>
      </c>
      <c r="F46" s="23" t="s">
        <v>2653</v>
      </c>
      <c r="G46" s="23" t="s">
        <v>2654</v>
      </c>
      <c r="H46" s="23">
        <v>0</v>
      </c>
    </row>
    <row r="47" spans="1:8">
      <c r="A47" s="22" t="s">
        <v>2393</v>
      </c>
      <c r="B47" s="23" t="s">
        <v>1176</v>
      </c>
      <c r="C47" s="23">
        <v>28</v>
      </c>
      <c r="D47" s="23" t="s">
        <v>2678</v>
      </c>
      <c r="E47" s="24">
        <v>45670</v>
      </c>
      <c r="F47" s="23" t="s">
        <v>2655</v>
      </c>
      <c r="G47" s="23" t="s">
        <v>2656</v>
      </c>
      <c r="H47" s="23">
        <v>4</v>
      </c>
    </row>
    <row r="48" spans="1:8">
      <c r="A48" s="22" t="s">
        <v>2394</v>
      </c>
      <c r="B48" s="23" t="s">
        <v>1370</v>
      </c>
      <c r="C48" s="23">
        <v>30</v>
      </c>
      <c r="D48" s="23" t="s">
        <v>2665</v>
      </c>
      <c r="E48" s="24">
        <v>45641</v>
      </c>
      <c r="F48" s="23" t="s">
        <v>2653</v>
      </c>
      <c r="G48" s="23" t="s">
        <v>2654</v>
      </c>
      <c r="H48" s="23">
        <v>0</v>
      </c>
    </row>
    <row r="49" spans="1:8">
      <c r="A49" s="22" t="s">
        <v>2395</v>
      </c>
      <c r="B49" s="23" t="s">
        <v>1370</v>
      </c>
      <c r="C49" s="23">
        <v>43</v>
      </c>
      <c r="D49" s="23" t="s">
        <v>82</v>
      </c>
      <c r="E49" s="24">
        <v>45661</v>
      </c>
      <c r="F49" s="23" t="s">
        <v>2655</v>
      </c>
      <c r="G49" s="23" t="s">
        <v>2654</v>
      </c>
      <c r="H49" s="23">
        <v>0</v>
      </c>
    </row>
    <row r="50" spans="1:8">
      <c r="A50" s="22" t="s">
        <v>371</v>
      </c>
      <c r="B50" s="23" t="s">
        <v>1370</v>
      </c>
      <c r="C50" s="23">
        <v>48</v>
      </c>
      <c r="D50" s="23" t="s">
        <v>392</v>
      </c>
      <c r="E50" s="24">
        <v>45722</v>
      </c>
      <c r="F50" s="23" t="s">
        <v>2655</v>
      </c>
      <c r="G50" s="23" t="s">
        <v>2656</v>
      </c>
      <c r="H50" s="23">
        <v>4</v>
      </c>
    </row>
    <row r="51" spans="1:8">
      <c r="A51" s="22" t="s">
        <v>201</v>
      </c>
      <c r="B51" s="23" t="s">
        <v>1370</v>
      </c>
      <c r="C51" s="23">
        <v>27</v>
      </c>
      <c r="D51" s="23" t="s">
        <v>2664</v>
      </c>
      <c r="E51" s="24">
        <v>45705</v>
      </c>
      <c r="F51" s="23" t="s">
        <v>2653</v>
      </c>
      <c r="G51" s="23" t="s">
        <v>2654</v>
      </c>
      <c r="H51" s="23">
        <v>0</v>
      </c>
    </row>
    <row r="52" spans="1:8">
      <c r="A52" s="22" t="s">
        <v>2396</v>
      </c>
      <c r="B52" s="23" t="s">
        <v>1176</v>
      </c>
      <c r="C52" s="23">
        <v>30</v>
      </c>
      <c r="D52" s="23" t="s">
        <v>36</v>
      </c>
      <c r="E52" s="24">
        <v>45622</v>
      </c>
      <c r="F52" s="23" t="s">
        <v>2653</v>
      </c>
      <c r="G52" s="23" t="s">
        <v>2656</v>
      </c>
      <c r="H52" s="23">
        <v>1</v>
      </c>
    </row>
    <row r="53" spans="1:8">
      <c r="A53" s="22" t="s">
        <v>2397</v>
      </c>
      <c r="B53" s="23" t="s">
        <v>1370</v>
      </c>
      <c r="C53" s="23">
        <v>64</v>
      </c>
      <c r="D53" s="23" t="s">
        <v>2677</v>
      </c>
      <c r="E53" s="24">
        <v>45651</v>
      </c>
      <c r="F53" s="23" t="s">
        <v>2655</v>
      </c>
      <c r="G53" s="23" t="s">
        <v>2654</v>
      </c>
      <c r="H53" s="23">
        <v>0</v>
      </c>
    </row>
    <row r="54" spans="1:8">
      <c r="A54" s="22" t="s">
        <v>2398</v>
      </c>
      <c r="B54" s="23" t="s">
        <v>1370</v>
      </c>
      <c r="C54" s="23">
        <v>33</v>
      </c>
      <c r="D54" s="23" t="s">
        <v>2683</v>
      </c>
      <c r="E54" s="24">
        <v>45634</v>
      </c>
      <c r="F54" s="23" t="s">
        <v>2655</v>
      </c>
      <c r="G54" s="23" t="s">
        <v>2656</v>
      </c>
      <c r="H54" s="23">
        <v>4</v>
      </c>
    </row>
    <row r="55" spans="1:8">
      <c r="A55" s="22" t="s">
        <v>2399</v>
      </c>
      <c r="B55" s="23" t="s">
        <v>1370</v>
      </c>
      <c r="C55" s="23">
        <v>59</v>
      </c>
      <c r="D55" s="23" t="s">
        <v>2676</v>
      </c>
      <c r="E55" s="24">
        <v>45542</v>
      </c>
      <c r="F55" s="23" t="s">
        <v>2655</v>
      </c>
      <c r="G55" s="23" t="s">
        <v>2656</v>
      </c>
      <c r="H55" s="23">
        <v>1</v>
      </c>
    </row>
    <row r="56" spans="1:8">
      <c r="A56" s="22" t="s">
        <v>1019</v>
      </c>
      <c r="B56" s="23" t="s">
        <v>1370</v>
      </c>
      <c r="C56" s="23">
        <v>50</v>
      </c>
      <c r="D56" s="23" t="s">
        <v>2666</v>
      </c>
      <c r="E56" s="24">
        <v>45648</v>
      </c>
      <c r="F56" s="23" t="s">
        <v>2653</v>
      </c>
      <c r="G56" s="23" t="s">
        <v>2656</v>
      </c>
      <c r="H56" s="23">
        <v>4</v>
      </c>
    </row>
    <row r="57" spans="1:8">
      <c r="A57" s="22" t="s">
        <v>2400</v>
      </c>
      <c r="B57" s="23" t="s">
        <v>1176</v>
      </c>
      <c r="C57" s="23">
        <v>23</v>
      </c>
      <c r="D57" s="23" t="s">
        <v>2669</v>
      </c>
      <c r="E57" s="24">
        <v>45563</v>
      </c>
      <c r="F57" s="23" t="s">
        <v>2653</v>
      </c>
      <c r="G57" s="23" t="s">
        <v>2654</v>
      </c>
      <c r="H57" s="23">
        <v>0</v>
      </c>
    </row>
    <row r="58" spans="1:8">
      <c r="A58" s="22" t="s">
        <v>763</v>
      </c>
      <c r="B58" s="23" t="s">
        <v>1176</v>
      </c>
      <c r="C58" s="23">
        <v>42</v>
      </c>
      <c r="D58" s="23" t="s">
        <v>72</v>
      </c>
      <c r="E58" s="24">
        <v>45562</v>
      </c>
      <c r="F58" s="23" t="s">
        <v>2655</v>
      </c>
      <c r="G58" s="23" t="s">
        <v>2656</v>
      </c>
      <c r="H58" s="23">
        <v>3</v>
      </c>
    </row>
    <row r="59" spans="1:8">
      <c r="A59" s="22" t="s">
        <v>2401</v>
      </c>
      <c r="B59" s="23" t="s">
        <v>1370</v>
      </c>
      <c r="C59" s="23">
        <v>41</v>
      </c>
      <c r="D59" s="23" t="s">
        <v>2661</v>
      </c>
      <c r="E59" s="24">
        <v>45656</v>
      </c>
      <c r="F59" s="23" t="s">
        <v>2655</v>
      </c>
      <c r="G59" s="23" t="s">
        <v>2656</v>
      </c>
      <c r="H59" s="23">
        <v>3</v>
      </c>
    </row>
    <row r="60" spans="1:8">
      <c r="A60" s="22" t="s">
        <v>2402</v>
      </c>
      <c r="B60" s="23" t="s">
        <v>1370</v>
      </c>
      <c r="C60" s="23">
        <v>56</v>
      </c>
      <c r="D60" s="23" t="s">
        <v>2681</v>
      </c>
      <c r="E60" s="24">
        <v>45718</v>
      </c>
      <c r="F60" s="23" t="s">
        <v>2653</v>
      </c>
      <c r="G60" s="23" t="s">
        <v>2656</v>
      </c>
      <c r="H60" s="23">
        <v>1</v>
      </c>
    </row>
    <row r="61" spans="1:8">
      <c r="A61" s="22" t="s">
        <v>515</v>
      </c>
      <c r="B61" s="23" t="s">
        <v>1176</v>
      </c>
      <c r="C61" s="23">
        <v>51</v>
      </c>
      <c r="D61" s="23" t="s">
        <v>2332</v>
      </c>
      <c r="E61" s="24">
        <v>45626</v>
      </c>
      <c r="F61" s="23" t="s">
        <v>2655</v>
      </c>
      <c r="G61" s="23" t="s">
        <v>2654</v>
      </c>
      <c r="H61" s="23">
        <v>0</v>
      </c>
    </row>
    <row r="62" spans="1:8">
      <c r="A62" s="22" t="s">
        <v>180</v>
      </c>
      <c r="B62" s="23" t="s">
        <v>1370</v>
      </c>
      <c r="C62" s="23">
        <v>41</v>
      </c>
      <c r="D62" s="23" t="s">
        <v>2672</v>
      </c>
      <c r="E62" s="24">
        <v>45536</v>
      </c>
      <c r="F62" s="23" t="s">
        <v>2655</v>
      </c>
      <c r="G62" s="23" t="s">
        <v>2654</v>
      </c>
      <c r="H62" s="23">
        <v>0</v>
      </c>
    </row>
    <row r="63" spans="1:8">
      <c r="A63" s="22" t="s">
        <v>894</v>
      </c>
      <c r="B63" s="23" t="s">
        <v>1370</v>
      </c>
      <c r="C63" s="23">
        <v>58</v>
      </c>
      <c r="D63" s="23" t="s">
        <v>242</v>
      </c>
      <c r="E63" s="24">
        <v>45728</v>
      </c>
      <c r="F63" s="23" t="s">
        <v>2655</v>
      </c>
      <c r="G63" s="23" t="s">
        <v>2656</v>
      </c>
      <c r="H63" s="23">
        <v>1</v>
      </c>
    </row>
    <row r="64" spans="1:8">
      <c r="A64" s="22" t="s">
        <v>2403</v>
      </c>
      <c r="B64" s="23" t="s">
        <v>1176</v>
      </c>
      <c r="C64" s="23">
        <v>43</v>
      </c>
      <c r="D64" s="23" t="s">
        <v>2666</v>
      </c>
      <c r="E64" s="24">
        <v>45718</v>
      </c>
      <c r="F64" s="23" t="s">
        <v>2655</v>
      </c>
      <c r="G64" s="23" t="s">
        <v>2654</v>
      </c>
      <c r="H64" s="23">
        <v>0</v>
      </c>
    </row>
    <row r="65" spans="1:8">
      <c r="A65" s="22" t="s">
        <v>1860</v>
      </c>
      <c r="B65" s="23" t="s">
        <v>1176</v>
      </c>
      <c r="C65" s="23">
        <v>43</v>
      </c>
      <c r="D65" s="23" t="s">
        <v>2691</v>
      </c>
      <c r="E65" s="24">
        <v>45674</v>
      </c>
      <c r="F65" s="23" t="s">
        <v>2653</v>
      </c>
      <c r="G65" s="23" t="s">
        <v>2654</v>
      </c>
      <c r="H65" s="23">
        <v>0</v>
      </c>
    </row>
    <row r="66" spans="1:8">
      <c r="A66" s="22" t="s">
        <v>1867</v>
      </c>
      <c r="B66" s="23" t="s">
        <v>1176</v>
      </c>
      <c r="C66" s="23">
        <v>61</v>
      </c>
      <c r="D66" s="23" t="s">
        <v>2690</v>
      </c>
      <c r="E66" s="24">
        <v>45538</v>
      </c>
      <c r="F66" s="23" t="s">
        <v>2653</v>
      </c>
      <c r="G66" s="23" t="s">
        <v>2654</v>
      </c>
      <c r="H66" s="23">
        <v>0</v>
      </c>
    </row>
    <row r="67" spans="1:8">
      <c r="A67" s="22" t="s">
        <v>645</v>
      </c>
      <c r="B67" s="23" t="s">
        <v>1176</v>
      </c>
      <c r="C67" s="23">
        <v>56</v>
      </c>
      <c r="D67" s="23" t="s">
        <v>359</v>
      </c>
      <c r="E67" s="24">
        <v>45645</v>
      </c>
      <c r="F67" s="23" t="s">
        <v>2655</v>
      </c>
      <c r="G67" s="23" t="s">
        <v>2654</v>
      </c>
      <c r="H67" s="23">
        <v>0</v>
      </c>
    </row>
    <row r="68" spans="1:8">
      <c r="A68" s="22" t="s">
        <v>79</v>
      </c>
      <c r="B68" s="23" t="s">
        <v>1176</v>
      </c>
      <c r="C68" s="23">
        <v>33</v>
      </c>
      <c r="D68" s="23" t="s">
        <v>72</v>
      </c>
      <c r="E68" s="24">
        <v>45674</v>
      </c>
      <c r="F68" s="23" t="s">
        <v>2653</v>
      </c>
      <c r="G68" s="23" t="s">
        <v>2654</v>
      </c>
      <c r="H68" s="23">
        <v>0</v>
      </c>
    </row>
    <row r="69" spans="1:8">
      <c r="A69" s="22" t="s">
        <v>1058</v>
      </c>
      <c r="B69" s="23" t="s">
        <v>1370</v>
      </c>
      <c r="C69" s="23">
        <v>63</v>
      </c>
      <c r="D69" s="23" t="s">
        <v>2332</v>
      </c>
      <c r="E69" s="24">
        <v>45713</v>
      </c>
      <c r="F69" s="23" t="s">
        <v>2653</v>
      </c>
      <c r="G69" s="23" t="s">
        <v>2656</v>
      </c>
      <c r="H69" s="23">
        <v>4</v>
      </c>
    </row>
    <row r="70" spans="1:8">
      <c r="A70" s="22" t="s">
        <v>626</v>
      </c>
      <c r="B70" s="23" t="s">
        <v>1370</v>
      </c>
      <c r="C70" s="23">
        <v>38</v>
      </c>
      <c r="D70" s="23" t="s">
        <v>2332</v>
      </c>
      <c r="E70" s="24">
        <v>45607</v>
      </c>
      <c r="F70" s="23" t="s">
        <v>2655</v>
      </c>
      <c r="G70" s="23" t="s">
        <v>2654</v>
      </c>
      <c r="H70" s="23">
        <v>0</v>
      </c>
    </row>
    <row r="71" spans="1:8">
      <c r="A71" s="22" t="s">
        <v>490</v>
      </c>
      <c r="B71" s="23" t="s">
        <v>1370</v>
      </c>
      <c r="C71" s="23">
        <v>34</v>
      </c>
      <c r="D71" s="23" t="s">
        <v>2691</v>
      </c>
      <c r="E71" s="24">
        <v>45740</v>
      </c>
      <c r="F71" s="23" t="s">
        <v>2655</v>
      </c>
      <c r="G71" s="23" t="s">
        <v>2656</v>
      </c>
      <c r="H71" s="23">
        <v>3</v>
      </c>
    </row>
    <row r="72" spans="1:8">
      <c r="A72" s="22" t="s">
        <v>1090</v>
      </c>
      <c r="B72" s="23" t="s">
        <v>1370</v>
      </c>
      <c r="C72" s="23">
        <v>45</v>
      </c>
      <c r="D72" s="23" t="s">
        <v>2684</v>
      </c>
      <c r="E72" s="24">
        <v>45567</v>
      </c>
      <c r="F72" s="23" t="s">
        <v>2653</v>
      </c>
      <c r="G72" s="23" t="s">
        <v>2654</v>
      </c>
      <c r="H72" s="23">
        <v>0</v>
      </c>
    </row>
    <row r="73" spans="1:8">
      <c r="A73" s="22" t="s">
        <v>2404</v>
      </c>
      <c r="B73" s="23" t="s">
        <v>1176</v>
      </c>
      <c r="C73" s="23">
        <v>24</v>
      </c>
      <c r="D73" s="23" t="s">
        <v>2670</v>
      </c>
      <c r="E73" s="24">
        <v>45554</v>
      </c>
      <c r="F73" s="23" t="s">
        <v>2653</v>
      </c>
      <c r="G73" s="23" t="s">
        <v>2654</v>
      </c>
      <c r="H73" s="23">
        <v>0</v>
      </c>
    </row>
    <row r="74" spans="1:8">
      <c r="A74" s="22" t="s">
        <v>1191</v>
      </c>
      <c r="B74" s="23" t="s">
        <v>1176</v>
      </c>
      <c r="C74" s="23">
        <v>61</v>
      </c>
      <c r="D74" s="23" t="s">
        <v>359</v>
      </c>
      <c r="E74" s="24">
        <v>45631</v>
      </c>
      <c r="F74" s="23" t="s">
        <v>2653</v>
      </c>
      <c r="G74" s="23" t="s">
        <v>2654</v>
      </c>
      <c r="H74" s="23">
        <v>0</v>
      </c>
    </row>
    <row r="75" spans="1:8">
      <c r="A75" s="22" t="s">
        <v>1229</v>
      </c>
      <c r="B75" s="23" t="s">
        <v>1176</v>
      </c>
      <c r="C75" s="23">
        <v>36</v>
      </c>
      <c r="D75" s="23" t="s">
        <v>2669</v>
      </c>
      <c r="E75" s="24">
        <v>45712</v>
      </c>
      <c r="F75" s="23" t="s">
        <v>2653</v>
      </c>
      <c r="G75" s="23" t="s">
        <v>2656</v>
      </c>
      <c r="H75" s="23">
        <v>2</v>
      </c>
    </row>
    <row r="76" spans="1:8">
      <c r="A76" s="22" t="s">
        <v>1907</v>
      </c>
      <c r="B76" s="23" t="s">
        <v>1370</v>
      </c>
      <c r="C76" s="23">
        <v>61</v>
      </c>
      <c r="D76" s="23" t="s">
        <v>2332</v>
      </c>
      <c r="E76" s="24">
        <v>45691</v>
      </c>
      <c r="F76" s="23" t="s">
        <v>2653</v>
      </c>
      <c r="G76" s="23" t="s">
        <v>2654</v>
      </c>
      <c r="H76" s="23">
        <v>0</v>
      </c>
    </row>
    <row r="77" spans="1:8">
      <c r="A77" s="22" t="s">
        <v>2405</v>
      </c>
      <c r="B77" s="23" t="s">
        <v>1370</v>
      </c>
      <c r="C77" s="23">
        <v>32</v>
      </c>
      <c r="D77" s="23" t="s">
        <v>425</v>
      </c>
      <c r="E77" s="24">
        <v>45655</v>
      </c>
      <c r="F77" s="23" t="s">
        <v>2653</v>
      </c>
      <c r="G77" s="23" t="s">
        <v>2654</v>
      </c>
      <c r="H77" s="23">
        <v>0</v>
      </c>
    </row>
    <row r="78" spans="1:8">
      <c r="A78" s="22" t="s">
        <v>1197</v>
      </c>
      <c r="B78" s="23" t="s">
        <v>1176</v>
      </c>
      <c r="C78" s="23">
        <v>49</v>
      </c>
      <c r="D78" s="23" t="s">
        <v>2672</v>
      </c>
      <c r="E78" s="24">
        <v>45731</v>
      </c>
      <c r="F78" s="23" t="s">
        <v>2655</v>
      </c>
      <c r="G78" s="23" t="s">
        <v>2654</v>
      </c>
      <c r="H78" s="23">
        <v>0</v>
      </c>
    </row>
    <row r="79" spans="1:8">
      <c r="A79" s="22" t="s">
        <v>2406</v>
      </c>
      <c r="B79" s="23" t="s">
        <v>1176</v>
      </c>
      <c r="C79" s="23">
        <v>33</v>
      </c>
      <c r="D79" s="23" t="s">
        <v>36</v>
      </c>
      <c r="E79" s="24">
        <v>45698</v>
      </c>
      <c r="F79" s="23" t="s">
        <v>2655</v>
      </c>
      <c r="G79" s="23" t="s">
        <v>2654</v>
      </c>
      <c r="H79" s="23">
        <v>0</v>
      </c>
    </row>
    <row r="80" spans="1:8">
      <c r="A80" s="22" t="s">
        <v>973</v>
      </c>
      <c r="B80" s="23" t="s">
        <v>1176</v>
      </c>
      <c r="C80" s="23">
        <v>28</v>
      </c>
      <c r="D80" s="23" t="s">
        <v>36</v>
      </c>
      <c r="E80" s="24">
        <v>45536</v>
      </c>
      <c r="F80" s="23" t="s">
        <v>2655</v>
      </c>
      <c r="G80" s="23" t="s">
        <v>2656</v>
      </c>
      <c r="H80" s="23">
        <v>1</v>
      </c>
    </row>
    <row r="81" spans="1:8">
      <c r="A81" s="22" t="s">
        <v>2407</v>
      </c>
      <c r="B81" s="23" t="s">
        <v>1370</v>
      </c>
      <c r="C81" s="23">
        <v>65</v>
      </c>
      <c r="D81" s="23" t="s">
        <v>2692</v>
      </c>
      <c r="E81" s="24">
        <v>45582</v>
      </c>
      <c r="F81" s="23" t="s">
        <v>2653</v>
      </c>
      <c r="G81" s="23" t="s">
        <v>2656</v>
      </c>
      <c r="H81" s="23">
        <v>3</v>
      </c>
    </row>
    <row r="82" spans="1:8">
      <c r="A82" s="22" t="s">
        <v>1310</v>
      </c>
      <c r="B82" s="23" t="s">
        <v>1370</v>
      </c>
      <c r="C82" s="23">
        <v>58</v>
      </c>
      <c r="D82" s="23" t="s">
        <v>2670</v>
      </c>
      <c r="E82" s="24">
        <v>45605</v>
      </c>
      <c r="F82" s="23" t="s">
        <v>2655</v>
      </c>
      <c r="G82" s="23" t="s">
        <v>2656</v>
      </c>
      <c r="H82" s="23">
        <v>3</v>
      </c>
    </row>
    <row r="83" spans="1:8">
      <c r="A83" s="22" t="s">
        <v>190</v>
      </c>
      <c r="B83" s="23" t="s">
        <v>1370</v>
      </c>
      <c r="C83" s="23">
        <v>55</v>
      </c>
      <c r="D83" s="23" t="s">
        <v>2686</v>
      </c>
      <c r="E83" s="24">
        <v>45716</v>
      </c>
      <c r="F83" s="23" t="s">
        <v>2655</v>
      </c>
      <c r="G83" s="23" t="s">
        <v>2656</v>
      </c>
      <c r="H83" s="23">
        <v>4</v>
      </c>
    </row>
    <row r="84" spans="1:8">
      <c r="A84" s="22" t="s">
        <v>423</v>
      </c>
      <c r="B84" s="23" t="s">
        <v>1176</v>
      </c>
      <c r="C84" s="23">
        <v>35</v>
      </c>
      <c r="D84" s="23" t="s">
        <v>2682</v>
      </c>
      <c r="E84" s="24">
        <v>45598</v>
      </c>
      <c r="F84" s="23" t="s">
        <v>2653</v>
      </c>
      <c r="G84" s="23" t="s">
        <v>2656</v>
      </c>
      <c r="H84" s="23">
        <v>1</v>
      </c>
    </row>
    <row r="85" spans="1:8">
      <c r="A85" s="22" t="s">
        <v>2408</v>
      </c>
      <c r="B85" s="23" t="s">
        <v>1176</v>
      </c>
      <c r="C85" s="23">
        <v>53</v>
      </c>
      <c r="D85" s="23" t="s">
        <v>36</v>
      </c>
      <c r="E85" s="24">
        <v>45743</v>
      </c>
      <c r="F85" s="23" t="s">
        <v>2653</v>
      </c>
      <c r="G85" s="23" t="s">
        <v>2656</v>
      </c>
      <c r="H85" s="23">
        <v>2</v>
      </c>
    </row>
    <row r="86" spans="1:8">
      <c r="A86" s="22" t="s">
        <v>1569</v>
      </c>
      <c r="B86" s="23" t="s">
        <v>1370</v>
      </c>
      <c r="C86" s="23">
        <v>59</v>
      </c>
      <c r="D86" s="23" t="s">
        <v>2684</v>
      </c>
      <c r="E86" s="24">
        <v>45552</v>
      </c>
      <c r="F86" s="23" t="s">
        <v>2655</v>
      </c>
      <c r="G86" s="23" t="s">
        <v>2656</v>
      </c>
      <c r="H86" s="23">
        <v>3</v>
      </c>
    </row>
    <row r="87" spans="1:8">
      <c r="A87" s="22" t="s">
        <v>2409</v>
      </c>
      <c r="B87" s="23" t="s">
        <v>1370</v>
      </c>
      <c r="C87" s="23">
        <v>34</v>
      </c>
      <c r="D87" s="23" t="s">
        <v>392</v>
      </c>
      <c r="E87" s="24">
        <v>45575</v>
      </c>
      <c r="F87" s="23" t="s">
        <v>2655</v>
      </c>
      <c r="G87" s="23" t="s">
        <v>2656</v>
      </c>
      <c r="H87" s="23">
        <v>1</v>
      </c>
    </row>
    <row r="88" spans="1:8">
      <c r="A88" s="22" t="s">
        <v>2410</v>
      </c>
      <c r="B88" s="23" t="s">
        <v>1370</v>
      </c>
      <c r="C88" s="23">
        <v>61</v>
      </c>
      <c r="D88" s="23" t="s">
        <v>265</v>
      </c>
      <c r="E88" s="24">
        <v>45585</v>
      </c>
      <c r="F88" s="23" t="s">
        <v>2653</v>
      </c>
      <c r="G88" s="23" t="s">
        <v>2654</v>
      </c>
      <c r="H88" s="23">
        <v>0</v>
      </c>
    </row>
    <row r="89" spans="1:8">
      <c r="A89" s="22" t="s">
        <v>1452</v>
      </c>
      <c r="B89" s="23" t="s">
        <v>1176</v>
      </c>
      <c r="C89" s="23">
        <v>61</v>
      </c>
      <c r="D89" s="23" t="s">
        <v>425</v>
      </c>
      <c r="E89" s="24">
        <v>45679</v>
      </c>
      <c r="F89" s="23" t="s">
        <v>2655</v>
      </c>
      <c r="G89" s="23" t="s">
        <v>2656</v>
      </c>
      <c r="H89" s="23">
        <v>2</v>
      </c>
    </row>
    <row r="90" spans="1:8">
      <c r="A90" s="22" t="s">
        <v>2411</v>
      </c>
      <c r="B90" s="23" t="s">
        <v>1176</v>
      </c>
      <c r="C90" s="23">
        <v>35</v>
      </c>
      <c r="D90" s="23" t="s">
        <v>2673</v>
      </c>
      <c r="E90" s="24">
        <v>45602</v>
      </c>
      <c r="F90" s="23" t="s">
        <v>2653</v>
      </c>
      <c r="G90" s="23" t="s">
        <v>2656</v>
      </c>
      <c r="H90" s="23">
        <v>1</v>
      </c>
    </row>
    <row r="91" spans="1:8">
      <c r="A91" s="22" t="s">
        <v>240</v>
      </c>
      <c r="B91" s="23" t="s">
        <v>1370</v>
      </c>
      <c r="C91" s="23">
        <v>51</v>
      </c>
      <c r="D91" s="23" t="s">
        <v>392</v>
      </c>
      <c r="E91" s="24">
        <v>45674</v>
      </c>
      <c r="F91" s="23" t="s">
        <v>2653</v>
      </c>
      <c r="G91" s="23" t="s">
        <v>2654</v>
      </c>
      <c r="H91" s="23">
        <v>0</v>
      </c>
    </row>
    <row r="92" spans="1:8">
      <c r="A92" s="22" t="s">
        <v>1411</v>
      </c>
      <c r="B92" s="23" t="s">
        <v>1176</v>
      </c>
      <c r="C92" s="23">
        <v>47</v>
      </c>
      <c r="D92" s="23" t="s">
        <v>2679</v>
      </c>
      <c r="E92" s="24">
        <v>45602</v>
      </c>
      <c r="F92" s="23" t="s">
        <v>2653</v>
      </c>
      <c r="G92" s="23" t="s">
        <v>2656</v>
      </c>
      <c r="H92" s="23">
        <v>2</v>
      </c>
    </row>
    <row r="93" spans="1:8">
      <c r="A93" s="22" t="s">
        <v>2412</v>
      </c>
      <c r="B93" s="23" t="s">
        <v>1370</v>
      </c>
      <c r="C93" s="23">
        <v>49</v>
      </c>
      <c r="D93" s="23" t="s">
        <v>2682</v>
      </c>
      <c r="E93" s="24">
        <v>45561</v>
      </c>
      <c r="F93" s="23" t="s">
        <v>2655</v>
      </c>
      <c r="G93" s="23" t="s">
        <v>2654</v>
      </c>
      <c r="H93" s="23">
        <v>0</v>
      </c>
    </row>
    <row r="94" spans="1:8">
      <c r="A94" s="22" t="s">
        <v>877</v>
      </c>
      <c r="B94" s="23" t="s">
        <v>1370</v>
      </c>
      <c r="C94" s="23">
        <v>38</v>
      </c>
      <c r="D94" s="23" t="s">
        <v>242</v>
      </c>
      <c r="E94" s="24">
        <v>45578</v>
      </c>
      <c r="F94" s="23" t="s">
        <v>2653</v>
      </c>
      <c r="G94" s="23" t="s">
        <v>2654</v>
      </c>
      <c r="H94" s="23">
        <v>0</v>
      </c>
    </row>
    <row r="95" spans="1:8">
      <c r="A95" s="22" t="s">
        <v>2413</v>
      </c>
      <c r="B95" s="23" t="s">
        <v>1370</v>
      </c>
      <c r="C95" s="23">
        <v>40</v>
      </c>
      <c r="D95" s="23" t="s">
        <v>2660</v>
      </c>
      <c r="E95" s="24">
        <v>45639</v>
      </c>
      <c r="F95" s="23" t="s">
        <v>2655</v>
      </c>
      <c r="G95" s="23" t="s">
        <v>2654</v>
      </c>
      <c r="H95" s="23">
        <v>0</v>
      </c>
    </row>
    <row r="96" spans="1:8">
      <c r="A96" s="22" t="s">
        <v>2414</v>
      </c>
      <c r="B96" s="23" t="s">
        <v>1370</v>
      </c>
      <c r="C96" s="23">
        <v>24</v>
      </c>
      <c r="D96" s="23" t="s">
        <v>72</v>
      </c>
      <c r="E96" s="24">
        <v>45718</v>
      </c>
      <c r="F96" s="23" t="s">
        <v>2655</v>
      </c>
      <c r="G96" s="23" t="s">
        <v>2654</v>
      </c>
      <c r="H96" s="23">
        <v>0</v>
      </c>
    </row>
    <row r="97" spans="1:8">
      <c r="A97" s="22" t="s">
        <v>2415</v>
      </c>
      <c r="B97" s="23" t="s">
        <v>1370</v>
      </c>
      <c r="C97" s="23">
        <v>46</v>
      </c>
      <c r="D97" s="23" t="s">
        <v>1203</v>
      </c>
      <c r="E97" s="24">
        <v>45554</v>
      </c>
      <c r="F97" s="23" t="s">
        <v>2653</v>
      </c>
      <c r="G97" s="23" t="s">
        <v>2654</v>
      </c>
      <c r="H97" s="23">
        <v>0</v>
      </c>
    </row>
    <row r="98" spans="1:8">
      <c r="A98" s="22" t="s">
        <v>2416</v>
      </c>
      <c r="B98" s="23" t="s">
        <v>1176</v>
      </c>
      <c r="C98" s="23">
        <v>44</v>
      </c>
      <c r="D98" s="23" t="s">
        <v>82</v>
      </c>
      <c r="E98" s="24">
        <v>45621</v>
      </c>
      <c r="F98" s="23" t="s">
        <v>2653</v>
      </c>
      <c r="G98" s="23" t="s">
        <v>2656</v>
      </c>
      <c r="H98" s="23">
        <v>1</v>
      </c>
    </row>
    <row r="99" spans="1:8">
      <c r="A99" s="22" t="s">
        <v>1288</v>
      </c>
      <c r="B99" s="23" t="s">
        <v>1176</v>
      </c>
      <c r="C99" s="23">
        <v>33</v>
      </c>
      <c r="D99" s="23" t="s">
        <v>2666</v>
      </c>
      <c r="E99" s="24">
        <v>45602</v>
      </c>
      <c r="F99" s="23" t="s">
        <v>2655</v>
      </c>
      <c r="G99" s="23" t="s">
        <v>2656</v>
      </c>
      <c r="H99" s="23">
        <v>2</v>
      </c>
    </row>
    <row r="100" spans="1:8">
      <c r="A100" s="22" t="s">
        <v>2417</v>
      </c>
      <c r="B100" s="23" t="s">
        <v>1176</v>
      </c>
      <c r="C100" s="23">
        <v>47</v>
      </c>
      <c r="D100" s="23" t="s">
        <v>48</v>
      </c>
      <c r="E100" s="24">
        <v>45639</v>
      </c>
      <c r="F100" s="23" t="s">
        <v>2653</v>
      </c>
      <c r="G100" s="23" t="s">
        <v>2656</v>
      </c>
      <c r="H100" s="23">
        <v>1</v>
      </c>
    </row>
    <row r="101" spans="1:8">
      <c r="A101" s="22" t="s">
        <v>250</v>
      </c>
      <c r="B101" s="23" t="s">
        <v>1370</v>
      </c>
      <c r="C101" s="23">
        <v>56</v>
      </c>
      <c r="D101" s="23" t="s">
        <v>417</v>
      </c>
      <c r="E101" s="24">
        <v>45695</v>
      </c>
      <c r="F101" s="23" t="s">
        <v>2653</v>
      </c>
      <c r="G101" s="23" t="s">
        <v>2656</v>
      </c>
      <c r="H101" s="23">
        <v>4</v>
      </c>
    </row>
    <row r="102" spans="1:8">
      <c r="A102" s="22" t="s">
        <v>2418</v>
      </c>
      <c r="B102" s="23" t="s">
        <v>1176</v>
      </c>
      <c r="C102" s="23">
        <v>31</v>
      </c>
      <c r="D102" s="23" t="s">
        <v>2685</v>
      </c>
      <c r="E102" s="24">
        <v>45656</v>
      </c>
      <c r="F102" s="23" t="s">
        <v>2653</v>
      </c>
      <c r="G102" s="23" t="s">
        <v>2656</v>
      </c>
      <c r="H102" s="23">
        <v>3</v>
      </c>
    </row>
    <row r="103" spans="1:8">
      <c r="A103" s="22" t="s">
        <v>2419</v>
      </c>
      <c r="B103" s="23" t="s">
        <v>1176</v>
      </c>
      <c r="C103" s="23">
        <v>36</v>
      </c>
      <c r="D103" s="23" t="s">
        <v>2659</v>
      </c>
      <c r="E103" s="24">
        <v>45593</v>
      </c>
      <c r="F103" s="23" t="s">
        <v>2653</v>
      </c>
      <c r="G103" s="23" t="s">
        <v>2654</v>
      </c>
      <c r="H103" s="23">
        <v>0</v>
      </c>
    </row>
    <row r="104" spans="1:8">
      <c r="A104" s="22" t="s">
        <v>2420</v>
      </c>
      <c r="B104" s="23" t="s">
        <v>1176</v>
      </c>
      <c r="C104" s="23">
        <v>38</v>
      </c>
      <c r="D104" s="23" t="s">
        <v>36</v>
      </c>
      <c r="E104" s="24">
        <v>45596</v>
      </c>
      <c r="F104" s="23" t="s">
        <v>2653</v>
      </c>
      <c r="G104" s="23" t="s">
        <v>2654</v>
      </c>
      <c r="H104" s="23">
        <v>0</v>
      </c>
    </row>
    <row r="105" spans="1:8">
      <c r="A105" s="22" t="s">
        <v>147</v>
      </c>
      <c r="B105" s="23" t="s">
        <v>1370</v>
      </c>
      <c r="C105" s="23">
        <v>39</v>
      </c>
      <c r="D105" s="23" t="s">
        <v>2667</v>
      </c>
      <c r="E105" s="24">
        <v>45642</v>
      </c>
      <c r="F105" s="23" t="s">
        <v>2653</v>
      </c>
      <c r="G105" s="23" t="s">
        <v>2654</v>
      </c>
      <c r="H105" s="23">
        <v>0</v>
      </c>
    </row>
    <row r="106" spans="1:8">
      <c r="A106" s="22" t="s">
        <v>667</v>
      </c>
      <c r="B106" s="23" t="s">
        <v>1370</v>
      </c>
      <c r="C106" s="23">
        <v>22</v>
      </c>
      <c r="D106" s="23" t="s">
        <v>2671</v>
      </c>
      <c r="E106" s="24">
        <v>45635</v>
      </c>
      <c r="F106" s="23" t="s">
        <v>2653</v>
      </c>
      <c r="G106" s="23" t="s">
        <v>2656</v>
      </c>
      <c r="H106" s="23">
        <v>2</v>
      </c>
    </row>
    <row r="107" spans="1:8">
      <c r="A107" s="22" t="s">
        <v>675</v>
      </c>
      <c r="B107" s="23" t="s">
        <v>1370</v>
      </c>
      <c r="C107" s="23">
        <v>60</v>
      </c>
      <c r="D107" s="23" t="s">
        <v>228</v>
      </c>
      <c r="E107" s="24">
        <v>45686</v>
      </c>
      <c r="F107" s="23" t="s">
        <v>2655</v>
      </c>
      <c r="G107" s="23" t="s">
        <v>2654</v>
      </c>
      <c r="H107" s="23">
        <v>0</v>
      </c>
    </row>
    <row r="108" spans="1:8">
      <c r="A108" s="22" t="s">
        <v>471</v>
      </c>
      <c r="B108" s="23" t="s">
        <v>1370</v>
      </c>
      <c r="C108" s="23">
        <v>18</v>
      </c>
      <c r="D108" s="23" t="s">
        <v>2692</v>
      </c>
      <c r="E108" s="24">
        <v>45720</v>
      </c>
      <c r="F108" s="23" t="s">
        <v>2655</v>
      </c>
      <c r="G108" s="23" t="s">
        <v>2654</v>
      </c>
      <c r="H108" s="23">
        <v>0</v>
      </c>
    </row>
    <row r="109" spans="1:8">
      <c r="A109" s="22" t="s">
        <v>335</v>
      </c>
      <c r="B109" s="23" t="s">
        <v>1370</v>
      </c>
      <c r="C109" s="23">
        <v>24</v>
      </c>
      <c r="D109" s="23" t="s">
        <v>2678</v>
      </c>
      <c r="E109" s="24">
        <v>45620</v>
      </c>
      <c r="F109" s="23" t="s">
        <v>2653</v>
      </c>
      <c r="G109" s="23" t="s">
        <v>2654</v>
      </c>
      <c r="H109" s="23">
        <v>0</v>
      </c>
    </row>
    <row r="110" spans="1:8">
      <c r="A110" s="22" t="s">
        <v>302</v>
      </c>
      <c r="B110" s="23" t="s">
        <v>1176</v>
      </c>
      <c r="C110" s="23">
        <v>63</v>
      </c>
      <c r="D110" s="23" t="s">
        <v>2664</v>
      </c>
      <c r="E110" s="24">
        <v>45612</v>
      </c>
      <c r="F110" s="23" t="s">
        <v>2655</v>
      </c>
      <c r="G110" s="23" t="s">
        <v>2654</v>
      </c>
      <c r="H110" s="23">
        <v>0</v>
      </c>
    </row>
    <row r="111" spans="1:8">
      <c r="A111" s="22" t="s">
        <v>729</v>
      </c>
      <c r="B111" s="23" t="s">
        <v>1370</v>
      </c>
      <c r="C111" s="23">
        <v>46</v>
      </c>
      <c r="D111" s="23" t="s">
        <v>2669</v>
      </c>
      <c r="E111" s="24">
        <v>45733</v>
      </c>
      <c r="F111" s="23" t="s">
        <v>2653</v>
      </c>
      <c r="G111" s="23" t="s">
        <v>2656</v>
      </c>
      <c r="H111" s="23">
        <v>2</v>
      </c>
    </row>
    <row r="112" spans="1:8">
      <c r="A112" s="22" t="s">
        <v>2421</v>
      </c>
      <c r="B112" s="23" t="s">
        <v>1370</v>
      </c>
      <c r="C112" s="23">
        <v>65</v>
      </c>
      <c r="D112" s="23" t="s">
        <v>2691</v>
      </c>
      <c r="E112" s="24">
        <v>45586</v>
      </c>
      <c r="F112" s="23" t="s">
        <v>2653</v>
      </c>
      <c r="G112" s="23" t="s">
        <v>2656</v>
      </c>
      <c r="H112" s="23">
        <v>2</v>
      </c>
    </row>
    <row r="113" spans="1:8">
      <c r="A113" s="22" t="s">
        <v>2422</v>
      </c>
      <c r="B113" s="23" t="s">
        <v>1370</v>
      </c>
      <c r="C113" s="23">
        <v>65</v>
      </c>
      <c r="D113" s="23" t="s">
        <v>2671</v>
      </c>
      <c r="E113" s="24">
        <v>45591</v>
      </c>
      <c r="F113" s="23" t="s">
        <v>2653</v>
      </c>
      <c r="G113" s="23" t="s">
        <v>2656</v>
      </c>
      <c r="H113" s="23">
        <v>1</v>
      </c>
    </row>
    <row r="114" spans="1:8">
      <c r="A114" s="22" t="s">
        <v>1917</v>
      </c>
      <c r="B114" s="23" t="s">
        <v>1370</v>
      </c>
      <c r="C114" s="23">
        <v>27</v>
      </c>
      <c r="D114" s="23" t="s">
        <v>2685</v>
      </c>
      <c r="E114" s="24">
        <v>45672</v>
      </c>
      <c r="F114" s="23" t="s">
        <v>2655</v>
      </c>
      <c r="G114" s="23" t="s">
        <v>2654</v>
      </c>
      <c r="H114" s="23">
        <v>0</v>
      </c>
    </row>
    <row r="115" spans="1:8">
      <c r="A115" s="22" t="s">
        <v>1254</v>
      </c>
      <c r="B115" s="23" t="s">
        <v>1176</v>
      </c>
      <c r="C115" s="23">
        <v>36</v>
      </c>
      <c r="D115" s="23" t="s">
        <v>228</v>
      </c>
      <c r="E115" s="24">
        <v>45683</v>
      </c>
      <c r="F115" s="23" t="s">
        <v>2655</v>
      </c>
      <c r="G115" s="23" t="s">
        <v>2656</v>
      </c>
      <c r="H115" s="23">
        <v>1</v>
      </c>
    </row>
    <row r="116" spans="1:8">
      <c r="A116" s="22" t="s">
        <v>2423</v>
      </c>
      <c r="B116" s="23" t="s">
        <v>1370</v>
      </c>
      <c r="C116" s="23">
        <v>45</v>
      </c>
      <c r="D116" s="23" t="s">
        <v>2684</v>
      </c>
      <c r="E116" s="24">
        <v>45567</v>
      </c>
      <c r="F116" s="23" t="s">
        <v>2653</v>
      </c>
      <c r="G116" s="23" t="s">
        <v>2654</v>
      </c>
      <c r="H116" s="23">
        <v>0</v>
      </c>
    </row>
    <row r="117" spans="1:8">
      <c r="A117" s="22" t="s">
        <v>2133</v>
      </c>
      <c r="B117" s="23" t="s">
        <v>1176</v>
      </c>
      <c r="C117" s="23">
        <v>26</v>
      </c>
      <c r="D117" s="23" t="s">
        <v>2689</v>
      </c>
      <c r="E117" s="24">
        <v>45619</v>
      </c>
      <c r="F117" s="23" t="s">
        <v>2655</v>
      </c>
      <c r="G117" s="23" t="s">
        <v>2656</v>
      </c>
      <c r="H117" s="23">
        <v>3</v>
      </c>
    </row>
    <row r="118" spans="1:8">
      <c r="A118" s="22" t="s">
        <v>343</v>
      </c>
      <c r="B118" s="23" t="s">
        <v>1176</v>
      </c>
      <c r="C118" s="23">
        <v>54</v>
      </c>
      <c r="D118" s="23" t="s">
        <v>2681</v>
      </c>
      <c r="E118" s="24">
        <v>45718</v>
      </c>
      <c r="F118" s="23" t="s">
        <v>2653</v>
      </c>
      <c r="G118" s="23" t="s">
        <v>2656</v>
      </c>
      <c r="H118" s="23">
        <v>3</v>
      </c>
    </row>
    <row r="119" spans="1:8">
      <c r="A119" s="22" t="s">
        <v>603</v>
      </c>
      <c r="B119" s="23" t="s">
        <v>1176</v>
      </c>
      <c r="C119" s="23">
        <v>30</v>
      </c>
      <c r="D119" s="23" t="s">
        <v>2679</v>
      </c>
      <c r="E119" s="24">
        <v>45677</v>
      </c>
      <c r="F119" s="23" t="s">
        <v>2655</v>
      </c>
      <c r="G119" s="23" t="s">
        <v>2654</v>
      </c>
      <c r="H119" s="23">
        <v>0</v>
      </c>
    </row>
    <row r="120" spans="1:8">
      <c r="A120" s="22" t="s">
        <v>2424</v>
      </c>
      <c r="B120" s="23" t="s">
        <v>1176</v>
      </c>
      <c r="C120" s="23">
        <v>46</v>
      </c>
      <c r="D120" s="23" t="s">
        <v>2670</v>
      </c>
      <c r="E120" s="24">
        <v>45696</v>
      </c>
      <c r="F120" s="23" t="s">
        <v>2653</v>
      </c>
      <c r="G120" s="23" t="s">
        <v>2656</v>
      </c>
      <c r="H120" s="23">
        <v>4</v>
      </c>
    </row>
    <row r="121" spans="1:8">
      <c r="A121" s="22" t="s">
        <v>2425</v>
      </c>
      <c r="B121" s="23" t="s">
        <v>1370</v>
      </c>
      <c r="C121" s="23">
        <v>63</v>
      </c>
      <c r="D121" s="23" t="s">
        <v>2682</v>
      </c>
      <c r="E121" s="24">
        <v>45665</v>
      </c>
      <c r="F121" s="23" t="s">
        <v>2655</v>
      </c>
      <c r="G121" s="23" t="s">
        <v>2656</v>
      </c>
      <c r="H121" s="23">
        <v>2</v>
      </c>
    </row>
    <row r="122" spans="1:8">
      <c r="A122" s="22" t="s">
        <v>2426</v>
      </c>
      <c r="B122" s="23" t="s">
        <v>1176</v>
      </c>
      <c r="C122" s="23">
        <v>34</v>
      </c>
      <c r="D122" s="23" t="s">
        <v>2684</v>
      </c>
      <c r="E122" s="24">
        <v>45606</v>
      </c>
      <c r="F122" s="23" t="s">
        <v>2655</v>
      </c>
      <c r="G122" s="23" t="s">
        <v>2656</v>
      </c>
      <c r="H122" s="23">
        <v>1</v>
      </c>
    </row>
    <row r="123" spans="1:8">
      <c r="A123" s="22" t="s">
        <v>2427</v>
      </c>
      <c r="B123" s="23" t="s">
        <v>1370</v>
      </c>
      <c r="C123" s="23">
        <v>54</v>
      </c>
      <c r="D123" s="23" t="s">
        <v>228</v>
      </c>
      <c r="E123" s="24">
        <v>45576</v>
      </c>
      <c r="F123" s="23" t="s">
        <v>2655</v>
      </c>
      <c r="G123" s="23" t="s">
        <v>2656</v>
      </c>
      <c r="H123" s="23">
        <v>3</v>
      </c>
    </row>
    <row r="124" spans="1:8">
      <c r="A124" s="22" t="s">
        <v>2428</v>
      </c>
      <c r="B124" s="23" t="s">
        <v>1370</v>
      </c>
      <c r="C124" s="23">
        <v>39</v>
      </c>
      <c r="D124" s="23" t="s">
        <v>2686</v>
      </c>
      <c r="E124" s="24">
        <v>45698</v>
      </c>
      <c r="F124" s="23" t="s">
        <v>2653</v>
      </c>
      <c r="G124" s="23" t="s">
        <v>2654</v>
      </c>
      <c r="H124" s="23">
        <v>0</v>
      </c>
    </row>
    <row r="125" spans="1:8">
      <c r="A125" s="22" t="s">
        <v>2261</v>
      </c>
      <c r="B125" s="23" t="s">
        <v>1176</v>
      </c>
      <c r="C125" s="23">
        <v>23</v>
      </c>
      <c r="D125" s="23" t="s">
        <v>2665</v>
      </c>
      <c r="E125" s="24">
        <v>45644</v>
      </c>
      <c r="F125" s="23" t="s">
        <v>2655</v>
      </c>
      <c r="G125" s="23" t="s">
        <v>2654</v>
      </c>
      <c r="H125" s="23">
        <v>0</v>
      </c>
    </row>
    <row r="126" spans="1:8">
      <c r="A126" s="22" t="s">
        <v>294</v>
      </c>
      <c r="B126" s="23" t="s">
        <v>1176</v>
      </c>
      <c r="C126" s="23">
        <v>36</v>
      </c>
      <c r="D126" s="23" t="s">
        <v>2675</v>
      </c>
      <c r="E126" s="24">
        <v>45618</v>
      </c>
      <c r="F126" s="23" t="s">
        <v>2653</v>
      </c>
      <c r="G126" s="23" t="s">
        <v>2654</v>
      </c>
      <c r="H126" s="23">
        <v>0</v>
      </c>
    </row>
    <row r="127" spans="1:8">
      <c r="A127" s="22" t="s">
        <v>1989</v>
      </c>
      <c r="B127" s="23" t="s">
        <v>1176</v>
      </c>
      <c r="C127" s="23">
        <v>24</v>
      </c>
      <c r="D127" s="23" t="s">
        <v>2681</v>
      </c>
      <c r="E127" s="24">
        <v>45742</v>
      </c>
      <c r="F127" s="23" t="s">
        <v>2655</v>
      </c>
      <c r="G127" s="23" t="s">
        <v>2654</v>
      </c>
      <c r="H127" s="23">
        <v>0</v>
      </c>
    </row>
    <row r="128" spans="1:8">
      <c r="A128" s="22" t="s">
        <v>2429</v>
      </c>
      <c r="B128" s="23" t="s">
        <v>1370</v>
      </c>
      <c r="C128" s="23">
        <v>50</v>
      </c>
      <c r="D128" s="23" t="s">
        <v>2686</v>
      </c>
      <c r="E128" s="24">
        <v>45646</v>
      </c>
      <c r="F128" s="23" t="s">
        <v>2653</v>
      </c>
      <c r="G128" s="23" t="s">
        <v>2654</v>
      </c>
      <c r="H128" s="23">
        <v>0</v>
      </c>
    </row>
    <row r="129" spans="1:8">
      <c r="A129" s="22" t="s">
        <v>505</v>
      </c>
      <c r="B129" s="23" t="s">
        <v>1176</v>
      </c>
      <c r="C129" s="23">
        <v>30</v>
      </c>
      <c r="D129" s="23" t="s">
        <v>2665</v>
      </c>
      <c r="E129" s="24">
        <v>45678</v>
      </c>
      <c r="F129" s="23" t="s">
        <v>2653</v>
      </c>
      <c r="G129" s="23" t="s">
        <v>2656</v>
      </c>
      <c r="H129" s="23">
        <v>2</v>
      </c>
    </row>
    <row r="130" spans="1:8">
      <c r="A130" s="22" t="s">
        <v>1049</v>
      </c>
      <c r="B130" s="23" t="s">
        <v>1176</v>
      </c>
      <c r="C130" s="23">
        <v>36</v>
      </c>
      <c r="D130" s="23" t="s">
        <v>89</v>
      </c>
      <c r="E130" s="24">
        <v>45662</v>
      </c>
      <c r="F130" s="23" t="s">
        <v>2655</v>
      </c>
      <c r="G130" s="23" t="s">
        <v>2654</v>
      </c>
      <c r="H130" s="23">
        <v>0</v>
      </c>
    </row>
    <row r="131" spans="1:8">
      <c r="A131" s="22" t="s">
        <v>710</v>
      </c>
      <c r="B131" s="23" t="s">
        <v>1176</v>
      </c>
      <c r="C131" s="23">
        <v>29</v>
      </c>
      <c r="D131" s="23" t="s">
        <v>2679</v>
      </c>
      <c r="E131" s="24">
        <v>45614</v>
      </c>
      <c r="F131" s="23" t="s">
        <v>2653</v>
      </c>
      <c r="G131" s="23" t="s">
        <v>2654</v>
      </c>
      <c r="H131" s="23">
        <v>0</v>
      </c>
    </row>
    <row r="132" spans="1:8">
      <c r="A132" s="22" t="s">
        <v>2430</v>
      </c>
      <c r="B132" s="23" t="s">
        <v>1370</v>
      </c>
      <c r="C132" s="23">
        <v>34</v>
      </c>
      <c r="D132" s="23" t="s">
        <v>48</v>
      </c>
      <c r="E132" s="24">
        <v>45597</v>
      </c>
      <c r="F132" s="23" t="s">
        <v>2655</v>
      </c>
      <c r="G132" s="23" t="s">
        <v>2654</v>
      </c>
      <c r="H132" s="23">
        <v>0</v>
      </c>
    </row>
    <row r="133" spans="1:8">
      <c r="A133" s="22" t="s">
        <v>652</v>
      </c>
      <c r="B133" s="23" t="s">
        <v>1176</v>
      </c>
      <c r="C133" s="23">
        <v>56</v>
      </c>
      <c r="D133" s="23" t="s">
        <v>2679</v>
      </c>
      <c r="E133" s="24">
        <v>45683</v>
      </c>
      <c r="F133" s="23" t="s">
        <v>2653</v>
      </c>
      <c r="G133" s="23" t="s">
        <v>2656</v>
      </c>
      <c r="H133" s="23">
        <v>2</v>
      </c>
    </row>
    <row r="134" spans="1:8">
      <c r="A134" s="22" t="s">
        <v>578</v>
      </c>
      <c r="B134" s="23" t="s">
        <v>1370</v>
      </c>
      <c r="C134" s="23">
        <v>19</v>
      </c>
      <c r="D134" s="23" t="s">
        <v>2657</v>
      </c>
      <c r="E134" s="24">
        <v>45717</v>
      </c>
      <c r="F134" s="23" t="s">
        <v>2653</v>
      </c>
      <c r="G134" s="23" t="s">
        <v>2654</v>
      </c>
      <c r="H134" s="23">
        <v>0</v>
      </c>
    </row>
    <row r="135" spans="1:8">
      <c r="A135" s="22" t="s">
        <v>107</v>
      </c>
      <c r="B135" s="23" t="s">
        <v>1176</v>
      </c>
      <c r="C135" s="23">
        <v>19</v>
      </c>
      <c r="D135" s="23" t="s">
        <v>2689</v>
      </c>
      <c r="E135" s="24">
        <v>45551</v>
      </c>
      <c r="F135" s="23" t="s">
        <v>2655</v>
      </c>
      <c r="G135" s="23" t="s">
        <v>2656</v>
      </c>
      <c r="H135" s="23">
        <v>1</v>
      </c>
    </row>
    <row r="136" spans="1:8">
      <c r="A136" s="22" t="s">
        <v>2431</v>
      </c>
      <c r="B136" s="23" t="s">
        <v>1370</v>
      </c>
      <c r="C136" s="23">
        <v>30</v>
      </c>
      <c r="D136" s="23" t="s">
        <v>2687</v>
      </c>
      <c r="E136" s="24">
        <v>45601</v>
      </c>
      <c r="F136" s="23" t="s">
        <v>2655</v>
      </c>
      <c r="G136" s="23" t="s">
        <v>2656</v>
      </c>
      <c r="H136" s="23">
        <v>1</v>
      </c>
    </row>
    <row r="137" spans="1:8">
      <c r="A137" s="22" t="s">
        <v>184</v>
      </c>
      <c r="B137" s="23" t="s">
        <v>1370</v>
      </c>
      <c r="C137" s="23">
        <v>29</v>
      </c>
      <c r="D137" s="23" t="s">
        <v>2688</v>
      </c>
      <c r="E137" s="24">
        <v>45696</v>
      </c>
      <c r="F137" s="23" t="s">
        <v>2655</v>
      </c>
      <c r="G137" s="23" t="s">
        <v>2654</v>
      </c>
      <c r="H137" s="23">
        <v>0</v>
      </c>
    </row>
    <row r="138" spans="1:8">
      <c r="A138" s="22" t="s">
        <v>2432</v>
      </c>
      <c r="B138" s="23" t="s">
        <v>1370</v>
      </c>
      <c r="C138" s="23">
        <v>44</v>
      </c>
      <c r="D138" s="23" t="s">
        <v>2685</v>
      </c>
      <c r="E138" s="24">
        <v>45554</v>
      </c>
      <c r="F138" s="23" t="s">
        <v>2653</v>
      </c>
      <c r="G138" s="23" t="s">
        <v>2656</v>
      </c>
      <c r="H138" s="23">
        <v>1</v>
      </c>
    </row>
    <row r="139" spans="1:8">
      <c r="A139" s="22" t="s">
        <v>1922</v>
      </c>
      <c r="B139" s="23" t="s">
        <v>1176</v>
      </c>
      <c r="C139" s="23">
        <v>50</v>
      </c>
      <c r="D139" s="23" t="s">
        <v>36</v>
      </c>
      <c r="E139" s="24">
        <v>45650</v>
      </c>
      <c r="F139" s="23" t="s">
        <v>2653</v>
      </c>
      <c r="G139" s="23" t="s">
        <v>2654</v>
      </c>
      <c r="H139" s="23">
        <v>0</v>
      </c>
    </row>
    <row r="140" spans="1:8">
      <c r="A140" s="22" t="s">
        <v>2433</v>
      </c>
      <c r="B140" s="23" t="s">
        <v>1176</v>
      </c>
      <c r="C140" s="23">
        <v>51</v>
      </c>
      <c r="D140" s="23" t="s">
        <v>2665</v>
      </c>
      <c r="E140" s="24">
        <v>45671</v>
      </c>
      <c r="F140" s="23" t="s">
        <v>2655</v>
      </c>
      <c r="G140" s="23" t="s">
        <v>2654</v>
      </c>
      <c r="H140" s="23">
        <v>0</v>
      </c>
    </row>
    <row r="141" spans="1:8">
      <c r="A141" s="22" t="s">
        <v>701</v>
      </c>
      <c r="B141" s="23" t="s">
        <v>1370</v>
      </c>
      <c r="C141" s="23">
        <v>53</v>
      </c>
      <c r="D141" s="23" t="s">
        <v>2663</v>
      </c>
      <c r="E141" s="24">
        <v>45703</v>
      </c>
      <c r="F141" s="23" t="s">
        <v>2653</v>
      </c>
      <c r="G141" s="23" t="s">
        <v>2656</v>
      </c>
      <c r="H141" s="23">
        <v>3</v>
      </c>
    </row>
    <row r="142" spans="1:8">
      <c r="A142" s="22" t="s">
        <v>2434</v>
      </c>
      <c r="B142" s="23" t="s">
        <v>1176</v>
      </c>
      <c r="C142" s="23">
        <v>24</v>
      </c>
      <c r="D142" s="23" t="s">
        <v>2662</v>
      </c>
      <c r="E142" s="24">
        <v>45617</v>
      </c>
      <c r="F142" s="23" t="s">
        <v>2655</v>
      </c>
      <c r="G142" s="23" t="s">
        <v>2654</v>
      </c>
      <c r="H142" s="23">
        <v>0</v>
      </c>
    </row>
    <row r="143" spans="1:8">
      <c r="A143" s="22" t="s">
        <v>2435</v>
      </c>
      <c r="B143" s="23" t="s">
        <v>1370</v>
      </c>
      <c r="C143" s="23">
        <v>37</v>
      </c>
      <c r="D143" s="23" t="s">
        <v>48</v>
      </c>
      <c r="E143" s="24">
        <v>45690</v>
      </c>
      <c r="F143" s="23" t="s">
        <v>2655</v>
      </c>
      <c r="G143" s="23" t="s">
        <v>2654</v>
      </c>
      <c r="H143" s="23">
        <v>0</v>
      </c>
    </row>
    <row r="144" spans="1:8">
      <c r="A144" s="22" t="s">
        <v>2436</v>
      </c>
      <c r="B144" s="23" t="s">
        <v>1176</v>
      </c>
      <c r="C144" s="23">
        <v>64</v>
      </c>
      <c r="D144" s="23" t="s">
        <v>89</v>
      </c>
      <c r="E144" s="24">
        <v>45734</v>
      </c>
      <c r="F144" s="23" t="s">
        <v>2653</v>
      </c>
      <c r="G144" s="23" t="s">
        <v>2654</v>
      </c>
      <c r="H144" s="23">
        <v>0</v>
      </c>
    </row>
    <row r="145" spans="1:8">
      <c r="A145" s="22" t="s">
        <v>397</v>
      </c>
      <c r="B145" s="23" t="s">
        <v>1370</v>
      </c>
      <c r="C145" s="23">
        <v>55</v>
      </c>
      <c r="D145" s="23" t="s">
        <v>2683</v>
      </c>
      <c r="E145" s="24">
        <v>45628</v>
      </c>
      <c r="F145" s="23" t="s">
        <v>2653</v>
      </c>
      <c r="G145" s="23" t="s">
        <v>2654</v>
      </c>
      <c r="H145" s="23">
        <v>0</v>
      </c>
    </row>
    <row r="146" spans="1:8">
      <c r="A146" s="22" t="s">
        <v>2437</v>
      </c>
      <c r="B146" s="23" t="s">
        <v>1176</v>
      </c>
      <c r="C146" s="23">
        <v>65</v>
      </c>
      <c r="D146" s="23" t="s">
        <v>2683</v>
      </c>
      <c r="E146" s="24">
        <v>45723</v>
      </c>
      <c r="F146" s="23" t="s">
        <v>2653</v>
      </c>
      <c r="G146" s="23" t="s">
        <v>2656</v>
      </c>
      <c r="H146" s="23">
        <v>4</v>
      </c>
    </row>
    <row r="147" spans="1:8">
      <c r="A147" s="22" t="s">
        <v>1986</v>
      </c>
      <c r="B147" s="23" t="s">
        <v>1176</v>
      </c>
      <c r="C147" s="23">
        <v>60</v>
      </c>
      <c r="D147" s="23" t="s">
        <v>2690</v>
      </c>
      <c r="E147" s="24">
        <v>45540</v>
      </c>
      <c r="F147" s="23" t="s">
        <v>2655</v>
      </c>
      <c r="G147" s="23" t="s">
        <v>2656</v>
      </c>
      <c r="H147" s="23">
        <v>2</v>
      </c>
    </row>
    <row r="148" spans="1:8">
      <c r="A148" s="22" t="s">
        <v>987</v>
      </c>
      <c r="B148" s="23" t="s">
        <v>1370</v>
      </c>
      <c r="C148" s="23">
        <v>57</v>
      </c>
      <c r="D148" s="23" t="s">
        <v>2687</v>
      </c>
      <c r="E148" s="24">
        <v>45549</v>
      </c>
      <c r="F148" s="23" t="s">
        <v>2655</v>
      </c>
      <c r="G148" s="23" t="s">
        <v>2656</v>
      </c>
      <c r="H148" s="23">
        <v>4</v>
      </c>
    </row>
    <row r="149" spans="1:8">
      <c r="A149" s="22" t="s">
        <v>245</v>
      </c>
      <c r="B149" s="23" t="s">
        <v>1176</v>
      </c>
      <c r="C149" s="23">
        <v>52</v>
      </c>
      <c r="D149" s="23" t="s">
        <v>2690</v>
      </c>
      <c r="E149" s="24">
        <v>45635</v>
      </c>
      <c r="F149" s="23" t="s">
        <v>2655</v>
      </c>
      <c r="G149" s="23" t="s">
        <v>2654</v>
      </c>
      <c r="H149" s="23">
        <v>0</v>
      </c>
    </row>
    <row r="150" spans="1:8">
      <c r="A150" s="22" t="s">
        <v>390</v>
      </c>
      <c r="B150" s="23" t="s">
        <v>1176</v>
      </c>
      <c r="C150" s="23">
        <v>49</v>
      </c>
      <c r="D150" s="23" t="s">
        <v>2687</v>
      </c>
      <c r="E150" s="24">
        <v>45722</v>
      </c>
      <c r="F150" s="23" t="s">
        <v>2653</v>
      </c>
      <c r="G150" s="23" t="s">
        <v>2654</v>
      </c>
      <c r="H150" s="23">
        <v>0</v>
      </c>
    </row>
    <row r="151" spans="1:8">
      <c r="A151" s="22" t="s">
        <v>2438</v>
      </c>
      <c r="B151" s="23" t="s">
        <v>1370</v>
      </c>
      <c r="C151" s="23">
        <v>54</v>
      </c>
      <c r="D151" s="23" t="s">
        <v>265</v>
      </c>
      <c r="E151" s="24">
        <v>45596</v>
      </c>
      <c r="F151" s="23" t="s">
        <v>2653</v>
      </c>
      <c r="G151" s="23" t="s">
        <v>2654</v>
      </c>
      <c r="H151" s="23">
        <v>0</v>
      </c>
    </row>
    <row r="152" spans="1:8">
      <c r="A152" s="22" t="s">
        <v>2439</v>
      </c>
      <c r="B152" s="23" t="s">
        <v>1370</v>
      </c>
      <c r="C152" s="23">
        <v>42</v>
      </c>
      <c r="D152" s="23" t="s">
        <v>57</v>
      </c>
      <c r="E152" s="24">
        <v>45652</v>
      </c>
      <c r="F152" s="23" t="s">
        <v>2655</v>
      </c>
      <c r="G152" s="23" t="s">
        <v>2654</v>
      </c>
      <c r="H152" s="23">
        <v>0</v>
      </c>
    </row>
    <row r="153" spans="1:8">
      <c r="A153" s="22" t="s">
        <v>1218</v>
      </c>
      <c r="B153" s="23" t="s">
        <v>1176</v>
      </c>
      <c r="C153" s="23">
        <v>28</v>
      </c>
      <c r="D153" s="23" t="s">
        <v>2679</v>
      </c>
      <c r="E153" s="24">
        <v>45708</v>
      </c>
      <c r="F153" s="23" t="s">
        <v>2653</v>
      </c>
      <c r="G153" s="23" t="s">
        <v>2656</v>
      </c>
      <c r="H153" s="23">
        <v>1</v>
      </c>
    </row>
    <row r="154" spans="1:8">
      <c r="A154" s="22" t="s">
        <v>1268</v>
      </c>
      <c r="B154" s="23" t="s">
        <v>1370</v>
      </c>
      <c r="C154" s="23">
        <v>42</v>
      </c>
      <c r="D154" s="23" t="s">
        <v>392</v>
      </c>
      <c r="E154" s="24">
        <v>45571</v>
      </c>
      <c r="F154" s="23" t="s">
        <v>2653</v>
      </c>
      <c r="G154" s="23" t="s">
        <v>2656</v>
      </c>
      <c r="H154" s="23">
        <v>1</v>
      </c>
    </row>
    <row r="155" spans="1:8">
      <c r="A155" s="22" t="s">
        <v>1776</v>
      </c>
      <c r="B155" s="23" t="s">
        <v>1370</v>
      </c>
      <c r="C155" s="23">
        <v>57</v>
      </c>
      <c r="D155" s="23" t="s">
        <v>2680</v>
      </c>
      <c r="E155" s="24">
        <v>45545</v>
      </c>
      <c r="F155" s="23" t="s">
        <v>2655</v>
      </c>
      <c r="G155" s="23" t="s">
        <v>2656</v>
      </c>
      <c r="H155" s="23">
        <v>1</v>
      </c>
    </row>
    <row r="156" spans="1:8">
      <c r="A156" s="22" t="s">
        <v>2440</v>
      </c>
      <c r="B156" s="23" t="s">
        <v>1370</v>
      </c>
      <c r="C156" s="23">
        <v>50</v>
      </c>
      <c r="D156" s="23" t="s">
        <v>2666</v>
      </c>
      <c r="E156" s="24">
        <v>45743</v>
      </c>
      <c r="F156" s="23" t="s">
        <v>2655</v>
      </c>
      <c r="G156" s="23" t="s">
        <v>2654</v>
      </c>
      <c r="H156" s="23">
        <v>0</v>
      </c>
    </row>
    <row r="157" spans="1:8">
      <c r="A157" s="22" t="s">
        <v>1951</v>
      </c>
      <c r="B157" s="23" t="s">
        <v>1176</v>
      </c>
      <c r="C157" s="23">
        <v>53</v>
      </c>
      <c r="D157" s="23" t="s">
        <v>2683</v>
      </c>
      <c r="E157" s="24">
        <v>45650</v>
      </c>
      <c r="F157" s="23" t="s">
        <v>2655</v>
      </c>
      <c r="G157" s="23" t="s">
        <v>2656</v>
      </c>
      <c r="H157" s="23">
        <v>2</v>
      </c>
    </row>
    <row r="158" spans="1:8">
      <c r="A158" s="22" t="s">
        <v>111</v>
      </c>
      <c r="B158" s="23" t="s">
        <v>1176</v>
      </c>
      <c r="C158" s="23">
        <v>35</v>
      </c>
      <c r="D158" s="23" t="s">
        <v>2661</v>
      </c>
      <c r="E158" s="24">
        <v>45560</v>
      </c>
      <c r="F158" s="23" t="s">
        <v>2655</v>
      </c>
      <c r="G158" s="23" t="s">
        <v>2656</v>
      </c>
      <c r="H158" s="23">
        <v>1</v>
      </c>
    </row>
    <row r="159" spans="1:8">
      <c r="A159" s="22" t="s">
        <v>311</v>
      </c>
      <c r="B159" s="23" t="s">
        <v>1370</v>
      </c>
      <c r="C159" s="23">
        <v>35</v>
      </c>
      <c r="D159" s="23" t="s">
        <v>2672</v>
      </c>
      <c r="E159" s="24">
        <v>45568</v>
      </c>
      <c r="F159" s="23" t="s">
        <v>2653</v>
      </c>
      <c r="G159" s="23" t="s">
        <v>2656</v>
      </c>
      <c r="H159" s="23">
        <v>4</v>
      </c>
    </row>
    <row r="160" spans="1:8">
      <c r="A160" s="22" t="s">
        <v>2441</v>
      </c>
      <c r="B160" s="23" t="s">
        <v>1176</v>
      </c>
      <c r="C160" s="23">
        <v>34</v>
      </c>
      <c r="D160" s="23" t="s">
        <v>2671</v>
      </c>
      <c r="E160" s="24">
        <v>45658</v>
      </c>
      <c r="F160" s="23" t="s">
        <v>2653</v>
      </c>
      <c r="G160" s="23" t="s">
        <v>2656</v>
      </c>
      <c r="H160" s="23">
        <v>1</v>
      </c>
    </row>
    <row r="161" spans="1:8">
      <c r="A161" s="22" t="s">
        <v>2442</v>
      </c>
      <c r="B161" s="23" t="s">
        <v>1370</v>
      </c>
      <c r="C161" s="23">
        <v>47</v>
      </c>
      <c r="D161" s="23" t="s">
        <v>2672</v>
      </c>
      <c r="E161" s="24">
        <v>45706</v>
      </c>
      <c r="F161" s="23" t="s">
        <v>2655</v>
      </c>
      <c r="G161" s="23" t="s">
        <v>2656</v>
      </c>
      <c r="H161" s="23">
        <v>1</v>
      </c>
    </row>
    <row r="162" spans="1:8">
      <c r="A162" s="22" t="s">
        <v>322</v>
      </c>
      <c r="B162" s="23" t="s">
        <v>1176</v>
      </c>
      <c r="C162" s="23">
        <v>59</v>
      </c>
      <c r="D162" s="23" t="s">
        <v>265</v>
      </c>
      <c r="E162" s="24">
        <v>45553</v>
      </c>
      <c r="F162" s="23" t="s">
        <v>2653</v>
      </c>
      <c r="G162" s="23" t="s">
        <v>2656</v>
      </c>
      <c r="H162" s="23">
        <v>4</v>
      </c>
    </row>
    <row r="163" spans="1:8">
      <c r="A163" s="22" t="s">
        <v>314</v>
      </c>
      <c r="B163" s="23" t="s">
        <v>1176</v>
      </c>
      <c r="C163" s="23">
        <v>42</v>
      </c>
      <c r="D163" s="23" t="s">
        <v>2681</v>
      </c>
      <c r="E163" s="24">
        <v>45738</v>
      </c>
      <c r="F163" s="23" t="s">
        <v>2655</v>
      </c>
      <c r="G163" s="23" t="s">
        <v>2656</v>
      </c>
      <c r="H163" s="23">
        <v>3</v>
      </c>
    </row>
    <row r="164" spans="1:8">
      <c r="A164" s="22" t="s">
        <v>1235</v>
      </c>
      <c r="B164" s="23" t="s">
        <v>1370</v>
      </c>
      <c r="C164" s="23">
        <v>27</v>
      </c>
      <c r="D164" s="23" t="s">
        <v>2669</v>
      </c>
      <c r="E164" s="24">
        <v>45549</v>
      </c>
      <c r="F164" s="23" t="s">
        <v>2653</v>
      </c>
      <c r="G164" s="23" t="s">
        <v>2656</v>
      </c>
      <c r="H164" s="23">
        <v>2</v>
      </c>
    </row>
    <row r="165" spans="1:8">
      <c r="A165" s="22" t="s">
        <v>2443</v>
      </c>
      <c r="B165" s="23" t="s">
        <v>1176</v>
      </c>
      <c r="C165" s="23">
        <v>51</v>
      </c>
      <c r="D165" s="23" t="s">
        <v>2684</v>
      </c>
      <c r="E165" s="24">
        <v>45741</v>
      </c>
      <c r="F165" s="23" t="s">
        <v>2653</v>
      </c>
      <c r="G165" s="23" t="s">
        <v>2656</v>
      </c>
      <c r="H165" s="23">
        <v>3</v>
      </c>
    </row>
    <row r="166" spans="1:8">
      <c r="A166" s="22" t="s">
        <v>671</v>
      </c>
      <c r="B166" s="23" t="s">
        <v>1176</v>
      </c>
      <c r="C166" s="23">
        <v>20</v>
      </c>
      <c r="D166" s="23" t="s">
        <v>2662</v>
      </c>
      <c r="E166" s="24">
        <v>45679</v>
      </c>
      <c r="F166" s="23" t="s">
        <v>2653</v>
      </c>
      <c r="G166" s="23" t="s">
        <v>2656</v>
      </c>
      <c r="H166" s="23">
        <v>4</v>
      </c>
    </row>
    <row r="167" spans="1:8">
      <c r="A167" s="22" t="s">
        <v>2444</v>
      </c>
      <c r="B167" s="23" t="s">
        <v>1370</v>
      </c>
      <c r="C167" s="23">
        <v>48</v>
      </c>
      <c r="D167" s="23" t="s">
        <v>2657</v>
      </c>
      <c r="E167" s="24">
        <v>45611</v>
      </c>
      <c r="F167" s="23" t="s">
        <v>2653</v>
      </c>
      <c r="G167" s="23" t="s">
        <v>2654</v>
      </c>
      <c r="H167" s="23">
        <v>0</v>
      </c>
    </row>
    <row r="168" spans="1:8">
      <c r="A168" s="22" t="s">
        <v>2445</v>
      </c>
      <c r="B168" s="23" t="s">
        <v>1370</v>
      </c>
      <c r="C168" s="23">
        <v>64</v>
      </c>
      <c r="D168" s="23" t="s">
        <v>36</v>
      </c>
      <c r="E168" s="24">
        <v>45582</v>
      </c>
      <c r="F168" s="23" t="s">
        <v>2653</v>
      </c>
      <c r="G168" s="23" t="s">
        <v>2656</v>
      </c>
      <c r="H168" s="23">
        <v>1</v>
      </c>
    </row>
    <row r="169" spans="1:8">
      <c r="A169" s="22" t="s">
        <v>1185</v>
      </c>
      <c r="B169" s="23" t="s">
        <v>1370</v>
      </c>
      <c r="C169" s="23">
        <v>35</v>
      </c>
      <c r="D169" s="23" t="s">
        <v>2673</v>
      </c>
      <c r="E169" s="24">
        <v>45666</v>
      </c>
      <c r="F169" s="23" t="s">
        <v>2653</v>
      </c>
      <c r="G169" s="23" t="s">
        <v>2656</v>
      </c>
      <c r="H169" s="23">
        <v>4</v>
      </c>
    </row>
    <row r="170" spans="1:8">
      <c r="A170" s="22" t="s">
        <v>1323</v>
      </c>
      <c r="B170" s="23" t="s">
        <v>1176</v>
      </c>
      <c r="C170" s="23">
        <v>47</v>
      </c>
      <c r="D170" s="23" t="s">
        <v>2691</v>
      </c>
      <c r="E170" s="24">
        <v>45565</v>
      </c>
      <c r="F170" s="23" t="s">
        <v>2655</v>
      </c>
      <c r="G170" s="23" t="s">
        <v>2656</v>
      </c>
      <c r="H170" s="23">
        <v>3</v>
      </c>
    </row>
    <row r="171" spans="1:8">
      <c r="A171" s="22" t="s">
        <v>2446</v>
      </c>
      <c r="B171" s="23" t="s">
        <v>1176</v>
      </c>
      <c r="C171" s="23">
        <v>23</v>
      </c>
      <c r="D171" s="23" t="s">
        <v>2677</v>
      </c>
      <c r="E171" s="24">
        <v>45679</v>
      </c>
      <c r="F171" s="23" t="s">
        <v>2655</v>
      </c>
      <c r="G171" s="23" t="s">
        <v>2656</v>
      </c>
      <c r="H171" s="23">
        <v>4</v>
      </c>
    </row>
    <row r="172" spans="1:8">
      <c r="A172" s="22" t="s">
        <v>2447</v>
      </c>
      <c r="B172" s="23" t="s">
        <v>1176</v>
      </c>
      <c r="C172" s="23">
        <v>36</v>
      </c>
      <c r="D172" s="23" t="s">
        <v>2676</v>
      </c>
      <c r="E172" s="24">
        <v>45572</v>
      </c>
      <c r="F172" s="23" t="s">
        <v>2653</v>
      </c>
      <c r="G172" s="23" t="s">
        <v>2654</v>
      </c>
      <c r="H172" s="23">
        <v>0</v>
      </c>
    </row>
    <row r="173" spans="1:8">
      <c r="A173" s="22" t="s">
        <v>1461</v>
      </c>
      <c r="B173" s="23" t="s">
        <v>1370</v>
      </c>
      <c r="C173" s="23">
        <v>49</v>
      </c>
      <c r="D173" s="23" t="s">
        <v>2332</v>
      </c>
      <c r="E173" s="24">
        <v>45723</v>
      </c>
      <c r="F173" s="23" t="s">
        <v>2653</v>
      </c>
      <c r="G173" s="23" t="s">
        <v>2654</v>
      </c>
      <c r="H173" s="23">
        <v>0</v>
      </c>
    </row>
    <row r="174" spans="1:8">
      <c r="A174" s="22" t="s">
        <v>2448</v>
      </c>
      <c r="B174" s="23" t="s">
        <v>1176</v>
      </c>
      <c r="C174" s="23">
        <v>32</v>
      </c>
      <c r="D174" s="23" t="s">
        <v>2664</v>
      </c>
      <c r="E174" s="24">
        <v>45700</v>
      </c>
      <c r="F174" s="23" t="s">
        <v>2653</v>
      </c>
      <c r="G174" s="23" t="s">
        <v>2656</v>
      </c>
      <c r="H174" s="23">
        <v>4</v>
      </c>
    </row>
    <row r="175" spans="1:8">
      <c r="A175" s="22" t="s">
        <v>1588</v>
      </c>
      <c r="B175" s="23" t="s">
        <v>1370</v>
      </c>
      <c r="C175" s="23">
        <v>63</v>
      </c>
      <c r="D175" s="23" t="s">
        <v>392</v>
      </c>
      <c r="E175" s="24">
        <v>45694</v>
      </c>
      <c r="F175" s="23" t="s">
        <v>2655</v>
      </c>
      <c r="G175" s="23" t="s">
        <v>2656</v>
      </c>
      <c r="H175" s="23">
        <v>1</v>
      </c>
    </row>
    <row r="176" spans="1:8">
      <c r="A176" s="22" t="s">
        <v>1894</v>
      </c>
      <c r="B176" s="23" t="s">
        <v>1176</v>
      </c>
      <c r="C176" s="23">
        <v>22</v>
      </c>
      <c r="D176" s="23" t="s">
        <v>2663</v>
      </c>
      <c r="E176" s="24">
        <v>45610</v>
      </c>
      <c r="F176" s="23" t="s">
        <v>2653</v>
      </c>
      <c r="G176" s="23" t="s">
        <v>2654</v>
      </c>
      <c r="H176" s="23">
        <v>0</v>
      </c>
    </row>
    <row r="177" spans="1:8">
      <c r="A177" s="22" t="s">
        <v>2449</v>
      </c>
      <c r="B177" s="23" t="s">
        <v>1370</v>
      </c>
      <c r="C177" s="23">
        <v>28</v>
      </c>
      <c r="D177" s="23" t="s">
        <v>2692</v>
      </c>
      <c r="E177" s="24">
        <v>45553</v>
      </c>
      <c r="F177" s="23" t="s">
        <v>2653</v>
      </c>
      <c r="G177" s="23" t="s">
        <v>2654</v>
      </c>
      <c r="H177" s="23">
        <v>0</v>
      </c>
    </row>
    <row r="178" spans="1:8">
      <c r="A178" s="22" t="s">
        <v>2450</v>
      </c>
      <c r="B178" s="23" t="s">
        <v>1370</v>
      </c>
      <c r="C178" s="23">
        <v>22</v>
      </c>
      <c r="D178" s="23" t="s">
        <v>82</v>
      </c>
      <c r="E178" s="24">
        <v>45721</v>
      </c>
      <c r="F178" s="23" t="s">
        <v>2655</v>
      </c>
      <c r="G178" s="23" t="s">
        <v>2656</v>
      </c>
      <c r="H178" s="23">
        <v>4</v>
      </c>
    </row>
    <row r="179" spans="1:8">
      <c r="A179" s="22" t="s">
        <v>1485</v>
      </c>
      <c r="B179" s="23" t="s">
        <v>1370</v>
      </c>
      <c r="C179" s="23">
        <v>46</v>
      </c>
      <c r="D179" s="23" t="s">
        <v>265</v>
      </c>
      <c r="E179" s="24">
        <v>45674</v>
      </c>
      <c r="F179" s="23" t="s">
        <v>2653</v>
      </c>
      <c r="G179" s="23" t="s">
        <v>2654</v>
      </c>
      <c r="H179" s="23">
        <v>0</v>
      </c>
    </row>
    <row r="180" spans="1:8">
      <c r="A180" s="22" t="s">
        <v>721</v>
      </c>
      <c r="B180" s="23" t="s">
        <v>1176</v>
      </c>
      <c r="C180" s="23">
        <v>55</v>
      </c>
      <c r="D180" s="23" t="s">
        <v>2664</v>
      </c>
      <c r="E180" s="24">
        <v>45572</v>
      </c>
      <c r="F180" s="23" t="s">
        <v>2653</v>
      </c>
      <c r="G180" s="23" t="s">
        <v>2656</v>
      </c>
      <c r="H180" s="23">
        <v>1</v>
      </c>
    </row>
    <row r="181" spans="1:8">
      <c r="A181" s="22" t="s">
        <v>2151</v>
      </c>
      <c r="B181" s="23" t="s">
        <v>1370</v>
      </c>
      <c r="C181" s="23">
        <v>33</v>
      </c>
      <c r="D181" s="23" t="s">
        <v>2677</v>
      </c>
      <c r="E181" s="24">
        <v>45650</v>
      </c>
      <c r="F181" s="23" t="s">
        <v>2653</v>
      </c>
      <c r="G181" s="23" t="s">
        <v>2654</v>
      </c>
      <c r="H181" s="23">
        <v>0</v>
      </c>
    </row>
    <row r="182" spans="1:8">
      <c r="A182" s="22" t="s">
        <v>87</v>
      </c>
      <c r="B182" s="23" t="s">
        <v>1176</v>
      </c>
      <c r="C182" s="23">
        <v>49</v>
      </c>
      <c r="D182" s="23" t="s">
        <v>2680</v>
      </c>
      <c r="E182" s="24">
        <v>45747</v>
      </c>
      <c r="F182" s="23" t="s">
        <v>2655</v>
      </c>
      <c r="G182" s="23" t="s">
        <v>2654</v>
      </c>
      <c r="H182" s="23">
        <v>0</v>
      </c>
    </row>
    <row r="183" spans="1:8">
      <c r="A183" s="22" t="s">
        <v>1928</v>
      </c>
      <c r="B183" s="23" t="s">
        <v>1370</v>
      </c>
      <c r="C183" s="23">
        <v>26</v>
      </c>
      <c r="D183" s="23" t="s">
        <v>2688</v>
      </c>
      <c r="E183" s="24">
        <v>45615</v>
      </c>
      <c r="F183" s="23" t="s">
        <v>2655</v>
      </c>
      <c r="G183" s="23" t="s">
        <v>2654</v>
      </c>
      <c r="H183" s="23">
        <v>0</v>
      </c>
    </row>
    <row r="184" spans="1:8">
      <c r="A184" s="22" t="s">
        <v>2451</v>
      </c>
      <c r="B184" s="23" t="s">
        <v>1176</v>
      </c>
      <c r="C184" s="23">
        <v>47</v>
      </c>
      <c r="D184" s="23" t="s">
        <v>2677</v>
      </c>
      <c r="E184" s="24">
        <v>45690</v>
      </c>
      <c r="F184" s="23" t="s">
        <v>2653</v>
      </c>
      <c r="G184" s="23" t="s">
        <v>2656</v>
      </c>
      <c r="H184" s="23">
        <v>1</v>
      </c>
    </row>
    <row r="185" spans="1:8">
      <c r="A185" s="22" t="s">
        <v>817</v>
      </c>
      <c r="B185" s="23" t="s">
        <v>1370</v>
      </c>
      <c r="C185" s="23">
        <v>24</v>
      </c>
      <c r="D185" s="23" t="s">
        <v>2669</v>
      </c>
      <c r="E185" s="24">
        <v>45585</v>
      </c>
      <c r="F185" s="23" t="s">
        <v>2655</v>
      </c>
      <c r="G185" s="23" t="s">
        <v>2654</v>
      </c>
      <c r="H185" s="23">
        <v>0</v>
      </c>
    </row>
    <row r="186" spans="1:8">
      <c r="A186" s="22" t="s">
        <v>1795</v>
      </c>
      <c r="B186" s="23" t="s">
        <v>1370</v>
      </c>
      <c r="C186" s="23">
        <v>40</v>
      </c>
      <c r="D186" s="23" t="s">
        <v>2687</v>
      </c>
      <c r="E186" s="24">
        <v>45686</v>
      </c>
      <c r="F186" s="23" t="s">
        <v>2653</v>
      </c>
      <c r="G186" s="23" t="s">
        <v>2654</v>
      </c>
      <c r="H186" s="23">
        <v>0</v>
      </c>
    </row>
    <row r="187" spans="1:8">
      <c r="A187" s="22" t="s">
        <v>2452</v>
      </c>
      <c r="B187" s="23" t="s">
        <v>1176</v>
      </c>
      <c r="C187" s="23">
        <v>32</v>
      </c>
      <c r="D187" s="23" t="s">
        <v>2684</v>
      </c>
      <c r="E187" s="24">
        <v>45732</v>
      </c>
      <c r="F187" s="23" t="s">
        <v>2653</v>
      </c>
      <c r="G187" s="23" t="s">
        <v>2656</v>
      </c>
      <c r="H187" s="23">
        <v>2</v>
      </c>
    </row>
    <row r="188" spans="1:8">
      <c r="A188" s="22" t="s">
        <v>2453</v>
      </c>
      <c r="B188" s="23" t="s">
        <v>1370</v>
      </c>
      <c r="C188" s="23">
        <v>54</v>
      </c>
      <c r="D188" s="23" t="s">
        <v>2683</v>
      </c>
      <c r="E188" s="24">
        <v>45560</v>
      </c>
      <c r="F188" s="23" t="s">
        <v>2655</v>
      </c>
      <c r="G188" s="23" t="s">
        <v>2654</v>
      </c>
      <c r="H188" s="23">
        <v>0</v>
      </c>
    </row>
    <row r="189" spans="1:8">
      <c r="A189" s="22" t="s">
        <v>2454</v>
      </c>
      <c r="B189" s="23" t="s">
        <v>1370</v>
      </c>
      <c r="C189" s="23">
        <v>30</v>
      </c>
      <c r="D189" s="23" t="s">
        <v>2679</v>
      </c>
      <c r="E189" s="24">
        <v>45551</v>
      </c>
      <c r="F189" s="23" t="s">
        <v>2653</v>
      </c>
      <c r="G189" s="23" t="s">
        <v>2656</v>
      </c>
      <c r="H189" s="23">
        <v>4</v>
      </c>
    </row>
    <row r="190" spans="1:8">
      <c r="A190" s="22" t="s">
        <v>2119</v>
      </c>
      <c r="B190" s="23" t="s">
        <v>1370</v>
      </c>
      <c r="C190" s="23">
        <v>63</v>
      </c>
      <c r="D190" s="23" t="s">
        <v>2662</v>
      </c>
      <c r="E190" s="24">
        <v>45731</v>
      </c>
      <c r="F190" s="23" t="s">
        <v>2655</v>
      </c>
      <c r="G190" s="23" t="s">
        <v>2654</v>
      </c>
      <c r="H190" s="23">
        <v>0</v>
      </c>
    </row>
    <row r="191" spans="1:8">
      <c r="A191" s="22" t="s">
        <v>2455</v>
      </c>
      <c r="B191" s="23" t="s">
        <v>1370</v>
      </c>
      <c r="C191" s="23">
        <v>37</v>
      </c>
      <c r="D191" s="23" t="s">
        <v>2690</v>
      </c>
      <c r="E191" s="24">
        <v>45550</v>
      </c>
      <c r="F191" s="23" t="s">
        <v>2653</v>
      </c>
      <c r="G191" s="23" t="s">
        <v>2656</v>
      </c>
      <c r="H191" s="23">
        <v>2</v>
      </c>
    </row>
    <row r="192" spans="1:8">
      <c r="A192" s="22" t="s">
        <v>1055</v>
      </c>
      <c r="B192" s="23" t="s">
        <v>1176</v>
      </c>
      <c r="C192" s="23">
        <v>48</v>
      </c>
      <c r="D192" s="23" t="s">
        <v>2672</v>
      </c>
      <c r="E192" s="24">
        <v>45565</v>
      </c>
      <c r="F192" s="23" t="s">
        <v>2653</v>
      </c>
      <c r="G192" s="23" t="s">
        <v>2654</v>
      </c>
      <c r="H192" s="23">
        <v>0</v>
      </c>
    </row>
    <row r="193" spans="1:8">
      <c r="A193" s="22" t="s">
        <v>1753</v>
      </c>
      <c r="B193" s="23" t="s">
        <v>1370</v>
      </c>
      <c r="C193" s="23">
        <v>47</v>
      </c>
      <c r="D193" s="23" t="s">
        <v>2674</v>
      </c>
      <c r="E193" s="24">
        <v>45742</v>
      </c>
      <c r="F193" s="23" t="s">
        <v>2653</v>
      </c>
      <c r="G193" s="23" t="s">
        <v>2656</v>
      </c>
      <c r="H193" s="23">
        <v>2</v>
      </c>
    </row>
    <row r="194" spans="1:8">
      <c r="A194" s="22" t="s">
        <v>298</v>
      </c>
      <c r="B194" s="23" t="s">
        <v>1176</v>
      </c>
      <c r="C194" s="23">
        <v>50</v>
      </c>
      <c r="D194" s="23" t="s">
        <v>2681</v>
      </c>
      <c r="E194" s="24">
        <v>45607</v>
      </c>
      <c r="F194" s="23" t="s">
        <v>2655</v>
      </c>
      <c r="G194" s="23" t="s">
        <v>2656</v>
      </c>
      <c r="H194" s="23">
        <v>1</v>
      </c>
    </row>
    <row r="195" spans="1:8">
      <c r="A195" s="22" t="s">
        <v>2456</v>
      </c>
      <c r="B195" s="23" t="s">
        <v>1370</v>
      </c>
      <c r="C195" s="23">
        <v>62</v>
      </c>
      <c r="D195" s="23" t="s">
        <v>2679</v>
      </c>
      <c r="E195" s="24">
        <v>45601</v>
      </c>
      <c r="F195" s="23" t="s">
        <v>2653</v>
      </c>
      <c r="G195" s="23" t="s">
        <v>2654</v>
      </c>
      <c r="H195" s="23">
        <v>0</v>
      </c>
    </row>
    <row r="196" spans="1:8">
      <c r="A196" s="22" t="s">
        <v>1551</v>
      </c>
      <c r="B196" s="23" t="s">
        <v>1176</v>
      </c>
      <c r="C196" s="23">
        <v>20</v>
      </c>
      <c r="D196" s="23" t="s">
        <v>242</v>
      </c>
      <c r="E196" s="24">
        <v>45643</v>
      </c>
      <c r="F196" s="23" t="s">
        <v>2653</v>
      </c>
      <c r="G196" s="23" t="s">
        <v>2656</v>
      </c>
      <c r="H196" s="23">
        <v>3</v>
      </c>
    </row>
    <row r="197" spans="1:8">
      <c r="A197" s="22" t="s">
        <v>2458</v>
      </c>
      <c r="B197" s="23" t="s">
        <v>1370</v>
      </c>
      <c r="C197" s="23">
        <v>62</v>
      </c>
      <c r="D197" s="23" t="s">
        <v>2678</v>
      </c>
      <c r="E197" s="24">
        <v>45604</v>
      </c>
      <c r="F197" s="23" t="s">
        <v>2655</v>
      </c>
      <c r="G197" s="23" t="s">
        <v>2654</v>
      </c>
      <c r="H197" s="23">
        <v>0</v>
      </c>
    </row>
    <row r="198" spans="1:8">
      <c r="A198" s="22" t="s">
        <v>2459</v>
      </c>
      <c r="B198" s="23" t="s">
        <v>1370</v>
      </c>
      <c r="C198" s="23">
        <v>57</v>
      </c>
      <c r="D198" s="23" t="s">
        <v>2662</v>
      </c>
      <c r="E198" s="24">
        <v>45674</v>
      </c>
      <c r="F198" s="23" t="s">
        <v>2655</v>
      </c>
      <c r="G198" s="23" t="s">
        <v>2654</v>
      </c>
      <c r="H198" s="23">
        <v>0</v>
      </c>
    </row>
    <row r="199" spans="1:8">
      <c r="A199" s="22" t="s">
        <v>1717</v>
      </c>
      <c r="B199" s="23" t="s">
        <v>1176</v>
      </c>
      <c r="C199" s="23">
        <v>48</v>
      </c>
      <c r="D199" s="23" t="s">
        <v>2678</v>
      </c>
      <c r="E199" s="24">
        <v>45702</v>
      </c>
      <c r="F199" s="23" t="s">
        <v>2653</v>
      </c>
      <c r="G199" s="23" t="s">
        <v>2656</v>
      </c>
      <c r="H199" s="23">
        <v>3</v>
      </c>
    </row>
    <row r="200" spans="1:8">
      <c r="A200" s="22" t="s">
        <v>2460</v>
      </c>
      <c r="B200" s="23" t="s">
        <v>1176</v>
      </c>
      <c r="C200" s="23">
        <v>22</v>
      </c>
      <c r="D200" s="23" t="s">
        <v>2685</v>
      </c>
      <c r="E200" s="24">
        <v>45733</v>
      </c>
      <c r="F200" s="23" t="s">
        <v>2655</v>
      </c>
      <c r="G200" s="23" t="s">
        <v>2656</v>
      </c>
      <c r="H200" s="23">
        <v>2</v>
      </c>
    </row>
    <row r="201" spans="1:8">
      <c r="A201" s="22" t="s">
        <v>1075</v>
      </c>
      <c r="B201" s="23" t="s">
        <v>1176</v>
      </c>
      <c r="C201" s="23">
        <v>51</v>
      </c>
      <c r="D201" s="23" t="s">
        <v>242</v>
      </c>
      <c r="E201" s="24">
        <v>45704</v>
      </c>
      <c r="F201" s="23" t="s">
        <v>2655</v>
      </c>
      <c r="G201" s="23" t="s">
        <v>2656</v>
      </c>
      <c r="H201" s="23">
        <v>3</v>
      </c>
    </row>
    <row r="202" spans="1:8">
      <c r="A202" s="22" t="s">
        <v>943</v>
      </c>
      <c r="B202" s="23" t="s">
        <v>1370</v>
      </c>
      <c r="C202" s="23">
        <v>65</v>
      </c>
      <c r="D202" s="23" t="s">
        <v>228</v>
      </c>
      <c r="E202" s="24">
        <v>45671</v>
      </c>
      <c r="F202" s="23" t="s">
        <v>2655</v>
      </c>
      <c r="G202" s="23" t="s">
        <v>2656</v>
      </c>
      <c r="H202" s="23">
        <v>4</v>
      </c>
    </row>
    <row r="203" spans="1:8">
      <c r="A203" s="22" t="s">
        <v>2461</v>
      </c>
      <c r="B203" s="23" t="s">
        <v>1176</v>
      </c>
      <c r="C203" s="23">
        <v>49</v>
      </c>
      <c r="D203" s="23" t="s">
        <v>2659</v>
      </c>
      <c r="E203" s="24">
        <v>45586</v>
      </c>
      <c r="F203" s="23" t="s">
        <v>2655</v>
      </c>
      <c r="G203" s="23" t="s">
        <v>2654</v>
      </c>
      <c r="H203" s="23">
        <v>0</v>
      </c>
    </row>
    <row r="204" spans="1:8">
      <c r="A204" s="22" t="s">
        <v>554</v>
      </c>
      <c r="B204" s="23" t="s">
        <v>1176</v>
      </c>
      <c r="C204" s="23">
        <v>38</v>
      </c>
      <c r="D204" s="23" t="s">
        <v>36</v>
      </c>
      <c r="E204" s="24">
        <v>45710</v>
      </c>
      <c r="F204" s="23" t="s">
        <v>2655</v>
      </c>
      <c r="G204" s="23" t="s">
        <v>2654</v>
      </c>
      <c r="H204" s="23">
        <v>0</v>
      </c>
    </row>
    <row r="205" spans="1:8">
      <c r="A205" s="22" t="s">
        <v>2462</v>
      </c>
      <c r="B205" s="23" t="s">
        <v>1370</v>
      </c>
      <c r="C205" s="23">
        <v>40</v>
      </c>
      <c r="D205" s="23" t="s">
        <v>2667</v>
      </c>
      <c r="E205" s="24">
        <v>45631</v>
      </c>
      <c r="F205" s="23" t="s">
        <v>2653</v>
      </c>
      <c r="G205" s="23" t="s">
        <v>2654</v>
      </c>
      <c r="H205" s="23">
        <v>0</v>
      </c>
    </row>
    <row r="206" spans="1:8">
      <c r="A206" s="22" t="s">
        <v>853</v>
      </c>
      <c r="B206" s="23" t="s">
        <v>1176</v>
      </c>
      <c r="C206" s="23">
        <v>51</v>
      </c>
      <c r="D206" s="23" t="s">
        <v>2684</v>
      </c>
      <c r="E206" s="24">
        <v>45737</v>
      </c>
      <c r="F206" s="23" t="s">
        <v>2655</v>
      </c>
      <c r="G206" s="23" t="s">
        <v>2656</v>
      </c>
      <c r="H206" s="23">
        <v>4</v>
      </c>
    </row>
    <row r="207" spans="1:8">
      <c r="A207" s="22" t="s">
        <v>2463</v>
      </c>
      <c r="B207" s="23" t="s">
        <v>1176</v>
      </c>
      <c r="C207" s="23">
        <v>48</v>
      </c>
      <c r="D207" s="23" t="s">
        <v>2666</v>
      </c>
      <c r="E207" s="24">
        <v>45561</v>
      </c>
      <c r="F207" s="23" t="s">
        <v>2653</v>
      </c>
      <c r="G207" s="23" t="s">
        <v>2656</v>
      </c>
      <c r="H207" s="23">
        <v>2</v>
      </c>
    </row>
    <row r="208" spans="1:8">
      <c r="A208" s="22" t="s">
        <v>2457</v>
      </c>
      <c r="B208" s="23" t="s">
        <v>1370</v>
      </c>
      <c r="C208" s="23">
        <v>30</v>
      </c>
      <c r="D208" s="23" t="s">
        <v>2690</v>
      </c>
      <c r="E208" s="24">
        <v>45570</v>
      </c>
      <c r="F208" s="23" t="s">
        <v>2655</v>
      </c>
      <c r="G208" s="23" t="s">
        <v>2654</v>
      </c>
      <c r="H208" s="23">
        <v>0</v>
      </c>
    </row>
    <row r="209" spans="1:8">
      <c r="A209" s="22" t="s">
        <v>2464</v>
      </c>
      <c r="B209" s="23" t="s">
        <v>1176</v>
      </c>
      <c r="C209" s="23">
        <v>53</v>
      </c>
      <c r="D209" s="23" t="s">
        <v>2676</v>
      </c>
      <c r="E209" s="24">
        <v>45577</v>
      </c>
      <c r="F209" s="23" t="s">
        <v>2653</v>
      </c>
      <c r="G209" s="23" t="s">
        <v>2656</v>
      </c>
      <c r="H209" s="23">
        <v>3</v>
      </c>
    </row>
    <row r="210" spans="1:8">
      <c r="A210" s="22" t="s">
        <v>2465</v>
      </c>
      <c r="B210" s="23" t="s">
        <v>1176</v>
      </c>
      <c r="C210" s="23">
        <v>43</v>
      </c>
      <c r="D210" s="23" t="s">
        <v>2684</v>
      </c>
      <c r="E210" s="24">
        <v>45701</v>
      </c>
      <c r="F210" s="23" t="s">
        <v>2653</v>
      </c>
      <c r="G210" s="23" t="s">
        <v>2656</v>
      </c>
      <c r="H210" s="23">
        <v>2</v>
      </c>
    </row>
    <row r="211" spans="1:8">
      <c r="A211" s="22" t="s">
        <v>2293</v>
      </c>
      <c r="B211" s="23" t="s">
        <v>1370</v>
      </c>
      <c r="C211" s="23">
        <v>32</v>
      </c>
      <c r="D211" s="23" t="s">
        <v>392</v>
      </c>
      <c r="E211" s="24">
        <v>45619</v>
      </c>
      <c r="F211" s="23" t="s">
        <v>2655</v>
      </c>
      <c r="G211" s="23" t="s">
        <v>2654</v>
      </c>
      <c r="H211" s="23">
        <v>0</v>
      </c>
    </row>
    <row r="212" spans="1:8">
      <c r="A212" s="22" t="s">
        <v>2043</v>
      </c>
      <c r="B212" s="23" t="s">
        <v>1370</v>
      </c>
      <c r="C212" s="23">
        <v>35</v>
      </c>
      <c r="D212" s="23" t="s">
        <v>2683</v>
      </c>
      <c r="E212" s="24">
        <v>45575</v>
      </c>
      <c r="F212" s="23" t="s">
        <v>2653</v>
      </c>
      <c r="G212" s="23" t="s">
        <v>2656</v>
      </c>
      <c r="H212" s="23">
        <v>3</v>
      </c>
    </row>
    <row r="213" spans="1:8">
      <c r="A213" s="22" t="s">
        <v>2466</v>
      </c>
      <c r="B213" s="23" t="s">
        <v>1370</v>
      </c>
      <c r="C213" s="23">
        <v>48</v>
      </c>
      <c r="D213" s="23" t="s">
        <v>2689</v>
      </c>
      <c r="E213" s="24">
        <v>45589</v>
      </c>
      <c r="F213" s="23" t="s">
        <v>2655</v>
      </c>
      <c r="G213" s="23" t="s">
        <v>2656</v>
      </c>
      <c r="H213" s="23">
        <v>1</v>
      </c>
    </row>
    <row r="214" spans="1:8">
      <c r="A214" s="22" t="s">
        <v>1388</v>
      </c>
      <c r="B214" s="23" t="s">
        <v>1370</v>
      </c>
      <c r="C214" s="23">
        <v>22</v>
      </c>
      <c r="D214" s="23" t="s">
        <v>2672</v>
      </c>
      <c r="E214" s="24">
        <v>45713</v>
      </c>
      <c r="F214" s="23" t="s">
        <v>2655</v>
      </c>
      <c r="G214" s="23" t="s">
        <v>2654</v>
      </c>
      <c r="H214" s="23">
        <v>0</v>
      </c>
    </row>
    <row r="215" spans="1:8">
      <c r="A215" s="22" t="s">
        <v>993</v>
      </c>
      <c r="B215" s="23" t="s">
        <v>1370</v>
      </c>
      <c r="C215" s="23">
        <v>65</v>
      </c>
      <c r="D215" s="23" t="s">
        <v>2662</v>
      </c>
      <c r="E215" s="24">
        <v>45689</v>
      </c>
      <c r="F215" s="23" t="s">
        <v>2653</v>
      </c>
      <c r="G215" s="23" t="s">
        <v>2654</v>
      </c>
      <c r="H215" s="23">
        <v>0</v>
      </c>
    </row>
    <row r="216" spans="1:8">
      <c r="A216" s="22" t="s">
        <v>2467</v>
      </c>
      <c r="B216" s="23" t="s">
        <v>1176</v>
      </c>
      <c r="C216" s="23">
        <v>18</v>
      </c>
      <c r="D216" s="23" t="s">
        <v>2686</v>
      </c>
      <c r="E216" s="24">
        <v>45573</v>
      </c>
      <c r="F216" s="23" t="s">
        <v>2655</v>
      </c>
      <c r="G216" s="23" t="s">
        <v>2656</v>
      </c>
      <c r="H216" s="23">
        <v>2</v>
      </c>
    </row>
    <row r="217" spans="1:8">
      <c r="A217" s="22" t="s">
        <v>2468</v>
      </c>
      <c r="B217" s="23" t="s">
        <v>1370</v>
      </c>
      <c r="C217" s="23">
        <v>58</v>
      </c>
      <c r="D217" s="23" t="s">
        <v>2660</v>
      </c>
      <c r="E217" s="24">
        <v>45543</v>
      </c>
      <c r="F217" s="23" t="s">
        <v>2653</v>
      </c>
      <c r="G217" s="23" t="s">
        <v>2654</v>
      </c>
      <c r="H217" s="23">
        <v>0</v>
      </c>
    </row>
    <row r="218" spans="1:8">
      <c r="A218" s="22" t="s">
        <v>855</v>
      </c>
      <c r="B218" s="23" t="s">
        <v>1370</v>
      </c>
      <c r="C218" s="23">
        <v>57</v>
      </c>
      <c r="D218" s="23" t="s">
        <v>2676</v>
      </c>
      <c r="E218" s="24">
        <v>45560</v>
      </c>
      <c r="F218" s="23" t="s">
        <v>2655</v>
      </c>
      <c r="G218" s="23" t="s">
        <v>2654</v>
      </c>
      <c r="H218" s="23">
        <v>0</v>
      </c>
    </row>
    <row r="219" spans="1:8">
      <c r="A219" s="22" t="s">
        <v>2469</v>
      </c>
      <c r="B219" s="23" t="s">
        <v>1370</v>
      </c>
      <c r="C219" s="23">
        <v>34</v>
      </c>
      <c r="D219" s="23" t="s">
        <v>2665</v>
      </c>
      <c r="E219" s="24">
        <v>45709</v>
      </c>
      <c r="F219" s="23" t="s">
        <v>2655</v>
      </c>
      <c r="G219" s="23" t="s">
        <v>2656</v>
      </c>
      <c r="H219" s="23">
        <v>3</v>
      </c>
    </row>
    <row r="220" spans="1:8">
      <c r="A220" s="22" t="s">
        <v>1100</v>
      </c>
      <c r="B220" s="23" t="s">
        <v>1176</v>
      </c>
      <c r="C220" s="23">
        <v>28</v>
      </c>
      <c r="D220" s="23" t="s">
        <v>2688</v>
      </c>
      <c r="E220" s="24">
        <v>45608</v>
      </c>
      <c r="F220" s="23" t="s">
        <v>2653</v>
      </c>
      <c r="G220" s="23" t="s">
        <v>2654</v>
      </c>
      <c r="H220" s="23">
        <v>0</v>
      </c>
    </row>
    <row r="221" spans="1:8">
      <c r="A221" s="22" t="s">
        <v>2068</v>
      </c>
      <c r="B221" s="23" t="s">
        <v>1370</v>
      </c>
      <c r="C221" s="23">
        <v>32</v>
      </c>
      <c r="D221" s="23" t="s">
        <v>392</v>
      </c>
      <c r="E221" s="24">
        <v>45634</v>
      </c>
      <c r="F221" s="23" t="s">
        <v>2655</v>
      </c>
      <c r="G221" s="23" t="s">
        <v>2656</v>
      </c>
      <c r="H221" s="23">
        <v>1</v>
      </c>
    </row>
    <row r="222" spans="1:8">
      <c r="A222" s="22" t="s">
        <v>868</v>
      </c>
      <c r="B222" s="23" t="s">
        <v>1370</v>
      </c>
      <c r="C222" s="23">
        <v>34</v>
      </c>
      <c r="D222" s="23" t="s">
        <v>2679</v>
      </c>
      <c r="E222" s="24">
        <v>45666</v>
      </c>
      <c r="F222" s="23" t="s">
        <v>2653</v>
      </c>
      <c r="G222" s="23" t="s">
        <v>2656</v>
      </c>
      <c r="H222" s="23">
        <v>2</v>
      </c>
    </row>
    <row r="223" spans="1:8">
      <c r="A223" s="22" t="s">
        <v>1067</v>
      </c>
      <c r="B223" s="23" t="s">
        <v>1370</v>
      </c>
      <c r="C223" s="23">
        <v>54</v>
      </c>
      <c r="D223" s="23" t="s">
        <v>2674</v>
      </c>
      <c r="E223" s="24">
        <v>45656</v>
      </c>
      <c r="F223" s="23" t="s">
        <v>2653</v>
      </c>
      <c r="G223" s="23" t="s">
        <v>2654</v>
      </c>
      <c r="H223" s="23">
        <v>0</v>
      </c>
    </row>
    <row r="224" spans="1:8">
      <c r="A224" s="22" t="s">
        <v>1306</v>
      </c>
      <c r="B224" s="23" t="s">
        <v>1176</v>
      </c>
      <c r="C224" s="23">
        <v>64</v>
      </c>
      <c r="D224" s="23" t="s">
        <v>2660</v>
      </c>
      <c r="E224" s="24">
        <v>45643</v>
      </c>
      <c r="F224" s="23" t="s">
        <v>2655</v>
      </c>
      <c r="G224" s="23" t="s">
        <v>2656</v>
      </c>
      <c r="H224" s="23">
        <v>1</v>
      </c>
    </row>
    <row r="225" spans="1:8">
      <c r="A225" s="22" t="s">
        <v>2470</v>
      </c>
      <c r="B225" s="23" t="s">
        <v>1176</v>
      </c>
      <c r="C225" s="23">
        <v>63</v>
      </c>
      <c r="D225" s="23" t="s">
        <v>2661</v>
      </c>
      <c r="E225" s="24">
        <v>45576</v>
      </c>
      <c r="F225" s="23" t="s">
        <v>2653</v>
      </c>
      <c r="G225" s="23" t="s">
        <v>2656</v>
      </c>
      <c r="H225" s="23">
        <v>4</v>
      </c>
    </row>
    <row r="226" spans="1:8">
      <c r="A226" s="22" t="s">
        <v>2330</v>
      </c>
      <c r="B226" s="23" t="s">
        <v>1176</v>
      </c>
      <c r="C226" s="23">
        <v>38</v>
      </c>
      <c r="D226" s="23" t="s">
        <v>2684</v>
      </c>
      <c r="E226" s="24">
        <v>45540</v>
      </c>
      <c r="F226" s="23" t="s">
        <v>2653</v>
      </c>
      <c r="G226" s="23" t="s">
        <v>2656</v>
      </c>
      <c r="H226" s="23">
        <v>3</v>
      </c>
    </row>
    <row r="227" spans="1:8">
      <c r="A227" s="22" t="s">
        <v>959</v>
      </c>
      <c r="B227" s="23" t="s">
        <v>1176</v>
      </c>
      <c r="C227" s="23">
        <v>32</v>
      </c>
      <c r="D227" s="23" t="s">
        <v>48</v>
      </c>
      <c r="E227" s="24">
        <v>45586</v>
      </c>
      <c r="F227" s="23" t="s">
        <v>2655</v>
      </c>
      <c r="G227" s="23" t="s">
        <v>2654</v>
      </c>
      <c r="H227" s="23">
        <v>0</v>
      </c>
    </row>
    <row r="228" spans="1:8">
      <c r="A228" s="22" t="s">
        <v>2471</v>
      </c>
      <c r="B228" s="23" t="s">
        <v>1370</v>
      </c>
      <c r="C228" s="23">
        <v>32</v>
      </c>
      <c r="D228" s="23" t="s">
        <v>2688</v>
      </c>
      <c r="E228" s="24">
        <v>45712</v>
      </c>
      <c r="F228" s="23" t="s">
        <v>2655</v>
      </c>
      <c r="G228" s="23" t="s">
        <v>2654</v>
      </c>
      <c r="H228" s="23">
        <v>0</v>
      </c>
    </row>
    <row r="229" spans="1:8">
      <c r="A229" s="22" t="s">
        <v>2472</v>
      </c>
      <c r="B229" s="23" t="s">
        <v>1370</v>
      </c>
      <c r="C229" s="23">
        <v>32</v>
      </c>
      <c r="D229" s="23" t="s">
        <v>2671</v>
      </c>
      <c r="E229" s="24">
        <v>45650</v>
      </c>
      <c r="F229" s="23" t="s">
        <v>2653</v>
      </c>
      <c r="G229" s="23" t="s">
        <v>2654</v>
      </c>
      <c r="H229" s="23">
        <v>0</v>
      </c>
    </row>
    <row r="230" spans="1:8">
      <c r="A230" s="22" t="s">
        <v>1093</v>
      </c>
      <c r="B230" s="23" t="s">
        <v>1176</v>
      </c>
      <c r="C230" s="23">
        <v>65</v>
      </c>
      <c r="D230" s="23" t="s">
        <v>2663</v>
      </c>
      <c r="E230" s="24">
        <v>45560</v>
      </c>
      <c r="F230" s="23" t="s">
        <v>2655</v>
      </c>
      <c r="G230" s="23" t="s">
        <v>2654</v>
      </c>
      <c r="H230" s="23">
        <v>0</v>
      </c>
    </row>
    <row r="231" spans="1:8">
      <c r="A231" s="22" t="s">
        <v>260</v>
      </c>
      <c r="B231" s="23" t="s">
        <v>1370</v>
      </c>
      <c r="C231" s="23">
        <v>49</v>
      </c>
      <c r="D231" s="23" t="s">
        <v>2669</v>
      </c>
      <c r="E231" s="24">
        <v>45624</v>
      </c>
      <c r="F231" s="23" t="s">
        <v>2655</v>
      </c>
      <c r="G231" s="23" t="s">
        <v>2654</v>
      </c>
      <c r="H231" s="23">
        <v>0</v>
      </c>
    </row>
    <row r="232" spans="1:8">
      <c r="A232" s="22" t="s">
        <v>2473</v>
      </c>
      <c r="B232" s="23" t="s">
        <v>1370</v>
      </c>
      <c r="C232" s="23">
        <v>51</v>
      </c>
      <c r="D232" s="23" t="s">
        <v>2664</v>
      </c>
      <c r="E232" s="24">
        <v>45717</v>
      </c>
      <c r="F232" s="23" t="s">
        <v>2653</v>
      </c>
      <c r="G232" s="23" t="s">
        <v>2656</v>
      </c>
      <c r="H232" s="23">
        <v>2</v>
      </c>
    </row>
    <row r="233" spans="1:8">
      <c r="A233" s="22" t="s">
        <v>357</v>
      </c>
      <c r="B233" s="23" t="s">
        <v>1370</v>
      </c>
      <c r="C233" s="23">
        <v>60</v>
      </c>
      <c r="D233" s="23" t="s">
        <v>2671</v>
      </c>
      <c r="E233" s="24">
        <v>45638</v>
      </c>
      <c r="F233" s="23" t="s">
        <v>2655</v>
      </c>
      <c r="G233" s="23" t="s">
        <v>2654</v>
      </c>
      <c r="H233" s="23">
        <v>0</v>
      </c>
    </row>
    <row r="234" spans="1:8">
      <c r="A234" s="22" t="s">
        <v>1052</v>
      </c>
      <c r="B234" s="23" t="s">
        <v>1176</v>
      </c>
      <c r="C234" s="23">
        <v>38</v>
      </c>
      <c r="D234" s="23" t="s">
        <v>2678</v>
      </c>
      <c r="E234" s="24">
        <v>45636</v>
      </c>
      <c r="F234" s="23" t="s">
        <v>2653</v>
      </c>
      <c r="G234" s="23" t="s">
        <v>2654</v>
      </c>
      <c r="H234" s="23">
        <v>0</v>
      </c>
    </row>
    <row r="235" spans="1:8">
      <c r="A235" s="22" t="s">
        <v>1781</v>
      </c>
      <c r="B235" s="23" t="s">
        <v>1176</v>
      </c>
      <c r="C235" s="23">
        <v>55</v>
      </c>
      <c r="D235" s="23" t="s">
        <v>2671</v>
      </c>
      <c r="E235" s="24">
        <v>45620</v>
      </c>
      <c r="F235" s="23" t="s">
        <v>2655</v>
      </c>
      <c r="G235" s="23" t="s">
        <v>2654</v>
      </c>
      <c r="H235" s="23">
        <v>0</v>
      </c>
    </row>
    <row r="236" spans="1:8">
      <c r="A236" s="22" t="s">
        <v>2474</v>
      </c>
      <c r="B236" s="23" t="s">
        <v>1176</v>
      </c>
      <c r="C236" s="23">
        <v>45</v>
      </c>
      <c r="D236" s="23" t="s">
        <v>2668</v>
      </c>
      <c r="E236" s="24">
        <v>45538</v>
      </c>
      <c r="F236" s="23" t="s">
        <v>2653</v>
      </c>
      <c r="G236" s="23" t="s">
        <v>2656</v>
      </c>
      <c r="H236" s="23">
        <v>1</v>
      </c>
    </row>
    <row r="237" spans="1:8">
      <c r="A237" s="22" t="s">
        <v>920</v>
      </c>
      <c r="B237" s="23" t="s">
        <v>1370</v>
      </c>
      <c r="C237" s="23">
        <v>19</v>
      </c>
      <c r="D237" s="23" t="s">
        <v>265</v>
      </c>
      <c r="E237" s="24">
        <v>45682</v>
      </c>
      <c r="F237" s="23" t="s">
        <v>2655</v>
      </c>
      <c r="G237" s="23" t="s">
        <v>2656</v>
      </c>
      <c r="H237" s="23">
        <v>4</v>
      </c>
    </row>
    <row r="238" spans="1:8">
      <c r="A238" s="22" t="s">
        <v>598</v>
      </c>
      <c r="B238" s="23" t="s">
        <v>1176</v>
      </c>
      <c r="C238" s="23">
        <v>22</v>
      </c>
      <c r="D238" s="23" t="s">
        <v>2666</v>
      </c>
      <c r="E238" s="24">
        <v>45638</v>
      </c>
      <c r="F238" s="23" t="s">
        <v>2653</v>
      </c>
      <c r="G238" s="23" t="s">
        <v>2656</v>
      </c>
      <c r="H238" s="23">
        <v>4</v>
      </c>
    </row>
    <row r="239" spans="1:8">
      <c r="A239" s="22" t="s">
        <v>2475</v>
      </c>
      <c r="B239" s="23" t="s">
        <v>1370</v>
      </c>
      <c r="C239" s="23">
        <v>22</v>
      </c>
      <c r="D239" s="23" t="s">
        <v>2332</v>
      </c>
      <c r="E239" s="24">
        <v>45743</v>
      </c>
      <c r="F239" s="23" t="s">
        <v>2655</v>
      </c>
      <c r="G239" s="23" t="s">
        <v>2654</v>
      </c>
      <c r="H239" s="23">
        <v>0</v>
      </c>
    </row>
    <row r="240" spans="1:8">
      <c r="A240" s="22" t="s">
        <v>2476</v>
      </c>
      <c r="B240" s="23" t="s">
        <v>1176</v>
      </c>
      <c r="C240" s="23">
        <v>65</v>
      </c>
      <c r="D240" s="23" t="s">
        <v>2687</v>
      </c>
      <c r="E240" s="24">
        <v>45661</v>
      </c>
      <c r="F240" s="23" t="s">
        <v>2653</v>
      </c>
      <c r="G240" s="23" t="s">
        <v>2654</v>
      </c>
      <c r="H240" s="23">
        <v>0</v>
      </c>
    </row>
    <row r="241" spans="1:8">
      <c r="A241" s="22" t="s">
        <v>1566</v>
      </c>
      <c r="B241" s="23" t="s">
        <v>1176</v>
      </c>
      <c r="C241" s="23">
        <v>65</v>
      </c>
      <c r="D241" s="23" t="s">
        <v>2680</v>
      </c>
      <c r="E241" s="24">
        <v>45631</v>
      </c>
      <c r="F241" s="23" t="s">
        <v>2653</v>
      </c>
      <c r="G241" s="23" t="s">
        <v>2656</v>
      </c>
      <c r="H241" s="23">
        <v>2</v>
      </c>
    </row>
    <row r="242" spans="1:8">
      <c r="A242" s="22" t="s">
        <v>2477</v>
      </c>
      <c r="B242" s="23" t="s">
        <v>1370</v>
      </c>
      <c r="C242" s="23">
        <v>35</v>
      </c>
      <c r="D242" s="23" t="s">
        <v>2682</v>
      </c>
      <c r="E242" s="24">
        <v>45617</v>
      </c>
      <c r="F242" s="23" t="s">
        <v>2655</v>
      </c>
      <c r="G242" s="23" t="s">
        <v>2656</v>
      </c>
      <c r="H242" s="23">
        <v>2</v>
      </c>
    </row>
    <row r="243" spans="1:8">
      <c r="A243" s="22" t="s">
        <v>586</v>
      </c>
      <c r="B243" s="23" t="s">
        <v>1370</v>
      </c>
      <c r="C243" s="23">
        <v>31</v>
      </c>
      <c r="D243" s="23" t="s">
        <v>2671</v>
      </c>
      <c r="E243" s="24">
        <v>45689</v>
      </c>
      <c r="F243" s="23" t="s">
        <v>2655</v>
      </c>
      <c r="G243" s="23" t="s">
        <v>2654</v>
      </c>
      <c r="H243" s="23">
        <v>0</v>
      </c>
    </row>
    <row r="244" spans="1:8">
      <c r="A244" s="22" t="s">
        <v>2478</v>
      </c>
      <c r="B244" s="23" t="s">
        <v>1176</v>
      </c>
      <c r="C244" s="23">
        <v>31</v>
      </c>
      <c r="D244" s="23" t="s">
        <v>57</v>
      </c>
      <c r="E244" s="24">
        <v>45549</v>
      </c>
      <c r="F244" s="23" t="s">
        <v>2653</v>
      </c>
      <c r="G244" s="23" t="s">
        <v>2654</v>
      </c>
      <c r="H244" s="23">
        <v>0</v>
      </c>
    </row>
    <row r="245" spans="1:8">
      <c r="A245" s="22" t="s">
        <v>1640</v>
      </c>
      <c r="B245" s="23" t="s">
        <v>1370</v>
      </c>
      <c r="C245" s="23">
        <v>42</v>
      </c>
      <c r="D245" s="23" t="s">
        <v>2688</v>
      </c>
      <c r="E245" s="24">
        <v>45546</v>
      </c>
      <c r="F245" s="23" t="s">
        <v>2653</v>
      </c>
      <c r="G245" s="23" t="s">
        <v>2656</v>
      </c>
      <c r="H245" s="23">
        <v>3</v>
      </c>
    </row>
    <row r="246" spans="1:8">
      <c r="A246" s="22" t="s">
        <v>226</v>
      </c>
      <c r="B246" s="23" t="s">
        <v>1176</v>
      </c>
      <c r="C246" s="23">
        <v>57</v>
      </c>
      <c r="D246" s="23" t="s">
        <v>2692</v>
      </c>
      <c r="E246" s="24">
        <v>45617</v>
      </c>
      <c r="F246" s="23" t="s">
        <v>2653</v>
      </c>
      <c r="G246" s="23" t="s">
        <v>2656</v>
      </c>
      <c r="H246" s="23">
        <v>1</v>
      </c>
    </row>
    <row r="247" spans="1:8">
      <c r="A247" s="22" t="s">
        <v>2479</v>
      </c>
      <c r="B247" s="23" t="s">
        <v>1370</v>
      </c>
      <c r="C247" s="23">
        <v>52</v>
      </c>
      <c r="D247" s="23" t="s">
        <v>2668</v>
      </c>
      <c r="E247" s="24">
        <v>45731</v>
      </c>
      <c r="F247" s="23" t="s">
        <v>2655</v>
      </c>
      <c r="G247" s="23" t="s">
        <v>2656</v>
      </c>
      <c r="H247" s="23">
        <v>2</v>
      </c>
    </row>
    <row r="248" spans="1:8">
      <c r="A248" s="22" t="s">
        <v>2480</v>
      </c>
      <c r="B248" s="23" t="s">
        <v>1370</v>
      </c>
      <c r="C248" s="23">
        <v>57</v>
      </c>
      <c r="D248" s="23" t="s">
        <v>2664</v>
      </c>
      <c r="E248" s="24">
        <v>45654</v>
      </c>
      <c r="F248" s="23" t="s">
        <v>2655</v>
      </c>
      <c r="G248" s="23" t="s">
        <v>2656</v>
      </c>
      <c r="H248" s="23">
        <v>2</v>
      </c>
    </row>
    <row r="249" spans="1:8">
      <c r="A249" s="22" t="s">
        <v>2481</v>
      </c>
      <c r="B249" s="23" t="s">
        <v>1370</v>
      </c>
      <c r="C249" s="23">
        <v>58</v>
      </c>
      <c r="D249" s="23" t="s">
        <v>242</v>
      </c>
      <c r="E249" s="24">
        <v>45643</v>
      </c>
      <c r="F249" s="23" t="s">
        <v>2655</v>
      </c>
      <c r="G249" s="23" t="s">
        <v>2656</v>
      </c>
      <c r="H249" s="23">
        <v>1</v>
      </c>
    </row>
    <row r="250" spans="1:8">
      <c r="A250" s="22" t="s">
        <v>836</v>
      </c>
      <c r="B250" s="23" t="s">
        <v>1370</v>
      </c>
      <c r="C250" s="23">
        <v>65</v>
      </c>
      <c r="D250" s="23" t="s">
        <v>2688</v>
      </c>
      <c r="E250" s="24">
        <v>45590</v>
      </c>
      <c r="F250" s="23" t="s">
        <v>2655</v>
      </c>
      <c r="G250" s="23" t="s">
        <v>2656</v>
      </c>
      <c r="H250" s="23">
        <v>3</v>
      </c>
    </row>
    <row r="251" spans="1:8">
      <c r="A251" s="22" t="s">
        <v>1823</v>
      </c>
      <c r="B251" s="23" t="s">
        <v>1176</v>
      </c>
      <c r="C251" s="23">
        <v>50</v>
      </c>
      <c r="D251" s="23" t="s">
        <v>2677</v>
      </c>
      <c r="E251" s="24">
        <v>45726</v>
      </c>
      <c r="F251" s="23" t="s">
        <v>2653</v>
      </c>
      <c r="G251" s="23" t="s">
        <v>2656</v>
      </c>
      <c r="H251" s="23">
        <v>3</v>
      </c>
    </row>
    <row r="252" spans="1:8">
      <c r="A252" s="22" t="s">
        <v>2482</v>
      </c>
      <c r="B252" s="23" t="s">
        <v>1370</v>
      </c>
      <c r="C252" s="23">
        <v>24</v>
      </c>
      <c r="D252" s="23" t="s">
        <v>48</v>
      </c>
      <c r="E252" s="24">
        <v>45732</v>
      </c>
      <c r="F252" s="23" t="s">
        <v>2653</v>
      </c>
      <c r="G252" s="23" t="s">
        <v>2654</v>
      </c>
      <c r="H252" s="23">
        <v>0</v>
      </c>
    </row>
    <row r="253" spans="1:8">
      <c r="A253" s="22" t="s">
        <v>843</v>
      </c>
      <c r="B253" s="23" t="s">
        <v>1370</v>
      </c>
      <c r="C253" s="23">
        <v>24</v>
      </c>
      <c r="D253" s="23" t="s">
        <v>2661</v>
      </c>
      <c r="E253" s="24">
        <v>45564</v>
      </c>
      <c r="F253" s="23" t="s">
        <v>2655</v>
      </c>
      <c r="G253" s="23" t="s">
        <v>2656</v>
      </c>
      <c r="H253" s="23">
        <v>2</v>
      </c>
    </row>
    <row r="254" spans="1:8">
      <c r="A254" s="22" t="s">
        <v>940</v>
      </c>
      <c r="B254" s="23" t="s">
        <v>1370</v>
      </c>
      <c r="C254" s="23">
        <v>30</v>
      </c>
      <c r="D254" s="23" t="s">
        <v>2674</v>
      </c>
      <c r="E254" s="24">
        <v>45574</v>
      </c>
      <c r="F254" s="23" t="s">
        <v>2653</v>
      </c>
      <c r="G254" s="23" t="s">
        <v>2654</v>
      </c>
      <c r="H254" s="23">
        <v>0</v>
      </c>
    </row>
    <row r="255" spans="1:8">
      <c r="A255" s="22" t="s">
        <v>1791</v>
      </c>
      <c r="B255" s="23" t="s">
        <v>1176</v>
      </c>
      <c r="C255" s="23">
        <v>49</v>
      </c>
      <c r="D255" s="23" t="s">
        <v>2690</v>
      </c>
      <c r="E255" s="24">
        <v>45618</v>
      </c>
      <c r="F255" s="23" t="s">
        <v>2653</v>
      </c>
      <c r="G255" s="23" t="s">
        <v>2656</v>
      </c>
      <c r="H255" s="23">
        <v>3</v>
      </c>
    </row>
    <row r="256" spans="1:8">
      <c r="A256" s="22" t="s">
        <v>776</v>
      </c>
      <c r="B256" s="23" t="s">
        <v>1176</v>
      </c>
      <c r="C256" s="23">
        <v>63</v>
      </c>
      <c r="D256" s="23" t="s">
        <v>417</v>
      </c>
      <c r="E256" s="24">
        <v>45720</v>
      </c>
      <c r="F256" s="23" t="s">
        <v>2653</v>
      </c>
      <c r="G256" s="23" t="s">
        <v>2654</v>
      </c>
      <c r="H256" s="23">
        <v>0</v>
      </c>
    </row>
    <row r="257" spans="1:8">
      <c r="A257" s="22" t="s">
        <v>1368</v>
      </c>
      <c r="B257" s="23" t="s">
        <v>1176</v>
      </c>
      <c r="C257" s="23">
        <v>26</v>
      </c>
      <c r="D257" s="23" t="s">
        <v>2687</v>
      </c>
      <c r="E257" s="24">
        <v>45562</v>
      </c>
      <c r="F257" s="23" t="s">
        <v>2655</v>
      </c>
      <c r="G257" s="23" t="s">
        <v>2654</v>
      </c>
      <c r="H257" s="23">
        <v>0</v>
      </c>
    </row>
    <row r="258" spans="1:8">
      <c r="A258" s="22" t="s">
        <v>1261</v>
      </c>
      <c r="B258" s="23" t="s">
        <v>1370</v>
      </c>
      <c r="C258" s="23">
        <v>21</v>
      </c>
      <c r="D258" s="23" t="s">
        <v>2675</v>
      </c>
      <c r="E258" s="24">
        <v>45639</v>
      </c>
      <c r="F258" s="23" t="s">
        <v>2655</v>
      </c>
      <c r="G258" s="23" t="s">
        <v>2656</v>
      </c>
      <c r="H258" s="23">
        <v>3</v>
      </c>
    </row>
    <row r="259" spans="1:8">
      <c r="A259" s="22" t="s">
        <v>1177</v>
      </c>
      <c r="B259" s="23" t="s">
        <v>1176</v>
      </c>
      <c r="C259" s="23">
        <v>23</v>
      </c>
      <c r="D259" s="23" t="s">
        <v>2685</v>
      </c>
      <c r="E259" s="24">
        <v>45554</v>
      </c>
      <c r="F259" s="23" t="s">
        <v>2653</v>
      </c>
      <c r="G259" s="23" t="s">
        <v>2656</v>
      </c>
      <c r="H259" s="23">
        <v>4</v>
      </c>
    </row>
    <row r="260" spans="1:8">
      <c r="A260" s="22" t="s">
        <v>772</v>
      </c>
      <c r="B260" s="23" t="s">
        <v>1370</v>
      </c>
      <c r="C260" s="23">
        <v>49</v>
      </c>
      <c r="D260" s="23" t="s">
        <v>2669</v>
      </c>
      <c r="E260" s="24">
        <v>45696</v>
      </c>
      <c r="F260" s="23" t="s">
        <v>2653</v>
      </c>
      <c r="G260" s="23" t="s">
        <v>2654</v>
      </c>
      <c r="H260" s="23">
        <v>0</v>
      </c>
    </row>
    <row r="261" spans="1:8">
      <c r="A261" s="22" t="s">
        <v>2483</v>
      </c>
      <c r="B261" s="23" t="s">
        <v>1370</v>
      </c>
      <c r="C261" s="23">
        <v>27</v>
      </c>
      <c r="D261" s="23" t="s">
        <v>2668</v>
      </c>
      <c r="E261" s="24">
        <v>45616</v>
      </c>
      <c r="F261" s="23" t="s">
        <v>2653</v>
      </c>
      <c r="G261" s="23" t="s">
        <v>2656</v>
      </c>
      <c r="H261" s="23">
        <v>4</v>
      </c>
    </row>
    <row r="262" spans="1:8">
      <c r="A262" s="22" t="s">
        <v>206</v>
      </c>
      <c r="B262" s="23" t="s">
        <v>1176</v>
      </c>
      <c r="C262" s="23">
        <v>43</v>
      </c>
      <c r="D262" s="23" t="s">
        <v>2680</v>
      </c>
      <c r="E262" s="24">
        <v>45632</v>
      </c>
      <c r="F262" s="23" t="s">
        <v>2653</v>
      </c>
      <c r="G262" s="23" t="s">
        <v>2654</v>
      </c>
      <c r="H262" s="23">
        <v>0</v>
      </c>
    </row>
    <row r="263" spans="1:8">
      <c r="A263" s="22" t="s">
        <v>510</v>
      </c>
      <c r="B263" s="23" t="s">
        <v>1176</v>
      </c>
      <c r="C263" s="23">
        <v>45</v>
      </c>
      <c r="D263" s="23" t="s">
        <v>89</v>
      </c>
      <c r="E263" s="24">
        <v>45576</v>
      </c>
      <c r="F263" s="23" t="s">
        <v>2653</v>
      </c>
      <c r="G263" s="23" t="s">
        <v>2656</v>
      </c>
      <c r="H263" s="23">
        <v>2</v>
      </c>
    </row>
    <row r="264" spans="1:8">
      <c r="A264" s="22" t="s">
        <v>33</v>
      </c>
      <c r="B264" s="23" t="s">
        <v>1176</v>
      </c>
      <c r="C264" s="23">
        <v>65</v>
      </c>
      <c r="D264" s="23" t="s">
        <v>2661</v>
      </c>
      <c r="E264" s="24">
        <v>45629</v>
      </c>
      <c r="F264" s="23" t="s">
        <v>2653</v>
      </c>
      <c r="G264" s="23" t="s">
        <v>2656</v>
      </c>
      <c r="H264" s="23">
        <v>1</v>
      </c>
    </row>
    <row r="265" spans="1:8">
      <c r="A265" s="22" t="s">
        <v>2484</v>
      </c>
      <c r="B265" s="23" t="s">
        <v>1370</v>
      </c>
      <c r="C265" s="23">
        <v>19</v>
      </c>
      <c r="D265" s="23" t="s">
        <v>2657</v>
      </c>
      <c r="E265" s="24">
        <v>45574</v>
      </c>
      <c r="F265" s="23" t="s">
        <v>2653</v>
      </c>
      <c r="G265" s="23" t="s">
        <v>2654</v>
      </c>
      <c r="H265" s="23">
        <v>0</v>
      </c>
    </row>
    <row r="266" spans="1:8">
      <c r="A266" s="22" t="s">
        <v>2485</v>
      </c>
      <c r="B266" s="23" t="s">
        <v>1176</v>
      </c>
      <c r="C266" s="23">
        <v>50</v>
      </c>
      <c r="D266" s="23" t="s">
        <v>2665</v>
      </c>
      <c r="E266" s="24">
        <v>45725</v>
      </c>
      <c r="F266" s="23" t="s">
        <v>2655</v>
      </c>
      <c r="G266" s="23" t="s">
        <v>2656</v>
      </c>
      <c r="H266" s="23">
        <v>1</v>
      </c>
    </row>
    <row r="267" spans="1:8">
      <c r="A267" s="22" t="s">
        <v>861</v>
      </c>
      <c r="B267" s="23" t="s">
        <v>1370</v>
      </c>
      <c r="C267" s="23">
        <v>60</v>
      </c>
      <c r="D267" s="23" t="s">
        <v>2663</v>
      </c>
      <c r="E267" s="24">
        <v>45589</v>
      </c>
      <c r="F267" s="23" t="s">
        <v>2655</v>
      </c>
      <c r="G267" s="23" t="s">
        <v>2654</v>
      </c>
      <c r="H267" s="23">
        <v>0</v>
      </c>
    </row>
    <row r="268" spans="1:8">
      <c r="A268" s="22" t="s">
        <v>2232</v>
      </c>
      <c r="B268" s="23" t="s">
        <v>1370</v>
      </c>
      <c r="C268" s="23">
        <v>50</v>
      </c>
      <c r="D268" s="23" t="s">
        <v>2665</v>
      </c>
      <c r="E268" s="24">
        <v>45708</v>
      </c>
      <c r="F268" s="23" t="s">
        <v>2653</v>
      </c>
      <c r="G268" s="23" t="s">
        <v>2656</v>
      </c>
      <c r="H268" s="23">
        <v>2</v>
      </c>
    </row>
    <row r="269" spans="1:8">
      <c r="A269" s="22" t="s">
        <v>1383</v>
      </c>
      <c r="B269" s="23" t="s">
        <v>1370</v>
      </c>
      <c r="C269" s="23">
        <v>43</v>
      </c>
      <c r="D269" s="23" t="s">
        <v>2684</v>
      </c>
      <c r="E269" s="24">
        <v>45617</v>
      </c>
      <c r="F269" s="23" t="s">
        <v>2655</v>
      </c>
      <c r="G269" s="23" t="s">
        <v>2656</v>
      </c>
      <c r="H269" s="23">
        <v>4</v>
      </c>
    </row>
    <row r="270" spans="1:8">
      <c r="A270" s="22" t="s">
        <v>885</v>
      </c>
      <c r="B270" s="23" t="s">
        <v>1370</v>
      </c>
      <c r="C270" s="23">
        <v>62</v>
      </c>
      <c r="D270" s="23" t="s">
        <v>392</v>
      </c>
      <c r="E270" s="24">
        <v>45578</v>
      </c>
      <c r="F270" s="23" t="s">
        <v>2653</v>
      </c>
      <c r="G270" s="23" t="s">
        <v>2656</v>
      </c>
      <c r="H270" s="23">
        <v>3</v>
      </c>
    </row>
    <row r="271" spans="1:8">
      <c r="A271" s="22" t="s">
        <v>211</v>
      </c>
      <c r="B271" s="23" t="s">
        <v>1370</v>
      </c>
      <c r="C271" s="23">
        <v>29</v>
      </c>
      <c r="D271" s="23" t="s">
        <v>2680</v>
      </c>
      <c r="E271" s="24">
        <v>45615</v>
      </c>
      <c r="F271" s="23" t="s">
        <v>2653</v>
      </c>
      <c r="G271" s="23" t="s">
        <v>2654</v>
      </c>
      <c r="H271" s="23">
        <v>0</v>
      </c>
    </row>
    <row r="272" spans="1:8">
      <c r="A272" s="22" t="s">
        <v>1819</v>
      </c>
      <c r="B272" s="23" t="s">
        <v>1176</v>
      </c>
      <c r="C272" s="23">
        <v>44</v>
      </c>
      <c r="D272" s="23" t="s">
        <v>2683</v>
      </c>
      <c r="E272" s="24">
        <v>45694</v>
      </c>
      <c r="F272" s="23" t="s">
        <v>2653</v>
      </c>
      <c r="G272" s="23" t="s">
        <v>2656</v>
      </c>
      <c r="H272" s="23">
        <v>4</v>
      </c>
    </row>
    <row r="273" spans="1:8">
      <c r="A273" s="22" t="s">
        <v>278</v>
      </c>
      <c r="B273" s="23" t="s">
        <v>1176</v>
      </c>
      <c r="C273" s="23">
        <v>45</v>
      </c>
      <c r="D273" s="23" t="s">
        <v>2666</v>
      </c>
      <c r="E273" s="24">
        <v>45739</v>
      </c>
      <c r="F273" s="23" t="s">
        <v>2653</v>
      </c>
      <c r="G273" s="23" t="s">
        <v>2656</v>
      </c>
      <c r="H273" s="23">
        <v>1</v>
      </c>
    </row>
    <row r="274" spans="1:8">
      <c r="A274" s="22" t="s">
        <v>1127</v>
      </c>
      <c r="B274" s="23" t="s">
        <v>1176</v>
      </c>
      <c r="C274" s="23">
        <v>23</v>
      </c>
      <c r="D274" s="23" t="s">
        <v>2332</v>
      </c>
      <c r="E274" s="24">
        <v>45579</v>
      </c>
      <c r="F274" s="23" t="s">
        <v>2655</v>
      </c>
      <c r="G274" s="23" t="s">
        <v>2656</v>
      </c>
      <c r="H274" s="23">
        <v>2</v>
      </c>
    </row>
    <row r="275" spans="1:8">
      <c r="A275" s="22" t="s">
        <v>525</v>
      </c>
      <c r="B275" s="23" t="s">
        <v>1176</v>
      </c>
      <c r="C275" s="23">
        <v>33</v>
      </c>
      <c r="D275" s="23" t="s">
        <v>228</v>
      </c>
      <c r="E275" s="24">
        <v>45704</v>
      </c>
      <c r="F275" s="23" t="s">
        <v>2653</v>
      </c>
      <c r="G275" s="23" t="s">
        <v>2656</v>
      </c>
      <c r="H275" s="23">
        <v>1</v>
      </c>
    </row>
    <row r="276" spans="1:8">
      <c r="A276" s="22" t="s">
        <v>2486</v>
      </c>
      <c r="B276" s="23" t="s">
        <v>1176</v>
      </c>
      <c r="C276" s="23">
        <v>37</v>
      </c>
      <c r="D276" s="23" t="s">
        <v>417</v>
      </c>
      <c r="E276" s="24">
        <v>45596</v>
      </c>
      <c r="F276" s="23" t="s">
        <v>2653</v>
      </c>
      <c r="G276" s="23" t="s">
        <v>2654</v>
      </c>
      <c r="H276" s="23">
        <v>0</v>
      </c>
    </row>
    <row r="277" spans="1:8">
      <c r="A277" s="22" t="s">
        <v>2487</v>
      </c>
      <c r="B277" s="23" t="s">
        <v>1176</v>
      </c>
      <c r="C277" s="23">
        <v>31</v>
      </c>
      <c r="D277" s="23" t="s">
        <v>265</v>
      </c>
      <c r="E277" s="24">
        <v>45625</v>
      </c>
      <c r="F277" s="23" t="s">
        <v>2655</v>
      </c>
      <c r="G277" s="23" t="s">
        <v>2654</v>
      </c>
      <c r="H277" s="23">
        <v>0</v>
      </c>
    </row>
    <row r="278" spans="1:8">
      <c r="A278" s="22" t="s">
        <v>1838</v>
      </c>
      <c r="B278" s="23" t="s">
        <v>1370</v>
      </c>
      <c r="C278" s="23">
        <v>43</v>
      </c>
      <c r="D278" s="23" t="s">
        <v>2332</v>
      </c>
      <c r="E278" s="24">
        <v>45590</v>
      </c>
      <c r="F278" s="23" t="s">
        <v>2653</v>
      </c>
      <c r="G278" s="23" t="s">
        <v>2656</v>
      </c>
      <c r="H278" s="23">
        <v>1</v>
      </c>
    </row>
    <row r="279" spans="1:8">
      <c r="A279" s="22" t="s">
        <v>232</v>
      </c>
      <c r="B279" s="23" t="s">
        <v>1370</v>
      </c>
      <c r="C279" s="23">
        <v>60</v>
      </c>
      <c r="D279" s="23" t="s">
        <v>2664</v>
      </c>
      <c r="E279" s="24">
        <v>45732</v>
      </c>
      <c r="F279" s="23" t="s">
        <v>2653</v>
      </c>
      <c r="G279" s="23" t="s">
        <v>2654</v>
      </c>
      <c r="H279" s="23">
        <v>0</v>
      </c>
    </row>
    <row r="280" spans="1:8">
      <c r="A280" s="22" t="s">
        <v>2335</v>
      </c>
      <c r="B280" s="23" t="s">
        <v>1370</v>
      </c>
      <c r="C280" s="23">
        <v>34</v>
      </c>
      <c r="D280" s="23" t="s">
        <v>2685</v>
      </c>
      <c r="E280" s="24">
        <v>45681</v>
      </c>
      <c r="F280" s="23" t="s">
        <v>2655</v>
      </c>
      <c r="G280" s="23" t="s">
        <v>2656</v>
      </c>
      <c r="H280" s="23">
        <v>2</v>
      </c>
    </row>
    <row r="281" spans="1:8">
      <c r="A281" s="22" t="s">
        <v>2157</v>
      </c>
      <c r="B281" s="23" t="s">
        <v>1176</v>
      </c>
      <c r="C281" s="23">
        <v>63</v>
      </c>
      <c r="D281" s="23" t="s">
        <v>228</v>
      </c>
      <c r="E281" s="24">
        <v>45583</v>
      </c>
      <c r="F281" s="23" t="s">
        <v>2655</v>
      </c>
      <c r="G281" s="23" t="s">
        <v>2656</v>
      </c>
      <c r="H281" s="23">
        <v>3</v>
      </c>
    </row>
    <row r="282" spans="1:8">
      <c r="A282" s="22" t="s">
        <v>2488</v>
      </c>
      <c r="B282" s="23" t="s">
        <v>1176</v>
      </c>
      <c r="C282" s="23">
        <v>25</v>
      </c>
      <c r="D282" s="23" t="s">
        <v>2657</v>
      </c>
      <c r="E282" s="24">
        <v>45616</v>
      </c>
      <c r="F282" s="23" t="s">
        <v>2655</v>
      </c>
      <c r="G282" s="23" t="s">
        <v>2656</v>
      </c>
      <c r="H282" s="23">
        <v>2</v>
      </c>
    </row>
    <row r="283" spans="1:8">
      <c r="A283" s="22" t="s">
        <v>2178</v>
      </c>
      <c r="B283" s="23" t="s">
        <v>1370</v>
      </c>
      <c r="C283" s="23">
        <v>56</v>
      </c>
      <c r="D283" s="23" t="s">
        <v>2687</v>
      </c>
      <c r="E283" s="24">
        <v>45682</v>
      </c>
      <c r="F283" s="23" t="s">
        <v>2655</v>
      </c>
      <c r="G283" s="23" t="s">
        <v>2654</v>
      </c>
      <c r="H283" s="23">
        <v>0</v>
      </c>
    </row>
    <row r="284" spans="1:8">
      <c r="A284" s="22" t="s">
        <v>830</v>
      </c>
      <c r="B284" s="23" t="s">
        <v>1370</v>
      </c>
      <c r="C284" s="23">
        <v>28</v>
      </c>
      <c r="D284" s="23" t="s">
        <v>2679</v>
      </c>
      <c r="E284" s="24">
        <v>45548</v>
      </c>
      <c r="F284" s="23" t="s">
        <v>2655</v>
      </c>
      <c r="G284" s="23" t="s">
        <v>2654</v>
      </c>
      <c r="H284" s="23">
        <v>0</v>
      </c>
    </row>
    <row r="285" spans="1:8">
      <c r="A285" s="22" t="s">
        <v>1030</v>
      </c>
      <c r="B285" s="23" t="s">
        <v>1370</v>
      </c>
      <c r="C285" s="23">
        <v>25</v>
      </c>
      <c r="D285" s="23" t="s">
        <v>2683</v>
      </c>
      <c r="E285" s="24">
        <v>45587</v>
      </c>
      <c r="F285" s="23" t="s">
        <v>2655</v>
      </c>
      <c r="G285" s="23" t="s">
        <v>2654</v>
      </c>
      <c r="H285" s="23">
        <v>0</v>
      </c>
    </row>
    <row r="286" spans="1:8">
      <c r="A286" s="22" t="s">
        <v>2489</v>
      </c>
      <c r="B286" s="23" t="s">
        <v>1176</v>
      </c>
      <c r="C286" s="23">
        <v>43</v>
      </c>
      <c r="D286" s="23" t="s">
        <v>2668</v>
      </c>
      <c r="E286" s="24">
        <v>45736</v>
      </c>
      <c r="F286" s="23" t="s">
        <v>2655</v>
      </c>
      <c r="G286" s="23" t="s">
        <v>2656</v>
      </c>
      <c r="H286" s="23">
        <v>3</v>
      </c>
    </row>
    <row r="287" spans="1:8">
      <c r="A287" s="22" t="s">
        <v>923</v>
      </c>
      <c r="B287" s="23" t="s">
        <v>1176</v>
      </c>
      <c r="C287" s="23">
        <v>58</v>
      </c>
      <c r="D287" s="23" t="s">
        <v>72</v>
      </c>
      <c r="E287" s="24">
        <v>45540</v>
      </c>
      <c r="F287" s="23" t="s">
        <v>2655</v>
      </c>
      <c r="G287" s="23" t="s">
        <v>2656</v>
      </c>
      <c r="H287" s="23">
        <v>4</v>
      </c>
    </row>
    <row r="288" spans="1:8">
      <c r="A288" s="22" t="s">
        <v>2053</v>
      </c>
      <c r="B288" s="23" t="s">
        <v>1176</v>
      </c>
      <c r="C288" s="23">
        <v>18</v>
      </c>
      <c r="D288" s="23" t="s">
        <v>2657</v>
      </c>
      <c r="E288" s="24">
        <v>45745</v>
      </c>
      <c r="F288" s="23" t="s">
        <v>2655</v>
      </c>
      <c r="G288" s="23" t="s">
        <v>2656</v>
      </c>
      <c r="H288" s="23">
        <v>3</v>
      </c>
    </row>
    <row r="289" spans="1:8">
      <c r="A289" s="22" t="s">
        <v>2186</v>
      </c>
      <c r="B289" s="23" t="s">
        <v>1370</v>
      </c>
      <c r="C289" s="23">
        <v>25</v>
      </c>
      <c r="D289" s="23" t="s">
        <v>2665</v>
      </c>
      <c r="E289" s="24">
        <v>45712</v>
      </c>
      <c r="F289" s="23" t="s">
        <v>2655</v>
      </c>
      <c r="G289" s="23" t="s">
        <v>2656</v>
      </c>
      <c r="H289" s="23">
        <v>4</v>
      </c>
    </row>
    <row r="290" spans="1:8">
      <c r="A290" s="22" t="s">
        <v>561</v>
      </c>
      <c r="B290" s="23" t="s">
        <v>1176</v>
      </c>
      <c r="C290" s="23">
        <v>28</v>
      </c>
      <c r="D290" s="23" t="s">
        <v>2686</v>
      </c>
      <c r="E290" s="24">
        <v>45562</v>
      </c>
      <c r="F290" s="23" t="s">
        <v>2655</v>
      </c>
      <c r="G290" s="23" t="s">
        <v>2656</v>
      </c>
      <c r="H290" s="23">
        <v>4</v>
      </c>
    </row>
    <row r="291" spans="1:8">
      <c r="A291" s="22" t="s">
        <v>1041</v>
      </c>
      <c r="B291" s="23" t="s">
        <v>1370</v>
      </c>
      <c r="C291" s="23">
        <v>55</v>
      </c>
      <c r="D291" s="23" t="s">
        <v>2671</v>
      </c>
      <c r="E291" s="24">
        <v>45586</v>
      </c>
      <c r="F291" s="23" t="s">
        <v>2655</v>
      </c>
      <c r="G291" s="23" t="s">
        <v>2654</v>
      </c>
      <c r="H291" s="23">
        <v>0</v>
      </c>
    </row>
    <row r="292" spans="1:8">
      <c r="A292" s="22" t="s">
        <v>2287</v>
      </c>
      <c r="B292" s="23" t="s">
        <v>1176</v>
      </c>
      <c r="C292" s="23">
        <v>32</v>
      </c>
      <c r="D292" s="23" t="s">
        <v>2680</v>
      </c>
      <c r="E292" s="24">
        <v>45649</v>
      </c>
      <c r="F292" s="23" t="s">
        <v>2653</v>
      </c>
      <c r="G292" s="23" t="s">
        <v>2654</v>
      </c>
      <c r="H292" s="23">
        <v>0</v>
      </c>
    </row>
    <row r="293" spans="1:8">
      <c r="A293" s="22" t="s">
        <v>2490</v>
      </c>
      <c r="B293" s="23" t="s">
        <v>1176</v>
      </c>
      <c r="C293" s="23">
        <v>35</v>
      </c>
      <c r="D293" s="23" t="s">
        <v>228</v>
      </c>
      <c r="E293" s="24">
        <v>45628</v>
      </c>
      <c r="F293" s="23" t="s">
        <v>2655</v>
      </c>
      <c r="G293" s="23" t="s">
        <v>2654</v>
      </c>
      <c r="H293" s="23">
        <v>0</v>
      </c>
    </row>
    <row r="294" spans="1:8">
      <c r="A294" s="22" t="s">
        <v>1597</v>
      </c>
      <c r="B294" s="23" t="s">
        <v>1176</v>
      </c>
      <c r="C294" s="23">
        <v>23</v>
      </c>
      <c r="D294" s="23" t="s">
        <v>2685</v>
      </c>
      <c r="E294" s="24">
        <v>45735</v>
      </c>
      <c r="F294" s="23" t="s">
        <v>2653</v>
      </c>
      <c r="G294" s="23" t="s">
        <v>2654</v>
      </c>
      <c r="H294" s="23">
        <v>0</v>
      </c>
    </row>
    <row r="295" spans="1:8">
      <c r="A295" s="22" t="s">
        <v>2491</v>
      </c>
      <c r="B295" s="23" t="s">
        <v>1176</v>
      </c>
      <c r="C295" s="23">
        <v>59</v>
      </c>
      <c r="D295" s="23" t="s">
        <v>228</v>
      </c>
      <c r="E295" s="24">
        <v>45616</v>
      </c>
      <c r="F295" s="23" t="s">
        <v>2653</v>
      </c>
      <c r="G295" s="23" t="s">
        <v>2656</v>
      </c>
      <c r="H295" s="23">
        <v>1</v>
      </c>
    </row>
    <row r="296" spans="1:8">
      <c r="A296" s="22" t="s">
        <v>1135</v>
      </c>
      <c r="B296" s="23" t="s">
        <v>1176</v>
      </c>
      <c r="C296" s="23">
        <v>48</v>
      </c>
      <c r="D296" s="23" t="s">
        <v>2680</v>
      </c>
      <c r="E296" s="24">
        <v>45589</v>
      </c>
      <c r="F296" s="23" t="s">
        <v>2655</v>
      </c>
      <c r="G296" s="23" t="s">
        <v>2654</v>
      </c>
      <c r="H296" s="23">
        <v>0</v>
      </c>
    </row>
    <row r="297" spans="1:8">
      <c r="A297" s="22" t="s">
        <v>1600</v>
      </c>
      <c r="B297" s="23" t="s">
        <v>1370</v>
      </c>
      <c r="C297" s="23">
        <v>49</v>
      </c>
      <c r="D297" s="23" t="s">
        <v>1203</v>
      </c>
      <c r="E297" s="24">
        <v>45562</v>
      </c>
      <c r="F297" s="23" t="s">
        <v>2653</v>
      </c>
      <c r="G297" s="23" t="s">
        <v>2654</v>
      </c>
      <c r="H297" s="23">
        <v>0</v>
      </c>
    </row>
    <row r="298" spans="1:8">
      <c r="A298" s="22" t="s">
        <v>1673</v>
      </c>
      <c r="B298" s="23" t="s">
        <v>1176</v>
      </c>
      <c r="C298" s="23">
        <v>57</v>
      </c>
      <c r="D298" s="23" t="s">
        <v>2667</v>
      </c>
      <c r="E298" s="24">
        <v>45555</v>
      </c>
      <c r="F298" s="23" t="s">
        <v>2655</v>
      </c>
      <c r="G298" s="23" t="s">
        <v>2656</v>
      </c>
      <c r="H298" s="23">
        <v>3</v>
      </c>
    </row>
    <row r="299" spans="1:8">
      <c r="A299" s="22" t="s">
        <v>2322</v>
      </c>
      <c r="B299" s="23" t="s">
        <v>1176</v>
      </c>
      <c r="C299" s="23">
        <v>20</v>
      </c>
      <c r="D299" s="23" t="s">
        <v>417</v>
      </c>
      <c r="E299" s="24">
        <v>45560</v>
      </c>
      <c r="F299" s="23" t="s">
        <v>2653</v>
      </c>
      <c r="G299" s="23" t="s">
        <v>2656</v>
      </c>
      <c r="H299" s="23">
        <v>3</v>
      </c>
    </row>
    <row r="300" spans="1:8">
      <c r="A300" s="22" t="s">
        <v>2155</v>
      </c>
      <c r="B300" s="23" t="s">
        <v>1370</v>
      </c>
      <c r="C300" s="23">
        <v>37</v>
      </c>
      <c r="D300" s="23" t="s">
        <v>359</v>
      </c>
      <c r="E300" s="24">
        <v>45663</v>
      </c>
      <c r="F300" s="23" t="s">
        <v>2655</v>
      </c>
      <c r="G300" s="23" t="s">
        <v>2654</v>
      </c>
      <c r="H300" s="23">
        <v>0</v>
      </c>
    </row>
    <row r="301" spans="1:8">
      <c r="A301" s="22" t="s">
        <v>2492</v>
      </c>
      <c r="B301" s="23" t="s">
        <v>1370</v>
      </c>
      <c r="C301" s="23">
        <v>25</v>
      </c>
      <c r="D301" s="23" t="s">
        <v>2668</v>
      </c>
      <c r="E301" s="24">
        <v>45647</v>
      </c>
      <c r="F301" s="23" t="s">
        <v>2655</v>
      </c>
      <c r="G301" s="23" t="s">
        <v>2654</v>
      </c>
      <c r="H301" s="23">
        <v>0</v>
      </c>
    </row>
    <row r="302" spans="1:8">
      <c r="A302" s="22" t="s">
        <v>433</v>
      </c>
      <c r="B302" s="23" t="s">
        <v>1176</v>
      </c>
      <c r="C302" s="23">
        <v>61</v>
      </c>
      <c r="D302" s="23" t="s">
        <v>2684</v>
      </c>
      <c r="E302" s="24">
        <v>45545</v>
      </c>
      <c r="F302" s="23" t="s">
        <v>2653</v>
      </c>
      <c r="G302" s="23" t="s">
        <v>2654</v>
      </c>
      <c r="H302" s="23">
        <v>0</v>
      </c>
    </row>
    <row r="303" spans="1:8">
      <c r="A303" s="22" t="s">
        <v>2493</v>
      </c>
      <c r="B303" s="23" t="s">
        <v>1176</v>
      </c>
      <c r="C303" s="23">
        <v>39</v>
      </c>
      <c r="D303" s="23" t="s">
        <v>2664</v>
      </c>
      <c r="E303" s="24">
        <v>45541</v>
      </c>
      <c r="F303" s="23" t="s">
        <v>2655</v>
      </c>
      <c r="G303" s="23" t="s">
        <v>2656</v>
      </c>
      <c r="H303" s="23">
        <v>3</v>
      </c>
    </row>
    <row r="304" spans="1:8">
      <c r="A304" s="22" t="s">
        <v>903</v>
      </c>
      <c r="B304" s="23" t="s">
        <v>1370</v>
      </c>
      <c r="C304" s="23">
        <v>62</v>
      </c>
      <c r="D304" s="23" t="s">
        <v>2679</v>
      </c>
      <c r="E304" s="24">
        <v>45609</v>
      </c>
      <c r="F304" s="23" t="s">
        <v>2653</v>
      </c>
      <c r="G304" s="23" t="s">
        <v>2654</v>
      </c>
      <c r="H304" s="23">
        <v>0</v>
      </c>
    </row>
    <row r="305" spans="1:8">
      <c r="A305" s="22" t="s">
        <v>2658</v>
      </c>
      <c r="B305" s="23" t="s">
        <v>1370</v>
      </c>
      <c r="C305" s="23">
        <v>56</v>
      </c>
      <c r="D305" s="23" t="s">
        <v>2657</v>
      </c>
      <c r="E305" s="24">
        <v>45663</v>
      </c>
      <c r="F305" s="23" t="s">
        <v>2653</v>
      </c>
      <c r="G305" s="23" t="s">
        <v>2656</v>
      </c>
      <c r="H305" s="23">
        <v>1</v>
      </c>
    </row>
    <row r="306" spans="1:8">
      <c r="A306" s="22" t="s">
        <v>2494</v>
      </c>
      <c r="B306" s="23" t="s">
        <v>1176</v>
      </c>
      <c r="C306" s="23">
        <v>45</v>
      </c>
      <c r="D306" s="23" t="s">
        <v>2680</v>
      </c>
      <c r="E306" s="24">
        <v>45621</v>
      </c>
      <c r="F306" s="23" t="s">
        <v>2653</v>
      </c>
      <c r="G306" s="23" t="s">
        <v>2656</v>
      </c>
      <c r="H306" s="23">
        <v>3</v>
      </c>
    </row>
    <row r="307" spans="1:8">
      <c r="A307" s="22" t="s">
        <v>155</v>
      </c>
      <c r="B307" s="23" t="s">
        <v>1370</v>
      </c>
      <c r="C307" s="23">
        <v>56</v>
      </c>
      <c r="D307" s="23" t="s">
        <v>2678</v>
      </c>
      <c r="E307" s="24">
        <v>45724</v>
      </c>
      <c r="F307" s="23" t="s">
        <v>2653</v>
      </c>
      <c r="G307" s="23" t="s">
        <v>2656</v>
      </c>
      <c r="H307" s="23">
        <v>2</v>
      </c>
    </row>
    <row r="308" spans="1:8">
      <c r="A308" s="22" t="s">
        <v>61</v>
      </c>
      <c r="B308" s="23" t="s">
        <v>1176</v>
      </c>
      <c r="C308" s="23">
        <v>63</v>
      </c>
      <c r="D308" s="23" t="s">
        <v>2687</v>
      </c>
      <c r="E308" s="24">
        <v>45727</v>
      </c>
      <c r="F308" s="23" t="s">
        <v>2655</v>
      </c>
      <c r="G308" s="23" t="s">
        <v>2656</v>
      </c>
      <c r="H308" s="23">
        <v>1</v>
      </c>
    </row>
    <row r="309" spans="1:8">
      <c r="A309" s="22" t="s">
        <v>1613</v>
      </c>
      <c r="B309" s="23" t="s">
        <v>1370</v>
      </c>
      <c r="C309" s="23">
        <v>55</v>
      </c>
      <c r="D309" s="23" t="s">
        <v>1203</v>
      </c>
      <c r="E309" s="24">
        <v>45726</v>
      </c>
      <c r="F309" s="23" t="s">
        <v>2655</v>
      </c>
      <c r="G309" s="23" t="s">
        <v>2656</v>
      </c>
      <c r="H309" s="23">
        <v>1</v>
      </c>
    </row>
    <row r="310" spans="1:8">
      <c r="A310" s="22" t="s">
        <v>2495</v>
      </c>
      <c r="B310" s="23" t="s">
        <v>1370</v>
      </c>
      <c r="C310" s="23">
        <v>21</v>
      </c>
      <c r="D310" s="23" t="s">
        <v>2676</v>
      </c>
      <c r="E310" s="24">
        <v>45569</v>
      </c>
      <c r="F310" s="23" t="s">
        <v>2653</v>
      </c>
      <c r="G310" s="23" t="s">
        <v>2656</v>
      </c>
      <c r="H310" s="23">
        <v>3</v>
      </c>
    </row>
    <row r="311" spans="1:8">
      <c r="A311" s="22" t="s">
        <v>2496</v>
      </c>
      <c r="B311" s="23" t="s">
        <v>1370</v>
      </c>
      <c r="C311" s="23">
        <v>50</v>
      </c>
      <c r="D311" s="23" t="s">
        <v>2659</v>
      </c>
      <c r="E311" s="24">
        <v>45631</v>
      </c>
      <c r="F311" s="23" t="s">
        <v>2655</v>
      </c>
      <c r="G311" s="23" t="s">
        <v>2656</v>
      </c>
      <c r="H311" s="23">
        <v>1</v>
      </c>
    </row>
    <row r="312" spans="1:8">
      <c r="A312" s="22" t="s">
        <v>536</v>
      </c>
      <c r="B312" s="23" t="s">
        <v>1370</v>
      </c>
      <c r="C312" s="23">
        <v>46</v>
      </c>
      <c r="D312" s="23" t="s">
        <v>72</v>
      </c>
      <c r="E312" s="24">
        <v>45667</v>
      </c>
      <c r="F312" s="23" t="s">
        <v>2655</v>
      </c>
      <c r="G312" s="23" t="s">
        <v>2656</v>
      </c>
      <c r="H312" s="23">
        <v>1</v>
      </c>
    </row>
    <row r="313" spans="1:8">
      <c r="A313" s="22" t="s">
        <v>649</v>
      </c>
      <c r="B313" s="23" t="s">
        <v>1370</v>
      </c>
      <c r="C313" s="23">
        <v>47</v>
      </c>
      <c r="D313" s="23" t="s">
        <v>2687</v>
      </c>
      <c r="E313" s="24">
        <v>45624</v>
      </c>
      <c r="F313" s="23" t="s">
        <v>2653</v>
      </c>
      <c r="G313" s="23" t="s">
        <v>2654</v>
      </c>
      <c r="H313" s="23">
        <v>0</v>
      </c>
    </row>
    <row r="314" spans="1:8">
      <c r="A314" s="22" t="s">
        <v>1437</v>
      </c>
      <c r="B314" s="23" t="s">
        <v>1370</v>
      </c>
      <c r="C314" s="23">
        <v>32</v>
      </c>
      <c r="D314" s="23" t="s">
        <v>2674</v>
      </c>
      <c r="E314" s="24">
        <v>45570</v>
      </c>
      <c r="F314" s="23" t="s">
        <v>2655</v>
      </c>
      <c r="G314" s="23" t="s">
        <v>2656</v>
      </c>
      <c r="H314" s="23">
        <v>4</v>
      </c>
    </row>
    <row r="315" spans="1:8">
      <c r="A315" s="22" t="s">
        <v>2497</v>
      </c>
      <c r="B315" s="23" t="s">
        <v>1370</v>
      </c>
      <c r="C315" s="23">
        <v>41</v>
      </c>
      <c r="D315" s="23" t="s">
        <v>2661</v>
      </c>
      <c r="E315" s="24">
        <v>45595</v>
      </c>
      <c r="F315" s="23" t="s">
        <v>2653</v>
      </c>
      <c r="G315" s="23" t="s">
        <v>2654</v>
      </c>
      <c r="H315" s="23">
        <v>0</v>
      </c>
    </row>
    <row r="316" spans="1:8">
      <c r="A316" s="22" t="s">
        <v>2498</v>
      </c>
      <c r="B316" s="23" t="s">
        <v>1370</v>
      </c>
      <c r="C316" s="23">
        <v>26</v>
      </c>
      <c r="D316" s="23" t="s">
        <v>2657</v>
      </c>
      <c r="E316" s="24">
        <v>45543</v>
      </c>
      <c r="F316" s="23" t="s">
        <v>2655</v>
      </c>
      <c r="G316" s="23" t="s">
        <v>2654</v>
      </c>
      <c r="H316" s="23">
        <v>0</v>
      </c>
    </row>
    <row r="317" spans="1:8">
      <c r="A317" s="22" t="s">
        <v>824</v>
      </c>
      <c r="B317" s="23" t="s">
        <v>1176</v>
      </c>
      <c r="C317" s="23">
        <v>47</v>
      </c>
      <c r="D317" s="23" t="s">
        <v>2682</v>
      </c>
      <c r="E317" s="24">
        <v>45598</v>
      </c>
      <c r="F317" s="23" t="s">
        <v>2655</v>
      </c>
      <c r="G317" s="23" t="s">
        <v>2656</v>
      </c>
      <c r="H317" s="23">
        <v>4</v>
      </c>
    </row>
    <row r="318" spans="1:8">
      <c r="A318" s="22" t="s">
        <v>2499</v>
      </c>
      <c r="B318" s="23" t="s">
        <v>1370</v>
      </c>
      <c r="C318" s="23">
        <v>37</v>
      </c>
      <c r="D318" s="23" t="s">
        <v>242</v>
      </c>
      <c r="E318" s="24">
        <v>45557</v>
      </c>
      <c r="F318" s="23" t="s">
        <v>2653</v>
      </c>
      <c r="G318" s="23" t="s">
        <v>2656</v>
      </c>
      <c r="H318" s="23">
        <v>2</v>
      </c>
    </row>
    <row r="319" spans="1:8">
      <c r="A319" s="22" t="s">
        <v>2206</v>
      </c>
      <c r="B319" s="23" t="s">
        <v>1370</v>
      </c>
      <c r="C319" s="23">
        <v>23</v>
      </c>
      <c r="D319" s="23" t="s">
        <v>2680</v>
      </c>
      <c r="E319" s="24">
        <v>45611</v>
      </c>
      <c r="F319" s="23" t="s">
        <v>2655</v>
      </c>
      <c r="G319" s="23" t="s">
        <v>2656</v>
      </c>
      <c r="H319" s="23">
        <v>1</v>
      </c>
    </row>
    <row r="320" spans="1:8">
      <c r="A320" s="22" t="s">
        <v>2500</v>
      </c>
      <c r="B320" s="23" t="s">
        <v>1176</v>
      </c>
      <c r="C320" s="23">
        <v>32</v>
      </c>
      <c r="D320" s="23" t="s">
        <v>2673</v>
      </c>
      <c r="E320" s="24">
        <v>45681</v>
      </c>
      <c r="F320" s="23" t="s">
        <v>2655</v>
      </c>
      <c r="G320" s="23" t="s">
        <v>2654</v>
      </c>
      <c r="H320" s="23">
        <v>0</v>
      </c>
    </row>
    <row r="321" spans="1:8">
      <c r="A321" s="22" t="s">
        <v>1978</v>
      </c>
      <c r="B321" s="23" t="s">
        <v>1370</v>
      </c>
      <c r="C321" s="23">
        <v>55</v>
      </c>
      <c r="D321" s="23" t="s">
        <v>2671</v>
      </c>
      <c r="E321" s="24">
        <v>45708</v>
      </c>
      <c r="F321" s="23" t="s">
        <v>2655</v>
      </c>
      <c r="G321" s="23" t="s">
        <v>2654</v>
      </c>
      <c r="H321" s="23">
        <v>0</v>
      </c>
    </row>
    <row r="322" spans="1:8">
      <c r="A322" s="22" t="s">
        <v>2204</v>
      </c>
      <c r="B322" s="23" t="s">
        <v>1370</v>
      </c>
      <c r="C322" s="23">
        <v>20</v>
      </c>
      <c r="D322" s="23" t="s">
        <v>2677</v>
      </c>
      <c r="E322" s="24">
        <v>45539</v>
      </c>
      <c r="F322" s="23" t="s">
        <v>2653</v>
      </c>
      <c r="G322" s="23" t="s">
        <v>2654</v>
      </c>
      <c r="H322" s="23">
        <v>0</v>
      </c>
    </row>
    <row r="323" spans="1:8">
      <c r="A323" s="22" t="s">
        <v>928</v>
      </c>
      <c r="B323" s="23" t="s">
        <v>1370</v>
      </c>
      <c r="C323" s="23">
        <v>62</v>
      </c>
      <c r="D323" s="23" t="s">
        <v>2675</v>
      </c>
      <c r="E323" s="24">
        <v>45718</v>
      </c>
      <c r="F323" s="23" t="s">
        <v>2653</v>
      </c>
      <c r="G323" s="23" t="s">
        <v>2654</v>
      </c>
      <c r="H323" s="23">
        <v>0</v>
      </c>
    </row>
    <row r="324" spans="1:8">
      <c r="A324" s="22" t="s">
        <v>1419</v>
      </c>
      <c r="B324" s="23" t="s">
        <v>1370</v>
      </c>
      <c r="C324" s="23">
        <v>57</v>
      </c>
      <c r="D324" s="23" t="s">
        <v>82</v>
      </c>
      <c r="E324" s="24">
        <v>45711</v>
      </c>
      <c r="F324" s="23" t="s">
        <v>2653</v>
      </c>
      <c r="G324" s="23" t="s">
        <v>2654</v>
      </c>
      <c r="H324" s="23">
        <v>0</v>
      </c>
    </row>
    <row r="325" spans="1:8">
      <c r="A325" s="22" t="s">
        <v>2072</v>
      </c>
      <c r="B325" s="23" t="s">
        <v>1370</v>
      </c>
      <c r="C325" s="23">
        <v>46</v>
      </c>
      <c r="D325" s="23" t="s">
        <v>2673</v>
      </c>
      <c r="E325" s="24">
        <v>45693</v>
      </c>
      <c r="F325" s="23" t="s">
        <v>2653</v>
      </c>
      <c r="G325" s="23" t="s">
        <v>2656</v>
      </c>
      <c r="H325" s="23">
        <v>2</v>
      </c>
    </row>
    <row r="326" spans="1:8">
      <c r="A326" s="22" t="s">
        <v>802</v>
      </c>
      <c r="B326" s="23" t="s">
        <v>1370</v>
      </c>
      <c r="C326" s="23">
        <v>44</v>
      </c>
      <c r="D326" s="23" t="s">
        <v>2687</v>
      </c>
      <c r="E326" s="24">
        <v>45685</v>
      </c>
      <c r="F326" s="23" t="s">
        <v>2655</v>
      </c>
      <c r="G326" s="23" t="s">
        <v>2654</v>
      </c>
      <c r="H326" s="23">
        <v>0</v>
      </c>
    </row>
    <row r="327" spans="1:8">
      <c r="A327" s="22" t="s">
        <v>235</v>
      </c>
      <c r="B327" s="23" t="s">
        <v>1176</v>
      </c>
      <c r="C327" s="23">
        <v>22</v>
      </c>
      <c r="D327" s="23" t="s">
        <v>2660</v>
      </c>
      <c r="E327" s="24">
        <v>45655</v>
      </c>
      <c r="F327" s="23" t="s">
        <v>2653</v>
      </c>
      <c r="G327" s="23" t="s">
        <v>2656</v>
      </c>
      <c r="H327" s="23">
        <v>4</v>
      </c>
    </row>
    <row r="328" spans="1:8">
      <c r="A328" s="22" t="s">
        <v>328</v>
      </c>
      <c r="B328" s="23" t="s">
        <v>1370</v>
      </c>
      <c r="C328" s="23">
        <v>42</v>
      </c>
      <c r="D328" s="23" t="s">
        <v>425</v>
      </c>
      <c r="E328" s="24">
        <v>45581</v>
      </c>
      <c r="F328" s="23" t="s">
        <v>2653</v>
      </c>
      <c r="G328" s="23" t="s">
        <v>2656</v>
      </c>
      <c r="H328" s="23">
        <v>1</v>
      </c>
    </row>
    <row r="329" spans="1:8">
      <c r="A329" s="22" t="s">
        <v>437</v>
      </c>
      <c r="B329" s="23" t="s">
        <v>1370</v>
      </c>
      <c r="C329" s="23">
        <v>36</v>
      </c>
      <c r="D329" s="23" t="s">
        <v>2671</v>
      </c>
      <c r="E329" s="24">
        <v>45742</v>
      </c>
      <c r="F329" s="23" t="s">
        <v>2655</v>
      </c>
      <c r="G329" s="23" t="s">
        <v>2654</v>
      </c>
      <c r="H329" s="23">
        <v>0</v>
      </c>
    </row>
    <row r="330" spans="1:8">
      <c r="A330" s="22" t="s">
        <v>2501</v>
      </c>
      <c r="B330" s="23" t="s">
        <v>1370</v>
      </c>
      <c r="C330" s="23">
        <v>26</v>
      </c>
      <c r="D330" s="23" t="s">
        <v>2689</v>
      </c>
      <c r="E330" s="24">
        <v>45672</v>
      </c>
      <c r="F330" s="23" t="s">
        <v>2653</v>
      </c>
      <c r="G330" s="23" t="s">
        <v>2654</v>
      </c>
      <c r="H330" s="23">
        <v>0</v>
      </c>
    </row>
    <row r="331" spans="1:8">
      <c r="A331" s="22" t="s">
        <v>1061</v>
      </c>
      <c r="B331" s="23" t="s">
        <v>1176</v>
      </c>
      <c r="C331" s="23">
        <v>23</v>
      </c>
      <c r="D331" s="23" t="s">
        <v>48</v>
      </c>
      <c r="E331" s="24">
        <v>45709</v>
      </c>
      <c r="F331" s="23" t="s">
        <v>2653</v>
      </c>
      <c r="G331" s="23" t="s">
        <v>2654</v>
      </c>
      <c r="H331" s="23">
        <v>0</v>
      </c>
    </row>
    <row r="332" spans="1:8">
      <c r="A332" s="22" t="s">
        <v>2063</v>
      </c>
      <c r="B332" s="23" t="s">
        <v>1370</v>
      </c>
      <c r="C332" s="23">
        <v>34</v>
      </c>
      <c r="D332" s="23" t="s">
        <v>2690</v>
      </c>
      <c r="E332" s="24">
        <v>45641</v>
      </c>
      <c r="F332" s="23" t="s">
        <v>2653</v>
      </c>
      <c r="G332" s="23" t="s">
        <v>2656</v>
      </c>
      <c r="H332" s="23">
        <v>3</v>
      </c>
    </row>
    <row r="333" spans="1:8">
      <c r="A333" s="22" t="s">
        <v>1829</v>
      </c>
      <c r="B333" s="23" t="s">
        <v>1370</v>
      </c>
      <c r="C333" s="23">
        <v>26</v>
      </c>
      <c r="D333" s="23" t="s">
        <v>2689</v>
      </c>
      <c r="E333" s="24">
        <v>45586</v>
      </c>
      <c r="F333" s="23" t="s">
        <v>2655</v>
      </c>
      <c r="G333" s="23" t="s">
        <v>2656</v>
      </c>
      <c r="H333" s="23">
        <v>2</v>
      </c>
    </row>
    <row r="334" spans="1:8">
      <c r="A334" s="22" t="s">
        <v>2502</v>
      </c>
      <c r="B334" s="23" t="s">
        <v>1176</v>
      </c>
      <c r="C334" s="23">
        <v>56</v>
      </c>
      <c r="D334" s="23" t="s">
        <v>2667</v>
      </c>
      <c r="E334" s="24">
        <v>45599</v>
      </c>
      <c r="F334" s="23" t="s">
        <v>2655</v>
      </c>
      <c r="G334" s="23" t="s">
        <v>2656</v>
      </c>
      <c r="H334" s="23">
        <v>2</v>
      </c>
    </row>
    <row r="335" spans="1:8">
      <c r="A335" s="22" t="s">
        <v>1244</v>
      </c>
      <c r="B335" s="23" t="s">
        <v>1176</v>
      </c>
      <c r="C335" s="23">
        <v>38</v>
      </c>
      <c r="D335" s="23" t="s">
        <v>2688</v>
      </c>
      <c r="E335" s="24">
        <v>45699</v>
      </c>
      <c r="F335" s="23" t="s">
        <v>2653</v>
      </c>
      <c r="G335" s="23" t="s">
        <v>2656</v>
      </c>
      <c r="H335" s="23">
        <v>3</v>
      </c>
    </row>
    <row r="336" spans="1:8">
      <c r="A336" s="22" t="s">
        <v>1560</v>
      </c>
      <c r="B336" s="23" t="s">
        <v>1370</v>
      </c>
      <c r="C336" s="23">
        <v>24</v>
      </c>
      <c r="D336" s="23" t="s">
        <v>2663</v>
      </c>
      <c r="E336" s="24">
        <v>45550</v>
      </c>
      <c r="F336" s="23" t="s">
        <v>2655</v>
      </c>
      <c r="G336" s="23" t="s">
        <v>2656</v>
      </c>
      <c r="H336" s="23">
        <v>3</v>
      </c>
    </row>
    <row r="337" spans="1:8">
      <c r="A337" s="22" t="s">
        <v>916</v>
      </c>
      <c r="B337" s="23" t="s">
        <v>1176</v>
      </c>
      <c r="C337" s="23">
        <v>52</v>
      </c>
      <c r="D337" s="23" t="s">
        <v>2670</v>
      </c>
      <c r="E337" s="24">
        <v>45745</v>
      </c>
      <c r="F337" s="23" t="s">
        <v>2655</v>
      </c>
      <c r="G337" s="23" t="s">
        <v>2656</v>
      </c>
      <c r="H337" s="23">
        <v>3</v>
      </c>
    </row>
    <row r="338" spans="1:8">
      <c r="A338" s="22" t="s">
        <v>2503</v>
      </c>
      <c r="B338" s="23" t="s">
        <v>1370</v>
      </c>
      <c r="C338" s="23">
        <v>65</v>
      </c>
      <c r="D338" s="23" t="s">
        <v>82</v>
      </c>
      <c r="E338" s="24">
        <v>45744</v>
      </c>
      <c r="F338" s="23" t="s">
        <v>2655</v>
      </c>
      <c r="G338" s="23" t="s">
        <v>2654</v>
      </c>
      <c r="H338" s="23">
        <v>0</v>
      </c>
    </row>
    <row r="339" spans="1:8">
      <c r="A339" s="22" t="s">
        <v>2027</v>
      </c>
      <c r="B339" s="23" t="s">
        <v>1370</v>
      </c>
      <c r="C339" s="23">
        <v>20</v>
      </c>
      <c r="D339" s="23" t="s">
        <v>82</v>
      </c>
      <c r="E339" s="24">
        <v>45686</v>
      </c>
      <c r="F339" s="23" t="s">
        <v>2653</v>
      </c>
      <c r="G339" s="23" t="s">
        <v>2656</v>
      </c>
      <c r="H339" s="23">
        <v>1</v>
      </c>
    </row>
    <row r="340" spans="1:8">
      <c r="A340" s="22" t="s">
        <v>1556</v>
      </c>
      <c r="B340" s="23" t="s">
        <v>1176</v>
      </c>
      <c r="C340" s="23">
        <v>63</v>
      </c>
      <c r="D340" s="23" t="s">
        <v>2661</v>
      </c>
      <c r="E340" s="24">
        <v>45649</v>
      </c>
      <c r="F340" s="23" t="s">
        <v>2653</v>
      </c>
      <c r="G340" s="23" t="s">
        <v>2656</v>
      </c>
      <c r="H340" s="23">
        <v>1</v>
      </c>
    </row>
    <row r="341" spans="1:8">
      <c r="A341" s="22" t="s">
        <v>483</v>
      </c>
      <c r="B341" s="23" t="s">
        <v>1370</v>
      </c>
      <c r="C341" s="23">
        <v>24</v>
      </c>
      <c r="D341" s="23" t="s">
        <v>265</v>
      </c>
      <c r="E341" s="24">
        <v>45613</v>
      </c>
      <c r="F341" s="23" t="s">
        <v>2655</v>
      </c>
      <c r="G341" s="23" t="s">
        <v>2656</v>
      </c>
      <c r="H341" s="23">
        <v>2</v>
      </c>
    </row>
    <row r="342" spans="1:8">
      <c r="A342" s="22" t="s">
        <v>659</v>
      </c>
      <c r="B342" s="23" t="s">
        <v>1176</v>
      </c>
      <c r="C342" s="23">
        <v>59</v>
      </c>
      <c r="D342" s="23" t="s">
        <v>82</v>
      </c>
      <c r="E342" s="24">
        <v>45701</v>
      </c>
      <c r="F342" s="23" t="s">
        <v>2655</v>
      </c>
      <c r="G342" s="23" t="s">
        <v>2656</v>
      </c>
      <c r="H342" s="23">
        <v>4</v>
      </c>
    </row>
    <row r="343" spans="1:8">
      <c r="A343" s="22" t="s">
        <v>2504</v>
      </c>
      <c r="B343" s="23" t="s">
        <v>1370</v>
      </c>
      <c r="C343" s="23">
        <v>26</v>
      </c>
      <c r="D343" s="23" t="s">
        <v>2687</v>
      </c>
      <c r="E343" s="24">
        <v>45727</v>
      </c>
      <c r="F343" s="23" t="s">
        <v>2655</v>
      </c>
      <c r="G343" s="23" t="s">
        <v>2654</v>
      </c>
      <c r="H343" s="23">
        <v>0</v>
      </c>
    </row>
    <row r="344" spans="1:8">
      <c r="A344" s="22" t="s">
        <v>2208</v>
      </c>
      <c r="B344" s="23" t="s">
        <v>1176</v>
      </c>
      <c r="C344" s="23">
        <v>65</v>
      </c>
      <c r="D344" s="23" t="s">
        <v>2671</v>
      </c>
      <c r="E344" s="24">
        <v>45734</v>
      </c>
      <c r="F344" s="23" t="s">
        <v>2653</v>
      </c>
      <c r="G344" s="23" t="s">
        <v>2656</v>
      </c>
      <c r="H344" s="23">
        <v>1</v>
      </c>
    </row>
    <row r="345" spans="1:8">
      <c r="A345" s="22" t="s">
        <v>2265</v>
      </c>
      <c r="B345" s="23" t="s">
        <v>1370</v>
      </c>
      <c r="C345" s="23">
        <v>33</v>
      </c>
      <c r="D345" s="23" t="s">
        <v>2332</v>
      </c>
      <c r="E345" s="24">
        <v>45722</v>
      </c>
      <c r="F345" s="23" t="s">
        <v>2653</v>
      </c>
      <c r="G345" s="23" t="s">
        <v>2654</v>
      </c>
      <c r="H345" s="23">
        <v>0</v>
      </c>
    </row>
    <row r="346" spans="1:8">
      <c r="A346" s="22" t="s">
        <v>136</v>
      </c>
      <c r="B346" s="23" t="s">
        <v>1370</v>
      </c>
      <c r="C346" s="23">
        <v>27</v>
      </c>
      <c r="D346" s="23" t="s">
        <v>2685</v>
      </c>
      <c r="E346" s="24">
        <v>45597</v>
      </c>
      <c r="F346" s="23" t="s">
        <v>2653</v>
      </c>
      <c r="G346" s="23" t="s">
        <v>2654</v>
      </c>
      <c r="H346" s="23">
        <v>0</v>
      </c>
    </row>
    <row r="347" spans="1:8">
      <c r="A347" s="22" t="s">
        <v>685</v>
      </c>
      <c r="B347" s="23" t="s">
        <v>1176</v>
      </c>
      <c r="C347" s="23">
        <v>61</v>
      </c>
      <c r="D347" s="23" t="s">
        <v>89</v>
      </c>
      <c r="E347" s="24">
        <v>45574</v>
      </c>
      <c r="F347" s="23" t="s">
        <v>2655</v>
      </c>
      <c r="G347" s="23" t="s">
        <v>2654</v>
      </c>
      <c r="H347" s="23">
        <v>0</v>
      </c>
    </row>
    <row r="348" spans="1:8">
      <c r="A348" s="22" t="s">
        <v>735</v>
      </c>
      <c r="B348" s="23" t="s">
        <v>1370</v>
      </c>
      <c r="C348" s="23">
        <v>26</v>
      </c>
      <c r="D348" s="23" t="s">
        <v>2677</v>
      </c>
      <c r="E348" s="24">
        <v>45658</v>
      </c>
      <c r="F348" s="23" t="s">
        <v>2655</v>
      </c>
      <c r="G348" s="23" t="s">
        <v>2656</v>
      </c>
      <c r="H348" s="23">
        <v>2</v>
      </c>
    </row>
    <row r="349" spans="1:8">
      <c r="A349" s="22" t="s">
        <v>2505</v>
      </c>
      <c r="B349" s="23" t="s">
        <v>1370</v>
      </c>
      <c r="C349" s="23">
        <v>50</v>
      </c>
      <c r="D349" s="23" t="s">
        <v>417</v>
      </c>
      <c r="E349" s="24">
        <v>45622</v>
      </c>
      <c r="F349" s="23" t="s">
        <v>2655</v>
      </c>
      <c r="G349" s="23" t="s">
        <v>2654</v>
      </c>
      <c r="H349" s="23">
        <v>0</v>
      </c>
    </row>
    <row r="350" spans="1:8">
      <c r="A350" s="22" t="s">
        <v>2506</v>
      </c>
      <c r="B350" s="23" t="s">
        <v>1370</v>
      </c>
      <c r="C350" s="23">
        <v>35</v>
      </c>
      <c r="D350" s="23" t="s">
        <v>57</v>
      </c>
      <c r="E350" s="24">
        <v>45628</v>
      </c>
      <c r="F350" s="23" t="s">
        <v>2655</v>
      </c>
      <c r="G350" s="23" t="s">
        <v>2654</v>
      </c>
      <c r="H350" s="23">
        <v>0</v>
      </c>
    </row>
    <row r="351" spans="1:8">
      <c r="A351" s="22" t="s">
        <v>2507</v>
      </c>
      <c r="B351" s="23" t="s">
        <v>1176</v>
      </c>
      <c r="C351" s="23">
        <v>19</v>
      </c>
      <c r="D351" s="23" t="s">
        <v>265</v>
      </c>
      <c r="E351" s="24">
        <v>45644</v>
      </c>
      <c r="F351" s="23" t="s">
        <v>2653</v>
      </c>
      <c r="G351" s="23" t="s">
        <v>2656</v>
      </c>
      <c r="H351" s="23">
        <v>2</v>
      </c>
    </row>
    <row r="352" spans="1:8">
      <c r="A352" s="22" t="s">
        <v>2508</v>
      </c>
      <c r="B352" s="23" t="s">
        <v>1370</v>
      </c>
      <c r="C352" s="23">
        <v>62</v>
      </c>
      <c r="D352" s="23" t="s">
        <v>2659</v>
      </c>
      <c r="E352" s="24">
        <v>45741</v>
      </c>
      <c r="F352" s="23" t="s">
        <v>2655</v>
      </c>
      <c r="G352" s="23" t="s">
        <v>2654</v>
      </c>
      <c r="H352" s="23">
        <v>0</v>
      </c>
    </row>
    <row r="353" spans="1:8">
      <c r="A353" s="22" t="s">
        <v>2509</v>
      </c>
      <c r="B353" s="23" t="s">
        <v>1370</v>
      </c>
      <c r="C353" s="23">
        <v>54</v>
      </c>
      <c r="D353" s="23" t="s">
        <v>2673</v>
      </c>
      <c r="E353" s="24">
        <v>45549</v>
      </c>
      <c r="F353" s="23" t="s">
        <v>2655</v>
      </c>
      <c r="G353" s="23" t="s">
        <v>2656</v>
      </c>
      <c r="H353" s="23">
        <v>3</v>
      </c>
    </row>
    <row r="354" spans="1:8">
      <c r="A354" s="22" t="s">
        <v>568</v>
      </c>
      <c r="B354" s="23" t="s">
        <v>1176</v>
      </c>
      <c r="C354" s="23">
        <v>53</v>
      </c>
      <c r="D354" s="23" t="s">
        <v>2678</v>
      </c>
      <c r="E354" s="24">
        <v>45605</v>
      </c>
      <c r="F354" s="23" t="s">
        <v>2655</v>
      </c>
      <c r="G354" s="23" t="s">
        <v>2654</v>
      </c>
      <c r="H354" s="23">
        <v>0</v>
      </c>
    </row>
    <row r="355" spans="1:8">
      <c r="A355" s="22" t="s">
        <v>849</v>
      </c>
      <c r="B355" s="23" t="s">
        <v>1176</v>
      </c>
      <c r="C355" s="23">
        <v>62</v>
      </c>
      <c r="D355" s="23" t="s">
        <v>2674</v>
      </c>
      <c r="E355" s="24">
        <v>45629</v>
      </c>
      <c r="F355" s="23" t="s">
        <v>2653</v>
      </c>
      <c r="G355" s="23" t="s">
        <v>2656</v>
      </c>
      <c r="H355" s="23">
        <v>2</v>
      </c>
    </row>
    <row r="356" spans="1:8">
      <c r="A356" s="22" t="s">
        <v>2019</v>
      </c>
      <c r="B356" s="23" t="s">
        <v>1176</v>
      </c>
      <c r="C356" s="23">
        <v>39</v>
      </c>
      <c r="D356" s="23" t="s">
        <v>2685</v>
      </c>
      <c r="E356" s="24">
        <v>45710</v>
      </c>
      <c r="F356" s="23" t="s">
        <v>2653</v>
      </c>
      <c r="G356" s="23" t="s">
        <v>2654</v>
      </c>
      <c r="H356" s="23">
        <v>0</v>
      </c>
    </row>
    <row r="357" spans="1:8">
      <c r="A357" s="22" t="s">
        <v>2510</v>
      </c>
      <c r="B357" s="23" t="s">
        <v>1176</v>
      </c>
      <c r="C357" s="23">
        <v>27</v>
      </c>
      <c r="D357" s="23" t="s">
        <v>2672</v>
      </c>
      <c r="E357" s="24">
        <v>45603</v>
      </c>
      <c r="F357" s="23" t="s">
        <v>2655</v>
      </c>
      <c r="G357" s="23" t="s">
        <v>2654</v>
      </c>
      <c r="H357" s="23">
        <v>0</v>
      </c>
    </row>
    <row r="358" spans="1:8">
      <c r="A358" s="22" t="s">
        <v>2511</v>
      </c>
      <c r="B358" s="23" t="s">
        <v>1370</v>
      </c>
      <c r="C358" s="23">
        <v>63</v>
      </c>
      <c r="D358" s="23" t="s">
        <v>2691</v>
      </c>
      <c r="E358" s="24">
        <v>45708</v>
      </c>
      <c r="F358" s="23" t="s">
        <v>2655</v>
      </c>
      <c r="G358" s="23" t="s">
        <v>2656</v>
      </c>
      <c r="H358" s="23">
        <v>3</v>
      </c>
    </row>
    <row r="359" spans="1:8">
      <c r="A359" s="22" t="s">
        <v>2512</v>
      </c>
      <c r="B359" s="23" t="s">
        <v>1370</v>
      </c>
      <c r="C359" s="23">
        <v>19</v>
      </c>
      <c r="D359" s="23" t="s">
        <v>2661</v>
      </c>
      <c r="E359" s="24">
        <v>45698</v>
      </c>
      <c r="F359" s="23" t="s">
        <v>2655</v>
      </c>
      <c r="G359" s="23" t="s">
        <v>2656</v>
      </c>
      <c r="H359" s="23">
        <v>2</v>
      </c>
    </row>
    <row r="360" spans="1:8">
      <c r="A360" s="22" t="s">
        <v>2181</v>
      </c>
      <c r="B360" s="23" t="s">
        <v>1176</v>
      </c>
      <c r="C360" s="23">
        <v>25</v>
      </c>
      <c r="D360" s="23" t="s">
        <v>2685</v>
      </c>
      <c r="E360" s="24">
        <v>45652</v>
      </c>
      <c r="F360" s="23" t="s">
        <v>2653</v>
      </c>
      <c r="G360" s="23" t="s">
        <v>2656</v>
      </c>
      <c r="H360" s="23">
        <v>4</v>
      </c>
    </row>
    <row r="361" spans="1:8">
      <c r="A361" s="22" t="s">
        <v>376</v>
      </c>
      <c r="B361" s="23" t="s">
        <v>1176</v>
      </c>
      <c r="C361" s="23">
        <v>41</v>
      </c>
      <c r="D361" s="23" t="s">
        <v>2681</v>
      </c>
      <c r="E361" s="24">
        <v>45554</v>
      </c>
      <c r="F361" s="23" t="s">
        <v>2655</v>
      </c>
      <c r="G361" s="23" t="s">
        <v>2654</v>
      </c>
      <c r="H361" s="23">
        <v>0</v>
      </c>
    </row>
    <row r="362" spans="1:8">
      <c r="A362" s="22" t="s">
        <v>2513</v>
      </c>
      <c r="B362" s="23" t="s">
        <v>1176</v>
      </c>
      <c r="C362" s="23">
        <v>58</v>
      </c>
      <c r="D362" s="23" t="s">
        <v>2681</v>
      </c>
      <c r="E362" s="24">
        <v>45609</v>
      </c>
      <c r="F362" s="23" t="s">
        <v>2655</v>
      </c>
      <c r="G362" s="23" t="s">
        <v>2654</v>
      </c>
      <c r="H362" s="23">
        <v>0</v>
      </c>
    </row>
    <row r="363" spans="1:8">
      <c r="A363" s="22" t="s">
        <v>935</v>
      </c>
      <c r="B363" s="23" t="s">
        <v>1176</v>
      </c>
      <c r="C363" s="23">
        <v>46</v>
      </c>
      <c r="D363" s="23" t="s">
        <v>2685</v>
      </c>
      <c r="E363" s="24">
        <v>45721</v>
      </c>
      <c r="F363" s="23" t="s">
        <v>2655</v>
      </c>
      <c r="G363" s="23" t="s">
        <v>2656</v>
      </c>
      <c r="H363" s="23">
        <v>2</v>
      </c>
    </row>
    <row r="364" spans="1:8">
      <c r="A364" s="22" t="s">
        <v>2514</v>
      </c>
      <c r="B364" s="23" t="s">
        <v>1370</v>
      </c>
      <c r="C364" s="23">
        <v>43</v>
      </c>
      <c r="D364" s="23" t="s">
        <v>48</v>
      </c>
      <c r="E364" s="24">
        <v>45659</v>
      </c>
      <c r="F364" s="23" t="s">
        <v>2653</v>
      </c>
      <c r="G364" s="23" t="s">
        <v>2654</v>
      </c>
      <c r="H364" s="23">
        <v>0</v>
      </c>
    </row>
    <row r="365" spans="1:8">
      <c r="A365" s="22" t="s">
        <v>1015</v>
      </c>
      <c r="B365" s="23" t="s">
        <v>1176</v>
      </c>
      <c r="C365" s="23">
        <v>45</v>
      </c>
      <c r="D365" s="23" t="s">
        <v>2689</v>
      </c>
      <c r="E365" s="24">
        <v>45610</v>
      </c>
      <c r="F365" s="23" t="s">
        <v>2653</v>
      </c>
      <c r="G365" s="23" t="s">
        <v>2654</v>
      </c>
      <c r="H365" s="23">
        <v>0</v>
      </c>
    </row>
    <row r="366" spans="1:8">
      <c r="A366" s="22" t="s">
        <v>2515</v>
      </c>
      <c r="B366" s="23" t="s">
        <v>1176</v>
      </c>
      <c r="C366" s="23">
        <v>60</v>
      </c>
      <c r="D366" s="23" t="s">
        <v>2669</v>
      </c>
      <c r="E366" s="24">
        <v>45714</v>
      </c>
      <c r="F366" s="23" t="s">
        <v>2655</v>
      </c>
      <c r="G366" s="23" t="s">
        <v>2654</v>
      </c>
      <c r="H366" s="23">
        <v>0</v>
      </c>
    </row>
    <row r="367" spans="1:8">
      <c r="A367" s="22" t="s">
        <v>2301</v>
      </c>
      <c r="B367" s="23" t="s">
        <v>1370</v>
      </c>
      <c r="C367" s="23">
        <v>65</v>
      </c>
      <c r="D367" s="23" t="s">
        <v>48</v>
      </c>
      <c r="E367" s="24">
        <v>45630</v>
      </c>
      <c r="F367" s="23" t="s">
        <v>2655</v>
      </c>
      <c r="G367" s="23" t="s">
        <v>2654</v>
      </c>
      <c r="H367" s="23">
        <v>0</v>
      </c>
    </row>
    <row r="368" spans="1:8">
      <c r="A368" s="22" t="s">
        <v>1536</v>
      </c>
      <c r="B368" s="23" t="s">
        <v>1176</v>
      </c>
      <c r="C368" s="23">
        <v>39</v>
      </c>
      <c r="D368" s="23" t="s">
        <v>2687</v>
      </c>
      <c r="E368" s="24">
        <v>45557</v>
      </c>
      <c r="F368" s="23" t="s">
        <v>2655</v>
      </c>
      <c r="G368" s="23" t="s">
        <v>2654</v>
      </c>
      <c r="H368" s="23">
        <v>0</v>
      </c>
    </row>
    <row r="369" spans="1:8">
      <c r="A369" s="22" t="s">
        <v>478</v>
      </c>
      <c r="B369" s="23" t="s">
        <v>1370</v>
      </c>
      <c r="C369" s="23">
        <v>25</v>
      </c>
      <c r="D369" s="23" t="s">
        <v>2677</v>
      </c>
      <c r="E369" s="24">
        <v>45683</v>
      </c>
      <c r="F369" s="23" t="s">
        <v>2653</v>
      </c>
      <c r="G369" s="23" t="s">
        <v>2656</v>
      </c>
      <c r="H369" s="23">
        <v>2</v>
      </c>
    </row>
    <row r="370" spans="1:8">
      <c r="A370" s="22" t="s">
        <v>2516</v>
      </c>
      <c r="B370" s="23" t="s">
        <v>1176</v>
      </c>
      <c r="C370" s="23">
        <v>46</v>
      </c>
      <c r="D370" s="23" t="s">
        <v>72</v>
      </c>
      <c r="E370" s="24">
        <v>45695</v>
      </c>
      <c r="F370" s="23" t="s">
        <v>2653</v>
      </c>
      <c r="G370" s="23" t="s">
        <v>2656</v>
      </c>
      <c r="H370" s="23">
        <v>1</v>
      </c>
    </row>
    <row r="371" spans="1:8">
      <c r="A371" s="22" t="s">
        <v>2517</v>
      </c>
      <c r="B371" s="23" t="s">
        <v>1370</v>
      </c>
      <c r="C371" s="23">
        <v>46</v>
      </c>
      <c r="D371" s="23" t="s">
        <v>2662</v>
      </c>
      <c r="E371" s="24">
        <v>45632</v>
      </c>
      <c r="F371" s="23" t="s">
        <v>2655</v>
      </c>
      <c r="G371" s="23" t="s">
        <v>2654</v>
      </c>
      <c r="H371" s="23">
        <v>0</v>
      </c>
    </row>
    <row r="372" spans="1:8">
      <c r="A372" s="22" t="s">
        <v>2518</v>
      </c>
      <c r="B372" s="23" t="s">
        <v>1370</v>
      </c>
      <c r="C372" s="23">
        <v>22</v>
      </c>
      <c r="D372" s="23" t="s">
        <v>72</v>
      </c>
      <c r="E372" s="24">
        <v>45622</v>
      </c>
      <c r="F372" s="23" t="s">
        <v>2653</v>
      </c>
      <c r="G372" s="23" t="s">
        <v>2654</v>
      </c>
      <c r="H372" s="23">
        <v>0</v>
      </c>
    </row>
    <row r="373" spans="1:8">
      <c r="A373" s="22" t="s">
        <v>2519</v>
      </c>
      <c r="B373" s="23" t="s">
        <v>1370</v>
      </c>
      <c r="C373" s="23">
        <v>45</v>
      </c>
      <c r="D373" s="23" t="s">
        <v>2688</v>
      </c>
      <c r="E373" s="24">
        <v>45571</v>
      </c>
      <c r="F373" s="23" t="s">
        <v>2655</v>
      </c>
      <c r="G373" s="23" t="s">
        <v>2654</v>
      </c>
      <c r="H373" s="23">
        <v>0</v>
      </c>
    </row>
    <row r="374" spans="1:8">
      <c r="A374" s="22" t="s">
        <v>2520</v>
      </c>
      <c r="B374" s="23" t="s">
        <v>1176</v>
      </c>
      <c r="C374" s="23">
        <v>63</v>
      </c>
      <c r="D374" s="23" t="s">
        <v>2689</v>
      </c>
      <c r="E374" s="24">
        <v>45666</v>
      </c>
      <c r="F374" s="23" t="s">
        <v>2655</v>
      </c>
      <c r="G374" s="23" t="s">
        <v>2654</v>
      </c>
      <c r="H374" s="23">
        <v>0</v>
      </c>
    </row>
    <row r="375" spans="1:8">
      <c r="A375" s="22" t="s">
        <v>2521</v>
      </c>
      <c r="B375" s="23" t="s">
        <v>1176</v>
      </c>
      <c r="C375" s="23">
        <v>57</v>
      </c>
      <c r="D375" s="23" t="s">
        <v>359</v>
      </c>
      <c r="E375" s="24">
        <v>45736</v>
      </c>
      <c r="F375" s="23" t="s">
        <v>2655</v>
      </c>
      <c r="G375" s="23" t="s">
        <v>2656</v>
      </c>
      <c r="H375" s="23">
        <v>4</v>
      </c>
    </row>
    <row r="376" spans="1:8">
      <c r="A376" s="22" t="s">
        <v>2522</v>
      </c>
      <c r="B376" s="23" t="s">
        <v>1176</v>
      </c>
      <c r="C376" s="23">
        <v>31</v>
      </c>
      <c r="D376" s="23" t="s">
        <v>2670</v>
      </c>
      <c r="E376" s="24">
        <v>45617</v>
      </c>
      <c r="F376" s="23" t="s">
        <v>2655</v>
      </c>
      <c r="G376" s="23" t="s">
        <v>2654</v>
      </c>
      <c r="H376" s="23">
        <v>0</v>
      </c>
    </row>
    <row r="377" spans="1:8">
      <c r="A377" s="22" t="s">
        <v>1542</v>
      </c>
      <c r="B377" s="23" t="s">
        <v>1370</v>
      </c>
      <c r="C377" s="23">
        <v>52</v>
      </c>
      <c r="D377" s="23" t="s">
        <v>2689</v>
      </c>
      <c r="E377" s="24">
        <v>45683</v>
      </c>
      <c r="F377" s="23" t="s">
        <v>2655</v>
      </c>
      <c r="G377" s="23" t="s">
        <v>2656</v>
      </c>
      <c r="H377" s="23">
        <v>2</v>
      </c>
    </row>
    <row r="378" spans="1:8">
      <c r="A378" s="22" t="s">
        <v>1547</v>
      </c>
      <c r="B378" s="23" t="s">
        <v>1370</v>
      </c>
      <c r="C378" s="23">
        <v>18</v>
      </c>
      <c r="D378" s="23" t="s">
        <v>2659</v>
      </c>
      <c r="E378" s="24">
        <v>45585</v>
      </c>
      <c r="F378" s="23" t="s">
        <v>2653</v>
      </c>
      <c r="G378" s="23" t="s">
        <v>2654</v>
      </c>
      <c r="H378" s="23">
        <v>0</v>
      </c>
    </row>
    <row r="379" spans="1:8">
      <c r="A379" s="22" t="s">
        <v>2523</v>
      </c>
      <c r="B379" s="23" t="s">
        <v>1176</v>
      </c>
      <c r="C379" s="23">
        <v>62</v>
      </c>
      <c r="D379" s="23" t="s">
        <v>2661</v>
      </c>
      <c r="E379" s="24">
        <v>45646</v>
      </c>
      <c r="F379" s="23" t="s">
        <v>2653</v>
      </c>
      <c r="G379" s="23" t="s">
        <v>2656</v>
      </c>
      <c r="H379" s="23">
        <v>3</v>
      </c>
    </row>
    <row r="380" spans="1:8">
      <c r="A380" s="22" t="s">
        <v>141</v>
      </c>
      <c r="B380" s="23" t="s">
        <v>1176</v>
      </c>
      <c r="C380" s="23">
        <v>31</v>
      </c>
      <c r="D380" s="23" t="s">
        <v>1203</v>
      </c>
      <c r="E380" s="24">
        <v>45537</v>
      </c>
      <c r="F380" s="23" t="s">
        <v>2655</v>
      </c>
      <c r="G380" s="23" t="s">
        <v>2656</v>
      </c>
      <c r="H380" s="23">
        <v>3</v>
      </c>
    </row>
    <row r="381" spans="1:8">
      <c r="A381" s="22" t="s">
        <v>2524</v>
      </c>
      <c r="B381" s="23" t="s">
        <v>1176</v>
      </c>
      <c r="C381" s="23">
        <v>44</v>
      </c>
      <c r="D381" s="23" t="s">
        <v>2672</v>
      </c>
      <c r="E381" s="24">
        <v>45669</v>
      </c>
      <c r="F381" s="23" t="s">
        <v>2653</v>
      </c>
      <c r="G381" s="23" t="s">
        <v>2654</v>
      </c>
      <c r="H381" s="23">
        <v>0</v>
      </c>
    </row>
    <row r="382" spans="1:8">
      <c r="A382" s="22" t="s">
        <v>2525</v>
      </c>
      <c r="B382" s="23" t="s">
        <v>1176</v>
      </c>
      <c r="C382" s="23">
        <v>36</v>
      </c>
      <c r="D382" s="23" t="s">
        <v>2687</v>
      </c>
      <c r="E382" s="24">
        <v>45541</v>
      </c>
      <c r="F382" s="23" t="s">
        <v>2653</v>
      </c>
      <c r="G382" s="23" t="s">
        <v>2654</v>
      </c>
      <c r="H382" s="23">
        <v>0</v>
      </c>
    </row>
    <row r="383" spans="1:8">
      <c r="A383" s="22" t="s">
        <v>1158</v>
      </c>
      <c r="B383" s="23" t="s">
        <v>1370</v>
      </c>
      <c r="C383" s="23">
        <v>52</v>
      </c>
      <c r="D383" s="23" t="s">
        <v>89</v>
      </c>
      <c r="E383" s="24">
        <v>45540</v>
      </c>
      <c r="F383" s="23" t="s">
        <v>2653</v>
      </c>
      <c r="G383" s="23" t="s">
        <v>2654</v>
      </c>
      <c r="H383" s="23">
        <v>0</v>
      </c>
    </row>
    <row r="384" spans="1:8">
      <c r="A384" s="22" t="s">
        <v>1145</v>
      </c>
      <c r="B384" s="23" t="s">
        <v>1176</v>
      </c>
      <c r="C384" s="23">
        <v>28</v>
      </c>
      <c r="D384" s="23" t="s">
        <v>2672</v>
      </c>
      <c r="E384" s="24">
        <v>45561</v>
      </c>
      <c r="F384" s="23" t="s">
        <v>2655</v>
      </c>
      <c r="G384" s="23" t="s">
        <v>2656</v>
      </c>
      <c r="H384" s="23">
        <v>1</v>
      </c>
    </row>
    <row r="385" spans="1:8">
      <c r="A385" s="22" t="s">
        <v>2076</v>
      </c>
      <c r="B385" s="23" t="s">
        <v>1176</v>
      </c>
      <c r="C385" s="23">
        <v>41</v>
      </c>
      <c r="D385" s="23" t="s">
        <v>2666</v>
      </c>
      <c r="E385" s="24">
        <v>45668</v>
      </c>
      <c r="F385" s="23" t="s">
        <v>2655</v>
      </c>
      <c r="G385" s="23" t="s">
        <v>2654</v>
      </c>
      <c r="H385" s="23">
        <v>0</v>
      </c>
    </row>
    <row r="386" spans="1:8">
      <c r="A386" s="22" t="s">
        <v>96</v>
      </c>
      <c r="B386" s="23" t="s">
        <v>1370</v>
      </c>
      <c r="C386" s="23">
        <v>41</v>
      </c>
      <c r="D386" s="23" t="s">
        <v>425</v>
      </c>
      <c r="E386" s="24">
        <v>45573</v>
      </c>
      <c r="F386" s="23" t="s">
        <v>2655</v>
      </c>
      <c r="G386" s="23" t="s">
        <v>2654</v>
      </c>
      <c r="H386" s="23">
        <v>0</v>
      </c>
    </row>
    <row r="387" spans="1:8">
      <c r="A387" s="22" t="s">
        <v>796</v>
      </c>
      <c r="B387" s="23" t="s">
        <v>1370</v>
      </c>
      <c r="C387" s="23">
        <v>42</v>
      </c>
      <c r="D387" s="23" t="s">
        <v>2683</v>
      </c>
      <c r="E387" s="24">
        <v>45604</v>
      </c>
      <c r="F387" s="23" t="s">
        <v>2655</v>
      </c>
      <c r="G387" s="23" t="s">
        <v>2654</v>
      </c>
      <c r="H387" s="23">
        <v>0</v>
      </c>
    </row>
    <row r="388" spans="1:8">
      <c r="A388" s="22" t="s">
        <v>713</v>
      </c>
      <c r="B388" s="23" t="s">
        <v>1176</v>
      </c>
      <c r="C388" s="23">
        <v>62</v>
      </c>
      <c r="D388" s="23" t="s">
        <v>2673</v>
      </c>
      <c r="E388" s="24">
        <v>45606</v>
      </c>
      <c r="F388" s="23" t="s">
        <v>2655</v>
      </c>
      <c r="G388" s="23" t="s">
        <v>2656</v>
      </c>
      <c r="H388" s="23">
        <v>3</v>
      </c>
    </row>
    <row r="389" spans="1:8">
      <c r="A389" s="22" t="s">
        <v>2526</v>
      </c>
      <c r="B389" s="23" t="s">
        <v>1370</v>
      </c>
      <c r="C389" s="23">
        <v>35</v>
      </c>
      <c r="D389" s="23" t="s">
        <v>2659</v>
      </c>
      <c r="E389" s="24">
        <v>45691</v>
      </c>
      <c r="F389" s="23" t="s">
        <v>2653</v>
      </c>
      <c r="G389" s="23" t="s">
        <v>2656</v>
      </c>
      <c r="H389" s="23">
        <v>4</v>
      </c>
    </row>
    <row r="390" spans="1:8">
      <c r="A390" s="22" t="s">
        <v>2527</v>
      </c>
      <c r="B390" s="23" t="s">
        <v>1370</v>
      </c>
      <c r="C390" s="23">
        <v>47</v>
      </c>
      <c r="D390" s="23" t="s">
        <v>2665</v>
      </c>
      <c r="E390" s="24">
        <v>45606</v>
      </c>
      <c r="F390" s="23" t="s">
        <v>2653</v>
      </c>
      <c r="G390" s="23" t="s">
        <v>2656</v>
      </c>
      <c r="H390" s="23">
        <v>1</v>
      </c>
    </row>
    <row r="391" spans="1:8">
      <c r="A391" s="22" t="s">
        <v>2528</v>
      </c>
      <c r="B391" s="23" t="s">
        <v>1176</v>
      </c>
      <c r="C391" s="23">
        <v>30</v>
      </c>
      <c r="D391" s="23" t="s">
        <v>2671</v>
      </c>
      <c r="E391" s="24">
        <v>45649</v>
      </c>
      <c r="F391" s="23" t="s">
        <v>2653</v>
      </c>
      <c r="G391" s="23" t="s">
        <v>2656</v>
      </c>
      <c r="H391" s="23">
        <v>3</v>
      </c>
    </row>
    <row r="392" spans="1:8">
      <c r="A392" s="22" t="s">
        <v>2529</v>
      </c>
      <c r="B392" s="23" t="s">
        <v>1370</v>
      </c>
      <c r="C392" s="23">
        <v>47</v>
      </c>
      <c r="D392" s="23" t="s">
        <v>2668</v>
      </c>
      <c r="E392" s="24">
        <v>45604</v>
      </c>
      <c r="F392" s="23" t="s">
        <v>2653</v>
      </c>
      <c r="G392" s="23" t="s">
        <v>2656</v>
      </c>
      <c r="H392" s="23">
        <v>3</v>
      </c>
    </row>
    <row r="393" spans="1:8">
      <c r="A393" s="22" t="s">
        <v>1758</v>
      </c>
      <c r="B393" s="23" t="s">
        <v>1370</v>
      </c>
      <c r="C393" s="23">
        <v>33</v>
      </c>
      <c r="D393" s="23" t="s">
        <v>2659</v>
      </c>
      <c r="E393" s="24">
        <v>45681</v>
      </c>
      <c r="F393" s="23" t="s">
        <v>2653</v>
      </c>
      <c r="G393" s="23" t="s">
        <v>2654</v>
      </c>
      <c r="H393" s="23">
        <v>0</v>
      </c>
    </row>
    <row r="394" spans="1:8">
      <c r="A394" s="22" t="s">
        <v>2530</v>
      </c>
      <c r="B394" s="23" t="s">
        <v>1370</v>
      </c>
      <c r="C394" s="23">
        <v>52</v>
      </c>
      <c r="D394" s="23" t="s">
        <v>2666</v>
      </c>
      <c r="E394" s="24">
        <v>45666</v>
      </c>
      <c r="F394" s="23" t="s">
        <v>2655</v>
      </c>
      <c r="G394" s="23" t="s">
        <v>2654</v>
      </c>
      <c r="H394" s="23">
        <v>0</v>
      </c>
    </row>
    <row r="395" spans="1:8">
      <c r="A395" s="22" t="s">
        <v>1621</v>
      </c>
      <c r="B395" s="23" t="s">
        <v>1176</v>
      </c>
      <c r="C395" s="23">
        <v>29</v>
      </c>
      <c r="D395" s="23" t="s">
        <v>2666</v>
      </c>
      <c r="E395" s="24">
        <v>45584</v>
      </c>
      <c r="F395" s="23" t="s">
        <v>2655</v>
      </c>
      <c r="G395" s="23" t="s">
        <v>2654</v>
      </c>
      <c r="H395" s="23">
        <v>0</v>
      </c>
    </row>
    <row r="396" spans="1:8">
      <c r="A396" s="22" t="s">
        <v>1531</v>
      </c>
      <c r="B396" s="23" t="s">
        <v>1370</v>
      </c>
      <c r="C396" s="23">
        <v>28</v>
      </c>
      <c r="D396" s="23" t="s">
        <v>2691</v>
      </c>
      <c r="E396" s="24">
        <v>45693</v>
      </c>
      <c r="F396" s="23" t="s">
        <v>2653</v>
      </c>
      <c r="G396" s="23" t="s">
        <v>2656</v>
      </c>
      <c r="H396" s="23">
        <v>4</v>
      </c>
    </row>
    <row r="397" spans="1:8">
      <c r="A397" s="22" t="s">
        <v>1748</v>
      </c>
      <c r="B397" s="23" t="s">
        <v>1370</v>
      </c>
      <c r="C397" s="23">
        <v>38</v>
      </c>
      <c r="D397" s="23" t="s">
        <v>2675</v>
      </c>
      <c r="E397" s="24">
        <v>45629</v>
      </c>
      <c r="F397" s="23" t="s">
        <v>2653</v>
      </c>
      <c r="G397" s="23" t="s">
        <v>2656</v>
      </c>
      <c r="H397" s="23">
        <v>3</v>
      </c>
    </row>
    <row r="398" spans="1:8">
      <c r="A398" s="22" t="s">
        <v>1339</v>
      </c>
      <c r="B398" s="23" t="s">
        <v>1370</v>
      </c>
      <c r="C398" s="23">
        <v>59</v>
      </c>
      <c r="D398" s="23" t="s">
        <v>2665</v>
      </c>
      <c r="E398" s="24">
        <v>45544</v>
      </c>
      <c r="F398" s="23" t="s">
        <v>2653</v>
      </c>
      <c r="G398" s="23" t="s">
        <v>2654</v>
      </c>
      <c r="H398" s="23">
        <v>0</v>
      </c>
    </row>
    <row r="399" spans="1:8">
      <c r="A399" s="22" t="s">
        <v>2531</v>
      </c>
      <c r="B399" s="23" t="s">
        <v>1176</v>
      </c>
      <c r="C399" s="23">
        <v>61</v>
      </c>
      <c r="D399" s="23" t="s">
        <v>2660</v>
      </c>
      <c r="E399" s="24">
        <v>45620</v>
      </c>
      <c r="F399" s="23" t="s">
        <v>2653</v>
      </c>
      <c r="G399" s="23" t="s">
        <v>2654</v>
      </c>
      <c r="H399" s="23">
        <v>0</v>
      </c>
    </row>
    <row r="400" spans="1:8">
      <c r="A400" s="22" t="s">
        <v>2320</v>
      </c>
      <c r="B400" s="23" t="s">
        <v>1370</v>
      </c>
      <c r="C400" s="23">
        <v>59</v>
      </c>
      <c r="D400" s="23" t="s">
        <v>2669</v>
      </c>
      <c r="E400" s="24">
        <v>45707</v>
      </c>
      <c r="F400" s="23" t="s">
        <v>2655</v>
      </c>
      <c r="G400" s="23" t="s">
        <v>2656</v>
      </c>
      <c r="H400" s="23">
        <v>4</v>
      </c>
    </row>
    <row r="401" spans="1:8">
      <c r="A401" s="22" t="s">
        <v>558</v>
      </c>
      <c r="B401" s="23" t="s">
        <v>1370</v>
      </c>
      <c r="C401" s="23">
        <v>43</v>
      </c>
      <c r="D401" s="23" t="s">
        <v>82</v>
      </c>
      <c r="E401" s="24">
        <v>45718</v>
      </c>
      <c r="F401" s="23" t="s">
        <v>2653</v>
      </c>
      <c r="G401" s="23" t="s">
        <v>2656</v>
      </c>
      <c r="H401" s="23">
        <v>3</v>
      </c>
    </row>
    <row r="402" spans="1:8">
      <c r="A402" s="22" t="s">
        <v>2532</v>
      </c>
      <c r="B402" s="23" t="s">
        <v>1370</v>
      </c>
      <c r="C402" s="23">
        <v>23</v>
      </c>
      <c r="D402" s="23" t="s">
        <v>2683</v>
      </c>
      <c r="E402" s="24">
        <v>45594</v>
      </c>
      <c r="F402" s="23" t="s">
        <v>2653</v>
      </c>
      <c r="G402" s="23" t="s">
        <v>2656</v>
      </c>
      <c r="H402" s="23">
        <v>4</v>
      </c>
    </row>
    <row r="403" spans="1:8">
      <c r="A403" s="22" t="s">
        <v>1545</v>
      </c>
      <c r="B403" s="23" t="s">
        <v>1176</v>
      </c>
      <c r="C403" s="23">
        <v>34</v>
      </c>
      <c r="D403" s="23" t="s">
        <v>2679</v>
      </c>
      <c r="E403" s="24">
        <v>45636</v>
      </c>
      <c r="F403" s="23" t="s">
        <v>2653</v>
      </c>
      <c r="G403" s="23" t="s">
        <v>2656</v>
      </c>
      <c r="H403" s="23">
        <v>1</v>
      </c>
    </row>
    <row r="404" spans="1:8">
      <c r="A404" s="22" t="s">
        <v>1365</v>
      </c>
      <c r="B404" s="23" t="s">
        <v>1370</v>
      </c>
      <c r="C404" s="23">
        <v>36</v>
      </c>
      <c r="D404" s="23" t="s">
        <v>2666</v>
      </c>
      <c r="E404" s="24">
        <v>45576</v>
      </c>
      <c r="F404" s="23" t="s">
        <v>2655</v>
      </c>
      <c r="G404" s="23" t="s">
        <v>2656</v>
      </c>
      <c r="H404" s="23">
        <v>4</v>
      </c>
    </row>
    <row r="405" spans="1:8">
      <c r="A405" s="22" t="s">
        <v>2533</v>
      </c>
      <c r="B405" s="23" t="s">
        <v>1176</v>
      </c>
      <c r="C405" s="23">
        <v>51</v>
      </c>
      <c r="D405" s="23" t="s">
        <v>2681</v>
      </c>
      <c r="E405" s="24">
        <v>45712</v>
      </c>
      <c r="F405" s="23" t="s">
        <v>2653</v>
      </c>
      <c r="G405" s="23" t="s">
        <v>2654</v>
      </c>
      <c r="H405" s="23">
        <v>0</v>
      </c>
    </row>
    <row r="406" spans="1:8">
      <c r="A406" s="22" t="s">
        <v>2534</v>
      </c>
      <c r="B406" s="23" t="s">
        <v>1370</v>
      </c>
      <c r="C406" s="23">
        <v>36</v>
      </c>
      <c r="D406" s="23" t="s">
        <v>2663</v>
      </c>
      <c r="E406" s="24">
        <v>45713</v>
      </c>
      <c r="F406" s="23" t="s">
        <v>2655</v>
      </c>
      <c r="G406" s="23" t="s">
        <v>2654</v>
      </c>
      <c r="H406" s="23">
        <v>0</v>
      </c>
    </row>
    <row r="407" spans="1:8">
      <c r="A407" s="22" t="s">
        <v>2535</v>
      </c>
      <c r="B407" s="23" t="s">
        <v>1176</v>
      </c>
      <c r="C407" s="23">
        <v>52</v>
      </c>
      <c r="D407" s="23" t="s">
        <v>2664</v>
      </c>
      <c r="E407" s="24">
        <v>45552</v>
      </c>
      <c r="F407" s="23" t="s">
        <v>2653</v>
      </c>
      <c r="G407" s="23" t="s">
        <v>2656</v>
      </c>
      <c r="H407" s="23">
        <v>4</v>
      </c>
    </row>
    <row r="408" spans="1:8">
      <c r="A408" s="22" t="s">
        <v>429</v>
      </c>
      <c r="B408" s="23" t="s">
        <v>1176</v>
      </c>
      <c r="C408" s="23">
        <v>64</v>
      </c>
      <c r="D408" s="23" t="s">
        <v>2685</v>
      </c>
      <c r="E408" s="24">
        <v>45689</v>
      </c>
      <c r="F408" s="23" t="s">
        <v>2655</v>
      </c>
      <c r="G408" s="23" t="s">
        <v>2656</v>
      </c>
      <c r="H408" s="23">
        <v>2</v>
      </c>
    </row>
    <row r="409" spans="1:8">
      <c r="A409" s="22" t="s">
        <v>1584</v>
      </c>
      <c r="B409" s="23" t="s">
        <v>1176</v>
      </c>
      <c r="C409" s="23">
        <v>33</v>
      </c>
      <c r="D409" s="23" t="s">
        <v>2674</v>
      </c>
      <c r="E409" s="24">
        <v>45672</v>
      </c>
      <c r="F409" s="23" t="s">
        <v>2655</v>
      </c>
      <c r="G409" s="23" t="s">
        <v>2654</v>
      </c>
      <c r="H409" s="23">
        <v>0</v>
      </c>
    </row>
    <row r="410" spans="1:8">
      <c r="A410" s="22" t="s">
        <v>1038</v>
      </c>
      <c r="B410" s="23" t="s">
        <v>1370</v>
      </c>
      <c r="C410" s="23">
        <v>58</v>
      </c>
      <c r="D410" s="23" t="s">
        <v>265</v>
      </c>
      <c r="E410" s="24">
        <v>45660</v>
      </c>
      <c r="F410" s="23" t="s">
        <v>2655</v>
      </c>
      <c r="G410" s="23" t="s">
        <v>2654</v>
      </c>
      <c r="H410" s="23">
        <v>0</v>
      </c>
    </row>
    <row r="411" spans="1:8">
      <c r="A411" s="22" t="s">
        <v>1663</v>
      </c>
      <c r="B411" s="23" t="s">
        <v>1176</v>
      </c>
      <c r="C411" s="23">
        <v>20</v>
      </c>
      <c r="D411" s="23" t="s">
        <v>2685</v>
      </c>
      <c r="E411" s="24">
        <v>45733</v>
      </c>
      <c r="F411" s="23" t="s">
        <v>2653</v>
      </c>
      <c r="G411" s="23" t="s">
        <v>2654</v>
      </c>
      <c r="H411" s="23">
        <v>0</v>
      </c>
    </row>
    <row r="412" spans="1:8">
      <c r="A412" s="22" t="s">
        <v>2536</v>
      </c>
      <c r="B412" s="23" t="s">
        <v>1176</v>
      </c>
      <c r="C412" s="23">
        <v>39</v>
      </c>
      <c r="D412" s="23" t="s">
        <v>72</v>
      </c>
      <c r="E412" s="24">
        <v>45609</v>
      </c>
      <c r="F412" s="23" t="s">
        <v>2653</v>
      </c>
      <c r="G412" s="23" t="s">
        <v>2656</v>
      </c>
      <c r="H412" s="23">
        <v>3</v>
      </c>
    </row>
    <row r="413" spans="1:8">
      <c r="A413" s="22" t="s">
        <v>2251</v>
      </c>
      <c r="B413" s="23" t="s">
        <v>1176</v>
      </c>
      <c r="C413" s="23">
        <v>54</v>
      </c>
      <c r="D413" s="23" t="s">
        <v>2690</v>
      </c>
      <c r="E413" s="24">
        <v>45575</v>
      </c>
      <c r="F413" s="23" t="s">
        <v>2655</v>
      </c>
      <c r="G413" s="23" t="s">
        <v>2656</v>
      </c>
      <c r="H413" s="23">
        <v>2</v>
      </c>
    </row>
    <row r="414" spans="1:8">
      <c r="A414" s="22" t="s">
        <v>442</v>
      </c>
      <c r="B414" s="23" t="s">
        <v>1370</v>
      </c>
      <c r="C414" s="23">
        <v>54</v>
      </c>
      <c r="D414" s="23" t="s">
        <v>2668</v>
      </c>
      <c r="E414" s="24">
        <v>45670</v>
      </c>
      <c r="F414" s="23" t="s">
        <v>2655</v>
      </c>
      <c r="G414" s="23" t="s">
        <v>2654</v>
      </c>
      <c r="H414" s="23">
        <v>0</v>
      </c>
    </row>
    <row r="415" spans="1:8">
      <c r="A415" s="22" t="s">
        <v>2537</v>
      </c>
      <c r="B415" s="23" t="s">
        <v>1176</v>
      </c>
      <c r="C415" s="23">
        <v>19</v>
      </c>
      <c r="D415" s="23" t="s">
        <v>2669</v>
      </c>
      <c r="E415" s="24">
        <v>45605</v>
      </c>
      <c r="F415" s="23" t="s">
        <v>2655</v>
      </c>
      <c r="G415" s="23" t="s">
        <v>2654</v>
      </c>
      <c r="H415" s="23">
        <v>0</v>
      </c>
    </row>
    <row r="416" spans="1:8">
      <c r="A416" s="22" t="s">
        <v>475</v>
      </c>
      <c r="B416" s="23" t="s">
        <v>1176</v>
      </c>
      <c r="C416" s="23">
        <v>56</v>
      </c>
      <c r="D416" s="23" t="s">
        <v>2668</v>
      </c>
      <c r="E416" s="24">
        <v>45692</v>
      </c>
      <c r="F416" s="23" t="s">
        <v>2655</v>
      </c>
      <c r="G416" s="23" t="s">
        <v>2656</v>
      </c>
      <c r="H416" s="23">
        <v>3</v>
      </c>
    </row>
    <row r="417" spans="1:8">
      <c r="A417" s="22" t="s">
        <v>612</v>
      </c>
      <c r="B417" s="23" t="s">
        <v>1176</v>
      </c>
      <c r="C417" s="23">
        <v>41</v>
      </c>
      <c r="D417" s="23" t="s">
        <v>2672</v>
      </c>
      <c r="E417" s="24">
        <v>45633</v>
      </c>
      <c r="F417" s="23" t="s">
        <v>2653</v>
      </c>
      <c r="G417" s="23" t="s">
        <v>2656</v>
      </c>
      <c r="H417" s="23">
        <v>2</v>
      </c>
    </row>
    <row r="418" spans="1:8">
      <c r="A418" s="22" t="s">
        <v>1320</v>
      </c>
      <c r="B418" s="23" t="s">
        <v>1370</v>
      </c>
      <c r="C418" s="23">
        <v>57</v>
      </c>
      <c r="D418" s="23" t="s">
        <v>72</v>
      </c>
      <c r="E418" s="24">
        <v>45633</v>
      </c>
      <c r="F418" s="23" t="s">
        <v>2653</v>
      </c>
      <c r="G418" s="23" t="s">
        <v>2654</v>
      </c>
      <c r="H418" s="23">
        <v>0</v>
      </c>
    </row>
    <row r="419" spans="1:8">
      <c r="A419" s="22" t="s">
        <v>692</v>
      </c>
      <c r="B419" s="23" t="s">
        <v>1370</v>
      </c>
      <c r="C419" s="23">
        <v>27</v>
      </c>
      <c r="D419" s="23" t="s">
        <v>1203</v>
      </c>
      <c r="E419" s="24">
        <v>45565</v>
      </c>
      <c r="F419" s="23" t="s">
        <v>2655</v>
      </c>
      <c r="G419" s="23" t="s">
        <v>2654</v>
      </c>
      <c r="H419" s="23">
        <v>0</v>
      </c>
    </row>
    <row r="420" spans="1:8">
      <c r="A420" s="22" t="s">
        <v>1736</v>
      </c>
      <c r="B420" s="23" t="s">
        <v>1176</v>
      </c>
      <c r="C420" s="23">
        <v>29</v>
      </c>
      <c r="D420" s="23" t="s">
        <v>2681</v>
      </c>
      <c r="E420" s="24">
        <v>45581</v>
      </c>
      <c r="F420" s="23" t="s">
        <v>2653</v>
      </c>
      <c r="G420" s="23" t="s">
        <v>2656</v>
      </c>
      <c r="H420" s="23">
        <v>1</v>
      </c>
    </row>
    <row r="421" spans="1:8">
      <c r="A421" s="22" t="s">
        <v>2538</v>
      </c>
      <c r="B421" s="23" t="s">
        <v>1176</v>
      </c>
      <c r="C421" s="23">
        <v>34</v>
      </c>
      <c r="D421" s="23" t="s">
        <v>2332</v>
      </c>
      <c r="E421" s="24">
        <v>45693</v>
      </c>
      <c r="F421" s="23" t="s">
        <v>2653</v>
      </c>
      <c r="G421" s="23" t="s">
        <v>2656</v>
      </c>
      <c r="H421" s="23">
        <v>2</v>
      </c>
    </row>
    <row r="422" spans="1:8">
      <c r="A422" s="22" t="s">
        <v>1034</v>
      </c>
      <c r="B422" s="23" t="s">
        <v>1176</v>
      </c>
      <c r="C422" s="23">
        <v>55</v>
      </c>
      <c r="D422" s="23" t="s">
        <v>2332</v>
      </c>
      <c r="E422" s="24">
        <v>45605</v>
      </c>
      <c r="F422" s="23" t="s">
        <v>2655</v>
      </c>
      <c r="G422" s="23" t="s">
        <v>2654</v>
      </c>
      <c r="H422" s="23">
        <v>0</v>
      </c>
    </row>
    <row r="423" spans="1:8">
      <c r="A423" s="22" t="s">
        <v>2539</v>
      </c>
      <c r="B423" s="23" t="s">
        <v>1176</v>
      </c>
      <c r="C423" s="23">
        <v>58</v>
      </c>
      <c r="D423" s="23" t="s">
        <v>2683</v>
      </c>
      <c r="E423" s="24">
        <v>45642</v>
      </c>
      <c r="F423" s="23" t="s">
        <v>2655</v>
      </c>
      <c r="G423" s="23" t="s">
        <v>2656</v>
      </c>
      <c r="H423" s="23">
        <v>4</v>
      </c>
    </row>
    <row r="424" spans="1:8">
      <c r="A424" s="22" t="s">
        <v>195</v>
      </c>
      <c r="B424" s="23" t="s">
        <v>1176</v>
      </c>
      <c r="C424" s="23">
        <v>45</v>
      </c>
      <c r="D424" s="23" t="s">
        <v>2669</v>
      </c>
      <c r="E424" s="24">
        <v>45576</v>
      </c>
      <c r="F424" s="23" t="s">
        <v>2653</v>
      </c>
      <c r="G424" s="23" t="s">
        <v>2656</v>
      </c>
      <c r="H424" s="23">
        <v>4</v>
      </c>
    </row>
    <row r="425" spans="1:8">
      <c r="A425" s="22" t="s">
        <v>2540</v>
      </c>
      <c r="B425" s="23" t="s">
        <v>1370</v>
      </c>
      <c r="C425" s="23">
        <v>41</v>
      </c>
      <c r="D425" s="23" t="s">
        <v>2660</v>
      </c>
      <c r="E425" s="24">
        <v>45634</v>
      </c>
      <c r="F425" s="23" t="s">
        <v>2653</v>
      </c>
      <c r="G425" s="23" t="s">
        <v>2656</v>
      </c>
      <c r="H425" s="23">
        <v>2</v>
      </c>
    </row>
    <row r="426" spans="1:8">
      <c r="A426" s="22" t="s">
        <v>2541</v>
      </c>
      <c r="B426" s="23" t="s">
        <v>1176</v>
      </c>
      <c r="C426" s="23">
        <v>43</v>
      </c>
      <c r="D426" s="23" t="s">
        <v>2685</v>
      </c>
      <c r="E426" s="24">
        <v>45689</v>
      </c>
      <c r="F426" s="23" t="s">
        <v>2655</v>
      </c>
      <c r="G426" s="23" t="s">
        <v>2656</v>
      </c>
      <c r="H426" s="23">
        <v>2</v>
      </c>
    </row>
    <row r="427" spans="1:8">
      <c r="A427" s="22" t="s">
        <v>754</v>
      </c>
      <c r="B427" s="23" t="s">
        <v>1370</v>
      </c>
      <c r="C427" s="23">
        <v>39</v>
      </c>
      <c r="D427" s="23" t="s">
        <v>425</v>
      </c>
      <c r="E427" s="24">
        <v>45682</v>
      </c>
      <c r="F427" s="23" t="s">
        <v>2653</v>
      </c>
      <c r="G427" s="23" t="s">
        <v>2656</v>
      </c>
      <c r="H427" s="23">
        <v>3</v>
      </c>
    </row>
    <row r="428" spans="1:8">
      <c r="A428" s="22" t="s">
        <v>1751</v>
      </c>
      <c r="B428" s="23" t="s">
        <v>1176</v>
      </c>
      <c r="C428" s="23">
        <v>31</v>
      </c>
      <c r="D428" s="23" t="s">
        <v>2662</v>
      </c>
      <c r="E428" s="24">
        <v>45683</v>
      </c>
      <c r="F428" s="23" t="s">
        <v>2655</v>
      </c>
      <c r="G428" s="23" t="s">
        <v>2654</v>
      </c>
      <c r="H428" s="23">
        <v>0</v>
      </c>
    </row>
    <row r="429" spans="1:8">
      <c r="A429" s="22" t="s">
        <v>638</v>
      </c>
      <c r="B429" s="23" t="s">
        <v>1370</v>
      </c>
      <c r="C429" s="23">
        <v>48</v>
      </c>
      <c r="D429" s="23" t="s">
        <v>2661</v>
      </c>
      <c r="E429" s="24">
        <v>45562</v>
      </c>
      <c r="F429" s="23" t="s">
        <v>2655</v>
      </c>
      <c r="G429" s="23" t="s">
        <v>2656</v>
      </c>
      <c r="H429" s="23">
        <v>3</v>
      </c>
    </row>
    <row r="430" spans="1:8">
      <c r="A430" s="22" t="s">
        <v>977</v>
      </c>
      <c r="B430" s="23" t="s">
        <v>1176</v>
      </c>
      <c r="C430" s="23">
        <v>40</v>
      </c>
      <c r="D430" s="23" t="s">
        <v>2677</v>
      </c>
      <c r="E430" s="24">
        <v>45704</v>
      </c>
      <c r="F430" s="23" t="s">
        <v>2655</v>
      </c>
      <c r="G430" s="23" t="s">
        <v>2654</v>
      </c>
      <c r="H430" s="23">
        <v>0</v>
      </c>
    </row>
    <row r="431" spans="1:8">
      <c r="A431" s="22" t="s">
        <v>1314</v>
      </c>
      <c r="B431" s="23" t="s">
        <v>1176</v>
      </c>
      <c r="C431" s="23">
        <v>25</v>
      </c>
      <c r="D431" s="23" t="s">
        <v>2674</v>
      </c>
      <c r="E431" s="24">
        <v>45703</v>
      </c>
      <c r="F431" s="23" t="s">
        <v>2653</v>
      </c>
      <c r="G431" s="23" t="s">
        <v>2656</v>
      </c>
      <c r="H431" s="23">
        <v>2</v>
      </c>
    </row>
    <row r="432" spans="1:8">
      <c r="A432" s="22" t="s">
        <v>2542</v>
      </c>
      <c r="B432" s="23" t="s">
        <v>1176</v>
      </c>
      <c r="C432" s="23">
        <v>30</v>
      </c>
      <c r="D432" s="23" t="s">
        <v>2682</v>
      </c>
      <c r="E432" s="24">
        <v>45599</v>
      </c>
      <c r="F432" s="23" t="s">
        <v>2655</v>
      </c>
      <c r="G432" s="23" t="s">
        <v>2654</v>
      </c>
      <c r="H432" s="23">
        <v>0</v>
      </c>
    </row>
    <row r="433" spans="1:8">
      <c r="A433" s="22" t="s">
        <v>2543</v>
      </c>
      <c r="B433" s="23" t="s">
        <v>1370</v>
      </c>
      <c r="C433" s="23">
        <v>55</v>
      </c>
      <c r="D433" s="23" t="s">
        <v>2686</v>
      </c>
      <c r="E433" s="24">
        <v>45615</v>
      </c>
      <c r="F433" s="23" t="s">
        <v>2653</v>
      </c>
      <c r="G433" s="23" t="s">
        <v>2654</v>
      </c>
      <c r="H433" s="23">
        <v>0</v>
      </c>
    </row>
    <row r="434" spans="1:8">
      <c r="A434" s="22" t="s">
        <v>1940</v>
      </c>
      <c r="B434" s="23" t="s">
        <v>1176</v>
      </c>
      <c r="C434" s="23">
        <v>22</v>
      </c>
      <c r="D434" s="23" t="s">
        <v>2669</v>
      </c>
      <c r="E434" s="24">
        <v>45587</v>
      </c>
      <c r="F434" s="23" t="s">
        <v>2653</v>
      </c>
      <c r="G434" s="23" t="s">
        <v>2654</v>
      </c>
      <c r="H434" s="23">
        <v>0</v>
      </c>
    </row>
    <row r="435" spans="1:8">
      <c r="A435" s="22" t="s">
        <v>2544</v>
      </c>
      <c r="B435" s="23" t="s">
        <v>1176</v>
      </c>
      <c r="C435" s="23">
        <v>62</v>
      </c>
      <c r="D435" s="23" t="s">
        <v>2680</v>
      </c>
      <c r="E435" s="24">
        <v>45746</v>
      </c>
      <c r="F435" s="23" t="s">
        <v>2655</v>
      </c>
      <c r="G435" s="23" t="s">
        <v>2656</v>
      </c>
      <c r="H435" s="23">
        <v>1</v>
      </c>
    </row>
    <row r="436" spans="1:8">
      <c r="A436" s="22" t="s">
        <v>1078</v>
      </c>
      <c r="B436" s="23" t="s">
        <v>1176</v>
      </c>
      <c r="C436" s="23">
        <v>56</v>
      </c>
      <c r="D436" s="23" t="s">
        <v>2679</v>
      </c>
      <c r="E436" s="24">
        <v>45601</v>
      </c>
      <c r="F436" s="23" t="s">
        <v>2655</v>
      </c>
      <c r="G436" s="23" t="s">
        <v>2656</v>
      </c>
      <c r="H436" s="23">
        <v>3</v>
      </c>
    </row>
    <row r="437" spans="1:8">
      <c r="A437" s="22" t="s">
        <v>1292</v>
      </c>
      <c r="B437" s="23" t="s">
        <v>1370</v>
      </c>
      <c r="C437" s="23">
        <v>25</v>
      </c>
      <c r="D437" s="23" t="s">
        <v>2687</v>
      </c>
      <c r="E437" s="24">
        <v>45699</v>
      </c>
      <c r="F437" s="23" t="s">
        <v>2653</v>
      </c>
      <c r="G437" s="23" t="s">
        <v>2654</v>
      </c>
      <c r="H437" s="23">
        <v>0</v>
      </c>
    </row>
    <row r="438" spans="1:8">
      <c r="A438" s="22" t="s">
        <v>2545</v>
      </c>
      <c r="B438" s="23" t="s">
        <v>1370</v>
      </c>
      <c r="C438" s="23">
        <v>55</v>
      </c>
      <c r="D438" s="23" t="s">
        <v>2664</v>
      </c>
      <c r="E438" s="24">
        <v>45648</v>
      </c>
      <c r="F438" s="23" t="s">
        <v>2653</v>
      </c>
      <c r="G438" s="23" t="s">
        <v>2656</v>
      </c>
      <c r="H438" s="23">
        <v>2</v>
      </c>
    </row>
    <row r="439" spans="1:8">
      <c r="A439" s="22" t="s">
        <v>1765</v>
      </c>
      <c r="B439" s="23" t="s">
        <v>1370</v>
      </c>
      <c r="C439" s="23">
        <v>22</v>
      </c>
      <c r="D439" s="23" t="s">
        <v>2678</v>
      </c>
      <c r="E439" s="24">
        <v>45544</v>
      </c>
      <c r="F439" s="23" t="s">
        <v>2653</v>
      </c>
      <c r="G439" s="23" t="s">
        <v>2656</v>
      </c>
      <c r="H439" s="23">
        <v>3</v>
      </c>
    </row>
    <row r="440" spans="1:8">
      <c r="A440" s="22" t="s">
        <v>1515</v>
      </c>
      <c r="B440" s="23" t="s">
        <v>1176</v>
      </c>
      <c r="C440" s="23">
        <v>61</v>
      </c>
      <c r="D440" s="23" t="s">
        <v>2665</v>
      </c>
      <c r="E440" s="24">
        <v>45652</v>
      </c>
      <c r="F440" s="23" t="s">
        <v>2655</v>
      </c>
      <c r="G440" s="23" t="s">
        <v>2656</v>
      </c>
      <c r="H440" s="23">
        <v>3</v>
      </c>
    </row>
    <row r="441" spans="1:8">
      <c r="A441" s="22" t="s">
        <v>165</v>
      </c>
      <c r="B441" s="23" t="s">
        <v>1370</v>
      </c>
      <c r="C441" s="23">
        <v>59</v>
      </c>
      <c r="D441" s="23" t="s">
        <v>48</v>
      </c>
      <c r="E441" s="24">
        <v>45642</v>
      </c>
      <c r="F441" s="23" t="s">
        <v>2653</v>
      </c>
      <c r="G441" s="23" t="s">
        <v>2656</v>
      </c>
      <c r="H441" s="23">
        <v>2</v>
      </c>
    </row>
    <row r="442" spans="1:8">
      <c r="A442" s="22" t="s">
        <v>1471</v>
      </c>
      <c r="B442" s="23" t="s">
        <v>1370</v>
      </c>
      <c r="C442" s="23">
        <v>57</v>
      </c>
      <c r="D442" s="23" t="s">
        <v>1203</v>
      </c>
      <c r="E442" s="24">
        <v>45607</v>
      </c>
      <c r="F442" s="23" t="s">
        <v>2653</v>
      </c>
      <c r="G442" s="23" t="s">
        <v>2656</v>
      </c>
      <c r="H442" s="23">
        <v>4</v>
      </c>
    </row>
    <row r="443" spans="1:8">
      <c r="A443" s="22" t="s">
        <v>2546</v>
      </c>
      <c r="B443" s="23" t="s">
        <v>1370</v>
      </c>
      <c r="C443" s="23">
        <v>20</v>
      </c>
      <c r="D443" s="23" t="s">
        <v>2663</v>
      </c>
      <c r="E443" s="24">
        <v>45590</v>
      </c>
      <c r="F443" s="23" t="s">
        <v>2653</v>
      </c>
      <c r="G443" s="23" t="s">
        <v>2654</v>
      </c>
      <c r="H443" s="23">
        <v>0</v>
      </c>
    </row>
    <row r="444" spans="1:8">
      <c r="A444" s="22" t="s">
        <v>1854</v>
      </c>
      <c r="B444" s="23" t="s">
        <v>1370</v>
      </c>
      <c r="C444" s="23">
        <v>54</v>
      </c>
      <c r="D444" s="23" t="s">
        <v>48</v>
      </c>
      <c r="E444" s="24">
        <v>45636</v>
      </c>
      <c r="F444" s="23" t="s">
        <v>2653</v>
      </c>
      <c r="G444" s="23" t="s">
        <v>2656</v>
      </c>
      <c r="H444" s="23">
        <v>1</v>
      </c>
    </row>
    <row r="445" spans="1:8">
      <c r="A445" s="22" t="s">
        <v>353</v>
      </c>
      <c r="B445" s="23" t="s">
        <v>1370</v>
      </c>
      <c r="C445" s="23">
        <v>35</v>
      </c>
      <c r="D445" s="23" t="s">
        <v>2683</v>
      </c>
      <c r="E445" s="24">
        <v>45683</v>
      </c>
      <c r="F445" s="23" t="s">
        <v>2653</v>
      </c>
      <c r="G445" s="23" t="s">
        <v>2654</v>
      </c>
      <c r="H445" s="23">
        <v>0</v>
      </c>
    </row>
    <row r="446" spans="1:8">
      <c r="A446" s="22" t="s">
        <v>1271</v>
      </c>
      <c r="B446" s="23" t="s">
        <v>1176</v>
      </c>
      <c r="C446" s="23">
        <v>41</v>
      </c>
      <c r="D446" s="23" t="s">
        <v>2663</v>
      </c>
      <c r="E446" s="24">
        <v>45661</v>
      </c>
      <c r="F446" s="23" t="s">
        <v>2653</v>
      </c>
      <c r="G446" s="23" t="s">
        <v>2654</v>
      </c>
      <c r="H446" s="23">
        <v>0</v>
      </c>
    </row>
    <row r="447" spans="1:8">
      <c r="A447" s="22" t="s">
        <v>2547</v>
      </c>
      <c r="B447" s="23" t="s">
        <v>1176</v>
      </c>
      <c r="C447" s="23">
        <v>41</v>
      </c>
      <c r="D447" s="23" t="s">
        <v>359</v>
      </c>
      <c r="E447" s="24">
        <v>45661</v>
      </c>
      <c r="F447" s="23" t="s">
        <v>2655</v>
      </c>
      <c r="G447" s="23" t="s">
        <v>2654</v>
      </c>
      <c r="H447" s="23">
        <v>0</v>
      </c>
    </row>
    <row r="448" spans="1:8">
      <c r="A448" s="22" t="s">
        <v>2548</v>
      </c>
      <c r="B448" s="23" t="s">
        <v>1370</v>
      </c>
      <c r="C448" s="23">
        <v>24</v>
      </c>
      <c r="D448" s="23" t="s">
        <v>48</v>
      </c>
      <c r="E448" s="24">
        <v>45584</v>
      </c>
      <c r="F448" s="23" t="s">
        <v>2653</v>
      </c>
      <c r="G448" s="23" t="s">
        <v>2654</v>
      </c>
      <c r="H448" s="23">
        <v>0</v>
      </c>
    </row>
    <row r="449" spans="1:8">
      <c r="A449" s="22" t="s">
        <v>2549</v>
      </c>
      <c r="B449" s="23" t="s">
        <v>1370</v>
      </c>
      <c r="C449" s="23">
        <v>21</v>
      </c>
      <c r="D449" s="23" t="s">
        <v>2673</v>
      </c>
      <c r="E449" s="24">
        <v>45672</v>
      </c>
      <c r="F449" s="23" t="s">
        <v>2655</v>
      </c>
      <c r="G449" s="23" t="s">
        <v>2654</v>
      </c>
      <c r="H449" s="23">
        <v>0</v>
      </c>
    </row>
    <row r="450" spans="1:8">
      <c r="A450" s="22" t="s">
        <v>758</v>
      </c>
      <c r="B450" s="23" t="s">
        <v>1370</v>
      </c>
      <c r="C450" s="23">
        <v>59</v>
      </c>
      <c r="D450" s="23" t="s">
        <v>72</v>
      </c>
      <c r="E450" s="24">
        <v>45644</v>
      </c>
      <c r="F450" s="23" t="s">
        <v>2653</v>
      </c>
      <c r="G450" s="23" t="s">
        <v>2656</v>
      </c>
      <c r="H450" s="23">
        <v>1</v>
      </c>
    </row>
    <row r="451" spans="1:8">
      <c r="A451" s="22" t="s">
        <v>697</v>
      </c>
      <c r="B451" s="23" t="s">
        <v>1176</v>
      </c>
      <c r="C451" s="23">
        <v>63</v>
      </c>
      <c r="D451" s="23" t="s">
        <v>57</v>
      </c>
      <c r="E451" s="24">
        <v>45584</v>
      </c>
      <c r="F451" s="23" t="s">
        <v>2653</v>
      </c>
      <c r="G451" s="23" t="s">
        <v>2654</v>
      </c>
      <c r="H451" s="23">
        <v>0</v>
      </c>
    </row>
    <row r="452" spans="1:8">
      <c r="A452" s="22" t="s">
        <v>2550</v>
      </c>
      <c r="B452" s="23" t="s">
        <v>1370</v>
      </c>
      <c r="C452" s="23">
        <v>20</v>
      </c>
      <c r="D452" s="23" t="s">
        <v>2686</v>
      </c>
      <c r="E452" s="24">
        <v>45708</v>
      </c>
      <c r="F452" s="23" t="s">
        <v>2655</v>
      </c>
      <c r="G452" s="23" t="s">
        <v>2654</v>
      </c>
      <c r="H452" s="23">
        <v>0</v>
      </c>
    </row>
    <row r="453" spans="1:8">
      <c r="A453" s="22" t="s">
        <v>1161</v>
      </c>
      <c r="B453" s="23" t="s">
        <v>1370</v>
      </c>
      <c r="C453" s="23">
        <v>56</v>
      </c>
      <c r="D453" s="23" t="s">
        <v>2670</v>
      </c>
      <c r="E453" s="24">
        <v>45725</v>
      </c>
      <c r="F453" s="23" t="s">
        <v>2655</v>
      </c>
      <c r="G453" s="23" t="s">
        <v>2656</v>
      </c>
      <c r="H453" s="23">
        <v>3</v>
      </c>
    </row>
    <row r="454" spans="1:8">
      <c r="A454" s="22" t="s">
        <v>466</v>
      </c>
      <c r="B454" s="23" t="s">
        <v>1370</v>
      </c>
      <c r="C454" s="23">
        <v>45</v>
      </c>
      <c r="D454" s="23" t="s">
        <v>57</v>
      </c>
      <c r="E454" s="24">
        <v>45588</v>
      </c>
      <c r="F454" s="23" t="s">
        <v>2653</v>
      </c>
      <c r="G454" s="23" t="s">
        <v>2656</v>
      </c>
      <c r="H454" s="23">
        <v>1</v>
      </c>
    </row>
    <row r="455" spans="1:8">
      <c r="A455" s="22" t="s">
        <v>1222</v>
      </c>
      <c r="B455" s="23" t="s">
        <v>1176</v>
      </c>
      <c r="C455" s="23">
        <v>23</v>
      </c>
      <c r="D455" s="23" t="s">
        <v>2667</v>
      </c>
      <c r="E455" s="24">
        <v>45719</v>
      </c>
      <c r="F455" s="23" t="s">
        <v>2653</v>
      </c>
      <c r="G455" s="23" t="s">
        <v>2654</v>
      </c>
      <c r="H455" s="23">
        <v>0</v>
      </c>
    </row>
    <row r="456" spans="1:8">
      <c r="A456" s="22" t="s">
        <v>2551</v>
      </c>
      <c r="B456" s="23" t="s">
        <v>1370</v>
      </c>
      <c r="C456" s="23">
        <v>25</v>
      </c>
      <c r="D456" s="23" t="s">
        <v>425</v>
      </c>
      <c r="E456" s="24">
        <v>45635</v>
      </c>
      <c r="F456" s="23" t="s">
        <v>2655</v>
      </c>
      <c r="G456" s="23" t="s">
        <v>2656</v>
      </c>
      <c r="H456" s="23">
        <v>4</v>
      </c>
    </row>
    <row r="457" spans="1:8">
      <c r="A457" s="22" t="s">
        <v>1155</v>
      </c>
      <c r="B457" s="23" t="s">
        <v>1176</v>
      </c>
      <c r="C457" s="23">
        <v>54</v>
      </c>
      <c r="D457" s="23" t="s">
        <v>2691</v>
      </c>
      <c r="E457" s="24">
        <v>45621</v>
      </c>
      <c r="F457" s="23" t="s">
        <v>2655</v>
      </c>
      <c r="G457" s="23" t="s">
        <v>2656</v>
      </c>
      <c r="H457" s="23">
        <v>1</v>
      </c>
    </row>
    <row r="458" spans="1:8">
      <c r="A458" s="22" t="s">
        <v>1086</v>
      </c>
      <c r="B458" s="23" t="s">
        <v>1370</v>
      </c>
      <c r="C458" s="23">
        <v>57</v>
      </c>
      <c r="D458" s="23" t="s">
        <v>242</v>
      </c>
      <c r="E458" s="24">
        <v>45629</v>
      </c>
      <c r="F458" s="23" t="s">
        <v>2655</v>
      </c>
      <c r="G458" s="23" t="s">
        <v>2656</v>
      </c>
      <c r="H458" s="23">
        <v>3</v>
      </c>
    </row>
    <row r="459" spans="1:8">
      <c r="A459" s="22" t="s">
        <v>500</v>
      </c>
      <c r="B459" s="23" t="s">
        <v>1370</v>
      </c>
      <c r="C459" s="23">
        <v>63</v>
      </c>
      <c r="D459" s="23" t="s">
        <v>2332</v>
      </c>
      <c r="E459" s="24">
        <v>45650</v>
      </c>
      <c r="F459" s="23" t="s">
        <v>2655</v>
      </c>
      <c r="G459" s="23" t="s">
        <v>2654</v>
      </c>
      <c r="H459" s="23">
        <v>0</v>
      </c>
    </row>
    <row r="460" spans="1:8">
      <c r="A460" s="22" t="s">
        <v>1699</v>
      </c>
      <c r="B460" s="23" t="s">
        <v>1176</v>
      </c>
      <c r="C460" s="23">
        <v>45</v>
      </c>
      <c r="D460" s="23" t="s">
        <v>2661</v>
      </c>
      <c r="E460" s="24">
        <v>45582</v>
      </c>
      <c r="F460" s="23" t="s">
        <v>2653</v>
      </c>
      <c r="G460" s="23" t="s">
        <v>2656</v>
      </c>
      <c r="H460" s="23">
        <v>3</v>
      </c>
    </row>
    <row r="461" spans="1:8">
      <c r="A461" s="22" t="s">
        <v>1275</v>
      </c>
      <c r="B461" s="23" t="s">
        <v>1370</v>
      </c>
      <c r="C461" s="23">
        <v>48</v>
      </c>
      <c r="D461" s="23" t="s">
        <v>242</v>
      </c>
      <c r="E461" s="24">
        <v>45727</v>
      </c>
      <c r="F461" s="23" t="s">
        <v>2653</v>
      </c>
      <c r="G461" s="23" t="s">
        <v>2654</v>
      </c>
      <c r="H461" s="23">
        <v>0</v>
      </c>
    </row>
    <row r="462" spans="1:8">
      <c r="A462" s="22" t="s">
        <v>731</v>
      </c>
      <c r="B462" s="23" t="s">
        <v>1176</v>
      </c>
      <c r="C462" s="23">
        <v>43</v>
      </c>
      <c r="D462" s="23" t="s">
        <v>2667</v>
      </c>
      <c r="E462" s="24">
        <v>45641</v>
      </c>
      <c r="F462" s="23" t="s">
        <v>2655</v>
      </c>
      <c r="G462" s="23" t="s">
        <v>2656</v>
      </c>
      <c r="H462" s="23">
        <v>2</v>
      </c>
    </row>
    <row r="463" spans="1:8">
      <c r="A463" s="22" t="s">
        <v>462</v>
      </c>
      <c r="B463" s="23" t="s">
        <v>1370</v>
      </c>
      <c r="C463" s="23">
        <v>42</v>
      </c>
      <c r="D463" s="23" t="s">
        <v>2675</v>
      </c>
      <c r="E463" s="24">
        <v>45641</v>
      </c>
      <c r="F463" s="23" t="s">
        <v>2653</v>
      </c>
      <c r="G463" s="23" t="s">
        <v>2654</v>
      </c>
      <c r="H463" s="23">
        <v>0</v>
      </c>
    </row>
    <row r="464" spans="1:8">
      <c r="A464" s="22" t="s">
        <v>1498</v>
      </c>
      <c r="B464" s="23" t="s">
        <v>1176</v>
      </c>
      <c r="C464" s="23">
        <v>59</v>
      </c>
      <c r="D464" s="23" t="s">
        <v>2665</v>
      </c>
      <c r="E464" s="24">
        <v>45637</v>
      </c>
      <c r="F464" s="23" t="s">
        <v>2655</v>
      </c>
      <c r="G464" s="23" t="s">
        <v>2656</v>
      </c>
      <c r="H464" s="23">
        <v>1</v>
      </c>
    </row>
    <row r="465" spans="1:8">
      <c r="A465" s="22" t="s">
        <v>2226</v>
      </c>
      <c r="B465" s="23" t="s">
        <v>1176</v>
      </c>
      <c r="C465" s="23">
        <v>65</v>
      </c>
      <c r="D465" s="23" t="s">
        <v>2665</v>
      </c>
      <c r="E465" s="24">
        <v>45702</v>
      </c>
      <c r="F465" s="23" t="s">
        <v>2653</v>
      </c>
      <c r="G465" s="23" t="s">
        <v>2654</v>
      </c>
      <c r="H465" s="23">
        <v>0</v>
      </c>
    </row>
    <row r="466" spans="1:8">
      <c r="A466" s="22" t="s">
        <v>2327</v>
      </c>
      <c r="B466" s="23" t="s">
        <v>1176</v>
      </c>
      <c r="C466" s="23">
        <v>22</v>
      </c>
      <c r="D466" s="23" t="s">
        <v>89</v>
      </c>
      <c r="E466" s="24">
        <v>45743</v>
      </c>
      <c r="F466" s="23" t="s">
        <v>2653</v>
      </c>
      <c r="G466" s="23" t="s">
        <v>2654</v>
      </c>
      <c r="H466" s="23">
        <v>0</v>
      </c>
    </row>
    <row r="467" spans="1:8">
      <c r="A467" s="22" t="s">
        <v>2552</v>
      </c>
      <c r="B467" s="23" t="s">
        <v>1176</v>
      </c>
      <c r="C467" s="23">
        <v>59</v>
      </c>
      <c r="D467" s="23" t="s">
        <v>2682</v>
      </c>
      <c r="E467" s="24">
        <v>45638</v>
      </c>
      <c r="F467" s="23" t="s">
        <v>2653</v>
      </c>
      <c r="G467" s="23" t="s">
        <v>2656</v>
      </c>
      <c r="H467" s="23">
        <v>4</v>
      </c>
    </row>
    <row r="468" spans="1:8">
      <c r="A468" s="22" t="s">
        <v>2553</v>
      </c>
      <c r="B468" s="23" t="s">
        <v>1370</v>
      </c>
      <c r="C468" s="23">
        <v>36</v>
      </c>
      <c r="D468" s="23" t="s">
        <v>2688</v>
      </c>
      <c r="E468" s="24">
        <v>45736</v>
      </c>
      <c r="F468" s="23" t="s">
        <v>2653</v>
      </c>
      <c r="G468" s="23" t="s">
        <v>2656</v>
      </c>
      <c r="H468" s="23">
        <v>3</v>
      </c>
    </row>
    <row r="469" spans="1:8">
      <c r="A469" s="22" t="s">
        <v>786</v>
      </c>
      <c r="B469" s="23" t="s">
        <v>1370</v>
      </c>
      <c r="C469" s="23">
        <v>64</v>
      </c>
      <c r="D469" s="23" t="s">
        <v>2673</v>
      </c>
      <c r="E469" s="24">
        <v>45610</v>
      </c>
      <c r="F469" s="23" t="s">
        <v>2653</v>
      </c>
      <c r="G469" s="23" t="s">
        <v>2656</v>
      </c>
      <c r="H469" s="23">
        <v>3</v>
      </c>
    </row>
    <row r="470" spans="1:8">
      <c r="A470" s="22" t="s">
        <v>1495</v>
      </c>
      <c r="B470" s="23" t="s">
        <v>1176</v>
      </c>
      <c r="C470" s="23">
        <v>59</v>
      </c>
      <c r="D470" s="23" t="s">
        <v>2674</v>
      </c>
      <c r="E470" s="24">
        <v>45554</v>
      </c>
      <c r="F470" s="23" t="s">
        <v>2655</v>
      </c>
      <c r="G470" s="23" t="s">
        <v>2656</v>
      </c>
      <c r="H470" s="23">
        <v>4</v>
      </c>
    </row>
    <row r="471" spans="1:8">
      <c r="A471" s="22" t="s">
        <v>882</v>
      </c>
      <c r="B471" s="23" t="s">
        <v>1176</v>
      </c>
      <c r="C471" s="23">
        <v>57</v>
      </c>
      <c r="D471" s="23" t="s">
        <v>2663</v>
      </c>
      <c r="E471" s="24">
        <v>45708</v>
      </c>
      <c r="F471" s="23" t="s">
        <v>2655</v>
      </c>
      <c r="G471" s="23" t="s">
        <v>2656</v>
      </c>
      <c r="H471" s="23">
        <v>2</v>
      </c>
    </row>
    <row r="472" spans="1:8">
      <c r="A472" s="22" t="s">
        <v>2554</v>
      </c>
      <c r="B472" s="23" t="s">
        <v>1370</v>
      </c>
      <c r="C472" s="23">
        <v>35</v>
      </c>
      <c r="D472" s="23" t="s">
        <v>265</v>
      </c>
      <c r="E472" s="24">
        <v>45724</v>
      </c>
      <c r="F472" s="23" t="s">
        <v>2653</v>
      </c>
      <c r="G472" s="23" t="s">
        <v>2656</v>
      </c>
      <c r="H472" s="23">
        <v>4</v>
      </c>
    </row>
    <row r="473" spans="1:8">
      <c r="A473" s="22" t="s">
        <v>766</v>
      </c>
      <c r="B473" s="23" t="s">
        <v>1370</v>
      </c>
      <c r="C473" s="23">
        <v>28</v>
      </c>
      <c r="D473" s="23" t="s">
        <v>82</v>
      </c>
      <c r="E473" s="24">
        <v>45726</v>
      </c>
      <c r="F473" s="23" t="s">
        <v>2653</v>
      </c>
      <c r="G473" s="23" t="s">
        <v>2656</v>
      </c>
      <c r="H473" s="23">
        <v>3</v>
      </c>
    </row>
    <row r="474" spans="1:8">
      <c r="A474" s="22" t="s">
        <v>1904</v>
      </c>
      <c r="B474" s="23" t="s">
        <v>1370</v>
      </c>
      <c r="C474" s="23">
        <v>34</v>
      </c>
      <c r="D474" s="23" t="s">
        <v>57</v>
      </c>
      <c r="E474" s="24">
        <v>45619</v>
      </c>
      <c r="F474" s="23" t="s">
        <v>2653</v>
      </c>
      <c r="G474" s="23" t="s">
        <v>2656</v>
      </c>
      <c r="H474" s="23">
        <v>3</v>
      </c>
    </row>
    <row r="475" spans="1:8">
      <c r="A475" s="22" t="s">
        <v>2241</v>
      </c>
      <c r="B475" s="23" t="s">
        <v>1176</v>
      </c>
      <c r="C475" s="23">
        <v>26</v>
      </c>
      <c r="D475" s="23" t="s">
        <v>425</v>
      </c>
      <c r="E475" s="24">
        <v>45637</v>
      </c>
      <c r="F475" s="23" t="s">
        <v>2653</v>
      </c>
      <c r="G475" s="23" t="s">
        <v>2656</v>
      </c>
      <c r="H475" s="23">
        <v>2</v>
      </c>
    </row>
    <row r="476" spans="1:8">
      <c r="A476" s="22" t="s">
        <v>1119</v>
      </c>
      <c r="B476" s="23" t="s">
        <v>1370</v>
      </c>
      <c r="C476" s="23">
        <v>31</v>
      </c>
      <c r="D476" s="23" t="s">
        <v>2684</v>
      </c>
      <c r="E476" s="24">
        <v>45733</v>
      </c>
      <c r="F476" s="23" t="s">
        <v>2655</v>
      </c>
      <c r="G476" s="23" t="s">
        <v>2654</v>
      </c>
      <c r="H476" s="23">
        <v>0</v>
      </c>
    </row>
    <row r="477" spans="1:8">
      <c r="A477" s="22" t="s">
        <v>748</v>
      </c>
      <c r="B477" s="23" t="s">
        <v>1176</v>
      </c>
      <c r="C477" s="23">
        <v>60</v>
      </c>
      <c r="D477" s="23" t="s">
        <v>2662</v>
      </c>
      <c r="E477" s="24">
        <v>45574</v>
      </c>
      <c r="F477" s="23" t="s">
        <v>2655</v>
      </c>
      <c r="G477" s="23" t="s">
        <v>2656</v>
      </c>
      <c r="H477" s="23">
        <v>3</v>
      </c>
    </row>
    <row r="478" spans="1:8">
      <c r="A478" s="22" t="s">
        <v>532</v>
      </c>
      <c r="B478" s="23" t="s">
        <v>1370</v>
      </c>
      <c r="C478" s="23">
        <v>48</v>
      </c>
      <c r="D478" s="23" t="s">
        <v>2691</v>
      </c>
      <c r="E478" s="24">
        <v>45582</v>
      </c>
      <c r="F478" s="23" t="s">
        <v>2655</v>
      </c>
      <c r="G478" s="23" t="s">
        <v>2656</v>
      </c>
      <c r="H478" s="23">
        <v>4</v>
      </c>
    </row>
    <row r="479" spans="1:8">
      <c r="A479" s="22" t="s">
        <v>1357</v>
      </c>
      <c r="B479" s="23" t="s">
        <v>1176</v>
      </c>
      <c r="C479" s="23">
        <v>40</v>
      </c>
      <c r="D479" s="23" t="s">
        <v>359</v>
      </c>
      <c r="E479" s="24">
        <v>45627</v>
      </c>
      <c r="F479" s="23" t="s">
        <v>2653</v>
      </c>
      <c r="G479" s="23" t="s">
        <v>2654</v>
      </c>
      <c r="H479" s="23">
        <v>0</v>
      </c>
    </row>
    <row r="480" spans="1:8">
      <c r="A480" s="22" t="s">
        <v>2555</v>
      </c>
      <c r="B480" s="23" t="s">
        <v>1370</v>
      </c>
      <c r="C480" s="23">
        <v>41</v>
      </c>
      <c r="D480" s="23" t="s">
        <v>2671</v>
      </c>
      <c r="E480" s="24">
        <v>45699</v>
      </c>
      <c r="F480" s="23" t="s">
        <v>2655</v>
      </c>
      <c r="G480" s="23" t="s">
        <v>2654</v>
      </c>
      <c r="H480" s="23">
        <v>0</v>
      </c>
    </row>
    <row r="481" spans="1:8">
      <c r="A481" s="22" t="s">
        <v>2556</v>
      </c>
      <c r="B481" s="23" t="s">
        <v>1370</v>
      </c>
      <c r="C481" s="23">
        <v>44</v>
      </c>
      <c r="D481" s="23" t="s">
        <v>417</v>
      </c>
      <c r="E481" s="24">
        <v>45658</v>
      </c>
      <c r="F481" s="23" t="s">
        <v>2655</v>
      </c>
      <c r="G481" s="23" t="s">
        <v>2654</v>
      </c>
      <c r="H481" s="23">
        <v>0</v>
      </c>
    </row>
    <row r="482" spans="1:8">
      <c r="A482" s="22" t="s">
        <v>2114</v>
      </c>
      <c r="B482" s="23" t="s">
        <v>1176</v>
      </c>
      <c r="C482" s="23">
        <v>38</v>
      </c>
      <c r="D482" s="23" t="s">
        <v>57</v>
      </c>
      <c r="E482" s="24">
        <v>45744</v>
      </c>
      <c r="F482" s="23" t="s">
        <v>2653</v>
      </c>
      <c r="G482" s="23" t="s">
        <v>2654</v>
      </c>
      <c r="H482" s="23">
        <v>0</v>
      </c>
    </row>
    <row r="483" spans="1:8">
      <c r="A483" s="22" t="s">
        <v>1707</v>
      </c>
      <c r="B483" s="23" t="s">
        <v>1176</v>
      </c>
      <c r="C483" s="23">
        <v>35</v>
      </c>
      <c r="D483" s="23" t="s">
        <v>2663</v>
      </c>
      <c r="E483" s="24">
        <v>45740</v>
      </c>
      <c r="F483" s="23" t="s">
        <v>2655</v>
      </c>
      <c r="G483" s="23" t="s">
        <v>2656</v>
      </c>
      <c r="H483" s="23">
        <v>1</v>
      </c>
    </row>
    <row r="484" spans="1:8">
      <c r="A484" s="22" t="s">
        <v>457</v>
      </c>
      <c r="B484" s="23" t="s">
        <v>1370</v>
      </c>
      <c r="C484" s="23">
        <v>43</v>
      </c>
      <c r="D484" s="23" t="s">
        <v>2671</v>
      </c>
      <c r="E484" s="24">
        <v>45591</v>
      </c>
      <c r="F484" s="23" t="s">
        <v>2655</v>
      </c>
      <c r="G484" s="23" t="s">
        <v>2656</v>
      </c>
      <c r="H484" s="23">
        <v>2</v>
      </c>
    </row>
    <row r="485" spans="1:8">
      <c r="A485" s="22" t="s">
        <v>2557</v>
      </c>
      <c r="B485" s="23" t="s">
        <v>1370</v>
      </c>
      <c r="C485" s="23">
        <v>53</v>
      </c>
      <c r="D485" s="23" t="s">
        <v>2673</v>
      </c>
      <c r="E485" s="24">
        <v>45544</v>
      </c>
      <c r="F485" s="23" t="s">
        <v>2653</v>
      </c>
      <c r="G485" s="23" t="s">
        <v>2654</v>
      </c>
      <c r="H485" s="23">
        <v>0</v>
      </c>
    </row>
    <row r="486" spans="1:8">
      <c r="A486" s="22" t="s">
        <v>70</v>
      </c>
      <c r="B486" s="23" t="s">
        <v>1176</v>
      </c>
      <c r="C486" s="23">
        <v>59</v>
      </c>
      <c r="D486" s="23" t="s">
        <v>2665</v>
      </c>
      <c r="E486" s="24">
        <v>45747</v>
      </c>
      <c r="F486" s="23" t="s">
        <v>2653</v>
      </c>
      <c r="G486" s="23" t="s">
        <v>2656</v>
      </c>
      <c r="H486" s="23">
        <v>2</v>
      </c>
    </row>
    <row r="487" spans="1:8">
      <c r="A487" s="22" t="s">
        <v>607</v>
      </c>
      <c r="B487" s="23" t="s">
        <v>1176</v>
      </c>
      <c r="C487" s="23">
        <v>20</v>
      </c>
      <c r="D487" s="23" t="s">
        <v>2681</v>
      </c>
      <c r="E487" s="24">
        <v>45688</v>
      </c>
      <c r="F487" s="23" t="s">
        <v>2655</v>
      </c>
      <c r="G487" s="23" t="s">
        <v>2656</v>
      </c>
      <c r="H487" s="23">
        <v>3</v>
      </c>
    </row>
    <row r="488" spans="1:8">
      <c r="A488" s="22" t="s">
        <v>307</v>
      </c>
      <c r="B488" s="23" t="s">
        <v>1370</v>
      </c>
      <c r="C488" s="23">
        <v>41</v>
      </c>
      <c r="D488" s="23" t="s">
        <v>2673</v>
      </c>
      <c r="E488" s="24">
        <v>45570</v>
      </c>
      <c r="F488" s="23" t="s">
        <v>2655</v>
      </c>
      <c r="G488" s="23" t="s">
        <v>2656</v>
      </c>
      <c r="H488" s="23">
        <v>1</v>
      </c>
    </row>
    <row r="489" spans="1:8">
      <c r="A489" s="22" t="s">
        <v>2141</v>
      </c>
      <c r="B489" s="23" t="s">
        <v>1176</v>
      </c>
      <c r="C489" s="23">
        <v>50</v>
      </c>
      <c r="D489" s="23" t="s">
        <v>2657</v>
      </c>
      <c r="E489" s="24">
        <v>45598</v>
      </c>
      <c r="F489" s="23" t="s">
        <v>2653</v>
      </c>
      <c r="G489" s="23" t="s">
        <v>2654</v>
      </c>
      <c r="H489" s="23">
        <v>0</v>
      </c>
    </row>
    <row r="490" spans="1:8">
      <c r="A490" s="22" t="s">
        <v>2558</v>
      </c>
      <c r="B490" s="23" t="s">
        <v>1176</v>
      </c>
      <c r="C490" s="23">
        <v>32</v>
      </c>
      <c r="D490" s="23" t="s">
        <v>89</v>
      </c>
      <c r="E490" s="24">
        <v>45594</v>
      </c>
      <c r="F490" s="23" t="s">
        <v>2653</v>
      </c>
      <c r="G490" s="23" t="s">
        <v>2654</v>
      </c>
      <c r="H490" s="23">
        <v>0</v>
      </c>
    </row>
    <row r="491" spans="1:8">
      <c r="A491" s="22" t="s">
        <v>1606</v>
      </c>
      <c r="B491" s="23" t="s">
        <v>1176</v>
      </c>
      <c r="C491" s="23">
        <v>64</v>
      </c>
      <c r="D491" s="23" t="s">
        <v>417</v>
      </c>
      <c r="E491" s="24">
        <v>45717</v>
      </c>
      <c r="F491" s="23" t="s">
        <v>2653</v>
      </c>
      <c r="G491" s="23" t="s">
        <v>2654</v>
      </c>
      <c r="H491" s="23">
        <v>0</v>
      </c>
    </row>
    <row r="492" spans="1:8">
      <c r="A492" s="22" t="s">
        <v>1652</v>
      </c>
      <c r="B492" s="23" t="s">
        <v>1370</v>
      </c>
      <c r="C492" s="23">
        <v>27</v>
      </c>
      <c r="D492" s="23" t="s">
        <v>2685</v>
      </c>
      <c r="E492" s="24">
        <v>45650</v>
      </c>
      <c r="F492" s="23" t="s">
        <v>2653</v>
      </c>
      <c r="G492" s="23" t="s">
        <v>2656</v>
      </c>
      <c r="H492" s="23">
        <v>2</v>
      </c>
    </row>
    <row r="493" spans="1:8">
      <c r="A493" s="22" t="s">
        <v>2559</v>
      </c>
      <c r="B493" s="23" t="s">
        <v>1370</v>
      </c>
      <c r="C493" s="23">
        <v>23</v>
      </c>
      <c r="D493" s="23" t="s">
        <v>2661</v>
      </c>
      <c r="E493" s="24">
        <v>45663</v>
      </c>
      <c r="F493" s="23" t="s">
        <v>2653</v>
      </c>
      <c r="G493" s="23" t="s">
        <v>2654</v>
      </c>
      <c r="H493" s="23">
        <v>0</v>
      </c>
    </row>
    <row r="494" spans="1:8">
      <c r="A494" s="22" t="s">
        <v>2560</v>
      </c>
      <c r="B494" s="23" t="s">
        <v>1370</v>
      </c>
      <c r="C494" s="23">
        <v>37</v>
      </c>
      <c r="D494" s="23" t="s">
        <v>2663</v>
      </c>
      <c r="E494" s="24">
        <v>45567</v>
      </c>
      <c r="F494" s="23" t="s">
        <v>2653</v>
      </c>
      <c r="G494" s="23" t="s">
        <v>2654</v>
      </c>
      <c r="H494" s="23">
        <v>0</v>
      </c>
    </row>
    <row r="495" spans="1:8">
      <c r="A495" s="22" t="s">
        <v>1282</v>
      </c>
      <c r="B495" s="23" t="s">
        <v>1370</v>
      </c>
      <c r="C495" s="23">
        <v>47</v>
      </c>
      <c r="D495" s="23" t="s">
        <v>2676</v>
      </c>
      <c r="E495" s="24">
        <v>45683</v>
      </c>
      <c r="F495" s="23" t="s">
        <v>2653</v>
      </c>
      <c r="G495" s="23" t="s">
        <v>2654</v>
      </c>
      <c r="H495" s="23">
        <v>0</v>
      </c>
    </row>
    <row r="496" spans="1:8">
      <c r="A496" s="22" t="s">
        <v>1725</v>
      </c>
      <c r="B496" s="23" t="s">
        <v>1176</v>
      </c>
      <c r="C496" s="23">
        <v>25</v>
      </c>
      <c r="D496" s="23" t="s">
        <v>2661</v>
      </c>
      <c r="E496" s="24">
        <v>45684</v>
      </c>
      <c r="F496" s="23" t="s">
        <v>2655</v>
      </c>
      <c r="G496" s="23" t="s">
        <v>2656</v>
      </c>
      <c r="H496" s="23">
        <v>2</v>
      </c>
    </row>
    <row r="497" spans="1:8">
      <c r="A497" s="22" t="s">
        <v>2561</v>
      </c>
      <c r="B497" s="23" t="s">
        <v>1370</v>
      </c>
      <c r="C497" s="23">
        <v>46</v>
      </c>
      <c r="D497" s="23" t="s">
        <v>1203</v>
      </c>
      <c r="E497" s="24">
        <v>45707</v>
      </c>
      <c r="F497" s="23" t="s">
        <v>2655</v>
      </c>
      <c r="G497" s="23" t="s">
        <v>2656</v>
      </c>
      <c r="H497" s="23">
        <v>1</v>
      </c>
    </row>
    <row r="498" spans="1:8">
      <c r="A498" s="22" t="s">
        <v>2006</v>
      </c>
      <c r="B498" s="23" t="s">
        <v>1370</v>
      </c>
      <c r="C498" s="23">
        <v>26</v>
      </c>
      <c r="D498" s="23" t="s">
        <v>2680</v>
      </c>
      <c r="E498" s="24">
        <v>45550</v>
      </c>
      <c r="F498" s="23" t="s">
        <v>2653</v>
      </c>
      <c r="G498" s="23" t="s">
        <v>2656</v>
      </c>
      <c r="H498" s="23">
        <v>4</v>
      </c>
    </row>
    <row r="499" spans="1:8">
      <c r="A499" s="22" t="s">
        <v>1627</v>
      </c>
      <c r="B499" s="23" t="s">
        <v>1176</v>
      </c>
      <c r="C499" s="23">
        <v>28</v>
      </c>
      <c r="D499" s="23" t="s">
        <v>2666</v>
      </c>
      <c r="E499" s="24">
        <v>45619</v>
      </c>
      <c r="F499" s="23" t="s">
        <v>2653</v>
      </c>
      <c r="G499" s="23" t="s">
        <v>2654</v>
      </c>
      <c r="H499" s="23">
        <v>0</v>
      </c>
    </row>
    <row r="500" spans="1:8">
      <c r="A500" s="22" t="s">
        <v>2562</v>
      </c>
      <c r="B500" s="23" t="s">
        <v>1370</v>
      </c>
      <c r="C500" s="23">
        <v>26</v>
      </c>
      <c r="D500" s="23" t="s">
        <v>2684</v>
      </c>
      <c r="E500" s="24">
        <v>45742</v>
      </c>
      <c r="F500" s="23" t="s">
        <v>2653</v>
      </c>
      <c r="G500" s="23" t="s">
        <v>2656</v>
      </c>
      <c r="H500" s="23">
        <v>1</v>
      </c>
    </row>
    <row r="501" spans="1:8">
      <c r="A501" s="22" t="s">
        <v>1297</v>
      </c>
      <c r="B501" s="23" t="s">
        <v>1370</v>
      </c>
      <c r="C501" s="23">
        <v>40</v>
      </c>
      <c r="D501" s="23" t="s">
        <v>48</v>
      </c>
      <c r="E501" s="24">
        <v>45722</v>
      </c>
      <c r="F501" s="23" t="s">
        <v>2653</v>
      </c>
      <c r="G501" s="23" t="s">
        <v>2656</v>
      </c>
      <c r="H501" s="23">
        <v>1</v>
      </c>
    </row>
    <row r="502" spans="1:8">
      <c r="A502" s="22" t="s">
        <v>1691</v>
      </c>
      <c r="B502" s="23" t="s">
        <v>1176</v>
      </c>
      <c r="C502" s="23">
        <v>33</v>
      </c>
      <c r="D502" s="23" t="s">
        <v>2677</v>
      </c>
      <c r="E502" s="24">
        <v>45691</v>
      </c>
      <c r="F502" s="23" t="s">
        <v>2653</v>
      </c>
      <c r="G502" s="23" t="s">
        <v>2656</v>
      </c>
      <c r="H502" s="23">
        <v>3</v>
      </c>
    </row>
    <row r="503" spans="1:8">
      <c r="A503" s="22" t="s">
        <v>367</v>
      </c>
      <c r="B503" s="23" t="s">
        <v>1176</v>
      </c>
      <c r="C503" s="23">
        <v>60</v>
      </c>
      <c r="D503" s="23" t="s">
        <v>2683</v>
      </c>
      <c r="E503" s="24">
        <v>45660</v>
      </c>
      <c r="F503" s="23" t="s">
        <v>2653</v>
      </c>
      <c r="G503" s="23" t="s">
        <v>2654</v>
      </c>
      <c r="H503" s="23">
        <v>0</v>
      </c>
    </row>
    <row r="504" spans="1:8">
      <c r="A504" s="22" t="s">
        <v>2563</v>
      </c>
      <c r="B504" s="23" t="s">
        <v>1176</v>
      </c>
      <c r="C504" s="23">
        <v>61</v>
      </c>
      <c r="D504" s="23" t="s">
        <v>2677</v>
      </c>
      <c r="E504" s="24">
        <v>45606</v>
      </c>
      <c r="F504" s="23" t="s">
        <v>2655</v>
      </c>
      <c r="G504" s="23" t="s">
        <v>2656</v>
      </c>
      <c r="H504" s="23">
        <v>2</v>
      </c>
    </row>
    <row r="505" spans="1:8">
      <c r="A505" s="22" t="s">
        <v>331</v>
      </c>
      <c r="B505" s="23" t="s">
        <v>1370</v>
      </c>
      <c r="C505" s="23">
        <v>53</v>
      </c>
      <c r="D505" s="23" t="s">
        <v>2332</v>
      </c>
      <c r="E505" s="24">
        <v>45614</v>
      </c>
      <c r="F505" s="23" t="s">
        <v>2653</v>
      </c>
      <c r="G505" s="23" t="s">
        <v>2656</v>
      </c>
      <c r="H505" s="23">
        <v>2</v>
      </c>
    </row>
    <row r="506" spans="1:8">
      <c r="A506" s="22" t="s">
        <v>1617</v>
      </c>
      <c r="B506" s="23" t="s">
        <v>1176</v>
      </c>
      <c r="C506" s="23">
        <v>58</v>
      </c>
      <c r="D506" s="23" t="s">
        <v>2659</v>
      </c>
      <c r="E506" s="24">
        <v>45579</v>
      </c>
      <c r="F506" s="23" t="s">
        <v>2653</v>
      </c>
      <c r="G506" s="23" t="s">
        <v>2656</v>
      </c>
      <c r="H506" s="23">
        <v>1</v>
      </c>
    </row>
    <row r="507" spans="1:8">
      <c r="A507" s="22" t="s">
        <v>2564</v>
      </c>
      <c r="B507" s="23" t="s">
        <v>1176</v>
      </c>
      <c r="C507" s="23">
        <v>31</v>
      </c>
      <c r="D507" s="23" t="s">
        <v>359</v>
      </c>
      <c r="E507" s="24">
        <v>45627</v>
      </c>
      <c r="F507" s="23" t="s">
        <v>2655</v>
      </c>
      <c r="G507" s="23" t="s">
        <v>2656</v>
      </c>
      <c r="H507" s="23">
        <v>1</v>
      </c>
    </row>
    <row r="508" spans="1:8">
      <c r="A508" s="22" t="s">
        <v>2565</v>
      </c>
      <c r="B508" s="23" t="s">
        <v>1370</v>
      </c>
      <c r="C508" s="23">
        <v>49</v>
      </c>
      <c r="D508" s="23" t="s">
        <v>265</v>
      </c>
      <c r="E508" s="24">
        <v>45569</v>
      </c>
      <c r="F508" s="23" t="s">
        <v>2655</v>
      </c>
      <c r="G508" s="23" t="s">
        <v>2656</v>
      </c>
      <c r="H508" s="23">
        <v>3</v>
      </c>
    </row>
    <row r="509" spans="1:8">
      <c r="A509" s="22" t="s">
        <v>2566</v>
      </c>
      <c r="B509" s="23" t="s">
        <v>1176</v>
      </c>
      <c r="C509" s="23">
        <v>32</v>
      </c>
      <c r="D509" s="23" t="s">
        <v>359</v>
      </c>
      <c r="E509" s="24">
        <v>45694</v>
      </c>
      <c r="F509" s="23" t="s">
        <v>2653</v>
      </c>
      <c r="G509" s="23" t="s">
        <v>2656</v>
      </c>
      <c r="H509" s="23">
        <v>2</v>
      </c>
    </row>
    <row r="510" spans="1:8">
      <c r="A510" s="22" t="s">
        <v>1630</v>
      </c>
      <c r="B510" s="23" t="s">
        <v>1370</v>
      </c>
      <c r="C510" s="23">
        <v>41</v>
      </c>
      <c r="D510" s="23" t="s">
        <v>2681</v>
      </c>
      <c r="E510" s="24">
        <v>45546</v>
      </c>
      <c r="F510" s="23" t="s">
        <v>2653</v>
      </c>
      <c r="G510" s="23" t="s">
        <v>2654</v>
      </c>
      <c r="H510" s="23">
        <v>0</v>
      </c>
    </row>
    <row r="511" spans="1:8">
      <c r="A511" s="22" t="s">
        <v>1132</v>
      </c>
      <c r="B511" s="23" t="s">
        <v>1370</v>
      </c>
      <c r="C511" s="23">
        <v>55</v>
      </c>
      <c r="D511" s="23" t="s">
        <v>2664</v>
      </c>
      <c r="E511" s="24">
        <v>45728</v>
      </c>
      <c r="F511" s="23" t="s">
        <v>2655</v>
      </c>
      <c r="G511" s="23" t="s">
        <v>2654</v>
      </c>
      <c r="H511" s="23">
        <v>0</v>
      </c>
    </row>
    <row r="512" spans="1:8">
      <c r="A512" s="22" t="s">
        <v>493</v>
      </c>
      <c r="B512" s="23" t="s">
        <v>1370</v>
      </c>
      <c r="C512" s="23">
        <v>60</v>
      </c>
      <c r="D512" s="23" t="s">
        <v>2679</v>
      </c>
      <c r="E512" s="24">
        <v>45559</v>
      </c>
      <c r="F512" s="23" t="s">
        <v>2653</v>
      </c>
      <c r="G512" s="23" t="s">
        <v>2656</v>
      </c>
      <c r="H512" s="23">
        <v>2</v>
      </c>
    </row>
    <row r="513" spans="1:8">
      <c r="A513" s="22" t="s">
        <v>1999</v>
      </c>
      <c r="B513" s="23" t="s">
        <v>1370</v>
      </c>
      <c r="C513" s="23">
        <v>59</v>
      </c>
      <c r="D513" s="23" t="s">
        <v>2670</v>
      </c>
      <c r="E513" s="24">
        <v>45581</v>
      </c>
      <c r="F513" s="23" t="s">
        <v>2655</v>
      </c>
      <c r="G513" s="23" t="s">
        <v>2656</v>
      </c>
      <c r="H513" s="23">
        <v>1</v>
      </c>
    </row>
    <row r="514" spans="1:8">
      <c r="A514" s="22" t="s">
        <v>2567</v>
      </c>
      <c r="B514" s="23" t="s">
        <v>1370</v>
      </c>
      <c r="C514" s="23">
        <v>45</v>
      </c>
      <c r="D514" s="23" t="s">
        <v>2673</v>
      </c>
      <c r="E514" s="24">
        <v>45667</v>
      </c>
      <c r="F514" s="23" t="s">
        <v>2655</v>
      </c>
      <c r="G514" s="23" t="s">
        <v>2654</v>
      </c>
      <c r="H514" s="23">
        <v>0</v>
      </c>
    </row>
    <row r="515" spans="1:8">
      <c r="A515" s="22" t="s">
        <v>2568</v>
      </c>
      <c r="B515" s="23" t="s">
        <v>1176</v>
      </c>
      <c r="C515" s="23">
        <v>42</v>
      </c>
      <c r="D515" s="23" t="s">
        <v>2687</v>
      </c>
      <c r="E515" s="24">
        <v>45590</v>
      </c>
      <c r="F515" s="23" t="s">
        <v>2653</v>
      </c>
      <c r="G515" s="23" t="s">
        <v>2654</v>
      </c>
      <c r="H515" s="23">
        <v>0</v>
      </c>
    </row>
    <row r="516" spans="1:8">
      <c r="A516" s="22" t="s">
        <v>2569</v>
      </c>
      <c r="B516" s="23" t="s">
        <v>1370</v>
      </c>
      <c r="C516" s="23">
        <v>32</v>
      </c>
      <c r="D516" s="23" t="s">
        <v>48</v>
      </c>
      <c r="E516" s="24">
        <v>45699</v>
      </c>
      <c r="F516" s="23" t="s">
        <v>2655</v>
      </c>
      <c r="G516" s="23" t="s">
        <v>2654</v>
      </c>
      <c r="H516" s="23">
        <v>0</v>
      </c>
    </row>
    <row r="517" spans="1:8">
      <c r="A517" s="22" t="s">
        <v>2570</v>
      </c>
      <c r="B517" s="23" t="s">
        <v>1176</v>
      </c>
      <c r="C517" s="23">
        <v>54</v>
      </c>
      <c r="D517" s="23" t="s">
        <v>2674</v>
      </c>
      <c r="E517" s="24">
        <v>45634</v>
      </c>
      <c r="F517" s="23" t="s">
        <v>2653</v>
      </c>
      <c r="G517" s="23" t="s">
        <v>2656</v>
      </c>
      <c r="H517" s="23">
        <v>4</v>
      </c>
    </row>
    <row r="518" spans="1:8">
      <c r="A518" s="22" t="s">
        <v>2571</v>
      </c>
      <c r="B518" s="23" t="s">
        <v>1370</v>
      </c>
      <c r="C518" s="23">
        <v>20</v>
      </c>
      <c r="D518" s="23" t="s">
        <v>2670</v>
      </c>
      <c r="E518" s="24">
        <v>45733</v>
      </c>
      <c r="F518" s="23" t="s">
        <v>2653</v>
      </c>
      <c r="G518" s="23" t="s">
        <v>2654</v>
      </c>
      <c r="H518" s="23">
        <v>0</v>
      </c>
    </row>
    <row r="519" spans="1:8">
      <c r="A519" s="22" t="s">
        <v>2572</v>
      </c>
      <c r="B519" s="23" t="s">
        <v>1176</v>
      </c>
      <c r="C519" s="23">
        <v>36</v>
      </c>
      <c r="D519" s="23" t="s">
        <v>2684</v>
      </c>
      <c r="E519" s="24">
        <v>45738</v>
      </c>
      <c r="F519" s="23" t="s">
        <v>2655</v>
      </c>
      <c r="G519" s="23" t="s">
        <v>2654</v>
      </c>
      <c r="H519" s="23">
        <v>0</v>
      </c>
    </row>
    <row r="520" spans="1:8">
      <c r="A520" s="22" t="s">
        <v>858</v>
      </c>
      <c r="B520" s="23" t="s">
        <v>1370</v>
      </c>
      <c r="C520" s="23">
        <v>65</v>
      </c>
      <c r="D520" s="23" t="s">
        <v>2663</v>
      </c>
      <c r="E520" s="24">
        <v>45729</v>
      </c>
      <c r="F520" s="23" t="s">
        <v>2653</v>
      </c>
      <c r="G520" s="23" t="s">
        <v>2654</v>
      </c>
      <c r="H520" s="23">
        <v>0</v>
      </c>
    </row>
    <row r="521" spans="1:8">
      <c r="A521" s="22" t="s">
        <v>743</v>
      </c>
      <c r="B521" s="23" t="s">
        <v>1176</v>
      </c>
      <c r="C521" s="23">
        <v>53</v>
      </c>
      <c r="D521" s="23" t="s">
        <v>2682</v>
      </c>
      <c r="E521" s="24">
        <v>45707</v>
      </c>
      <c r="F521" s="23" t="s">
        <v>2653</v>
      </c>
      <c r="G521" s="23" t="s">
        <v>2656</v>
      </c>
      <c r="H521" s="23">
        <v>1</v>
      </c>
    </row>
    <row r="522" spans="1:8">
      <c r="A522" s="22" t="s">
        <v>1343</v>
      </c>
      <c r="B522" s="23" t="s">
        <v>1176</v>
      </c>
      <c r="C522" s="23">
        <v>60</v>
      </c>
      <c r="D522" s="23" t="s">
        <v>2681</v>
      </c>
      <c r="E522" s="24">
        <v>45617</v>
      </c>
      <c r="F522" s="23" t="s">
        <v>2653</v>
      </c>
      <c r="G522" s="23" t="s">
        <v>2654</v>
      </c>
      <c r="H522" s="23">
        <v>0</v>
      </c>
    </row>
    <row r="523" spans="1:8">
      <c r="A523" s="22" t="s">
        <v>1785</v>
      </c>
      <c r="B523" s="23" t="s">
        <v>1176</v>
      </c>
      <c r="C523" s="23">
        <v>35</v>
      </c>
      <c r="D523" s="23" t="s">
        <v>2675</v>
      </c>
      <c r="E523" s="24">
        <v>45687</v>
      </c>
      <c r="F523" s="23" t="s">
        <v>2655</v>
      </c>
      <c r="G523" s="23" t="s">
        <v>2654</v>
      </c>
      <c r="H523" s="23">
        <v>0</v>
      </c>
    </row>
    <row r="524" spans="1:8">
      <c r="A524" s="22" t="s">
        <v>1232</v>
      </c>
      <c r="B524" s="23" t="s">
        <v>1176</v>
      </c>
      <c r="C524" s="23">
        <v>61</v>
      </c>
      <c r="D524" s="23" t="s">
        <v>2691</v>
      </c>
      <c r="E524" s="24">
        <v>45546</v>
      </c>
      <c r="F524" s="23" t="s">
        <v>2655</v>
      </c>
      <c r="G524" s="23" t="s">
        <v>2656</v>
      </c>
      <c r="H524" s="23">
        <v>4</v>
      </c>
    </row>
    <row r="525" spans="1:8">
      <c r="A525" s="22" t="s">
        <v>1882</v>
      </c>
      <c r="B525" s="23" t="s">
        <v>1370</v>
      </c>
      <c r="C525" s="23">
        <v>37</v>
      </c>
      <c r="D525" s="23" t="s">
        <v>2681</v>
      </c>
      <c r="E525" s="24">
        <v>45706</v>
      </c>
      <c r="F525" s="23" t="s">
        <v>2655</v>
      </c>
      <c r="G525" s="23" t="s">
        <v>2654</v>
      </c>
      <c r="H525" s="23">
        <v>0</v>
      </c>
    </row>
    <row r="526" spans="1:8">
      <c r="A526" s="22" t="s">
        <v>2573</v>
      </c>
      <c r="B526" s="23" t="s">
        <v>1176</v>
      </c>
      <c r="C526" s="23">
        <v>41</v>
      </c>
      <c r="D526" s="23" t="s">
        <v>2661</v>
      </c>
      <c r="E526" s="24">
        <v>45713</v>
      </c>
      <c r="F526" s="23" t="s">
        <v>2653</v>
      </c>
      <c r="G526" s="23" t="s">
        <v>2656</v>
      </c>
      <c r="H526" s="23">
        <v>1</v>
      </c>
    </row>
    <row r="527" spans="1:8">
      <c r="A527" s="22" t="s">
        <v>1240</v>
      </c>
      <c r="B527" s="23" t="s">
        <v>1370</v>
      </c>
      <c r="C527" s="23">
        <v>45</v>
      </c>
      <c r="D527" s="23" t="s">
        <v>2690</v>
      </c>
      <c r="E527" s="24">
        <v>45613</v>
      </c>
      <c r="F527" s="23" t="s">
        <v>2653</v>
      </c>
      <c r="G527" s="23" t="s">
        <v>2654</v>
      </c>
      <c r="H527" s="23">
        <v>0</v>
      </c>
    </row>
    <row r="528" spans="1:8">
      <c r="A528" s="22" t="s">
        <v>2574</v>
      </c>
      <c r="B528" s="23" t="s">
        <v>1370</v>
      </c>
      <c r="C528" s="23">
        <v>37</v>
      </c>
      <c r="D528" s="23" t="s">
        <v>2662</v>
      </c>
      <c r="E528" s="24">
        <v>45728</v>
      </c>
      <c r="F528" s="23" t="s">
        <v>2655</v>
      </c>
      <c r="G528" s="23" t="s">
        <v>2656</v>
      </c>
      <c r="H528" s="23">
        <v>2</v>
      </c>
    </row>
    <row r="529" spans="1:8">
      <c r="A529" s="22" t="s">
        <v>1414</v>
      </c>
      <c r="B529" s="23" t="s">
        <v>1176</v>
      </c>
      <c r="C529" s="23">
        <v>20</v>
      </c>
      <c r="D529" s="23" t="s">
        <v>2685</v>
      </c>
      <c r="E529" s="24">
        <v>45611</v>
      </c>
      <c r="F529" s="23" t="s">
        <v>2655</v>
      </c>
      <c r="G529" s="23" t="s">
        <v>2656</v>
      </c>
      <c r="H529" s="23">
        <v>2</v>
      </c>
    </row>
    <row r="530" spans="1:8">
      <c r="A530" s="22" t="s">
        <v>2575</v>
      </c>
      <c r="B530" s="23" t="s">
        <v>1176</v>
      </c>
      <c r="C530" s="23">
        <v>32</v>
      </c>
      <c r="D530" s="23" t="s">
        <v>2679</v>
      </c>
      <c r="E530" s="24">
        <v>45710</v>
      </c>
      <c r="F530" s="23" t="s">
        <v>2653</v>
      </c>
      <c r="G530" s="23" t="s">
        <v>2654</v>
      </c>
      <c r="H530" s="23">
        <v>0</v>
      </c>
    </row>
    <row r="531" spans="1:8">
      <c r="A531" s="22" t="s">
        <v>2576</v>
      </c>
      <c r="B531" s="23" t="s">
        <v>1370</v>
      </c>
      <c r="C531" s="23">
        <v>41</v>
      </c>
      <c r="D531" s="23" t="s">
        <v>2678</v>
      </c>
      <c r="E531" s="24">
        <v>45688</v>
      </c>
      <c r="F531" s="23" t="s">
        <v>2653</v>
      </c>
      <c r="G531" s="23" t="s">
        <v>2654</v>
      </c>
      <c r="H531" s="23">
        <v>0</v>
      </c>
    </row>
    <row r="532" spans="1:8">
      <c r="A532" s="22" t="s">
        <v>2577</v>
      </c>
      <c r="B532" s="23" t="s">
        <v>1370</v>
      </c>
      <c r="C532" s="23">
        <v>32</v>
      </c>
      <c r="D532" s="23" t="s">
        <v>2662</v>
      </c>
      <c r="E532" s="24">
        <v>45598</v>
      </c>
      <c r="F532" s="23" t="s">
        <v>2653</v>
      </c>
      <c r="G532" s="23" t="s">
        <v>2654</v>
      </c>
      <c r="H532" s="23">
        <v>0</v>
      </c>
    </row>
    <row r="533" spans="1:8">
      <c r="A533" s="22" t="s">
        <v>2578</v>
      </c>
      <c r="B533" s="23" t="s">
        <v>1370</v>
      </c>
      <c r="C533" s="23">
        <v>30</v>
      </c>
      <c r="D533" s="23" t="s">
        <v>2669</v>
      </c>
      <c r="E533" s="24">
        <v>45565</v>
      </c>
      <c r="F533" s="23" t="s">
        <v>2653</v>
      </c>
      <c r="G533" s="23" t="s">
        <v>2654</v>
      </c>
      <c r="H533" s="23">
        <v>0</v>
      </c>
    </row>
    <row r="534" spans="1:8">
      <c r="A534" s="22" t="s">
        <v>2579</v>
      </c>
      <c r="B534" s="23" t="s">
        <v>1370</v>
      </c>
      <c r="C534" s="23">
        <v>57</v>
      </c>
      <c r="D534" s="23" t="s">
        <v>359</v>
      </c>
      <c r="E534" s="24">
        <v>45735</v>
      </c>
      <c r="F534" s="23" t="s">
        <v>2655</v>
      </c>
      <c r="G534" s="23" t="s">
        <v>2654</v>
      </c>
      <c r="H534" s="23">
        <v>0</v>
      </c>
    </row>
    <row r="535" spans="1:8">
      <c r="A535" s="22" t="s">
        <v>589</v>
      </c>
      <c r="B535" s="23" t="s">
        <v>1370</v>
      </c>
      <c r="C535" s="23">
        <v>41</v>
      </c>
      <c r="D535" s="23" t="s">
        <v>2666</v>
      </c>
      <c r="E535" s="24">
        <v>45547</v>
      </c>
      <c r="F535" s="23" t="s">
        <v>2653</v>
      </c>
      <c r="G535" s="23" t="s">
        <v>2656</v>
      </c>
      <c r="H535" s="23">
        <v>2</v>
      </c>
    </row>
    <row r="536" spans="1:8">
      <c r="A536" s="22" t="s">
        <v>1187</v>
      </c>
      <c r="B536" s="23" t="s">
        <v>1176</v>
      </c>
      <c r="C536" s="23">
        <v>21</v>
      </c>
      <c r="D536" s="23" t="s">
        <v>2660</v>
      </c>
      <c r="E536" s="24">
        <v>45641</v>
      </c>
      <c r="F536" s="23" t="s">
        <v>2653</v>
      </c>
      <c r="G536" s="23" t="s">
        <v>2656</v>
      </c>
      <c r="H536" s="23">
        <v>2</v>
      </c>
    </row>
    <row r="537" spans="1:8">
      <c r="A537" s="22" t="s">
        <v>1832</v>
      </c>
      <c r="B537" s="23" t="s">
        <v>1370</v>
      </c>
      <c r="C537" s="23">
        <v>50</v>
      </c>
      <c r="D537" s="23" t="s">
        <v>72</v>
      </c>
      <c r="E537" s="24">
        <v>45616</v>
      </c>
      <c r="F537" s="23" t="s">
        <v>2653</v>
      </c>
      <c r="G537" s="23" t="s">
        <v>2654</v>
      </c>
      <c r="H537" s="23">
        <v>0</v>
      </c>
    </row>
    <row r="538" spans="1:8">
      <c r="A538" s="22" t="s">
        <v>1887</v>
      </c>
      <c r="B538" s="23" t="s">
        <v>1176</v>
      </c>
      <c r="C538" s="23">
        <v>40</v>
      </c>
      <c r="D538" s="23" t="s">
        <v>72</v>
      </c>
      <c r="E538" s="24">
        <v>45584</v>
      </c>
      <c r="F538" s="23" t="s">
        <v>2655</v>
      </c>
      <c r="G538" s="23" t="s">
        <v>2656</v>
      </c>
      <c r="H538" s="23">
        <v>2</v>
      </c>
    </row>
    <row r="539" spans="1:8">
      <c r="A539" s="22" t="s">
        <v>1603</v>
      </c>
      <c r="B539" s="23" t="s">
        <v>1176</v>
      </c>
      <c r="C539" s="23">
        <v>58</v>
      </c>
      <c r="D539" s="23" t="s">
        <v>2672</v>
      </c>
      <c r="E539" s="24">
        <v>45720</v>
      </c>
      <c r="F539" s="23" t="s">
        <v>2655</v>
      </c>
      <c r="G539" s="23" t="s">
        <v>2654</v>
      </c>
      <c r="H539" s="23">
        <v>0</v>
      </c>
    </row>
    <row r="540" spans="1:8">
      <c r="A540" s="22" t="s">
        <v>2580</v>
      </c>
      <c r="B540" s="23" t="s">
        <v>1370</v>
      </c>
      <c r="C540" s="23">
        <v>61</v>
      </c>
      <c r="D540" s="23" t="s">
        <v>2681</v>
      </c>
      <c r="E540" s="24">
        <v>45634</v>
      </c>
      <c r="F540" s="23" t="s">
        <v>2653</v>
      </c>
      <c r="G540" s="23" t="s">
        <v>2654</v>
      </c>
      <c r="H540" s="23">
        <v>0</v>
      </c>
    </row>
    <row r="541" spans="1:8">
      <c r="A541" s="22" t="s">
        <v>2581</v>
      </c>
      <c r="B541" s="23" t="s">
        <v>1370</v>
      </c>
      <c r="C541" s="23">
        <v>60</v>
      </c>
      <c r="D541" s="23" t="s">
        <v>2675</v>
      </c>
      <c r="E541" s="24">
        <v>45568</v>
      </c>
      <c r="F541" s="23" t="s">
        <v>2655</v>
      </c>
      <c r="G541" s="23" t="s">
        <v>2656</v>
      </c>
      <c r="H541" s="23">
        <v>4</v>
      </c>
    </row>
    <row r="542" spans="1:8">
      <c r="A542" s="22" t="s">
        <v>2582</v>
      </c>
      <c r="B542" s="23" t="s">
        <v>1370</v>
      </c>
      <c r="C542" s="23">
        <v>36</v>
      </c>
      <c r="D542" s="23" t="s">
        <v>359</v>
      </c>
      <c r="E542" s="24">
        <v>45554</v>
      </c>
      <c r="F542" s="23" t="s">
        <v>2653</v>
      </c>
      <c r="G542" s="23" t="s">
        <v>2654</v>
      </c>
      <c r="H542" s="23">
        <v>0</v>
      </c>
    </row>
    <row r="543" spans="1:8">
      <c r="A543" s="22" t="s">
        <v>2583</v>
      </c>
      <c r="B543" s="23" t="s">
        <v>1176</v>
      </c>
      <c r="C543" s="23">
        <v>38</v>
      </c>
      <c r="D543" s="23" t="s">
        <v>2675</v>
      </c>
      <c r="E543" s="24">
        <v>45601</v>
      </c>
      <c r="F543" s="23" t="s">
        <v>2653</v>
      </c>
      <c r="G543" s="23" t="s">
        <v>2654</v>
      </c>
      <c r="H543" s="23">
        <v>0</v>
      </c>
    </row>
    <row r="544" spans="1:8">
      <c r="A544" s="22" t="s">
        <v>1009</v>
      </c>
      <c r="B544" s="23" t="s">
        <v>1176</v>
      </c>
      <c r="C544" s="23">
        <v>59</v>
      </c>
      <c r="D544" s="23" t="s">
        <v>2659</v>
      </c>
      <c r="E544" s="24">
        <v>45703</v>
      </c>
      <c r="F544" s="23" t="s">
        <v>2655</v>
      </c>
      <c r="G544" s="23" t="s">
        <v>2656</v>
      </c>
      <c r="H544" s="23">
        <v>4</v>
      </c>
    </row>
    <row r="545" spans="1:8">
      <c r="A545" s="22" t="s">
        <v>2584</v>
      </c>
      <c r="B545" s="23" t="s">
        <v>1176</v>
      </c>
      <c r="C545" s="23">
        <v>20</v>
      </c>
      <c r="D545" s="23" t="s">
        <v>2688</v>
      </c>
      <c r="E545" s="24">
        <v>45577</v>
      </c>
      <c r="F545" s="23" t="s">
        <v>2653</v>
      </c>
      <c r="G545" s="23" t="s">
        <v>2654</v>
      </c>
      <c r="H545" s="23">
        <v>0</v>
      </c>
    </row>
    <row r="546" spans="1:8">
      <c r="A546" s="22" t="s">
        <v>2585</v>
      </c>
      <c r="B546" s="23" t="s">
        <v>1370</v>
      </c>
      <c r="C546" s="23">
        <v>47</v>
      </c>
      <c r="D546" s="23" t="s">
        <v>2669</v>
      </c>
      <c r="E546" s="24">
        <v>45669</v>
      </c>
      <c r="F546" s="23" t="s">
        <v>2655</v>
      </c>
      <c r="G546" s="23" t="s">
        <v>2656</v>
      </c>
      <c r="H546" s="23">
        <v>3</v>
      </c>
    </row>
    <row r="547" spans="1:8">
      <c r="A547" s="22" t="s">
        <v>1434</v>
      </c>
      <c r="B547" s="23" t="s">
        <v>1370</v>
      </c>
      <c r="C547" s="23">
        <v>29</v>
      </c>
      <c r="D547" s="23" t="s">
        <v>2669</v>
      </c>
      <c r="E547" s="24">
        <v>45608</v>
      </c>
      <c r="F547" s="23" t="s">
        <v>2653</v>
      </c>
      <c r="G547" s="23" t="s">
        <v>2654</v>
      </c>
      <c r="H547" s="23">
        <v>0</v>
      </c>
    </row>
    <row r="548" spans="1:8">
      <c r="A548" s="22" t="s">
        <v>2586</v>
      </c>
      <c r="B548" s="23" t="s">
        <v>1176</v>
      </c>
      <c r="C548" s="23">
        <v>64</v>
      </c>
      <c r="D548" s="23" t="s">
        <v>72</v>
      </c>
      <c r="E548" s="24">
        <v>45547</v>
      </c>
      <c r="F548" s="23" t="s">
        <v>2655</v>
      </c>
      <c r="G548" s="23" t="s">
        <v>2656</v>
      </c>
      <c r="H548" s="23">
        <v>4</v>
      </c>
    </row>
    <row r="549" spans="1:8">
      <c r="A549" s="22" t="s">
        <v>1728</v>
      </c>
      <c r="B549" s="23" t="s">
        <v>1370</v>
      </c>
      <c r="C549" s="23">
        <v>45</v>
      </c>
      <c r="D549" s="23" t="s">
        <v>89</v>
      </c>
      <c r="E549" s="24">
        <v>45632</v>
      </c>
      <c r="F549" s="23" t="s">
        <v>2653</v>
      </c>
      <c r="G549" s="23" t="s">
        <v>2656</v>
      </c>
      <c r="H549" s="23">
        <v>2</v>
      </c>
    </row>
    <row r="550" spans="1:8">
      <c r="A550" s="22" t="s">
        <v>1303</v>
      </c>
      <c r="B550" s="23" t="s">
        <v>1176</v>
      </c>
      <c r="C550" s="23">
        <v>45</v>
      </c>
      <c r="D550" s="23" t="s">
        <v>89</v>
      </c>
      <c r="E550" s="24">
        <v>45582</v>
      </c>
      <c r="F550" s="23" t="s">
        <v>2655</v>
      </c>
      <c r="G550" s="23" t="s">
        <v>2656</v>
      </c>
      <c r="H550" s="23">
        <v>2</v>
      </c>
    </row>
    <row r="551" spans="1:8">
      <c r="A551" s="22" t="s">
        <v>2587</v>
      </c>
      <c r="B551" s="23" t="s">
        <v>1370</v>
      </c>
      <c r="C551" s="23">
        <v>50</v>
      </c>
      <c r="D551" s="23" t="s">
        <v>2681</v>
      </c>
      <c r="E551" s="24">
        <v>45616</v>
      </c>
      <c r="F551" s="23" t="s">
        <v>2655</v>
      </c>
      <c r="G551" s="23" t="s">
        <v>2654</v>
      </c>
      <c r="H551" s="23">
        <v>0</v>
      </c>
    </row>
    <row r="552" spans="1:8">
      <c r="A552" s="22" t="s">
        <v>2588</v>
      </c>
      <c r="B552" s="23" t="s">
        <v>1370</v>
      </c>
      <c r="C552" s="23">
        <v>46</v>
      </c>
      <c r="D552" s="23" t="s">
        <v>2663</v>
      </c>
      <c r="E552" s="24">
        <v>45690</v>
      </c>
      <c r="F552" s="23" t="s">
        <v>2655</v>
      </c>
      <c r="G552" s="23" t="s">
        <v>2656</v>
      </c>
      <c r="H552" s="23">
        <v>4</v>
      </c>
    </row>
    <row r="553" spans="1:8">
      <c r="A553" s="22" t="s">
        <v>1441</v>
      </c>
      <c r="B553" s="23" t="s">
        <v>1176</v>
      </c>
      <c r="C553" s="23">
        <v>24</v>
      </c>
      <c r="D553" s="23" t="s">
        <v>2687</v>
      </c>
      <c r="E553" s="24">
        <v>45692</v>
      </c>
      <c r="F553" s="23" t="s">
        <v>2653</v>
      </c>
      <c r="G553" s="23" t="s">
        <v>2654</v>
      </c>
      <c r="H553" s="23">
        <v>0</v>
      </c>
    </row>
    <row r="554" spans="1:8">
      <c r="A554" s="22" t="s">
        <v>616</v>
      </c>
      <c r="B554" s="23" t="s">
        <v>1176</v>
      </c>
      <c r="C554" s="23">
        <v>36</v>
      </c>
      <c r="D554" s="23" t="s">
        <v>36</v>
      </c>
      <c r="E554" s="24">
        <v>45558</v>
      </c>
      <c r="F554" s="23" t="s">
        <v>2655</v>
      </c>
      <c r="G554" s="23" t="s">
        <v>2654</v>
      </c>
      <c r="H554" s="23">
        <v>0</v>
      </c>
    </row>
    <row r="555" spans="1:8">
      <c r="A555" s="22" t="s">
        <v>2589</v>
      </c>
      <c r="B555" s="23" t="s">
        <v>1370</v>
      </c>
      <c r="C555" s="23">
        <v>37</v>
      </c>
      <c r="D555" s="23" t="s">
        <v>2672</v>
      </c>
      <c r="E555" s="24">
        <v>45686</v>
      </c>
      <c r="F555" s="23" t="s">
        <v>2653</v>
      </c>
      <c r="G555" s="23" t="s">
        <v>2656</v>
      </c>
      <c r="H555" s="23">
        <v>2</v>
      </c>
    </row>
    <row r="556" spans="1:8">
      <c r="A556" s="22" t="s">
        <v>2590</v>
      </c>
      <c r="B556" s="23" t="s">
        <v>1176</v>
      </c>
      <c r="C556" s="23">
        <v>28</v>
      </c>
      <c r="D556" s="23" t="s">
        <v>89</v>
      </c>
      <c r="E556" s="24">
        <v>45693</v>
      </c>
      <c r="F556" s="23" t="s">
        <v>2655</v>
      </c>
      <c r="G556" s="23" t="s">
        <v>2656</v>
      </c>
      <c r="H556" s="23">
        <v>4</v>
      </c>
    </row>
    <row r="557" spans="1:8">
      <c r="A557" s="22" t="s">
        <v>1870</v>
      </c>
      <c r="B557" s="23" t="s">
        <v>1176</v>
      </c>
      <c r="C557" s="23">
        <v>51</v>
      </c>
      <c r="D557" s="23" t="s">
        <v>57</v>
      </c>
      <c r="E557" s="24">
        <v>45559</v>
      </c>
      <c r="F557" s="23" t="s">
        <v>2653</v>
      </c>
      <c r="G557" s="23" t="s">
        <v>2656</v>
      </c>
      <c r="H557" s="23">
        <v>3</v>
      </c>
    </row>
    <row r="558" spans="1:8">
      <c r="A558" s="22" t="s">
        <v>565</v>
      </c>
      <c r="B558" s="23" t="s">
        <v>1176</v>
      </c>
      <c r="C558" s="23">
        <v>65</v>
      </c>
      <c r="D558" s="23" t="s">
        <v>82</v>
      </c>
      <c r="E558" s="24">
        <v>45560</v>
      </c>
      <c r="F558" s="23" t="s">
        <v>2655</v>
      </c>
      <c r="G558" s="23" t="s">
        <v>2656</v>
      </c>
      <c r="H558" s="23">
        <v>3</v>
      </c>
    </row>
    <row r="559" spans="1:8">
      <c r="A559" s="22" t="s">
        <v>809</v>
      </c>
      <c r="B559" s="23" t="s">
        <v>1176</v>
      </c>
      <c r="C559" s="23">
        <v>24</v>
      </c>
      <c r="D559" s="23" t="s">
        <v>2676</v>
      </c>
      <c r="E559" s="24">
        <v>45563</v>
      </c>
      <c r="F559" s="23" t="s">
        <v>2655</v>
      </c>
      <c r="G559" s="23" t="s">
        <v>2654</v>
      </c>
      <c r="H559" s="23">
        <v>0</v>
      </c>
    </row>
    <row r="560" spans="1:8">
      <c r="A560" s="22" t="s">
        <v>2338</v>
      </c>
      <c r="B560" s="23" t="s">
        <v>1176</v>
      </c>
      <c r="C560" s="23">
        <v>35</v>
      </c>
      <c r="D560" s="23" t="s">
        <v>82</v>
      </c>
      <c r="E560" s="24">
        <v>45547</v>
      </c>
      <c r="F560" s="23" t="s">
        <v>2655</v>
      </c>
      <c r="G560" s="23" t="s">
        <v>2656</v>
      </c>
      <c r="H560" s="23">
        <v>1</v>
      </c>
    </row>
    <row r="561" spans="1:8">
      <c r="A561" s="22" t="s">
        <v>2591</v>
      </c>
      <c r="B561" s="23" t="s">
        <v>1370</v>
      </c>
      <c r="C561" s="23">
        <v>27</v>
      </c>
      <c r="D561" s="23" t="s">
        <v>2690</v>
      </c>
      <c r="E561" s="24">
        <v>45678</v>
      </c>
      <c r="F561" s="23" t="s">
        <v>2653</v>
      </c>
      <c r="G561" s="23" t="s">
        <v>2656</v>
      </c>
      <c r="H561" s="23">
        <v>2</v>
      </c>
    </row>
    <row r="562" spans="1:8">
      <c r="A562" s="22" t="s">
        <v>947</v>
      </c>
      <c r="B562" s="23" t="s">
        <v>1370</v>
      </c>
      <c r="C562" s="23">
        <v>61</v>
      </c>
      <c r="D562" s="23" t="s">
        <v>2674</v>
      </c>
      <c r="E562" s="24">
        <v>45675</v>
      </c>
      <c r="F562" s="23" t="s">
        <v>2655</v>
      </c>
      <c r="G562" s="23" t="s">
        <v>2656</v>
      </c>
      <c r="H562" s="23">
        <v>4</v>
      </c>
    </row>
    <row r="563" spans="1:8">
      <c r="A563" s="22" t="s">
        <v>2592</v>
      </c>
      <c r="B563" s="23" t="s">
        <v>1370</v>
      </c>
      <c r="C563" s="23">
        <v>25</v>
      </c>
      <c r="D563" s="23" t="s">
        <v>2691</v>
      </c>
      <c r="E563" s="24">
        <v>45698</v>
      </c>
      <c r="F563" s="23" t="s">
        <v>2653</v>
      </c>
      <c r="G563" s="23" t="s">
        <v>2656</v>
      </c>
      <c r="H563" s="23">
        <v>2</v>
      </c>
    </row>
    <row r="564" spans="1:8">
      <c r="A564" s="22" t="s">
        <v>2593</v>
      </c>
      <c r="B564" s="23" t="s">
        <v>1370</v>
      </c>
      <c r="C564" s="23">
        <v>36</v>
      </c>
      <c r="D564" s="23" t="s">
        <v>2659</v>
      </c>
      <c r="E564" s="24">
        <v>45656</v>
      </c>
      <c r="F564" s="23" t="s">
        <v>2653</v>
      </c>
      <c r="G564" s="23" t="s">
        <v>2656</v>
      </c>
      <c r="H564" s="23">
        <v>3</v>
      </c>
    </row>
    <row r="565" spans="1:8">
      <c r="A565" s="22" t="s">
        <v>2594</v>
      </c>
      <c r="B565" s="23" t="s">
        <v>1370</v>
      </c>
      <c r="C565" s="23">
        <v>43</v>
      </c>
      <c r="D565" s="23" t="s">
        <v>2671</v>
      </c>
      <c r="E565" s="24">
        <v>45579</v>
      </c>
      <c r="F565" s="23" t="s">
        <v>2655</v>
      </c>
      <c r="G565" s="23" t="s">
        <v>2656</v>
      </c>
      <c r="H565" s="23">
        <v>2</v>
      </c>
    </row>
    <row r="566" spans="1:8">
      <c r="A566" s="22" t="s">
        <v>1251</v>
      </c>
      <c r="B566" s="23" t="s">
        <v>1370</v>
      </c>
      <c r="C566" s="23">
        <v>51</v>
      </c>
      <c r="D566" s="23" t="s">
        <v>242</v>
      </c>
      <c r="E566" s="24">
        <v>45691</v>
      </c>
      <c r="F566" s="23" t="s">
        <v>2653</v>
      </c>
      <c r="G566" s="23" t="s">
        <v>2654</v>
      </c>
      <c r="H566" s="23">
        <v>0</v>
      </c>
    </row>
    <row r="567" spans="1:8">
      <c r="A567" s="22" t="s">
        <v>503</v>
      </c>
      <c r="B567" s="23" t="s">
        <v>1370</v>
      </c>
      <c r="C567" s="23">
        <v>55</v>
      </c>
      <c r="D567" s="23" t="s">
        <v>2666</v>
      </c>
      <c r="E567" s="24">
        <v>45603</v>
      </c>
      <c r="F567" s="23" t="s">
        <v>2655</v>
      </c>
      <c r="G567" s="23" t="s">
        <v>2654</v>
      </c>
      <c r="H567" s="23">
        <v>0</v>
      </c>
    </row>
    <row r="568" spans="1:8">
      <c r="A568" s="22" t="s">
        <v>872</v>
      </c>
      <c r="B568" s="23" t="s">
        <v>1370</v>
      </c>
      <c r="C568" s="23">
        <v>38</v>
      </c>
      <c r="D568" s="23" t="s">
        <v>2669</v>
      </c>
      <c r="E568" s="24">
        <v>45579</v>
      </c>
      <c r="F568" s="23" t="s">
        <v>2653</v>
      </c>
      <c r="G568" s="23" t="s">
        <v>2654</v>
      </c>
      <c r="H568" s="23">
        <v>0</v>
      </c>
    </row>
    <row r="569" spans="1:8">
      <c r="A569" s="22" t="s">
        <v>952</v>
      </c>
      <c r="B569" s="23" t="s">
        <v>1176</v>
      </c>
      <c r="C569" s="23">
        <v>50</v>
      </c>
      <c r="D569" s="23" t="s">
        <v>359</v>
      </c>
      <c r="E569" s="24">
        <v>45706</v>
      </c>
      <c r="F569" s="23" t="s">
        <v>2653</v>
      </c>
      <c r="G569" s="23" t="s">
        <v>2654</v>
      </c>
      <c r="H569" s="23">
        <v>0</v>
      </c>
    </row>
    <row r="570" spans="1:8">
      <c r="A570" s="22" t="s">
        <v>129</v>
      </c>
      <c r="B570" s="23" t="s">
        <v>1370</v>
      </c>
      <c r="C570" s="23">
        <v>29</v>
      </c>
      <c r="D570" s="23" t="s">
        <v>2675</v>
      </c>
      <c r="E570" s="24">
        <v>45683</v>
      </c>
      <c r="F570" s="23" t="s">
        <v>2653</v>
      </c>
      <c r="G570" s="23" t="s">
        <v>2654</v>
      </c>
      <c r="H570" s="23">
        <v>0</v>
      </c>
    </row>
    <row r="571" spans="1:8">
      <c r="A571" s="22" t="s">
        <v>1671</v>
      </c>
      <c r="B571" s="23" t="s">
        <v>1370</v>
      </c>
      <c r="C571" s="23">
        <v>38</v>
      </c>
      <c r="D571" s="23" t="s">
        <v>359</v>
      </c>
      <c r="E571" s="24">
        <v>45595</v>
      </c>
      <c r="F571" s="23" t="s">
        <v>2655</v>
      </c>
      <c r="G571" s="23" t="s">
        <v>2656</v>
      </c>
      <c r="H571" s="23">
        <v>3</v>
      </c>
    </row>
    <row r="572" spans="1:8">
      <c r="A572" s="22" t="s">
        <v>2595</v>
      </c>
      <c r="B572" s="23" t="s">
        <v>1370</v>
      </c>
      <c r="C572" s="23">
        <v>27</v>
      </c>
      <c r="D572" s="23" t="s">
        <v>2692</v>
      </c>
      <c r="E572" s="24">
        <v>45746</v>
      </c>
      <c r="F572" s="23" t="s">
        <v>2653</v>
      </c>
      <c r="G572" s="23" t="s">
        <v>2654</v>
      </c>
      <c r="H572" s="23">
        <v>0</v>
      </c>
    </row>
    <row r="573" spans="1:8">
      <c r="A573" s="22" t="s">
        <v>2033</v>
      </c>
      <c r="B573" s="23" t="s">
        <v>1370</v>
      </c>
      <c r="C573" s="23">
        <v>53</v>
      </c>
      <c r="D573" s="23" t="s">
        <v>2676</v>
      </c>
      <c r="E573" s="24">
        <v>45687</v>
      </c>
      <c r="F573" s="23" t="s">
        <v>2653</v>
      </c>
      <c r="G573" s="23" t="s">
        <v>2654</v>
      </c>
      <c r="H573" s="23">
        <v>0</v>
      </c>
    </row>
    <row r="574" spans="1:8">
      <c r="A574" s="22" t="s">
        <v>2596</v>
      </c>
      <c r="B574" s="23" t="s">
        <v>1176</v>
      </c>
      <c r="C574" s="23">
        <v>63</v>
      </c>
      <c r="D574" s="23" t="s">
        <v>2670</v>
      </c>
      <c r="E574" s="24">
        <v>45633</v>
      </c>
      <c r="F574" s="23" t="s">
        <v>2653</v>
      </c>
      <c r="G574" s="23" t="s">
        <v>2654</v>
      </c>
      <c r="H574" s="23">
        <v>0</v>
      </c>
    </row>
    <row r="575" spans="1:8">
      <c r="A575" s="22" t="s">
        <v>2597</v>
      </c>
      <c r="B575" s="23" t="s">
        <v>1176</v>
      </c>
      <c r="C575" s="23">
        <v>36</v>
      </c>
      <c r="D575" s="23" t="s">
        <v>2685</v>
      </c>
      <c r="E575" s="24">
        <v>45647</v>
      </c>
      <c r="F575" s="23" t="s">
        <v>2653</v>
      </c>
      <c r="G575" s="23" t="s">
        <v>2654</v>
      </c>
      <c r="H575" s="23">
        <v>0</v>
      </c>
    </row>
    <row r="576" spans="1:8">
      <c r="A576" s="22" t="s">
        <v>2598</v>
      </c>
      <c r="B576" s="23" t="s">
        <v>1176</v>
      </c>
      <c r="C576" s="23">
        <v>44</v>
      </c>
      <c r="D576" s="23" t="s">
        <v>2667</v>
      </c>
      <c r="E576" s="24">
        <v>45676</v>
      </c>
      <c r="F576" s="23" t="s">
        <v>2655</v>
      </c>
      <c r="G576" s="23" t="s">
        <v>2654</v>
      </c>
      <c r="H576" s="23">
        <v>0</v>
      </c>
    </row>
    <row r="577" spans="1:8">
      <c r="A577" s="22" t="s">
        <v>1371</v>
      </c>
      <c r="B577" s="23" t="s">
        <v>1176</v>
      </c>
      <c r="C577" s="23">
        <v>53</v>
      </c>
      <c r="D577" s="23" t="s">
        <v>2685</v>
      </c>
      <c r="E577" s="24">
        <v>45577</v>
      </c>
      <c r="F577" s="23" t="s">
        <v>2653</v>
      </c>
      <c r="G577" s="23" t="s">
        <v>2654</v>
      </c>
      <c r="H577" s="23">
        <v>0</v>
      </c>
    </row>
    <row r="578" spans="1:8">
      <c r="A578" s="22" t="s">
        <v>2599</v>
      </c>
      <c r="B578" s="23" t="s">
        <v>1176</v>
      </c>
      <c r="C578" s="23">
        <v>40</v>
      </c>
      <c r="D578" s="23" t="s">
        <v>2668</v>
      </c>
      <c r="E578" s="24">
        <v>45536</v>
      </c>
      <c r="F578" s="23" t="s">
        <v>2655</v>
      </c>
      <c r="G578" s="23" t="s">
        <v>2656</v>
      </c>
      <c r="H578" s="23">
        <v>3</v>
      </c>
    </row>
    <row r="579" spans="1:8">
      <c r="A579" s="22" t="s">
        <v>2600</v>
      </c>
      <c r="B579" s="23" t="s">
        <v>1176</v>
      </c>
      <c r="C579" s="23">
        <v>45</v>
      </c>
      <c r="D579" s="23" t="s">
        <v>2667</v>
      </c>
      <c r="E579" s="24">
        <v>45560</v>
      </c>
      <c r="F579" s="23" t="s">
        <v>2653</v>
      </c>
      <c r="G579" s="23" t="s">
        <v>2656</v>
      </c>
      <c r="H579" s="23">
        <v>3</v>
      </c>
    </row>
    <row r="580" spans="1:8">
      <c r="A580" s="22" t="s">
        <v>1164</v>
      </c>
      <c r="B580" s="23" t="s">
        <v>1176</v>
      </c>
      <c r="C580" s="23">
        <v>22</v>
      </c>
      <c r="D580" s="23" t="s">
        <v>89</v>
      </c>
      <c r="E580" s="24">
        <v>45669</v>
      </c>
      <c r="F580" s="23" t="s">
        <v>2655</v>
      </c>
      <c r="G580" s="23" t="s">
        <v>2654</v>
      </c>
      <c r="H580" s="23">
        <v>0</v>
      </c>
    </row>
    <row r="581" spans="1:8">
      <c r="A581" s="22" t="s">
        <v>221</v>
      </c>
      <c r="B581" s="23" t="s">
        <v>1370</v>
      </c>
      <c r="C581" s="23">
        <v>31</v>
      </c>
      <c r="D581" s="23" t="s">
        <v>2660</v>
      </c>
      <c r="E581" s="24">
        <v>45680</v>
      </c>
      <c r="F581" s="23" t="s">
        <v>2653</v>
      </c>
      <c r="G581" s="23" t="s">
        <v>2654</v>
      </c>
      <c r="H581" s="23">
        <v>0</v>
      </c>
    </row>
    <row r="582" spans="1:8">
      <c r="A582" s="22" t="s">
        <v>999</v>
      </c>
      <c r="B582" s="23" t="s">
        <v>1176</v>
      </c>
      <c r="C582" s="23">
        <v>54</v>
      </c>
      <c r="D582" s="23" t="s">
        <v>2657</v>
      </c>
      <c r="E582" s="24">
        <v>45683</v>
      </c>
      <c r="F582" s="23" t="s">
        <v>2655</v>
      </c>
      <c r="G582" s="23" t="s">
        <v>2656</v>
      </c>
      <c r="H582" s="23">
        <v>3</v>
      </c>
    </row>
    <row r="583" spans="1:8">
      <c r="A583" s="22" t="s">
        <v>1181</v>
      </c>
      <c r="B583" s="23" t="s">
        <v>1370</v>
      </c>
      <c r="C583" s="23">
        <v>61</v>
      </c>
      <c r="D583" s="23" t="s">
        <v>2660</v>
      </c>
      <c r="E583" s="24">
        <v>45732</v>
      </c>
      <c r="F583" s="23" t="s">
        <v>2653</v>
      </c>
      <c r="G583" s="23" t="s">
        <v>2654</v>
      </c>
      <c r="H583" s="23">
        <v>0</v>
      </c>
    </row>
    <row r="584" spans="1:8">
      <c r="A584" s="22" t="s">
        <v>2601</v>
      </c>
      <c r="B584" s="23" t="s">
        <v>1370</v>
      </c>
      <c r="C584" s="23">
        <v>29</v>
      </c>
      <c r="D584" s="23" t="s">
        <v>2687</v>
      </c>
      <c r="E584" s="24">
        <v>45715</v>
      </c>
      <c r="F584" s="23" t="s">
        <v>2653</v>
      </c>
      <c r="G584" s="23" t="s">
        <v>2656</v>
      </c>
      <c r="H584" s="23">
        <v>2</v>
      </c>
    </row>
    <row r="585" spans="1:8">
      <c r="A585" s="22" t="s">
        <v>2602</v>
      </c>
      <c r="B585" s="23" t="s">
        <v>1176</v>
      </c>
      <c r="C585" s="23">
        <v>39</v>
      </c>
      <c r="D585" s="23" t="s">
        <v>82</v>
      </c>
      <c r="E585" s="24">
        <v>45588</v>
      </c>
      <c r="F585" s="23" t="s">
        <v>2655</v>
      </c>
      <c r="G585" s="23" t="s">
        <v>2656</v>
      </c>
      <c r="H585" s="23">
        <v>4</v>
      </c>
    </row>
    <row r="586" spans="1:8">
      <c r="A586" s="22" t="s">
        <v>2603</v>
      </c>
      <c r="B586" s="23" t="s">
        <v>1176</v>
      </c>
      <c r="C586" s="23">
        <v>24</v>
      </c>
      <c r="D586" s="23" t="s">
        <v>417</v>
      </c>
      <c r="E586" s="24">
        <v>45540</v>
      </c>
      <c r="F586" s="23" t="s">
        <v>2653</v>
      </c>
      <c r="G586" s="23" t="s">
        <v>2654</v>
      </c>
      <c r="H586" s="23">
        <v>0</v>
      </c>
    </row>
    <row r="587" spans="1:8">
      <c r="A587" s="22" t="s">
        <v>2145</v>
      </c>
      <c r="B587" s="23" t="s">
        <v>1176</v>
      </c>
      <c r="C587" s="23">
        <v>48</v>
      </c>
      <c r="D587" s="23" t="s">
        <v>2678</v>
      </c>
      <c r="E587" s="24">
        <v>45605</v>
      </c>
      <c r="F587" s="23" t="s">
        <v>2653</v>
      </c>
      <c r="G587" s="23" t="s">
        <v>2654</v>
      </c>
      <c r="H587" s="23">
        <v>0</v>
      </c>
    </row>
    <row r="588" spans="1:8">
      <c r="A588" s="22" t="s">
        <v>217</v>
      </c>
      <c r="B588" s="23" t="s">
        <v>1370</v>
      </c>
      <c r="C588" s="23">
        <v>46</v>
      </c>
      <c r="D588" s="23" t="s">
        <v>48</v>
      </c>
      <c r="E588" s="24">
        <v>45702</v>
      </c>
      <c r="F588" s="23" t="s">
        <v>2653</v>
      </c>
      <c r="G588" s="23" t="s">
        <v>2656</v>
      </c>
      <c r="H588" s="23">
        <v>4</v>
      </c>
    </row>
    <row r="589" spans="1:8">
      <c r="A589" s="22" t="s">
        <v>1396</v>
      </c>
      <c r="B589" s="23" t="s">
        <v>1370</v>
      </c>
      <c r="C589" s="23">
        <v>35</v>
      </c>
      <c r="D589" s="23" t="s">
        <v>242</v>
      </c>
      <c r="E589" s="24">
        <v>45541</v>
      </c>
      <c r="F589" s="23" t="s">
        <v>2655</v>
      </c>
      <c r="G589" s="23" t="s">
        <v>2654</v>
      </c>
      <c r="H589" s="23">
        <v>0</v>
      </c>
    </row>
    <row r="590" spans="1:8">
      <c r="A590" s="22" t="s">
        <v>175</v>
      </c>
      <c r="B590" s="23" t="s">
        <v>1370</v>
      </c>
      <c r="C590" s="23">
        <v>50</v>
      </c>
      <c r="D590" s="23" t="s">
        <v>2670</v>
      </c>
      <c r="E590" s="24">
        <v>45556</v>
      </c>
      <c r="F590" s="23" t="s">
        <v>2653</v>
      </c>
      <c r="G590" s="23" t="s">
        <v>2656</v>
      </c>
      <c r="H590" s="23">
        <v>1</v>
      </c>
    </row>
    <row r="591" spans="1:8">
      <c r="A591" s="22" t="s">
        <v>2604</v>
      </c>
      <c r="B591" s="23" t="s">
        <v>1370</v>
      </c>
      <c r="C591" s="23">
        <v>36</v>
      </c>
      <c r="D591" s="23" t="s">
        <v>2666</v>
      </c>
      <c r="E591" s="24">
        <v>45622</v>
      </c>
      <c r="F591" s="23" t="s">
        <v>2653</v>
      </c>
      <c r="G591" s="23" t="s">
        <v>2656</v>
      </c>
      <c r="H591" s="23">
        <v>3</v>
      </c>
    </row>
    <row r="592" spans="1:8">
      <c r="A592" s="22" t="s">
        <v>622</v>
      </c>
      <c r="B592" s="23" t="s">
        <v>1176</v>
      </c>
      <c r="C592" s="23">
        <v>23</v>
      </c>
      <c r="D592" s="23" t="s">
        <v>2666</v>
      </c>
      <c r="E592" s="24">
        <v>45613</v>
      </c>
      <c r="F592" s="23" t="s">
        <v>2653</v>
      </c>
      <c r="G592" s="23" t="s">
        <v>2654</v>
      </c>
      <c r="H592" s="23">
        <v>0</v>
      </c>
    </row>
    <row r="593" spans="1:8">
      <c r="A593" s="22" t="s">
        <v>1769</v>
      </c>
      <c r="B593" s="23" t="s">
        <v>1176</v>
      </c>
      <c r="C593" s="23">
        <v>33</v>
      </c>
      <c r="D593" s="23" t="s">
        <v>2672</v>
      </c>
      <c r="E593" s="24">
        <v>45701</v>
      </c>
      <c r="F593" s="23" t="s">
        <v>2655</v>
      </c>
      <c r="G593" s="23" t="s">
        <v>2654</v>
      </c>
      <c r="H593" s="23">
        <v>0</v>
      </c>
    </row>
    <row r="594" spans="1:8">
      <c r="A594" s="22" t="s">
        <v>2605</v>
      </c>
      <c r="B594" s="23" t="s">
        <v>1370</v>
      </c>
      <c r="C594" s="23">
        <v>62</v>
      </c>
      <c r="D594" s="23" t="s">
        <v>2666</v>
      </c>
      <c r="E594" s="24">
        <v>45600</v>
      </c>
      <c r="F594" s="23" t="s">
        <v>2655</v>
      </c>
      <c r="G594" s="23" t="s">
        <v>2654</v>
      </c>
      <c r="H594" s="23">
        <v>0</v>
      </c>
    </row>
    <row r="595" spans="1:8">
      <c r="A595" s="22" t="s">
        <v>1592</v>
      </c>
      <c r="B595" s="23" t="s">
        <v>1176</v>
      </c>
      <c r="C595" s="23">
        <v>58</v>
      </c>
      <c r="D595" s="23" t="s">
        <v>2660</v>
      </c>
      <c r="E595" s="24">
        <v>45566</v>
      </c>
      <c r="F595" s="23" t="s">
        <v>2653</v>
      </c>
      <c r="G595" s="23" t="s">
        <v>2656</v>
      </c>
      <c r="H595" s="23">
        <v>1</v>
      </c>
    </row>
    <row r="596" spans="1:8">
      <c r="A596" s="22" t="s">
        <v>1115</v>
      </c>
      <c r="B596" s="23" t="s">
        <v>1370</v>
      </c>
      <c r="C596" s="23">
        <v>26</v>
      </c>
      <c r="D596" s="23" t="s">
        <v>1203</v>
      </c>
      <c r="E596" s="24">
        <v>45630</v>
      </c>
      <c r="F596" s="23" t="s">
        <v>2655</v>
      </c>
      <c r="G596" s="23" t="s">
        <v>2654</v>
      </c>
      <c r="H596" s="23">
        <v>0</v>
      </c>
    </row>
    <row r="597" spans="1:8">
      <c r="A597" s="22" t="s">
        <v>2606</v>
      </c>
      <c r="B597" s="23" t="s">
        <v>1176</v>
      </c>
      <c r="C597" s="23">
        <v>64</v>
      </c>
      <c r="D597" s="23" t="s">
        <v>2675</v>
      </c>
      <c r="E597" s="24">
        <v>45723</v>
      </c>
      <c r="F597" s="23" t="s">
        <v>2653</v>
      </c>
      <c r="G597" s="23" t="s">
        <v>2654</v>
      </c>
      <c r="H597" s="23">
        <v>0</v>
      </c>
    </row>
    <row r="598" spans="1:8">
      <c r="A598" s="22" t="s">
        <v>409</v>
      </c>
      <c r="B598" s="23" t="s">
        <v>1370</v>
      </c>
      <c r="C598" s="23">
        <v>57</v>
      </c>
      <c r="D598" s="23" t="s">
        <v>2663</v>
      </c>
      <c r="E598" s="24">
        <v>45567</v>
      </c>
      <c r="F598" s="23" t="s">
        <v>2653</v>
      </c>
      <c r="G598" s="23" t="s">
        <v>2656</v>
      </c>
      <c r="H598" s="23">
        <v>2</v>
      </c>
    </row>
    <row r="599" spans="1:8">
      <c r="A599" s="22" t="s">
        <v>1947</v>
      </c>
      <c r="B599" s="23" t="s">
        <v>1176</v>
      </c>
      <c r="C599" s="23">
        <v>35</v>
      </c>
      <c r="D599" s="23" t="s">
        <v>2691</v>
      </c>
      <c r="E599" s="24">
        <v>45590</v>
      </c>
      <c r="F599" s="23" t="s">
        <v>2655</v>
      </c>
      <c r="G599" s="23" t="s">
        <v>2656</v>
      </c>
      <c r="H599" s="23">
        <v>4</v>
      </c>
    </row>
    <row r="600" spans="1:8">
      <c r="A600" s="22" t="s">
        <v>2607</v>
      </c>
      <c r="B600" s="23" t="s">
        <v>1370</v>
      </c>
      <c r="C600" s="23">
        <v>37</v>
      </c>
      <c r="D600" s="23" t="s">
        <v>2669</v>
      </c>
      <c r="E600" s="24">
        <v>45568</v>
      </c>
      <c r="F600" s="23" t="s">
        <v>2655</v>
      </c>
      <c r="G600" s="23" t="s">
        <v>2656</v>
      </c>
      <c r="H600" s="23">
        <v>3</v>
      </c>
    </row>
    <row r="601" spans="1:8">
      <c r="A601" s="22" t="s">
        <v>814</v>
      </c>
      <c r="B601" s="23" t="s">
        <v>1176</v>
      </c>
      <c r="C601" s="23">
        <v>65</v>
      </c>
      <c r="D601" s="23" t="s">
        <v>2675</v>
      </c>
      <c r="E601" s="24">
        <v>45575</v>
      </c>
      <c r="F601" s="23" t="s">
        <v>2655</v>
      </c>
      <c r="G601" s="23" t="s">
        <v>2656</v>
      </c>
      <c r="H601" s="23">
        <v>3</v>
      </c>
    </row>
    <row r="602" spans="1:8">
      <c r="A602" s="22" t="s">
        <v>706</v>
      </c>
      <c r="B602" s="23" t="s">
        <v>1176</v>
      </c>
      <c r="C602" s="23">
        <v>49</v>
      </c>
      <c r="D602" s="23" t="s">
        <v>425</v>
      </c>
      <c r="E602" s="24">
        <v>45735</v>
      </c>
      <c r="F602" s="23" t="s">
        <v>2653</v>
      </c>
      <c r="G602" s="23" t="s">
        <v>2656</v>
      </c>
      <c r="H602" s="23">
        <v>2</v>
      </c>
    </row>
    <row r="603" spans="1:8">
      <c r="A603" s="22" t="s">
        <v>1656</v>
      </c>
      <c r="B603" s="23" t="s">
        <v>1176</v>
      </c>
      <c r="C603" s="23">
        <v>28</v>
      </c>
      <c r="D603" s="23" t="s">
        <v>2681</v>
      </c>
      <c r="E603" s="24">
        <v>45546</v>
      </c>
      <c r="F603" s="23" t="s">
        <v>2655</v>
      </c>
      <c r="G603" s="23" t="s">
        <v>2656</v>
      </c>
      <c r="H603" s="23">
        <v>3</v>
      </c>
    </row>
    <row r="604" spans="1:8">
      <c r="A604" s="22" t="s">
        <v>2608</v>
      </c>
      <c r="B604" s="23" t="s">
        <v>1370</v>
      </c>
      <c r="C604" s="23">
        <v>34</v>
      </c>
      <c r="D604" s="23" t="s">
        <v>2672</v>
      </c>
      <c r="E604" s="24">
        <v>45733</v>
      </c>
      <c r="F604" s="23" t="s">
        <v>2653</v>
      </c>
      <c r="G604" s="23" t="s">
        <v>2656</v>
      </c>
      <c r="H604" s="23">
        <v>3</v>
      </c>
    </row>
    <row r="605" spans="1:8">
      <c r="A605" s="22" t="s">
        <v>415</v>
      </c>
      <c r="B605" s="23" t="s">
        <v>1176</v>
      </c>
      <c r="C605" s="23">
        <v>45</v>
      </c>
      <c r="D605" s="23" t="s">
        <v>2678</v>
      </c>
      <c r="E605" s="24">
        <v>45654</v>
      </c>
      <c r="F605" s="23" t="s">
        <v>2655</v>
      </c>
      <c r="G605" s="23" t="s">
        <v>2654</v>
      </c>
      <c r="H605" s="23">
        <v>0</v>
      </c>
    </row>
    <row r="606" spans="1:8">
      <c r="A606" s="22" t="s">
        <v>1374</v>
      </c>
      <c r="B606" s="23" t="s">
        <v>1176</v>
      </c>
      <c r="C606" s="23">
        <v>64</v>
      </c>
      <c r="D606" s="23" t="s">
        <v>2680</v>
      </c>
      <c r="E606" s="24">
        <v>45604</v>
      </c>
      <c r="F606" s="23" t="s">
        <v>2653</v>
      </c>
      <c r="G606" s="23" t="s">
        <v>2656</v>
      </c>
      <c r="H606" s="23">
        <v>3</v>
      </c>
    </row>
    <row r="607" spans="1:8">
      <c r="A607" s="22" t="s">
        <v>2609</v>
      </c>
      <c r="B607" s="23" t="s">
        <v>1370</v>
      </c>
      <c r="C607" s="23">
        <v>40</v>
      </c>
      <c r="D607" s="23" t="s">
        <v>228</v>
      </c>
      <c r="E607" s="24">
        <v>45660</v>
      </c>
      <c r="F607" s="23" t="s">
        <v>2655</v>
      </c>
      <c r="G607" s="23" t="s">
        <v>2656</v>
      </c>
      <c r="H607" s="23">
        <v>3</v>
      </c>
    </row>
    <row r="608" spans="1:8">
      <c r="A608" s="22" t="s">
        <v>1573</v>
      </c>
      <c r="B608" s="23" t="s">
        <v>1176</v>
      </c>
      <c r="C608" s="23">
        <v>55</v>
      </c>
      <c r="D608" s="23" t="s">
        <v>359</v>
      </c>
      <c r="E608" s="24">
        <v>45704</v>
      </c>
      <c r="F608" s="23" t="s">
        <v>2655</v>
      </c>
      <c r="G608" s="23" t="s">
        <v>2656</v>
      </c>
      <c r="H608" s="23">
        <v>1</v>
      </c>
    </row>
    <row r="609" spans="1:8">
      <c r="A609" s="22" t="s">
        <v>1201</v>
      </c>
      <c r="B609" s="23" t="s">
        <v>1176</v>
      </c>
      <c r="C609" s="23">
        <v>18</v>
      </c>
      <c r="D609" s="23" t="s">
        <v>2675</v>
      </c>
      <c r="E609" s="24">
        <v>45560</v>
      </c>
      <c r="F609" s="23" t="s">
        <v>2653</v>
      </c>
      <c r="G609" s="23" t="s">
        <v>2654</v>
      </c>
      <c r="H609" s="23">
        <v>0</v>
      </c>
    </row>
    <row r="610" spans="1:8">
      <c r="A610" s="22" t="s">
        <v>1813</v>
      </c>
      <c r="B610" s="23" t="s">
        <v>1370</v>
      </c>
      <c r="C610" s="23">
        <v>34</v>
      </c>
      <c r="D610" s="23" t="s">
        <v>2687</v>
      </c>
      <c r="E610" s="24">
        <v>45550</v>
      </c>
      <c r="F610" s="23" t="s">
        <v>2653</v>
      </c>
      <c r="G610" s="23" t="s">
        <v>2656</v>
      </c>
      <c r="H610" s="23">
        <v>3</v>
      </c>
    </row>
    <row r="611" spans="1:8">
      <c r="A611" s="22" t="s">
        <v>2610</v>
      </c>
      <c r="B611" s="23" t="s">
        <v>1370</v>
      </c>
      <c r="C611" s="23">
        <v>49</v>
      </c>
      <c r="D611" s="23" t="s">
        <v>2663</v>
      </c>
      <c r="E611" s="24">
        <v>45686</v>
      </c>
      <c r="F611" s="23" t="s">
        <v>2655</v>
      </c>
      <c r="G611" s="23" t="s">
        <v>2656</v>
      </c>
      <c r="H611" s="23">
        <v>2</v>
      </c>
    </row>
    <row r="612" spans="1:8">
      <c r="A612" s="22" t="s">
        <v>833</v>
      </c>
      <c r="B612" s="23" t="s">
        <v>1176</v>
      </c>
      <c r="C612" s="23">
        <v>54</v>
      </c>
      <c r="D612" s="23" t="s">
        <v>2673</v>
      </c>
      <c r="E612" s="24">
        <v>45653</v>
      </c>
      <c r="F612" s="23" t="s">
        <v>2653</v>
      </c>
      <c r="G612" s="23" t="s">
        <v>2654</v>
      </c>
      <c r="H612" s="23">
        <v>0</v>
      </c>
    </row>
    <row r="613" spans="1:8">
      <c r="A613" s="22" t="s">
        <v>2611</v>
      </c>
      <c r="B613" s="23" t="s">
        <v>1176</v>
      </c>
      <c r="C613" s="23">
        <v>51</v>
      </c>
      <c r="D613" s="23" t="s">
        <v>2657</v>
      </c>
      <c r="E613" s="24">
        <v>45687</v>
      </c>
      <c r="F613" s="23" t="s">
        <v>2653</v>
      </c>
      <c r="G613" s="23" t="s">
        <v>2656</v>
      </c>
      <c r="H613" s="23">
        <v>3</v>
      </c>
    </row>
    <row r="614" spans="1:8">
      <c r="A614" s="22" t="s">
        <v>1238</v>
      </c>
      <c r="B614" s="23" t="s">
        <v>1370</v>
      </c>
      <c r="C614" s="23">
        <v>51</v>
      </c>
      <c r="D614" s="23" t="s">
        <v>2681</v>
      </c>
      <c r="E614" s="24">
        <v>45601</v>
      </c>
      <c r="F614" s="23" t="s">
        <v>2655</v>
      </c>
      <c r="G614" s="23" t="s">
        <v>2656</v>
      </c>
      <c r="H614" s="23">
        <v>3</v>
      </c>
    </row>
    <row r="615" spans="1:8">
      <c r="A615" s="22" t="s">
        <v>2612</v>
      </c>
      <c r="B615" s="23" t="s">
        <v>1370</v>
      </c>
      <c r="C615" s="23">
        <v>43</v>
      </c>
      <c r="D615" s="23" t="s">
        <v>2668</v>
      </c>
      <c r="E615" s="24">
        <v>45635</v>
      </c>
      <c r="F615" s="23" t="s">
        <v>2653</v>
      </c>
      <c r="G615" s="23" t="s">
        <v>2654</v>
      </c>
      <c r="H615" s="23">
        <v>0</v>
      </c>
    </row>
    <row r="616" spans="1:8">
      <c r="A616" s="22" t="s">
        <v>1873</v>
      </c>
      <c r="B616" s="23" t="s">
        <v>1370</v>
      </c>
      <c r="C616" s="23">
        <v>61</v>
      </c>
      <c r="D616" s="23" t="s">
        <v>228</v>
      </c>
      <c r="E616" s="24">
        <v>45677</v>
      </c>
      <c r="F616" s="23" t="s">
        <v>2653</v>
      </c>
      <c r="G616" s="23" t="s">
        <v>2656</v>
      </c>
      <c r="H616" s="23">
        <v>2</v>
      </c>
    </row>
    <row r="617" spans="1:8">
      <c r="A617" s="22" t="s">
        <v>2613</v>
      </c>
      <c r="B617" s="23" t="s">
        <v>1176</v>
      </c>
      <c r="C617" s="23">
        <v>19</v>
      </c>
      <c r="D617" s="23" t="s">
        <v>2680</v>
      </c>
      <c r="E617" s="24">
        <v>45741</v>
      </c>
      <c r="F617" s="23" t="s">
        <v>2653</v>
      </c>
      <c r="G617" s="23" t="s">
        <v>2656</v>
      </c>
      <c r="H617" s="23">
        <v>3</v>
      </c>
    </row>
    <row r="618" spans="1:8">
      <c r="A618" s="22" t="s">
        <v>2196</v>
      </c>
      <c r="B618" s="23" t="s">
        <v>1370</v>
      </c>
      <c r="C618" s="23">
        <v>54</v>
      </c>
      <c r="D618" s="23" t="s">
        <v>392</v>
      </c>
      <c r="E618" s="24">
        <v>45547</v>
      </c>
      <c r="F618" s="23" t="s">
        <v>2653</v>
      </c>
      <c r="G618" s="23" t="s">
        <v>2656</v>
      </c>
      <c r="H618" s="23">
        <v>3</v>
      </c>
    </row>
    <row r="619" spans="1:8">
      <c r="A619" s="22" t="s">
        <v>1594</v>
      </c>
      <c r="B619" s="23" t="s">
        <v>1176</v>
      </c>
      <c r="C619" s="23">
        <v>36</v>
      </c>
      <c r="D619" s="23" t="s">
        <v>2668</v>
      </c>
      <c r="E619" s="24">
        <v>45583</v>
      </c>
      <c r="F619" s="23" t="s">
        <v>2655</v>
      </c>
      <c r="G619" s="23" t="s">
        <v>2656</v>
      </c>
      <c r="H619" s="23">
        <v>2</v>
      </c>
    </row>
    <row r="620" spans="1:8">
      <c r="A620" s="22" t="s">
        <v>2074</v>
      </c>
      <c r="B620" s="23" t="s">
        <v>1370</v>
      </c>
      <c r="C620" s="23">
        <v>49</v>
      </c>
      <c r="D620" s="23" t="s">
        <v>265</v>
      </c>
      <c r="E620" s="24">
        <v>45622</v>
      </c>
      <c r="F620" s="23" t="s">
        <v>2653</v>
      </c>
      <c r="G620" s="23" t="s">
        <v>2654</v>
      </c>
      <c r="H620" s="23">
        <v>0</v>
      </c>
    </row>
    <row r="621" spans="1:8">
      <c r="A621" s="22" t="s">
        <v>1762</v>
      </c>
      <c r="B621" s="23" t="s">
        <v>1176</v>
      </c>
      <c r="C621" s="23">
        <v>55</v>
      </c>
      <c r="D621" s="23" t="s">
        <v>2686</v>
      </c>
      <c r="E621" s="24">
        <v>45700</v>
      </c>
      <c r="F621" s="23" t="s">
        <v>2653</v>
      </c>
      <c r="G621" s="23" t="s">
        <v>2656</v>
      </c>
      <c r="H621" s="23">
        <v>3</v>
      </c>
    </row>
    <row r="622" spans="1:8">
      <c r="A622" s="22" t="s">
        <v>269</v>
      </c>
      <c r="B622" s="23" t="s">
        <v>1176</v>
      </c>
      <c r="C622" s="23">
        <v>21</v>
      </c>
      <c r="D622" s="23" t="s">
        <v>2669</v>
      </c>
      <c r="E622" s="24">
        <v>45688</v>
      </c>
      <c r="F622" s="23" t="s">
        <v>2653</v>
      </c>
      <c r="G622" s="23" t="s">
        <v>2654</v>
      </c>
      <c r="H622" s="23">
        <v>0</v>
      </c>
    </row>
    <row r="623" spans="1:8">
      <c r="A623" s="22" t="s">
        <v>2614</v>
      </c>
      <c r="B623" s="23" t="s">
        <v>1176</v>
      </c>
      <c r="C623" s="23">
        <v>47</v>
      </c>
      <c r="D623" s="23" t="s">
        <v>2659</v>
      </c>
      <c r="E623" s="24">
        <v>45640</v>
      </c>
      <c r="F623" s="23" t="s">
        <v>2653</v>
      </c>
      <c r="G623" s="23" t="s">
        <v>2656</v>
      </c>
      <c r="H623" s="23">
        <v>4</v>
      </c>
    </row>
    <row r="624" spans="1:8">
      <c r="A624" s="22" t="s">
        <v>1512</v>
      </c>
      <c r="B624" s="23" t="s">
        <v>1370</v>
      </c>
      <c r="C624" s="23">
        <v>60</v>
      </c>
      <c r="D624" s="23" t="s">
        <v>2659</v>
      </c>
      <c r="E624" s="24">
        <v>45540</v>
      </c>
      <c r="F624" s="23" t="s">
        <v>2655</v>
      </c>
      <c r="G624" s="23" t="s">
        <v>2654</v>
      </c>
      <c r="H624" s="23">
        <v>0</v>
      </c>
    </row>
    <row r="625" spans="1:8">
      <c r="A625" s="22" t="s">
        <v>1097</v>
      </c>
      <c r="B625" s="23" t="s">
        <v>1176</v>
      </c>
      <c r="C625" s="23">
        <v>45</v>
      </c>
      <c r="D625" s="23" t="s">
        <v>36</v>
      </c>
      <c r="E625" s="24">
        <v>45638</v>
      </c>
      <c r="F625" s="23" t="s">
        <v>2653</v>
      </c>
      <c r="G625" s="23" t="s">
        <v>2656</v>
      </c>
      <c r="H625" s="23">
        <v>1</v>
      </c>
    </row>
    <row r="626" spans="1:8">
      <c r="A626" s="22" t="s">
        <v>2615</v>
      </c>
      <c r="B626" s="23" t="s">
        <v>1370</v>
      </c>
      <c r="C626" s="23">
        <v>29</v>
      </c>
      <c r="D626" s="23" t="s">
        <v>2690</v>
      </c>
      <c r="E626" s="24">
        <v>45712</v>
      </c>
      <c r="F626" s="23" t="s">
        <v>2655</v>
      </c>
      <c r="G626" s="23" t="s">
        <v>2656</v>
      </c>
      <c r="H626" s="23">
        <v>3</v>
      </c>
    </row>
    <row r="627" spans="1:8">
      <c r="A627" s="22" t="s">
        <v>1336</v>
      </c>
      <c r="B627" s="23" t="s">
        <v>1370</v>
      </c>
      <c r="C627" s="23">
        <v>38</v>
      </c>
      <c r="D627" s="23" t="s">
        <v>82</v>
      </c>
      <c r="E627" s="24">
        <v>45576</v>
      </c>
      <c r="F627" s="23" t="s">
        <v>2653</v>
      </c>
      <c r="G627" s="23" t="s">
        <v>2654</v>
      </c>
      <c r="H627" s="23">
        <v>0</v>
      </c>
    </row>
    <row r="628" spans="1:8">
      <c r="A628" s="22" t="s">
        <v>1660</v>
      </c>
      <c r="B628" s="23" t="s">
        <v>1176</v>
      </c>
      <c r="C628" s="23">
        <v>63</v>
      </c>
      <c r="D628" s="23" t="s">
        <v>1203</v>
      </c>
      <c r="E628" s="24">
        <v>45589</v>
      </c>
      <c r="F628" s="23" t="s">
        <v>2655</v>
      </c>
      <c r="G628" s="23" t="s">
        <v>2654</v>
      </c>
      <c r="H628" s="23">
        <v>0</v>
      </c>
    </row>
    <row r="629" spans="1:8">
      <c r="A629" s="22" t="s">
        <v>2616</v>
      </c>
      <c r="B629" s="23" t="s">
        <v>1370</v>
      </c>
      <c r="C629" s="23">
        <v>54</v>
      </c>
      <c r="D629" s="23" t="s">
        <v>2672</v>
      </c>
      <c r="E629" s="24">
        <v>45666</v>
      </c>
      <c r="F629" s="23" t="s">
        <v>2653</v>
      </c>
      <c r="G629" s="23" t="s">
        <v>2656</v>
      </c>
      <c r="H629" s="23">
        <v>1</v>
      </c>
    </row>
    <row r="630" spans="1:8">
      <c r="A630" s="22" t="s">
        <v>2617</v>
      </c>
      <c r="B630" s="23" t="s">
        <v>1176</v>
      </c>
      <c r="C630" s="23">
        <v>53</v>
      </c>
      <c r="D630" s="23" t="s">
        <v>2666</v>
      </c>
      <c r="E630" s="24">
        <v>45665</v>
      </c>
      <c r="F630" s="23" t="s">
        <v>2653</v>
      </c>
      <c r="G630" s="23" t="s">
        <v>2654</v>
      </c>
      <c r="H630" s="23">
        <v>0</v>
      </c>
    </row>
    <row r="631" spans="1:8">
      <c r="A631" s="22" t="s">
        <v>550</v>
      </c>
      <c r="B631" s="23" t="s">
        <v>1176</v>
      </c>
      <c r="C631" s="23">
        <v>42</v>
      </c>
      <c r="D631" s="23" t="s">
        <v>2690</v>
      </c>
      <c r="E631" s="24">
        <v>45555</v>
      </c>
      <c r="F631" s="23" t="s">
        <v>2655</v>
      </c>
      <c r="G631" s="23" t="s">
        <v>2656</v>
      </c>
      <c r="H631" s="23">
        <v>3</v>
      </c>
    </row>
    <row r="632" spans="1:8">
      <c r="A632" s="22" t="s">
        <v>1609</v>
      </c>
      <c r="B632" s="23" t="s">
        <v>1370</v>
      </c>
      <c r="C632" s="23">
        <v>44</v>
      </c>
      <c r="D632" s="23" t="s">
        <v>359</v>
      </c>
      <c r="E632" s="24">
        <v>45600</v>
      </c>
      <c r="F632" s="23" t="s">
        <v>2653</v>
      </c>
      <c r="G632" s="23" t="s">
        <v>2654</v>
      </c>
      <c r="H632" s="23">
        <v>0</v>
      </c>
    </row>
    <row r="633" spans="1:8">
      <c r="A633" s="22" t="s">
        <v>688</v>
      </c>
      <c r="B633" s="23" t="s">
        <v>1370</v>
      </c>
      <c r="C633" s="23">
        <v>51</v>
      </c>
      <c r="D633" s="23" t="s">
        <v>2680</v>
      </c>
      <c r="E633" s="24">
        <v>45635</v>
      </c>
      <c r="F633" s="23" t="s">
        <v>2655</v>
      </c>
      <c r="G633" s="23" t="s">
        <v>2656</v>
      </c>
      <c r="H633" s="23">
        <v>2</v>
      </c>
    </row>
    <row r="634" spans="1:8">
      <c r="A634" s="22" t="s">
        <v>1084</v>
      </c>
      <c r="B634" s="23" t="s">
        <v>1370</v>
      </c>
      <c r="C634" s="23">
        <v>33</v>
      </c>
      <c r="D634" s="23" t="s">
        <v>2670</v>
      </c>
      <c r="E634" s="24">
        <v>45545</v>
      </c>
      <c r="F634" s="23" t="s">
        <v>2653</v>
      </c>
      <c r="G634" s="23" t="s">
        <v>2656</v>
      </c>
      <c r="H634" s="23">
        <v>3</v>
      </c>
    </row>
    <row r="635" spans="1:8">
      <c r="A635" s="22" t="s">
        <v>2618</v>
      </c>
      <c r="B635" s="23" t="s">
        <v>1370</v>
      </c>
      <c r="C635" s="23">
        <v>30</v>
      </c>
      <c r="D635" s="23" t="s">
        <v>72</v>
      </c>
      <c r="E635" s="24">
        <v>45597</v>
      </c>
      <c r="F635" s="23" t="s">
        <v>2653</v>
      </c>
      <c r="G635" s="23" t="s">
        <v>2654</v>
      </c>
      <c r="H635" s="23">
        <v>0</v>
      </c>
    </row>
    <row r="636" spans="1:8">
      <c r="A636" s="22" t="s">
        <v>2619</v>
      </c>
      <c r="B636" s="23" t="s">
        <v>1176</v>
      </c>
      <c r="C636" s="23">
        <v>46</v>
      </c>
      <c r="D636" s="23" t="s">
        <v>2681</v>
      </c>
      <c r="E636" s="24">
        <v>45598</v>
      </c>
      <c r="F636" s="23" t="s">
        <v>2655</v>
      </c>
      <c r="G636" s="23" t="s">
        <v>2654</v>
      </c>
      <c r="H636" s="23">
        <v>0</v>
      </c>
    </row>
    <row r="637" spans="1:8">
      <c r="A637" s="22" t="s">
        <v>1680</v>
      </c>
      <c r="B637" s="23" t="s">
        <v>1370</v>
      </c>
      <c r="C637" s="23">
        <v>36</v>
      </c>
      <c r="D637" s="23" t="s">
        <v>2660</v>
      </c>
      <c r="E637" s="24">
        <v>45710</v>
      </c>
      <c r="F637" s="23" t="s">
        <v>2655</v>
      </c>
      <c r="G637" s="23" t="s">
        <v>2656</v>
      </c>
      <c r="H637" s="23">
        <v>3</v>
      </c>
    </row>
    <row r="638" spans="1:8">
      <c r="A638" s="22" t="s">
        <v>2620</v>
      </c>
      <c r="B638" s="23" t="s">
        <v>1370</v>
      </c>
      <c r="C638" s="23">
        <v>61</v>
      </c>
      <c r="D638" s="23" t="s">
        <v>72</v>
      </c>
      <c r="E638" s="24">
        <v>45655</v>
      </c>
      <c r="F638" s="23" t="s">
        <v>2653</v>
      </c>
      <c r="G638" s="23" t="s">
        <v>2654</v>
      </c>
      <c r="H638" s="23">
        <v>0</v>
      </c>
    </row>
    <row r="639" spans="1:8">
      <c r="A639" s="22" t="s">
        <v>2621</v>
      </c>
      <c r="B639" s="23" t="s">
        <v>1370</v>
      </c>
      <c r="C639" s="23">
        <v>41</v>
      </c>
      <c r="D639" s="23" t="s">
        <v>2679</v>
      </c>
      <c r="E639" s="24">
        <v>45620</v>
      </c>
      <c r="F639" s="23" t="s">
        <v>2655</v>
      </c>
      <c r="G639" s="23" t="s">
        <v>2654</v>
      </c>
      <c r="H639" s="23">
        <v>0</v>
      </c>
    </row>
    <row r="640" spans="1:8">
      <c r="A640" s="22" t="s">
        <v>2622</v>
      </c>
      <c r="B640" s="23" t="s">
        <v>1176</v>
      </c>
      <c r="C640" s="23">
        <v>24</v>
      </c>
      <c r="D640" s="23" t="s">
        <v>2689</v>
      </c>
      <c r="E640" s="24">
        <v>45688</v>
      </c>
      <c r="F640" s="23" t="s">
        <v>2655</v>
      </c>
      <c r="G640" s="23" t="s">
        <v>2654</v>
      </c>
      <c r="H640" s="23">
        <v>0</v>
      </c>
    </row>
    <row r="641" spans="1:8">
      <c r="A641" s="22" t="s">
        <v>2238</v>
      </c>
      <c r="B641" s="23" t="s">
        <v>1176</v>
      </c>
      <c r="C641" s="23">
        <v>33</v>
      </c>
      <c r="D641" s="23" t="s">
        <v>2662</v>
      </c>
      <c r="E641" s="24">
        <v>45634</v>
      </c>
      <c r="F641" s="23" t="s">
        <v>2653</v>
      </c>
      <c r="G641" s="23" t="s">
        <v>2654</v>
      </c>
      <c r="H641" s="23">
        <v>0</v>
      </c>
    </row>
    <row r="642" spans="1:8">
      <c r="A642" s="22" t="s">
        <v>496</v>
      </c>
      <c r="B642" s="23" t="s">
        <v>1176</v>
      </c>
      <c r="C642" s="23">
        <v>26</v>
      </c>
      <c r="D642" s="23" t="s">
        <v>2692</v>
      </c>
      <c r="E642" s="24">
        <v>45604</v>
      </c>
      <c r="F642" s="23" t="s">
        <v>2653</v>
      </c>
      <c r="G642" s="23" t="s">
        <v>2654</v>
      </c>
      <c r="H642" s="23">
        <v>0</v>
      </c>
    </row>
    <row r="643" spans="1:8">
      <c r="A643" s="22" t="s">
        <v>1300</v>
      </c>
      <c r="B643" s="23" t="s">
        <v>1370</v>
      </c>
      <c r="C643" s="23">
        <v>24</v>
      </c>
      <c r="D643" s="23" t="s">
        <v>2667</v>
      </c>
      <c r="E643" s="24">
        <v>45707</v>
      </c>
      <c r="F643" s="23" t="s">
        <v>2653</v>
      </c>
      <c r="G643" s="23" t="s">
        <v>2656</v>
      </c>
      <c r="H643" s="23">
        <v>1</v>
      </c>
    </row>
    <row r="644" spans="1:8">
      <c r="A644" s="22" t="s">
        <v>663</v>
      </c>
      <c r="B644" s="23" t="s">
        <v>1370</v>
      </c>
      <c r="C644" s="23">
        <v>20</v>
      </c>
      <c r="D644" s="23" t="s">
        <v>2666</v>
      </c>
      <c r="E644" s="24">
        <v>45605</v>
      </c>
      <c r="F644" s="23" t="s">
        <v>2655</v>
      </c>
      <c r="G644" s="23" t="s">
        <v>2654</v>
      </c>
      <c r="H644" s="23">
        <v>0</v>
      </c>
    </row>
    <row r="645" spans="1:8">
      <c r="A645" s="22" t="s">
        <v>2011</v>
      </c>
      <c r="B645" s="23" t="s">
        <v>1176</v>
      </c>
      <c r="C645" s="23">
        <v>58</v>
      </c>
      <c r="D645" s="23" t="s">
        <v>2683</v>
      </c>
      <c r="E645" s="24">
        <v>45635</v>
      </c>
      <c r="F645" s="23" t="s">
        <v>2653</v>
      </c>
      <c r="G645" s="23" t="s">
        <v>2654</v>
      </c>
      <c r="H645" s="23">
        <v>0</v>
      </c>
    </row>
    <row r="646" spans="1:8">
      <c r="A646" s="22" t="s">
        <v>55</v>
      </c>
      <c r="B646" s="23" t="s">
        <v>1176</v>
      </c>
      <c r="C646" s="23">
        <v>51</v>
      </c>
      <c r="D646" s="23" t="s">
        <v>2672</v>
      </c>
      <c r="E646" s="24">
        <v>45619</v>
      </c>
      <c r="F646" s="23" t="s">
        <v>2653</v>
      </c>
      <c r="G646" s="23" t="s">
        <v>2654</v>
      </c>
      <c r="H646" s="23">
        <v>0</v>
      </c>
    </row>
    <row r="647" spans="1:8">
      <c r="A647" s="22" t="s">
        <v>1506</v>
      </c>
      <c r="B647" s="23" t="s">
        <v>1370</v>
      </c>
      <c r="C647" s="23">
        <v>50</v>
      </c>
      <c r="D647" s="23" t="s">
        <v>2689</v>
      </c>
      <c r="E647" s="24">
        <v>45587</v>
      </c>
      <c r="F647" s="23" t="s">
        <v>2653</v>
      </c>
      <c r="G647" s="23" t="s">
        <v>2656</v>
      </c>
      <c r="H647" s="23">
        <v>4</v>
      </c>
    </row>
    <row r="648" spans="1:8">
      <c r="A648" s="22" t="s">
        <v>116</v>
      </c>
      <c r="B648" s="23" t="s">
        <v>1176</v>
      </c>
      <c r="C648" s="23">
        <v>19</v>
      </c>
      <c r="D648" s="23" t="s">
        <v>242</v>
      </c>
      <c r="E648" s="24">
        <v>45731</v>
      </c>
      <c r="F648" s="23" t="s">
        <v>2655</v>
      </c>
      <c r="G648" s="23" t="s">
        <v>2656</v>
      </c>
      <c r="H648" s="23">
        <v>1</v>
      </c>
    </row>
    <row r="649" spans="1:8">
      <c r="A649" s="22" t="s">
        <v>2623</v>
      </c>
      <c r="B649" s="23" t="s">
        <v>1176</v>
      </c>
      <c r="C649" s="23">
        <v>19</v>
      </c>
      <c r="D649" s="23" t="s">
        <v>57</v>
      </c>
      <c r="E649" s="24">
        <v>45670</v>
      </c>
      <c r="F649" s="23" t="s">
        <v>2655</v>
      </c>
      <c r="G649" s="23" t="s">
        <v>2656</v>
      </c>
      <c r="H649" s="23">
        <v>2</v>
      </c>
    </row>
    <row r="650" spans="1:8">
      <c r="A650" s="22" t="s">
        <v>1407</v>
      </c>
      <c r="B650" s="23" t="s">
        <v>1176</v>
      </c>
      <c r="C650" s="23">
        <v>51</v>
      </c>
      <c r="D650" s="23" t="s">
        <v>242</v>
      </c>
      <c r="E650" s="24">
        <v>45667</v>
      </c>
      <c r="F650" s="23" t="s">
        <v>2655</v>
      </c>
      <c r="G650" s="23" t="s">
        <v>2654</v>
      </c>
      <c r="H650" s="23">
        <v>0</v>
      </c>
    </row>
    <row r="651" spans="1:8">
      <c r="A651" s="22" t="s">
        <v>2624</v>
      </c>
      <c r="B651" s="23" t="s">
        <v>1370</v>
      </c>
      <c r="C651" s="23">
        <v>49</v>
      </c>
      <c r="D651" s="23" t="s">
        <v>2681</v>
      </c>
      <c r="E651" s="24">
        <v>45602</v>
      </c>
      <c r="F651" s="23" t="s">
        <v>2655</v>
      </c>
      <c r="G651" s="23" t="s">
        <v>2654</v>
      </c>
      <c r="H651" s="23">
        <v>0</v>
      </c>
    </row>
    <row r="652" spans="1:8">
      <c r="A652" s="22" t="s">
        <v>1207</v>
      </c>
      <c r="B652" s="23" t="s">
        <v>1370</v>
      </c>
      <c r="C652" s="23">
        <v>40</v>
      </c>
      <c r="D652" s="23" t="s">
        <v>2686</v>
      </c>
      <c r="E652" s="24">
        <v>45606</v>
      </c>
      <c r="F652" s="23" t="s">
        <v>2655</v>
      </c>
      <c r="G652" s="23" t="s">
        <v>2656</v>
      </c>
      <c r="H652" s="23">
        <v>1</v>
      </c>
    </row>
    <row r="653" spans="1:8">
      <c r="A653" s="22" t="s">
        <v>2625</v>
      </c>
      <c r="B653" s="23" t="s">
        <v>1370</v>
      </c>
      <c r="C653" s="23">
        <v>64</v>
      </c>
      <c r="D653" s="23" t="s">
        <v>2668</v>
      </c>
      <c r="E653" s="24">
        <v>45678</v>
      </c>
      <c r="F653" s="23" t="s">
        <v>2653</v>
      </c>
      <c r="G653" s="23" t="s">
        <v>2654</v>
      </c>
      <c r="H653" s="23">
        <v>0</v>
      </c>
    </row>
    <row r="654" spans="1:8">
      <c r="A654" s="22" t="s">
        <v>1326</v>
      </c>
      <c r="B654" s="23" t="s">
        <v>1370</v>
      </c>
      <c r="C654" s="23">
        <v>59</v>
      </c>
      <c r="D654" s="23" t="s">
        <v>2673</v>
      </c>
      <c r="E654" s="24">
        <v>45568</v>
      </c>
      <c r="F654" s="23" t="s">
        <v>2655</v>
      </c>
      <c r="G654" s="23" t="s">
        <v>2656</v>
      </c>
      <c r="H654" s="23">
        <v>4</v>
      </c>
    </row>
    <row r="655" spans="1:8">
      <c r="A655" s="22" t="s">
        <v>2129</v>
      </c>
      <c r="B655" s="23" t="s">
        <v>1176</v>
      </c>
      <c r="C655" s="23">
        <v>20</v>
      </c>
      <c r="D655" s="23" t="s">
        <v>2669</v>
      </c>
      <c r="E655" s="24">
        <v>45620</v>
      </c>
      <c r="F655" s="23" t="s">
        <v>2655</v>
      </c>
      <c r="G655" s="23" t="s">
        <v>2654</v>
      </c>
      <c r="H655" s="23">
        <v>0</v>
      </c>
    </row>
    <row r="656" spans="1:8">
      <c r="A656" s="22" t="s">
        <v>2626</v>
      </c>
      <c r="B656" s="23" t="s">
        <v>1176</v>
      </c>
      <c r="C656" s="23">
        <v>43</v>
      </c>
      <c r="D656" s="23" t="s">
        <v>2664</v>
      </c>
      <c r="E656" s="24">
        <v>45636</v>
      </c>
      <c r="F656" s="23" t="s">
        <v>2653</v>
      </c>
      <c r="G656" s="23" t="s">
        <v>2656</v>
      </c>
      <c r="H656" s="23">
        <v>2</v>
      </c>
    </row>
    <row r="657" spans="1:8">
      <c r="A657" s="22" t="s">
        <v>2627</v>
      </c>
      <c r="B657" s="23" t="s">
        <v>1370</v>
      </c>
      <c r="C657" s="23">
        <v>47</v>
      </c>
      <c r="D657" s="23" t="s">
        <v>2671</v>
      </c>
      <c r="E657" s="24">
        <v>45689</v>
      </c>
      <c r="F657" s="23" t="s">
        <v>2655</v>
      </c>
      <c r="G657" s="23" t="s">
        <v>2656</v>
      </c>
      <c r="H657" s="23">
        <v>4</v>
      </c>
    </row>
    <row r="658" spans="1:8">
      <c r="A658" s="22" t="s">
        <v>1449</v>
      </c>
      <c r="B658" s="23" t="s">
        <v>1176</v>
      </c>
      <c r="C658" s="23">
        <v>49</v>
      </c>
      <c r="D658" s="23" t="s">
        <v>2671</v>
      </c>
      <c r="E658" s="24">
        <v>45737</v>
      </c>
      <c r="F658" s="23" t="s">
        <v>2655</v>
      </c>
      <c r="G658" s="23" t="s">
        <v>2656</v>
      </c>
      <c r="H658" s="23">
        <v>3</v>
      </c>
    </row>
    <row r="659" spans="1:8">
      <c r="A659" s="22" t="s">
        <v>1071</v>
      </c>
      <c r="B659" s="23" t="s">
        <v>1176</v>
      </c>
      <c r="C659" s="23">
        <v>56</v>
      </c>
      <c r="D659" s="23" t="s">
        <v>2680</v>
      </c>
      <c r="E659" s="24">
        <v>45688</v>
      </c>
      <c r="F659" s="23" t="s">
        <v>2655</v>
      </c>
      <c r="G659" s="23" t="s">
        <v>2654</v>
      </c>
      <c r="H659" s="23">
        <v>0</v>
      </c>
    </row>
    <row r="660" spans="1:8">
      <c r="A660" s="22" t="s">
        <v>2628</v>
      </c>
      <c r="B660" s="23" t="s">
        <v>1370</v>
      </c>
      <c r="C660" s="23">
        <v>56</v>
      </c>
      <c r="D660" s="23" t="s">
        <v>2676</v>
      </c>
      <c r="E660" s="24">
        <v>45724</v>
      </c>
      <c r="F660" s="23" t="s">
        <v>2653</v>
      </c>
      <c r="G660" s="23" t="s">
        <v>2654</v>
      </c>
      <c r="H660" s="23">
        <v>0</v>
      </c>
    </row>
    <row r="661" spans="1:8">
      <c r="A661" s="22" t="s">
        <v>967</v>
      </c>
      <c r="B661" s="23" t="s">
        <v>1176</v>
      </c>
      <c r="C661" s="23">
        <v>48</v>
      </c>
      <c r="D661" s="23" t="s">
        <v>2665</v>
      </c>
      <c r="E661" s="24">
        <v>45604</v>
      </c>
      <c r="F661" s="23" t="s">
        <v>2655</v>
      </c>
      <c r="G661" s="23" t="s">
        <v>2654</v>
      </c>
      <c r="H661" s="23">
        <v>0</v>
      </c>
    </row>
    <row r="662" spans="1:8">
      <c r="A662" s="22" t="s">
        <v>1064</v>
      </c>
      <c r="B662" s="23" t="s">
        <v>1176</v>
      </c>
      <c r="C662" s="23">
        <v>57</v>
      </c>
      <c r="D662" s="23" t="s">
        <v>2662</v>
      </c>
      <c r="E662" s="24">
        <v>45692</v>
      </c>
      <c r="F662" s="23" t="s">
        <v>2653</v>
      </c>
      <c r="G662" s="23" t="s">
        <v>2656</v>
      </c>
      <c r="H662" s="23">
        <v>4</v>
      </c>
    </row>
    <row r="663" spans="1:8">
      <c r="A663" s="22" t="s">
        <v>528</v>
      </c>
      <c r="B663" s="23" t="s">
        <v>1370</v>
      </c>
      <c r="C663" s="23">
        <v>65</v>
      </c>
      <c r="D663" s="23" t="s">
        <v>2663</v>
      </c>
      <c r="E663" s="24">
        <v>45633</v>
      </c>
      <c r="F663" s="23" t="s">
        <v>2655</v>
      </c>
      <c r="G663" s="23" t="s">
        <v>2654</v>
      </c>
      <c r="H663" s="23">
        <v>0</v>
      </c>
    </row>
    <row r="664" spans="1:8">
      <c r="A664" s="22" t="s">
        <v>2629</v>
      </c>
      <c r="B664" s="23" t="s">
        <v>1370</v>
      </c>
      <c r="C664" s="23">
        <v>29</v>
      </c>
      <c r="D664" s="23" t="s">
        <v>48</v>
      </c>
      <c r="E664" s="24">
        <v>45699</v>
      </c>
      <c r="F664" s="23" t="s">
        <v>2655</v>
      </c>
      <c r="G664" s="23" t="s">
        <v>2656</v>
      </c>
      <c r="H664" s="23">
        <v>2</v>
      </c>
    </row>
    <row r="665" spans="1:8">
      <c r="A665" s="22" t="s">
        <v>2630</v>
      </c>
      <c r="B665" s="23" t="s">
        <v>1370</v>
      </c>
      <c r="C665" s="23">
        <v>65</v>
      </c>
      <c r="D665" s="23" t="s">
        <v>2673</v>
      </c>
      <c r="E665" s="24">
        <v>45564</v>
      </c>
      <c r="F665" s="23" t="s">
        <v>2653</v>
      </c>
      <c r="G665" s="23" t="s">
        <v>2654</v>
      </c>
      <c r="H665" s="23">
        <v>0</v>
      </c>
    </row>
    <row r="666" spans="1:8">
      <c r="A666" s="22" t="s">
        <v>283</v>
      </c>
      <c r="B666" s="23" t="s">
        <v>1176</v>
      </c>
      <c r="C666" s="23">
        <v>24</v>
      </c>
      <c r="D666" s="23" t="s">
        <v>82</v>
      </c>
      <c r="E666" s="24">
        <v>45724</v>
      </c>
      <c r="F666" s="23" t="s">
        <v>2653</v>
      </c>
      <c r="G666" s="23" t="s">
        <v>2656</v>
      </c>
      <c r="H666" s="23">
        <v>3</v>
      </c>
    </row>
    <row r="667" spans="1:8">
      <c r="A667" s="22" t="s">
        <v>2631</v>
      </c>
      <c r="B667" s="23" t="s">
        <v>1176</v>
      </c>
      <c r="C667" s="23">
        <v>38</v>
      </c>
      <c r="D667" s="23" t="s">
        <v>2670</v>
      </c>
      <c r="E667" s="24">
        <v>45642</v>
      </c>
      <c r="F667" s="23" t="s">
        <v>2655</v>
      </c>
      <c r="G667" s="23" t="s">
        <v>2654</v>
      </c>
      <c r="H667" s="23">
        <v>0</v>
      </c>
    </row>
    <row r="668" spans="1:8">
      <c r="A668" s="22" t="s">
        <v>2122</v>
      </c>
      <c r="B668" s="23" t="s">
        <v>1176</v>
      </c>
      <c r="C668" s="23">
        <v>29</v>
      </c>
      <c r="D668" s="23" t="s">
        <v>57</v>
      </c>
      <c r="E668" s="24">
        <v>45612</v>
      </c>
      <c r="F668" s="23" t="s">
        <v>2655</v>
      </c>
      <c r="G668" s="23" t="s">
        <v>2656</v>
      </c>
      <c r="H668" s="23">
        <v>4</v>
      </c>
    </row>
    <row r="669" spans="1:8">
      <c r="A669" s="22" t="s">
        <v>1455</v>
      </c>
      <c r="B669" s="23" t="s">
        <v>1176</v>
      </c>
      <c r="C669" s="23">
        <v>42</v>
      </c>
      <c r="D669" s="23" t="s">
        <v>2661</v>
      </c>
      <c r="E669" s="24">
        <v>45690</v>
      </c>
      <c r="F669" s="23" t="s">
        <v>2653</v>
      </c>
      <c r="G669" s="23" t="s">
        <v>2656</v>
      </c>
      <c r="H669" s="23">
        <v>4</v>
      </c>
    </row>
    <row r="670" spans="1:8">
      <c r="A670" s="22" t="s">
        <v>1026</v>
      </c>
      <c r="B670" s="23" t="s">
        <v>1370</v>
      </c>
      <c r="C670" s="23">
        <v>34</v>
      </c>
      <c r="D670" s="23" t="s">
        <v>2665</v>
      </c>
      <c r="E670" s="24">
        <v>45596</v>
      </c>
      <c r="F670" s="23" t="s">
        <v>2655</v>
      </c>
      <c r="G670" s="23" t="s">
        <v>2656</v>
      </c>
      <c r="H670" s="23">
        <v>4</v>
      </c>
    </row>
    <row r="671" spans="1:8">
      <c r="A671" s="22" t="s">
        <v>124</v>
      </c>
      <c r="B671" s="23" t="s">
        <v>1370</v>
      </c>
      <c r="C671" s="23">
        <v>48</v>
      </c>
      <c r="D671" s="23" t="s">
        <v>2674</v>
      </c>
      <c r="E671" s="24">
        <v>45710</v>
      </c>
      <c r="F671" s="23" t="s">
        <v>2653</v>
      </c>
      <c r="G671" s="23" t="s">
        <v>2654</v>
      </c>
      <c r="H671" s="23">
        <v>0</v>
      </c>
    </row>
    <row r="672" spans="1:8">
      <c r="A672" s="22" t="s">
        <v>805</v>
      </c>
      <c r="B672" s="23" t="s">
        <v>1176</v>
      </c>
      <c r="C672" s="23">
        <v>54</v>
      </c>
      <c r="D672" s="23" t="s">
        <v>2666</v>
      </c>
      <c r="E672" s="24">
        <v>45627</v>
      </c>
      <c r="F672" s="23" t="s">
        <v>2653</v>
      </c>
      <c r="G672" s="23" t="s">
        <v>2656</v>
      </c>
      <c r="H672" s="23">
        <v>2</v>
      </c>
    </row>
    <row r="673" spans="1:8">
      <c r="A673" s="22" t="s">
        <v>1879</v>
      </c>
      <c r="B673" s="23" t="s">
        <v>1370</v>
      </c>
      <c r="C673" s="23">
        <v>21</v>
      </c>
      <c r="D673" s="23" t="s">
        <v>2679</v>
      </c>
      <c r="E673" s="24">
        <v>45685</v>
      </c>
      <c r="F673" s="23" t="s">
        <v>2653</v>
      </c>
      <c r="G673" s="23" t="s">
        <v>2656</v>
      </c>
      <c r="H673" s="23">
        <v>1</v>
      </c>
    </row>
    <row r="674" spans="1:8">
      <c r="A674" s="22" t="s">
        <v>1111</v>
      </c>
      <c r="B674" s="23" t="s">
        <v>1370</v>
      </c>
      <c r="C674" s="23">
        <v>31</v>
      </c>
      <c r="D674" s="23" t="s">
        <v>2671</v>
      </c>
      <c r="E674" s="24">
        <v>45568</v>
      </c>
      <c r="F674" s="23" t="s">
        <v>2653</v>
      </c>
      <c r="G674" s="23" t="s">
        <v>2654</v>
      </c>
      <c r="H674" s="23">
        <v>0</v>
      </c>
    </row>
    <row r="675" spans="1:8">
      <c r="A675" s="22" t="s">
        <v>519</v>
      </c>
      <c r="B675" s="23" t="s">
        <v>1370</v>
      </c>
      <c r="C675" s="23">
        <v>20</v>
      </c>
      <c r="D675" s="23" t="s">
        <v>2692</v>
      </c>
      <c r="E675" s="24">
        <v>45729</v>
      </c>
      <c r="F675" s="23" t="s">
        <v>2653</v>
      </c>
      <c r="G675" s="23" t="s">
        <v>2656</v>
      </c>
      <c r="H675" s="23">
        <v>3</v>
      </c>
    </row>
    <row r="676" spans="1:8">
      <c r="A676" s="22" t="s">
        <v>2632</v>
      </c>
      <c r="B676" s="23" t="s">
        <v>1176</v>
      </c>
      <c r="C676" s="23">
        <v>61</v>
      </c>
      <c r="D676" s="23" t="s">
        <v>265</v>
      </c>
      <c r="E676" s="24">
        <v>45693</v>
      </c>
      <c r="F676" s="23" t="s">
        <v>2655</v>
      </c>
      <c r="G676" s="23" t="s">
        <v>2654</v>
      </c>
      <c r="H676" s="23">
        <v>0</v>
      </c>
    </row>
    <row r="677" spans="1:8">
      <c r="A677" s="22" t="s">
        <v>2633</v>
      </c>
      <c r="B677" s="23" t="s">
        <v>1176</v>
      </c>
      <c r="C677" s="23">
        <v>52</v>
      </c>
      <c r="D677" s="23" t="s">
        <v>36</v>
      </c>
      <c r="E677" s="24">
        <v>45573</v>
      </c>
      <c r="F677" s="23" t="s">
        <v>2655</v>
      </c>
      <c r="G677" s="23" t="s">
        <v>2656</v>
      </c>
      <c r="H677" s="23">
        <v>2</v>
      </c>
    </row>
    <row r="678" spans="1:8">
      <c r="A678" s="22" t="s">
        <v>2634</v>
      </c>
      <c r="B678" s="23" t="s">
        <v>1176</v>
      </c>
      <c r="C678" s="23">
        <v>26</v>
      </c>
      <c r="D678" s="23" t="s">
        <v>2683</v>
      </c>
      <c r="E678" s="24">
        <v>45568</v>
      </c>
      <c r="F678" s="23" t="s">
        <v>2653</v>
      </c>
      <c r="G678" s="23" t="s">
        <v>2654</v>
      </c>
      <c r="H678" s="23">
        <v>0</v>
      </c>
    </row>
    <row r="679" spans="1:8">
      <c r="A679" s="22" t="s">
        <v>2635</v>
      </c>
      <c r="B679" s="23" t="s">
        <v>1370</v>
      </c>
      <c r="C679" s="23">
        <v>65</v>
      </c>
      <c r="D679" s="23" t="s">
        <v>2662</v>
      </c>
      <c r="E679" s="24">
        <v>45551</v>
      </c>
      <c r="F679" s="23" t="s">
        <v>2653</v>
      </c>
      <c r="G679" s="23" t="s">
        <v>2654</v>
      </c>
      <c r="H679" s="23">
        <v>0</v>
      </c>
    </row>
    <row r="680" spans="1:8">
      <c r="A680" s="22" t="s">
        <v>2636</v>
      </c>
      <c r="B680" s="23" t="s">
        <v>1176</v>
      </c>
      <c r="C680" s="23">
        <v>59</v>
      </c>
      <c r="D680" s="23" t="s">
        <v>2691</v>
      </c>
      <c r="E680" s="24">
        <v>45545</v>
      </c>
      <c r="F680" s="23" t="s">
        <v>2655</v>
      </c>
      <c r="G680" s="23" t="s">
        <v>2656</v>
      </c>
      <c r="H680" s="23">
        <v>4</v>
      </c>
    </row>
    <row r="681" spans="1:8">
      <c r="A681" s="22" t="s">
        <v>793</v>
      </c>
      <c r="B681" s="23" t="s">
        <v>1176</v>
      </c>
      <c r="C681" s="23">
        <v>23</v>
      </c>
      <c r="D681" s="23" t="s">
        <v>2672</v>
      </c>
      <c r="E681" s="24">
        <v>45564</v>
      </c>
      <c r="F681" s="23" t="s">
        <v>2655</v>
      </c>
      <c r="G681" s="23" t="s">
        <v>2654</v>
      </c>
      <c r="H681" s="23">
        <v>0</v>
      </c>
    </row>
    <row r="682" spans="1:8">
      <c r="A682" s="22" t="s">
        <v>2637</v>
      </c>
      <c r="B682" s="23" t="s">
        <v>1176</v>
      </c>
      <c r="C682" s="23">
        <v>62</v>
      </c>
      <c r="D682" s="23" t="s">
        <v>2684</v>
      </c>
      <c r="E682" s="24">
        <v>45724</v>
      </c>
      <c r="F682" s="23" t="s">
        <v>2655</v>
      </c>
      <c r="G682" s="23" t="s">
        <v>2656</v>
      </c>
      <c r="H682" s="23">
        <v>2</v>
      </c>
    </row>
    <row r="683" spans="1:8">
      <c r="A683" s="22" t="s">
        <v>1194</v>
      </c>
      <c r="B683" s="23" t="s">
        <v>1370</v>
      </c>
      <c r="C683" s="23">
        <v>20</v>
      </c>
      <c r="D683" s="23" t="s">
        <v>2677</v>
      </c>
      <c r="E683" s="24">
        <v>45705</v>
      </c>
      <c r="F683" s="23" t="s">
        <v>2653</v>
      </c>
      <c r="G683" s="23" t="s">
        <v>2654</v>
      </c>
      <c r="H683" s="23">
        <v>0</v>
      </c>
    </row>
    <row r="684" spans="1:8">
      <c r="A684" s="22" t="s">
        <v>2638</v>
      </c>
      <c r="B684" s="23" t="s">
        <v>1370</v>
      </c>
      <c r="C684" s="23">
        <v>59</v>
      </c>
      <c r="D684" s="23" t="s">
        <v>2662</v>
      </c>
      <c r="E684" s="24">
        <v>45715</v>
      </c>
      <c r="F684" s="23" t="s">
        <v>2653</v>
      </c>
      <c r="G684" s="23" t="s">
        <v>2654</v>
      </c>
      <c r="H684" s="23">
        <v>0</v>
      </c>
    </row>
    <row r="685" spans="1:8">
      <c r="A685" s="22" t="s">
        <v>2639</v>
      </c>
      <c r="B685" s="23" t="s">
        <v>1370</v>
      </c>
      <c r="C685" s="23">
        <v>30</v>
      </c>
      <c r="D685" s="23" t="s">
        <v>89</v>
      </c>
      <c r="E685" s="24">
        <v>45655</v>
      </c>
      <c r="F685" s="23" t="s">
        <v>2653</v>
      </c>
      <c r="G685" s="23" t="s">
        <v>2654</v>
      </c>
      <c r="H685" s="23">
        <v>0</v>
      </c>
    </row>
    <row r="686" spans="1:8">
      <c r="A686" s="22" t="s">
        <v>450</v>
      </c>
      <c r="B686" s="23" t="s">
        <v>1370</v>
      </c>
      <c r="C686" s="23">
        <v>58</v>
      </c>
      <c r="D686" s="23" t="s">
        <v>2681</v>
      </c>
      <c r="E686" s="24">
        <v>45540</v>
      </c>
      <c r="F686" s="23" t="s">
        <v>2655</v>
      </c>
      <c r="G686" s="23" t="s">
        <v>2654</v>
      </c>
      <c r="H686" s="23">
        <v>0</v>
      </c>
    </row>
    <row r="687" spans="1:8">
      <c r="A687" s="22" t="s">
        <v>169</v>
      </c>
      <c r="B687" s="23" t="s">
        <v>1176</v>
      </c>
      <c r="C687" s="23">
        <v>20</v>
      </c>
      <c r="D687" s="23" t="s">
        <v>2683</v>
      </c>
      <c r="E687" s="24">
        <v>45672</v>
      </c>
      <c r="F687" s="23" t="s">
        <v>2655</v>
      </c>
      <c r="G687" s="23" t="s">
        <v>2656</v>
      </c>
      <c r="H687" s="23">
        <v>1</v>
      </c>
    </row>
    <row r="688" spans="1:8">
      <c r="A688" s="22" t="s">
        <v>1476</v>
      </c>
      <c r="B688" s="23" t="s">
        <v>1370</v>
      </c>
      <c r="C688" s="23">
        <v>50</v>
      </c>
      <c r="D688" s="23" t="s">
        <v>228</v>
      </c>
      <c r="E688" s="24">
        <v>45700</v>
      </c>
      <c r="F688" s="23" t="s">
        <v>2653</v>
      </c>
      <c r="G688" s="23" t="s">
        <v>2654</v>
      </c>
      <c r="H688" s="23">
        <v>0</v>
      </c>
    </row>
    <row r="689" spans="1:8">
      <c r="A689" s="22" t="s">
        <v>1686</v>
      </c>
      <c r="B689" s="23" t="s">
        <v>1370</v>
      </c>
      <c r="C689" s="23">
        <v>63</v>
      </c>
      <c r="D689" s="23" t="s">
        <v>2681</v>
      </c>
      <c r="E689" s="24">
        <v>45620</v>
      </c>
      <c r="F689" s="23" t="s">
        <v>2655</v>
      </c>
      <c r="G689" s="23" t="s">
        <v>2656</v>
      </c>
      <c r="H689" s="23">
        <v>2</v>
      </c>
    </row>
    <row r="690" spans="1:8">
      <c r="A690" s="22" t="s">
        <v>1278</v>
      </c>
      <c r="B690" s="23" t="s">
        <v>1370</v>
      </c>
      <c r="C690" s="23">
        <v>51</v>
      </c>
      <c r="D690" s="23" t="s">
        <v>89</v>
      </c>
      <c r="E690" s="24">
        <v>45544</v>
      </c>
      <c r="F690" s="23" t="s">
        <v>2653</v>
      </c>
      <c r="G690" s="23" t="s">
        <v>2654</v>
      </c>
      <c r="H690" s="23">
        <v>0</v>
      </c>
    </row>
    <row r="691" spans="1:8">
      <c r="A691" s="22" t="s">
        <v>1937</v>
      </c>
      <c r="B691" s="23" t="s">
        <v>1370</v>
      </c>
      <c r="C691" s="23">
        <v>60</v>
      </c>
      <c r="D691" s="23" t="s">
        <v>2683</v>
      </c>
      <c r="E691" s="24">
        <v>45647</v>
      </c>
      <c r="F691" s="23" t="s">
        <v>2655</v>
      </c>
      <c r="G691" s="23" t="s">
        <v>2656</v>
      </c>
      <c r="H691" s="23">
        <v>4</v>
      </c>
    </row>
    <row r="692" spans="1:8">
      <c r="A692" s="22" t="s">
        <v>2640</v>
      </c>
      <c r="B692" s="23" t="s">
        <v>1176</v>
      </c>
      <c r="C692" s="23">
        <v>26</v>
      </c>
      <c r="D692" s="23" t="s">
        <v>2683</v>
      </c>
      <c r="E692" s="24">
        <v>45665</v>
      </c>
      <c r="F692" s="23" t="s">
        <v>2653</v>
      </c>
      <c r="G692" s="23" t="s">
        <v>2654</v>
      </c>
      <c r="H692" s="23">
        <v>0</v>
      </c>
    </row>
    <row r="693" spans="1:8">
      <c r="A693" s="22" t="s">
        <v>1107</v>
      </c>
      <c r="B693" s="23" t="s">
        <v>1176</v>
      </c>
      <c r="C693" s="23">
        <v>64</v>
      </c>
      <c r="D693" s="23" t="s">
        <v>36</v>
      </c>
      <c r="E693" s="24">
        <v>45650</v>
      </c>
      <c r="F693" s="23" t="s">
        <v>2653</v>
      </c>
      <c r="G693" s="23" t="s">
        <v>2654</v>
      </c>
      <c r="H693" s="23">
        <v>0</v>
      </c>
    </row>
    <row r="694" spans="1:8">
      <c r="A694" s="22" t="s">
        <v>2641</v>
      </c>
      <c r="B694" s="23" t="s">
        <v>1370</v>
      </c>
      <c r="C694" s="23">
        <v>64</v>
      </c>
      <c r="D694" s="23" t="s">
        <v>2692</v>
      </c>
      <c r="E694" s="24">
        <v>45653</v>
      </c>
      <c r="F694" s="23" t="s">
        <v>2655</v>
      </c>
      <c r="G694" s="23" t="s">
        <v>2656</v>
      </c>
      <c r="H694" s="23">
        <v>1</v>
      </c>
    </row>
    <row r="695" spans="1:8">
      <c r="A695" s="22" t="s">
        <v>1045</v>
      </c>
      <c r="B695" s="23" t="s">
        <v>1176</v>
      </c>
      <c r="C695" s="23">
        <v>39</v>
      </c>
      <c r="D695" s="23" t="s">
        <v>2674</v>
      </c>
      <c r="E695" s="24">
        <v>45740</v>
      </c>
      <c r="F695" s="23" t="s">
        <v>2655</v>
      </c>
      <c r="G695" s="23" t="s">
        <v>2654</v>
      </c>
      <c r="H695" s="23">
        <v>0</v>
      </c>
    </row>
    <row r="696" spans="1:8">
      <c r="A696" s="22" t="s">
        <v>256</v>
      </c>
      <c r="B696" s="23" t="s">
        <v>1176</v>
      </c>
      <c r="C696" s="23">
        <v>41</v>
      </c>
      <c r="D696" s="23" t="s">
        <v>2663</v>
      </c>
      <c r="E696" s="24">
        <v>45656</v>
      </c>
      <c r="F696" s="23" t="s">
        <v>2655</v>
      </c>
      <c r="G696" s="23" t="s">
        <v>2656</v>
      </c>
      <c r="H696" s="23">
        <v>1</v>
      </c>
    </row>
    <row r="697" spans="1:8">
      <c r="A697" s="22" t="s">
        <v>2171</v>
      </c>
      <c r="B697" s="23" t="s">
        <v>1176</v>
      </c>
      <c r="C697" s="23">
        <v>33</v>
      </c>
      <c r="D697" s="23" t="s">
        <v>2692</v>
      </c>
      <c r="E697" s="24">
        <v>45676</v>
      </c>
      <c r="F697" s="23" t="s">
        <v>2655</v>
      </c>
      <c r="G697" s="23" t="s">
        <v>2654</v>
      </c>
      <c r="H697" s="23">
        <v>0</v>
      </c>
    </row>
    <row r="698" spans="1:8">
      <c r="A698" s="22" t="s">
        <v>827</v>
      </c>
      <c r="B698" s="23" t="s">
        <v>1176</v>
      </c>
      <c r="C698" s="23">
        <v>61</v>
      </c>
      <c r="D698" s="23" t="s">
        <v>2672</v>
      </c>
      <c r="E698" s="24">
        <v>45560</v>
      </c>
      <c r="F698" s="23" t="s">
        <v>2655</v>
      </c>
      <c r="G698" s="23" t="s">
        <v>2654</v>
      </c>
      <c r="H698" s="23">
        <v>0</v>
      </c>
    </row>
    <row r="699" spans="1:8">
      <c r="A699" s="22" t="s">
        <v>1899</v>
      </c>
      <c r="B699" s="23" t="s">
        <v>1176</v>
      </c>
      <c r="C699" s="23">
        <v>25</v>
      </c>
      <c r="D699" s="23" t="s">
        <v>2662</v>
      </c>
      <c r="E699" s="24">
        <v>45745</v>
      </c>
      <c r="F699" s="23" t="s">
        <v>2655</v>
      </c>
      <c r="G699" s="23" t="s">
        <v>2656</v>
      </c>
      <c r="H699" s="23">
        <v>4</v>
      </c>
    </row>
    <row r="700" spans="1:8">
      <c r="A700" s="22" t="s">
        <v>2642</v>
      </c>
      <c r="B700" s="23" t="s">
        <v>1370</v>
      </c>
      <c r="C700" s="23">
        <v>53</v>
      </c>
      <c r="D700" s="23" t="s">
        <v>2666</v>
      </c>
      <c r="E700" s="24">
        <v>45563</v>
      </c>
      <c r="F700" s="23" t="s">
        <v>2653</v>
      </c>
      <c r="G700" s="23" t="s">
        <v>2656</v>
      </c>
      <c r="H700" s="23">
        <v>2</v>
      </c>
    </row>
    <row r="701" spans="1:8">
      <c r="A701" s="22" t="s">
        <v>1992</v>
      </c>
      <c r="B701" s="23" t="s">
        <v>1176</v>
      </c>
      <c r="C701" s="23">
        <v>36</v>
      </c>
      <c r="D701" s="23" t="s">
        <v>2664</v>
      </c>
      <c r="E701" s="24">
        <v>45718</v>
      </c>
      <c r="F701" s="23" t="s">
        <v>2653</v>
      </c>
      <c r="G701" s="23" t="s">
        <v>2654</v>
      </c>
      <c r="H701" s="23">
        <v>0</v>
      </c>
    </row>
    <row r="702" spans="1:8">
      <c r="A702" s="22" t="s">
        <v>101</v>
      </c>
      <c r="B702" s="23" t="s">
        <v>1176</v>
      </c>
      <c r="C702" s="23">
        <v>38</v>
      </c>
      <c r="D702" s="23" t="s">
        <v>2662</v>
      </c>
      <c r="E702" s="24">
        <v>45597</v>
      </c>
      <c r="F702" s="23" t="s">
        <v>2653</v>
      </c>
      <c r="G702" s="23" t="s">
        <v>2656</v>
      </c>
      <c r="H702" s="23">
        <v>1</v>
      </c>
    </row>
    <row r="703" spans="1:8">
      <c r="A703" s="22" t="s">
        <v>1329</v>
      </c>
      <c r="B703" s="23" t="s">
        <v>1176</v>
      </c>
      <c r="C703" s="23">
        <v>38</v>
      </c>
      <c r="D703" s="23" t="s">
        <v>2667</v>
      </c>
      <c r="E703" s="24">
        <v>45670</v>
      </c>
      <c r="F703" s="23" t="s">
        <v>2655</v>
      </c>
      <c r="G703" s="23" t="s">
        <v>2656</v>
      </c>
      <c r="H703" s="23">
        <v>3</v>
      </c>
    </row>
    <row r="704" spans="1:8">
      <c r="A704" s="22" t="s">
        <v>2643</v>
      </c>
      <c r="B704" s="23" t="s">
        <v>1370</v>
      </c>
      <c r="C704" s="23">
        <v>30</v>
      </c>
      <c r="D704" s="23" t="s">
        <v>57</v>
      </c>
      <c r="E704" s="24">
        <v>45699</v>
      </c>
      <c r="F704" s="23" t="s">
        <v>2655</v>
      </c>
      <c r="G704" s="23" t="s">
        <v>2656</v>
      </c>
      <c r="H704" s="23">
        <v>4</v>
      </c>
    </row>
    <row r="705" spans="1:8">
      <c r="A705" s="22" t="s">
        <v>2644</v>
      </c>
      <c r="B705" s="23" t="s">
        <v>1176</v>
      </c>
      <c r="C705" s="23">
        <v>46</v>
      </c>
      <c r="D705" s="23" t="s">
        <v>2659</v>
      </c>
      <c r="E705" s="24">
        <v>45590</v>
      </c>
      <c r="F705" s="23" t="s">
        <v>2653</v>
      </c>
      <c r="G705" s="23" t="s">
        <v>2656</v>
      </c>
      <c r="H705" s="23">
        <v>1</v>
      </c>
    </row>
    <row r="706" spans="1:8">
      <c r="A706" s="22" t="s">
        <v>1151</v>
      </c>
      <c r="B706" s="23" t="s">
        <v>1370</v>
      </c>
      <c r="C706" s="23">
        <v>58</v>
      </c>
      <c r="D706" s="23" t="s">
        <v>36</v>
      </c>
      <c r="E706" s="24">
        <v>45644</v>
      </c>
      <c r="F706" s="23" t="s">
        <v>2655</v>
      </c>
      <c r="G706" s="23" t="s">
        <v>2654</v>
      </c>
      <c r="H706" s="23">
        <v>0</v>
      </c>
    </row>
    <row r="707" spans="1:8">
      <c r="A707" s="22" t="s">
        <v>1167</v>
      </c>
      <c r="B707" s="23" t="s">
        <v>1370</v>
      </c>
      <c r="C707" s="23">
        <v>20</v>
      </c>
      <c r="D707" s="23" t="s">
        <v>2667</v>
      </c>
      <c r="E707" s="24">
        <v>45583</v>
      </c>
      <c r="F707" s="23" t="s">
        <v>2653</v>
      </c>
      <c r="G707" s="23" t="s">
        <v>2656</v>
      </c>
      <c r="H707" s="23">
        <v>2</v>
      </c>
    </row>
    <row r="708" spans="1:8">
      <c r="A708" s="22" t="s">
        <v>2248</v>
      </c>
      <c r="B708" s="23" t="s">
        <v>1370</v>
      </c>
      <c r="C708" s="23">
        <v>21</v>
      </c>
      <c r="D708" s="23" t="s">
        <v>2674</v>
      </c>
      <c r="E708" s="24">
        <v>45707</v>
      </c>
      <c r="F708" s="23" t="s">
        <v>2655</v>
      </c>
      <c r="G708" s="23" t="s">
        <v>2656</v>
      </c>
      <c r="H708" s="23">
        <v>2</v>
      </c>
    </row>
    <row r="709" spans="1:8">
      <c r="A709" s="22" t="s">
        <v>1466</v>
      </c>
      <c r="B709" s="23" t="s">
        <v>1370</v>
      </c>
      <c r="C709" s="23">
        <v>33</v>
      </c>
      <c r="D709" s="23" t="s">
        <v>2679</v>
      </c>
      <c r="E709" s="24">
        <v>45652</v>
      </c>
      <c r="F709" s="23" t="s">
        <v>2653</v>
      </c>
      <c r="G709" s="23" t="s">
        <v>2656</v>
      </c>
      <c r="H709" s="23">
        <v>3</v>
      </c>
    </row>
    <row r="710" spans="1:8">
      <c r="A710" s="22" t="s">
        <v>2645</v>
      </c>
      <c r="B710" s="23" t="s">
        <v>1176</v>
      </c>
      <c r="C710" s="23">
        <v>57</v>
      </c>
      <c r="D710" s="23" t="s">
        <v>2676</v>
      </c>
      <c r="E710" s="24">
        <v>45726</v>
      </c>
      <c r="F710" s="23" t="s">
        <v>2655</v>
      </c>
      <c r="G710" s="23" t="s">
        <v>2656</v>
      </c>
      <c r="H710" s="23">
        <v>1</v>
      </c>
    </row>
    <row r="711" spans="1:8">
      <c r="A711" s="22" t="s">
        <v>583</v>
      </c>
      <c r="B711" s="23" t="s">
        <v>1370</v>
      </c>
      <c r="C711" s="23">
        <v>65</v>
      </c>
      <c r="D711" s="23" t="s">
        <v>2669</v>
      </c>
      <c r="E711" s="24">
        <v>45646</v>
      </c>
      <c r="F711" s="23" t="s">
        <v>2653</v>
      </c>
      <c r="G711" s="23" t="s">
        <v>2654</v>
      </c>
      <c r="H711" s="23">
        <v>0</v>
      </c>
    </row>
    <row r="712" spans="1:8">
      <c r="A712" s="22" t="s">
        <v>628</v>
      </c>
      <c r="B712" s="23" t="s">
        <v>1370</v>
      </c>
      <c r="C712" s="23">
        <v>63</v>
      </c>
      <c r="D712" s="23" t="s">
        <v>2672</v>
      </c>
      <c r="E712" s="24">
        <v>45564</v>
      </c>
      <c r="F712" s="23" t="s">
        <v>2653</v>
      </c>
      <c r="G712" s="23" t="s">
        <v>2654</v>
      </c>
      <c r="H712" s="23">
        <v>0</v>
      </c>
    </row>
    <row r="713" spans="1:8">
      <c r="A713" s="22" t="s">
        <v>1480</v>
      </c>
      <c r="B713" s="23" t="s">
        <v>1370</v>
      </c>
      <c r="C713" s="23">
        <v>19</v>
      </c>
      <c r="D713" s="23" t="s">
        <v>2688</v>
      </c>
      <c r="E713" s="24">
        <v>45547</v>
      </c>
      <c r="F713" s="23" t="s">
        <v>2655</v>
      </c>
      <c r="G713" s="23" t="s">
        <v>2654</v>
      </c>
      <c r="H713" s="23">
        <v>0</v>
      </c>
    </row>
    <row r="714" spans="1:8">
      <c r="A714" s="22" t="s">
        <v>2646</v>
      </c>
      <c r="B714" s="23" t="s">
        <v>1370</v>
      </c>
      <c r="C714" s="23">
        <v>50</v>
      </c>
      <c r="D714" s="23" t="s">
        <v>392</v>
      </c>
      <c r="E714" s="24">
        <v>45621</v>
      </c>
      <c r="F714" s="23" t="s">
        <v>2655</v>
      </c>
      <c r="G714" s="23" t="s">
        <v>2656</v>
      </c>
      <c r="H714" s="23">
        <v>4</v>
      </c>
    </row>
    <row r="715" spans="1:8">
      <c r="A715" s="22" t="s">
        <v>287</v>
      </c>
      <c r="B715" s="23" t="s">
        <v>1176</v>
      </c>
      <c r="C715" s="23">
        <v>23</v>
      </c>
      <c r="D715" s="23" t="s">
        <v>242</v>
      </c>
      <c r="E715" s="24">
        <v>45718</v>
      </c>
      <c r="F715" s="23" t="s">
        <v>2653</v>
      </c>
      <c r="G715" s="23" t="s">
        <v>2654</v>
      </c>
      <c r="H715" s="23">
        <v>0</v>
      </c>
    </row>
    <row r="716" spans="1:8">
      <c r="A716" s="22" t="s">
        <v>1426</v>
      </c>
      <c r="B716" s="23" t="s">
        <v>1176</v>
      </c>
      <c r="C716" s="23">
        <v>26</v>
      </c>
      <c r="D716" s="23" t="s">
        <v>2691</v>
      </c>
      <c r="E716" s="24">
        <v>45577</v>
      </c>
      <c r="F716" s="23" t="s">
        <v>2655</v>
      </c>
      <c r="G716" s="23" t="s">
        <v>2654</v>
      </c>
      <c r="H716" s="23">
        <v>0</v>
      </c>
    </row>
    <row r="717" spans="1:8">
      <c r="A717" s="22" t="s">
        <v>2212</v>
      </c>
      <c r="B717" s="23" t="s">
        <v>1370</v>
      </c>
      <c r="C717" s="23">
        <v>31</v>
      </c>
      <c r="D717" s="23" t="s">
        <v>2657</v>
      </c>
      <c r="E717" s="24">
        <v>45727</v>
      </c>
      <c r="F717" s="23" t="s">
        <v>2655</v>
      </c>
      <c r="G717" s="23" t="s">
        <v>2654</v>
      </c>
      <c r="H717" s="23">
        <v>0</v>
      </c>
    </row>
    <row r="718" spans="1:8">
      <c r="A718" s="22" t="s">
        <v>1404</v>
      </c>
      <c r="B718" s="23" t="s">
        <v>1176</v>
      </c>
      <c r="C718" s="23">
        <v>23</v>
      </c>
      <c r="D718" s="23" t="s">
        <v>392</v>
      </c>
      <c r="E718" s="24">
        <v>45618</v>
      </c>
      <c r="F718" s="23" t="s">
        <v>2653</v>
      </c>
      <c r="G718" s="23" t="s">
        <v>2654</v>
      </c>
      <c r="H718" s="23">
        <v>0</v>
      </c>
    </row>
    <row r="719" spans="1:8">
      <c r="A719" s="22" t="s">
        <v>2647</v>
      </c>
      <c r="B719" s="23" t="s">
        <v>1176</v>
      </c>
      <c r="C719" s="23">
        <v>35</v>
      </c>
      <c r="D719" s="23" t="s">
        <v>2681</v>
      </c>
      <c r="E719" s="24">
        <v>45731</v>
      </c>
      <c r="F719" s="23" t="s">
        <v>2655</v>
      </c>
      <c r="G719" s="23" t="s">
        <v>2654</v>
      </c>
      <c r="H719" s="23">
        <v>0</v>
      </c>
    </row>
    <row r="720" spans="1:8">
      <c r="A720" s="22" t="s">
        <v>1527</v>
      </c>
      <c r="B720" s="23" t="s">
        <v>1370</v>
      </c>
      <c r="C720" s="23">
        <v>19</v>
      </c>
      <c r="D720" s="23" t="s">
        <v>2679</v>
      </c>
      <c r="E720" s="24">
        <v>45661</v>
      </c>
      <c r="F720" s="23" t="s">
        <v>2653</v>
      </c>
      <c r="G720" s="23" t="s">
        <v>2654</v>
      </c>
      <c r="H720" s="23">
        <v>0</v>
      </c>
    </row>
    <row r="721" spans="1:8">
      <c r="A721" s="22" t="s">
        <v>2648</v>
      </c>
      <c r="B721" s="23" t="s">
        <v>1176</v>
      </c>
      <c r="C721" s="23">
        <v>60</v>
      </c>
      <c r="D721" s="23" t="s">
        <v>2679</v>
      </c>
      <c r="E721" s="24">
        <v>45575</v>
      </c>
      <c r="F721" s="23" t="s">
        <v>2653</v>
      </c>
      <c r="G721" s="23" t="s">
        <v>2656</v>
      </c>
      <c r="H721" s="23">
        <v>4</v>
      </c>
    </row>
    <row r="722" spans="1:8">
      <c r="A722" s="22" t="s">
        <v>2030</v>
      </c>
      <c r="B722" s="23" t="s">
        <v>1176</v>
      </c>
      <c r="C722" s="23">
        <v>42</v>
      </c>
      <c r="D722" s="23" t="s">
        <v>2671</v>
      </c>
      <c r="E722" s="24">
        <v>45615</v>
      </c>
      <c r="F722" s="23" t="s">
        <v>2655</v>
      </c>
      <c r="G722" s="23" t="s">
        <v>2654</v>
      </c>
      <c r="H722" s="23">
        <v>0</v>
      </c>
    </row>
    <row r="723" spans="1:8">
      <c r="A723" s="22" t="s">
        <v>1981</v>
      </c>
      <c r="B723" s="23" t="s">
        <v>1370</v>
      </c>
      <c r="C723" s="23">
        <v>43</v>
      </c>
      <c r="D723" s="23" t="s">
        <v>2663</v>
      </c>
      <c r="E723" s="24">
        <v>45557</v>
      </c>
      <c r="F723" s="23" t="s">
        <v>2655</v>
      </c>
      <c r="G723" s="23" t="s">
        <v>2656</v>
      </c>
      <c r="H723" s="23">
        <v>1</v>
      </c>
    </row>
    <row r="724" spans="1:8">
      <c r="A724" s="22" t="s">
        <v>487</v>
      </c>
      <c r="B724" s="23" t="s">
        <v>1370</v>
      </c>
      <c r="C724" s="23">
        <v>38</v>
      </c>
      <c r="D724" s="23" t="s">
        <v>2679</v>
      </c>
      <c r="E724" s="24">
        <v>45580</v>
      </c>
      <c r="F724" s="23" t="s">
        <v>2655</v>
      </c>
      <c r="G724" s="23" t="s">
        <v>2656</v>
      </c>
      <c r="H724" s="23">
        <v>4</v>
      </c>
    </row>
    <row r="725" spans="1:8">
      <c r="A725" s="22" t="s">
        <v>2649</v>
      </c>
      <c r="B725" s="23" t="s">
        <v>1176</v>
      </c>
      <c r="C725" s="23">
        <v>30</v>
      </c>
      <c r="D725" s="23" t="s">
        <v>2657</v>
      </c>
      <c r="E725" s="24">
        <v>45630</v>
      </c>
      <c r="F725" s="23" t="s">
        <v>2653</v>
      </c>
      <c r="G725" s="23" t="s">
        <v>2656</v>
      </c>
      <c r="H725" s="23">
        <v>4</v>
      </c>
    </row>
    <row r="726" spans="1:8">
      <c r="A726" s="22" t="s">
        <v>2650</v>
      </c>
      <c r="B726" s="23" t="s">
        <v>1370</v>
      </c>
      <c r="C726" s="23">
        <v>54</v>
      </c>
      <c r="D726" s="23" t="s">
        <v>2680</v>
      </c>
      <c r="E726" s="24">
        <v>45693</v>
      </c>
      <c r="F726" s="23" t="s">
        <v>2655</v>
      </c>
      <c r="G726" s="23" t="s">
        <v>2656</v>
      </c>
      <c r="H726" s="23">
        <v>2</v>
      </c>
    </row>
    <row r="727" spans="1:8">
      <c r="A727" s="22" t="s">
        <v>2651</v>
      </c>
      <c r="B727" s="23" t="s">
        <v>1370</v>
      </c>
      <c r="C727" s="23">
        <v>23</v>
      </c>
      <c r="D727" s="23" t="s">
        <v>2678</v>
      </c>
      <c r="E727" s="24">
        <v>45702</v>
      </c>
      <c r="F727" s="23" t="s">
        <v>2653</v>
      </c>
      <c r="G727" s="23" t="s">
        <v>2654</v>
      </c>
      <c r="H727" s="23">
        <v>0</v>
      </c>
    </row>
    <row r="728" spans="1:8">
      <c r="A728" s="22" t="s">
        <v>1564</v>
      </c>
      <c r="B728" s="23" t="s">
        <v>1370</v>
      </c>
      <c r="C728" s="23">
        <v>18</v>
      </c>
      <c r="D728" s="23" t="s">
        <v>2665</v>
      </c>
      <c r="E728" s="24">
        <v>45578</v>
      </c>
      <c r="F728" s="23" t="s">
        <v>2653</v>
      </c>
      <c r="G728" s="23" t="s">
        <v>2654</v>
      </c>
      <c r="H728" s="23">
        <v>0</v>
      </c>
    </row>
    <row r="729" spans="1:8">
      <c r="A729" s="22" t="s">
        <v>1444</v>
      </c>
      <c r="B729" s="23" t="s">
        <v>1176</v>
      </c>
      <c r="C729" s="23">
        <v>63</v>
      </c>
      <c r="D729" s="23" t="s">
        <v>2666</v>
      </c>
      <c r="E729" s="24">
        <v>45561</v>
      </c>
      <c r="F729" s="23" t="s">
        <v>2653</v>
      </c>
      <c r="G729" s="23" t="s">
        <v>2654</v>
      </c>
      <c r="H729" s="23">
        <v>0</v>
      </c>
    </row>
    <row r="730" spans="1:8">
      <c r="A730" s="22" t="s">
        <v>1142</v>
      </c>
      <c r="B730" s="23" t="s">
        <v>1370</v>
      </c>
      <c r="C730" s="23">
        <v>37</v>
      </c>
      <c r="D730" s="23" t="s">
        <v>2683</v>
      </c>
      <c r="E730" s="24">
        <v>45714</v>
      </c>
      <c r="F730" s="23" t="s">
        <v>2653</v>
      </c>
      <c r="G730" s="23" t="s">
        <v>2654</v>
      </c>
      <c r="H730" s="23">
        <v>0</v>
      </c>
    </row>
  </sheetData>
  <autoFilter ref="A1:H730" xr:uid="{00000000-0009-0000-0000-000008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Data1_Clean</vt:lpstr>
      <vt:lpstr>Data2_Clean</vt:lpstr>
      <vt:lpstr>Data1_Raw_Brightspace</vt:lpstr>
      <vt:lpstr>Data2_Raw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 Chen</dc:creator>
  <cp:lastModifiedBy>64fba6@studentoffice.net</cp:lastModifiedBy>
  <dcterms:created xsi:type="dcterms:W3CDTF">2025-05-10T18:30:20Z</dcterms:created>
  <dcterms:modified xsi:type="dcterms:W3CDTF">2025-05-12T22:09:18Z</dcterms:modified>
</cp:coreProperties>
</file>