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ustomProperty7.bin" ContentType="application/vnd.openxmlformats-officedocument.spreadsheetml.customProperty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-120" yWindow="7155" windowWidth="29040" windowHeight="7110" activeTab="1"/>
  </bookViews>
  <sheets>
    <sheet name="主角属性字段设计" sheetId="1" r:id="rId1"/>
    <sheet name="我方NPC属性字段设计" sheetId="2" r:id="rId2"/>
    <sheet name="敌方NPC属性字段设计" sheetId="3" r:id="rId3"/>
    <sheet name="村庄建筑物属性字段设计" sheetId="4" r:id="rId4"/>
    <sheet name="装备品属性字段设计" sheetId="5" r:id="rId5"/>
    <sheet name="道具物品属性字段设计" sheetId="6" r:id="rId6"/>
    <sheet name="DV-IDENTITY-0" sheetId="7" state="veryHidden" r:id="rId7"/>
  </sheets>
  <calcPr calcId="124519"/>
</workbook>
</file>

<file path=xl/calcChain.xml><?xml version="1.0" encoding="utf-8"?>
<calcChain xmlns="http://schemas.openxmlformats.org/spreadsheetml/2006/main">
  <c r="AC74" i="1"/>
  <c r="X74" s="1"/>
  <c r="AB78"/>
  <c r="AD75"/>
  <c r="Y75" s="1"/>
  <c r="AD76"/>
  <c r="Y76" s="1"/>
  <c r="AD77"/>
  <c r="Y77" s="1"/>
  <c r="AD78"/>
  <c r="Y78" s="1"/>
  <c r="AD79"/>
  <c r="Y79" s="1"/>
  <c r="AD80"/>
  <c r="Y80" s="1"/>
  <c r="AD81"/>
  <c r="Y81" s="1"/>
  <c r="AD82"/>
  <c r="Y82" s="1"/>
  <c r="AD83"/>
  <c r="Y83" s="1"/>
  <c r="AD84"/>
  <c r="Y84" s="1"/>
  <c r="AD85"/>
  <c r="Y85" s="1"/>
  <c r="AD86"/>
  <c r="Y86" s="1"/>
  <c r="AD87"/>
  <c r="Y87" s="1"/>
  <c r="AD74"/>
  <c r="Y74" s="1"/>
  <c r="AB82" l="1"/>
  <c r="Z82" s="1"/>
  <c r="AB77"/>
  <c r="Z77" s="1"/>
  <c r="AC76"/>
  <c r="X76" s="1"/>
  <c r="AB74"/>
  <c r="Z74" s="1"/>
  <c r="AB76"/>
  <c r="Z76" s="1"/>
  <c r="AC87"/>
  <c r="AA87" s="1"/>
  <c r="AB85"/>
  <c r="Z85" s="1"/>
  <c r="AB81"/>
  <c r="Z81" s="1"/>
  <c r="AC75"/>
  <c r="AA75" s="1"/>
  <c r="AC84"/>
  <c r="X84" s="1"/>
  <c r="AC80"/>
  <c r="AC77"/>
  <c r="AB86"/>
  <c r="Z86" s="1"/>
  <c r="AB83"/>
  <c r="Z83" s="1"/>
  <c r="AC82"/>
  <c r="AB79"/>
  <c r="Z79" s="1"/>
  <c r="AC78"/>
  <c r="AB75"/>
  <c r="Z75" s="1"/>
  <c r="AC85"/>
  <c r="AC81"/>
  <c r="AB87"/>
  <c r="Z87" s="1"/>
  <c r="AC86"/>
  <c r="AB84"/>
  <c r="Z84" s="1"/>
  <c r="AC83"/>
  <c r="AB80"/>
  <c r="Z80" s="1"/>
  <c r="AC79"/>
  <c r="Z78"/>
  <c r="AA74"/>
  <c r="X75" l="1"/>
  <c r="AG75" s="1"/>
  <c r="AH75" s="1"/>
  <c r="AA80"/>
  <c r="AA76"/>
  <c r="AG76" s="1"/>
  <c r="AF76" s="1"/>
  <c r="X87"/>
  <c r="AG87" s="1"/>
  <c r="AA84"/>
  <c r="AG84" s="1"/>
  <c r="AF84" s="1"/>
  <c r="X80"/>
  <c r="AG74"/>
  <c r="AF74" s="1"/>
  <c r="X78"/>
  <c r="AA78"/>
  <c r="AA79"/>
  <c r="X79"/>
  <c r="X86"/>
  <c r="AA86"/>
  <c r="X82"/>
  <c r="AA82"/>
  <c r="AA77"/>
  <c r="X77"/>
  <c r="AA85"/>
  <c r="X85"/>
  <c r="AA83"/>
  <c r="X83"/>
  <c r="AA81"/>
  <c r="X81"/>
  <c r="AG80" l="1"/>
  <c r="AH80" s="1"/>
  <c r="AH87"/>
  <c r="AF87"/>
  <c r="AF75"/>
  <c r="AG82"/>
  <c r="AF82" s="1"/>
  <c r="AH76"/>
  <c r="AG83"/>
  <c r="AH83" s="1"/>
  <c r="AG77"/>
  <c r="AH77" s="1"/>
  <c r="AG86"/>
  <c r="AF86" s="1"/>
  <c r="AH84"/>
  <c r="AG81"/>
  <c r="AF81" s="1"/>
  <c r="AG85"/>
  <c r="AH85" s="1"/>
  <c r="AG79"/>
  <c r="AF79" s="1"/>
  <c r="AG78"/>
  <c r="AF78" s="1"/>
  <c r="AH74"/>
  <c r="AF80" l="1"/>
  <c r="AH86"/>
  <c r="AH79"/>
  <c r="AH82"/>
  <c r="AF77"/>
  <c r="AH81"/>
  <c r="AF85"/>
  <c r="AF83"/>
  <c r="AH78"/>
  <c r="E50" l="1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49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"/>
  <c r="E5"/>
  <c r="E6"/>
  <c r="E7"/>
  <c r="E3"/>
  <c r="K785" i="3" l="1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784"/>
  <c r="K11" l="1"/>
  <c r="K10"/>
  <c r="K3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784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L735"/>
  <c r="K735"/>
  <c r="H735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L686"/>
  <c r="K686"/>
  <c r="H686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L637"/>
  <c r="K637"/>
  <c r="H637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L588"/>
  <c r="K588"/>
  <c r="H588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K539"/>
  <c r="H539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L490"/>
  <c r="K490"/>
  <c r="H490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L441"/>
  <c r="K441"/>
  <c r="H441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L392"/>
  <c r="K392"/>
  <c r="H392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L343"/>
  <c r="K343"/>
  <c r="H343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L294"/>
  <c r="K294"/>
  <c r="H294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45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197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L148"/>
  <c r="K148"/>
  <c r="H195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48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99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50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K4"/>
  <c r="K5"/>
  <c r="K6"/>
  <c r="K7"/>
  <c r="K8"/>
  <c r="K9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L2"/>
  <c r="K2"/>
  <c r="I2"/>
  <c r="J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2"/>
  <c r="K98"/>
  <c r="K147"/>
  <c r="K244"/>
  <c r="K293"/>
  <c r="K342"/>
  <c r="K391"/>
  <c r="K440"/>
  <c r="K489"/>
  <c r="K538"/>
  <c r="K587"/>
  <c r="K636"/>
  <c r="K685"/>
  <c r="K734"/>
  <c r="K783"/>
  <c r="L98"/>
  <c r="L147"/>
  <c r="L196"/>
  <c r="L244"/>
  <c r="L293"/>
  <c r="L342"/>
  <c r="L391"/>
  <c r="L440"/>
  <c r="L489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636"/>
  <c r="L685"/>
  <c r="L734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N2" i="1"/>
  <c r="J46" i="2"/>
  <c r="K46" s="1"/>
  <c r="J16"/>
  <c r="I16" s="1"/>
  <c r="J14"/>
  <c r="J12"/>
  <c r="K12" s="1"/>
  <c r="J10"/>
  <c r="J8"/>
  <c r="K8" s="1"/>
  <c r="J6"/>
  <c r="J4"/>
  <c r="K4" s="1"/>
  <c r="J2"/>
  <c r="K2" s="1"/>
  <c r="J32"/>
  <c r="K32" s="1"/>
  <c r="J33"/>
  <c r="K33" s="1"/>
  <c r="J34"/>
  <c r="I34" s="1"/>
  <c r="J35"/>
  <c r="J36"/>
  <c r="I36" s="1"/>
  <c r="J37"/>
  <c r="I37" s="1"/>
  <c r="J38"/>
  <c r="J39"/>
  <c r="K39" s="1"/>
  <c r="J40"/>
  <c r="K40" s="1"/>
  <c r="J41"/>
  <c r="K41" s="1"/>
  <c r="J42"/>
  <c r="I42" s="1"/>
  <c r="J43"/>
  <c r="J44"/>
  <c r="I44" s="1"/>
  <c r="J45"/>
  <c r="I45" s="1"/>
  <c r="J31"/>
  <c r="I31" s="1"/>
  <c r="J17"/>
  <c r="I17" s="1"/>
  <c r="J18"/>
  <c r="I18" s="1"/>
  <c r="J19"/>
  <c r="J20"/>
  <c r="I20" s="1"/>
  <c r="J21"/>
  <c r="I21" s="1"/>
  <c r="J22"/>
  <c r="K22" s="1"/>
  <c r="J23"/>
  <c r="K23" s="1"/>
  <c r="J24"/>
  <c r="I24" s="1"/>
  <c r="J25"/>
  <c r="I25" s="1"/>
  <c r="J26"/>
  <c r="I26" s="1"/>
  <c r="J27"/>
  <c r="K27" s="1"/>
  <c r="J28"/>
  <c r="I28" s="1"/>
  <c r="J29"/>
  <c r="J30"/>
  <c r="K30" s="1"/>
  <c r="J3"/>
  <c r="K3" s="1"/>
  <c r="J5"/>
  <c r="I5" s="1"/>
  <c r="J7"/>
  <c r="K7" s="1"/>
  <c r="J9"/>
  <c r="J11"/>
  <c r="K11" s="1"/>
  <c r="J13"/>
  <c r="I13" s="1"/>
  <c r="J15"/>
  <c r="K15" s="1"/>
  <c r="F48" i="1"/>
  <c r="F2"/>
  <c r="O2"/>
  <c r="AN3" i="2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2"/>
  <c r="AQ3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Q37"/>
  <c r="AQ38"/>
  <c r="AQ39"/>
  <c r="AQ40"/>
  <c r="AQ41"/>
  <c r="AQ42"/>
  <c r="AQ43"/>
  <c r="AQ44"/>
  <c r="AQ45"/>
  <c r="AQ46"/>
  <c r="AQ2"/>
  <c r="K9"/>
  <c r="K13"/>
  <c r="K45"/>
  <c r="I9"/>
  <c r="I38"/>
  <c r="K34"/>
  <c r="K35"/>
  <c r="K38"/>
  <c r="K42"/>
  <c r="K43"/>
  <c r="K19"/>
  <c r="I29"/>
  <c r="I30"/>
  <c r="V2" l="1"/>
  <c r="AB2" s="1"/>
  <c r="AA2" s="1"/>
  <c r="R2" i="1"/>
  <c r="I22" i="2"/>
  <c r="K18"/>
  <c r="K26"/>
  <c r="K37"/>
  <c r="K6"/>
  <c r="I6"/>
  <c r="K10"/>
  <c r="I10"/>
  <c r="K14"/>
  <c r="I14"/>
  <c r="K44"/>
  <c r="K24"/>
  <c r="K36"/>
  <c r="I40"/>
  <c r="I32"/>
  <c r="I41"/>
  <c r="I33"/>
  <c r="K31"/>
  <c r="K28"/>
  <c r="K20"/>
  <c r="K5"/>
  <c r="I46"/>
  <c r="I43"/>
  <c r="I35"/>
  <c r="I39"/>
  <c r="I27"/>
  <c r="I23"/>
  <c r="I19"/>
  <c r="K16"/>
  <c r="K29"/>
  <c r="K25"/>
  <c r="K21"/>
  <c r="K17"/>
  <c r="I15"/>
  <c r="I11"/>
  <c r="I7"/>
  <c r="I3"/>
  <c r="I12"/>
  <c r="I8"/>
  <c r="I4"/>
  <c r="I2"/>
  <c r="AC2" l="1"/>
  <c r="AM2"/>
  <c r="AT2" s="1"/>
  <c r="AS2" s="1"/>
  <c r="O48" i="1"/>
  <c r="N48"/>
  <c r="R48" s="1"/>
  <c r="G8"/>
  <c r="G2"/>
  <c r="K46"/>
  <c r="K45"/>
  <c r="K32"/>
  <c r="K33"/>
  <c r="K34"/>
  <c r="K35"/>
  <c r="K36"/>
  <c r="K37"/>
  <c r="K38"/>
  <c r="K39"/>
  <c r="K40"/>
  <c r="K41"/>
  <c r="K42"/>
  <c r="K43"/>
  <c r="K44"/>
  <c r="K31"/>
  <c r="K17"/>
  <c r="K18"/>
  <c r="K19"/>
  <c r="K20"/>
  <c r="K21"/>
  <c r="K22"/>
  <c r="K23"/>
  <c r="K24"/>
  <c r="K25"/>
  <c r="K26"/>
  <c r="K27"/>
  <c r="K28"/>
  <c r="K29"/>
  <c r="K30"/>
  <c r="K16"/>
  <c r="K4"/>
  <c r="K5"/>
  <c r="K6"/>
  <c r="K7"/>
  <c r="K8"/>
  <c r="K9"/>
  <c r="K10"/>
  <c r="K11"/>
  <c r="K12"/>
  <c r="K13"/>
  <c r="K14"/>
  <c r="K15"/>
  <c r="K3"/>
  <c r="K50"/>
  <c r="G50" s="1"/>
  <c r="K51"/>
  <c r="G51" s="1"/>
  <c r="K52"/>
  <c r="G52" s="1"/>
  <c r="K53"/>
  <c r="K54"/>
  <c r="G54" s="1"/>
  <c r="K55"/>
  <c r="G55" s="1"/>
  <c r="K56"/>
  <c r="K57"/>
  <c r="K58"/>
  <c r="G58" s="1"/>
  <c r="K59"/>
  <c r="G59" s="1"/>
  <c r="K60"/>
  <c r="G60" s="1"/>
  <c r="K61"/>
  <c r="G61" s="1"/>
  <c r="K62"/>
  <c r="G62" s="1"/>
  <c r="K63"/>
  <c r="G63" s="1"/>
  <c r="K64"/>
  <c r="G64" s="1"/>
  <c r="K65"/>
  <c r="K66"/>
  <c r="G66" s="1"/>
  <c r="K67"/>
  <c r="G67" s="1"/>
  <c r="K68"/>
  <c r="G68" s="1"/>
  <c r="K69"/>
  <c r="G69" s="1"/>
  <c r="K70"/>
  <c r="G70" s="1"/>
  <c r="K71"/>
  <c r="G71" s="1"/>
  <c r="K72"/>
  <c r="G72" s="1"/>
  <c r="K73"/>
  <c r="G73" s="1"/>
  <c r="K74"/>
  <c r="G74" s="1"/>
  <c r="K75"/>
  <c r="G75" s="1"/>
  <c r="K76"/>
  <c r="P76" s="1"/>
  <c r="K77"/>
  <c r="K78"/>
  <c r="G78" s="1"/>
  <c r="K79"/>
  <c r="G79" s="1"/>
  <c r="K80"/>
  <c r="G80" s="1"/>
  <c r="K81"/>
  <c r="G81" s="1"/>
  <c r="K82"/>
  <c r="G82" s="1"/>
  <c r="K83"/>
  <c r="G83" s="1"/>
  <c r="K84"/>
  <c r="K85"/>
  <c r="K86"/>
  <c r="G86" s="1"/>
  <c r="K87"/>
  <c r="G87" s="1"/>
  <c r="K88"/>
  <c r="G88" s="1"/>
  <c r="K89"/>
  <c r="K90"/>
  <c r="G90" s="1"/>
  <c r="K91"/>
  <c r="G91" s="1"/>
  <c r="K92"/>
  <c r="G92" s="1"/>
  <c r="K49"/>
  <c r="G49" s="1"/>
  <c r="J92"/>
  <c r="J78"/>
  <c r="J79"/>
  <c r="J80"/>
  <c r="J81"/>
  <c r="J82"/>
  <c r="J83"/>
  <c r="F83" s="1"/>
  <c r="J84"/>
  <c r="J85"/>
  <c r="J86"/>
  <c r="J87"/>
  <c r="J88"/>
  <c r="J89"/>
  <c r="J90"/>
  <c r="J91"/>
  <c r="F91" s="1"/>
  <c r="J77"/>
  <c r="J63"/>
  <c r="J64"/>
  <c r="J65"/>
  <c r="J66"/>
  <c r="J67"/>
  <c r="J68"/>
  <c r="J69"/>
  <c r="F69" s="1"/>
  <c r="J70"/>
  <c r="J71"/>
  <c r="J72"/>
  <c r="J73"/>
  <c r="J74"/>
  <c r="J75"/>
  <c r="J76"/>
  <c r="J62"/>
  <c r="F62" s="1"/>
  <c r="J50"/>
  <c r="J51"/>
  <c r="J52"/>
  <c r="J53"/>
  <c r="J54"/>
  <c r="J55"/>
  <c r="J56"/>
  <c r="J57"/>
  <c r="J58"/>
  <c r="J59"/>
  <c r="J60"/>
  <c r="J61"/>
  <c r="I50"/>
  <c r="N50" s="1"/>
  <c r="I51"/>
  <c r="N51" s="1"/>
  <c r="I52"/>
  <c r="N52" s="1"/>
  <c r="I53"/>
  <c r="N53" s="1"/>
  <c r="I54"/>
  <c r="N54" s="1"/>
  <c r="I55"/>
  <c r="N55" s="1"/>
  <c r="I56"/>
  <c r="N56" s="1"/>
  <c r="I57"/>
  <c r="N57" s="1"/>
  <c r="I58"/>
  <c r="N58" s="1"/>
  <c r="I59"/>
  <c r="N59" s="1"/>
  <c r="I60"/>
  <c r="N60" s="1"/>
  <c r="I61"/>
  <c r="N61" s="1"/>
  <c r="I62"/>
  <c r="N62" s="1"/>
  <c r="I63"/>
  <c r="N63" s="1"/>
  <c r="I64"/>
  <c r="N64" s="1"/>
  <c r="I65"/>
  <c r="N65" s="1"/>
  <c r="I66"/>
  <c r="N66" s="1"/>
  <c r="I67"/>
  <c r="N67" s="1"/>
  <c r="I68"/>
  <c r="N68" s="1"/>
  <c r="I69"/>
  <c r="N69" s="1"/>
  <c r="I70"/>
  <c r="N70" s="1"/>
  <c r="I71"/>
  <c r="N71" s="1"/>
  <c r="I72"/>
  <c r="N72" s="1"/>
  <c r="I73"/>
  <c r="N73" s="1"/>
  <c r="I74"/>
  <c r="N74" s="1"/>
  <c r="I75"/>
  <c r="N75" s="1"/>
  <c r="I76"/>
  <c r="N76" s="1"/>
  <c r="I77"/>
  <c r="N77" s="1"/>
  <c r="I78"/>
  <c r="N78" s="1"/>
  <c r="I79"/>
  <c r="N79" s="1"/>
  <c r="I80"/>
  <c r="N80" s="1"/>
  <c r="I81"/>
  <c r="N81" s="1"/>
  <c r="I82"/>
  <c r="N82" s="1"/>
  <c r="I83"/>
  <c r="N83" s="1"/>
  <c r="I84"/>
  <c r="N84" s="1"/>
  <c r="I85"/>
  <c r="N85" s="1"/>
  <c r="I86"/>
  <c r="N86" s="1"/>
  <c r="I87"/>
  <c r="N87" s="1"/>
  <c r="I88"/>
  <c r="N88" s="1"/>
  <c r="I89"/>
  <c r="N89" s="1"/>
  <c r="I90"/>
  <c r="N90" s="1"/>
  <c r="I91"/>
  <c r="N91" s="1"/>
  <c r="I92"/>
  <c r="N92" s="1"/>
  <c r="J49"/>
  <c r="I46"/>
  <c r="I49"/>
  <c r="N49" s="1"/>
  <c r="G77"/>
  <c r="G65"/>
  <c r="G56"/>
  <c r="G57"/>
  <c r="J46"/>
  <c r="G84"/>
  <c r="G53"/>
  <c r="G48"/>
  <c r="G89"/>
  <c r="G85"/>
  <c r="G11" l="1"/>
  <c r="G16"/>
  <c r="G23"/>
  <c r="N23"/>
  <c r="G44"/>
  <c r="G40"/>
  <c r="G36"/>
  <c r="G32"/>
  <c r="G3"/>
  <c r="G12"/>
  <c r="N12"/>
  <c r="G4"/>
  <c r="G20"/>
  <c r="N20"/>
  <c r="G41"/>
  <c r="G37"/>
  <c r="G33"/>
  <c r="G13"/>
  <c r="N13"/>
  <c r="G9"/>
  <c r="G5"/>
  <c r="N5"/>
  <c r="G25"/>
  <c r="G17"/>
  <c r="G42"/>
  <c r="G34"/>
  <c r="N34"/>
  <c r="N38"/>
  <c r="N46"/>
  <c r="G7"/>
  <c r="N7"/>
  <c r="G27"/>
  <c r="G19"/>
  <c r="N19"/>
  <c r="G14"/>
  <c r="G10"/>
  <c r="G6"/>
  <c r="G30"/>
  <c r="N30"/>
  <c r="G26"/>
  <c r="G22"/>
  <c r="N22"/>
  <c r="G18"/>
  <c r="G43"/>
  <c r="N43"/>
  <c r="G39"/>
  <c r="G35"/>
  <c r="N35"/>
  <c r="N31"/>
  <c r="AU2" i="2"/>
  <c r="O58" i="1"/>
  <c r="F58"/>
  <c r="R58" s="1"/>
  <c r="O74"/>
  <c r="F74"/>
  <c r="O77"/>
  <c r="F77"/>
  <c r="R77" s="1"/>
  <c r="O88"/>
  <c r="F88"/>
  <c r="O59"/>
  <c r="F59"/>
  <c r="R59" s="1"/>
  <c r="O75"/>
  <c r="F75"/>
  <c r="O67"/>
  <c r="F67"/>
  <c r="R67" s="1"/>
  <c r="O81"/>
  <c r="F81"/>
  <c r="O92"/>
  <c r="F92"/>
  <c r="R92" s="1"/>
  <c r="O60"/>
  <c r="F60"/>
  <c r="O56"/>
  <c r="F56"/>
  <c r="R56" s="1"/>
  <c r="O52"/>
  <c r="F52"/>
  <c r="O76"/>
  <c r="F76"/>
  <c r="R76" s="1"/>
  <c r="O72"/>
  <c r="F72"/>
  <c r="O68"/>
  <c r="F68"/>
  <c r="R68" s="1"/>
  <c r="O64"/>
  <c r="F64"/>
  <c r="O90"/>
  <c r="F90"/>
  <c r="R90" s="1"/>
  <c r="O86"/>
  <c r="F86"/>
  <c r="O82"/>
  <c r="F82"/>
  <c r="R82" s="1"/>
  <c r="O78"/>
  <c r="F78"/>
  <c r="O62"/>
  <c r="R62" s="1"/>
  <c r="O50"/>
  <c r="F50"/>
  <c r="O84"/>
  <c r="F84"/>
  <c r="O55"/>
  <c r="F55"/>
  <c r="O71"/>
  <c r="F71"/>
  <c r="O63"/>
  <c r="F63"/>
  <c r="O85"/>
  <c r="F85"/>
  <c r="O46"/>
  <c r="F46"/>
  <c r="O49"/>
  <c r="F49"/>
  <c r="O61"/>
  <c r="F61"/>
  <c r="O57"/>
  <c r="F57"/>
  <c r="O53"/>
  <c r="F53"/>
  <c r="O73"/>
  <c r="F73"/>
  <c r="O65"/>
  <c r="F65"/>
  <c r="O87"/>
  <c r="F87"/>
  <c r="R87" s="1"/>
  <c r="O79"/>
  <c r="F79"/>
  <c r="R83"/>
  <c r="G15"/>
  <c r="G24"/>
  <c r="O83"/>
  <c r="G28"/>
  <c r="O91"/>
  <c r="R91" s="1"/>
  <c r="O54"/>
  <c r="F54"/>
  <c r="R54" s="1"/>
  <c r="O70"/>
  <c r="F70"/>
  <c r="O66"/>
  <c r="F66"/>
  <c r="R66" s="1"/>
  <c r="O80"/>
  <c r="F80"/>
  <c r="O51"/>
  <c r="F51"/>
  <c r="R51" s="1"/>
  <c r="O89"/>
  <c r="F89"/>
  <c r="O69"/>
  <c r="R69" s="1"/>
  <c r="G31"/>
  <c r="G38"/>
  <c r="G29"/>
  <c r="G21"/>
  <c r="G46"/>
  <c r="G45"/>
  <c r="G76"/>
  <c r="J32"/>
  <c r="F32" s="1"/>
  <c r="J33"/>
  <c r="F33" s="1"/>
  <c r="J34"/>
  <c r="F34" s="1"/>
  <c r="J35"/>
  <c r="F35" s="1"/>
  <c r="J36"/>
  <c r="F36" s="1"/>
  <c r="J37"/>
  <c r="F37" s="1"/>
  <c r="J38"/>
  <c r="F38" s="1"/>
  <c r="J39"/>
  <c r="F39" s="1"/>
  <c r="J40"/>
  <c r="F40" s="1"/>
  <c r="J41"/>
  <c r="F41" s="1"/>
  <c r="J42"/>
  <c r="F42" s="1"/>
  <c r="J43"/>
  <c r="F43" s="1"/>
  <c r="J44"/>
  <c r="F44" s="1"/>
  <c r="J45"/>
  <c r="F45" s="1"/>
  <c r="I32"/>
  <c r="N32" s="1"/>
  <c r="I33"/>
  <c r="N33" s="1"/>
  <c r="I34"/>
  <c r="I35"/>
  <c r="I36"/>
  <c r="N36" s="1"/>
  <c r="I37"/>
  <c r="N37" s="1"/>
  <c r="I38"/>
  <c r="I39"/>
  <c r="N39" s="1"/>
  <c r="I40"/>
  <c r="N40" s="1"/>
  <c r="I41"/>
  <c r="N41" s="1"/>
  <c r="I42"/>
  <c r="N42" s="1"/>
  <c r="I43"/>
  <c r="I44"/>
  <c r="N44" s="1"/>
  <c r="I45"/>
  <c r="N45" s="1"/>
  <c r="J31"/>
  <c r="F31" s="1"/>
  <c r="I31"/>
  <c r="J18"/>
  <c r="F18" s="1"/>
  <c r="J19"/>
  <c r="F19" s="1"/>
  <c r="J20"/>
  <c r="F20" s="1"/>
  <c r="J21"/>
  <c r="F21" s="1"/>
  <c r="J22"/>
  <c r="F22" s="1"/>
  <c r="J23"/>
  <c r="F23" s="1"/>
  <c r="J24"/>
  <c r="F24" s="1"/>
  <c r="J25"/>
  <c r="F25" s="1"/>
  <c r="J26"/>
  <c r="F26" s="1"/>
  <c r="J27"/>
  <c r="F27" s="1"/>
  <c r="J28"/>
  <c r="F28" s="1"/>
  <c r="J29"/>
  <c r="F29" s="1"/>
  <c r="J30"/>
  <c r="F30" s="1"/>
  <c r="I18"/>
  <c r="N18" s="1"/>
  <c r="I19"/>
  <c r="I20"/>
  <c r="I21"/>
  <c r="N21" s="1"/>
  <c r="I22"/>
  <c r="I23"/>
  <c r="I24"/>
  <c r="N24" s="1"/>
  <c r="I25"/>
  <c r="N25" s="1"/>
  <c r="I26"/>
  <c r="N26" s="1"/>
  <c r="I27"/>
  <c r="N27" s="1"/>
  <c r="I28"/>
  <c r="N28" s="1"/>
  <c r="I29"/>
  <c r="N29" s="1"/>
  <c r="I30"/>
  <c r="J17"/>
  <c r="F17" s="1"/>
  <c r="J16"/>
  <c r="F16" s="1"/>
  <c r="I16"/>
  <c r="N16" s="1"/>
  <c r="I17"/>
  <c r="N17" s="1"/>
  <c r="J4"/>
  <c r="F4" s="1"/>
  <c r="J5"/>
  <c r="F5" s="1"/>
  <c r="J6"/>
  <c r="F6" s="1"/>
  <c r="J7"/>
  <c r="F7" s="1"/>
  <c r="J8"/>
  <c r="F8" s="1"/>
  <c r="J9"/>
  <c r="F9" s="1"/>
  <c r="J10"/>
  <c r="F10" s="1"/>
  <c r="J11"/>
  <c r="F11" s="1"/>
  <c r="J12"/>
  <c r="F12" s="1"/>
  <c r="J13"/>
  <c r="F13" s="1"/>
  <c r="J14"/>
  <c r="F14" s="1"/>
  <c r="J15"/>
  <c r="F15" s="1"/>
  <c r="I4"/>
  <c r="N4" s="1"/>
  <c r="I5"/>
  <c r="I6"/>
  <c r="N6" s="1"/>
  <c r="I7"/>
  <c r="I8"/>
  <c r="N8" s="1"/>
  <c r="I9"/>
  <c r="N9" s="1"/>
  <c r="I10"/>
  <c r="N10" s="1"/>
  <c r="I11"/>
  <c r="N11" s="1"/>
  <c r="I12"/>
  <c r="I13"/>
  <c r="I14"/>
  <c r="N14" s="1"/>
  <c r="I15"/>
  <c r="N15" s="1"/>
  <c r="J3"/>
  <c r="F3" s="1"/>
  <c r="I3"/>
  <c r="N3" s="1"/>
  <c r="A9" i="7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EU9"/>
  <c r="EV9"/>
  <c r="EW9"/>
  <c r="EX9"/>
  <c r="EY9"/>
  <c r="EZ9"/>
  <c r="FA9"/>
  <c r="FB9"/>
  <c r="FC9"/>
  <c r="FD9"/>
  <c r="FE9"/>
  <c r="FF9"/>
  <c r="FG9"/>
  <c r="FH9"/>
  <c r="FI9"/>
  <c r="FJ9"/>
  <c r="FK9"/>
  <c r="FL9"/>
  <c r="FM9"/>
  <c r="FN9"/>
  <c r="FO9"/>
  <c r="FP9"/>
  <c r="FQ9"/>
  <c r="FR9"/>
  <c r="FS9"/>
  <c r="FT9"/>
  <c r="FU9"/>
  <c r="FV9"/>
  <c r="FW9"/>
  <c r="FX9"/>
  <c r="FY9"/>
  <c r="FZ9"/>
  <c r="GA9"/>
  <c r="GB9"/>
  <c r="GC9"/>
  <c r="GD9"/>
  <c r="GE9"/>
  <c r="GF9"/>
  <c r="GG9"/>
  <c r="GH9"/>
  <c r="A8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CZ8"/>
  <c r="DA8"/>
  <c r="DB8"/>
  <c r="DC8"/>
  <c r="DD8"/>
  <c r="DE8"/>
  <c r="DF8"/>
  <c r="DG8"/>
  <c r="DH8"/>
  <c r="DI8"/>
  <c r="DJ8"/>
  <c r="DK8"/>
  <c r="DL8"/>
  <c r="DM8"/>
  <c r="DN8"/>
  <c r="DO8"/>
  <c r="DP8"/>
  <c r="DQ8"/>
  <c r="DR8"/>
  <c r="DS8"/>
  <c r="DT8"/>
  <c r="DU8"/>
  <c r="DV8"/>
  <c r="DW8"/>
  <c r="DX8"/>
  <c r="DY8"/>
  <c r="DZ8"/>
  <c r="EA8"/>
  <c r="EB8"/>
  <c r="EC8"/>
  <c r="ED8"/>
  <c r="EE8"/>
  <c r="EF8"/>
  <c r="EG8"/>
  <c r="EH8"/>
  <c r="EI8"/>
  <c r="EJ8"/>
  <c r="EK8"/>
  <c r="EL8"/>
  <c r="EM8"/>
  <c r="EN8"/>
  <c r="EO8"/>
  <c r="EP8"/>
  <c r="EQ8"/>
  <c r="ER8"/>
  <c r="ES8"/>
  <c r="ET8"/>
  <c r="EU8"/>
  <c r="EV8"/>
  <c r="EW8"/>
  <c r="EX8"/>
  <c r="EY8"/>
  <c r="EZ8"/>
  <c r="FA8"/>
  <c r="FB8"/>
  <c r="FC8"/>
  <c r="FD8"/>
  <c r="FE8"/>
  <c r="FF8"/>
  <c r="FG8"/>
  <c r="FH8"/>
  <c r="FI8"/>
  <c r="FJ8"/>
  <c r="FK8"/>
  <c r="FL8"/>
  <c r="FM8"/>
  <c r="FN8"/>
  <c r="FO8"/>
  <c r="FP8"/>
  <c r="FQ8"/>
  <c r="FR8"/>
  <c r="FS8"/>
  <c r="FT8"/>
  <c r="FU8"/>
  <c r="FV8"/>
  <c r="FW8"/>
  <c r="FX8"/>
  <c r="FY8"/>
  <c r="FZ8"/>
  <c r="GA8"/>
  <c r="GB8"/>
  <c r="GC8"/>
  <c r="GD8"/>
  <c r="GE8"/>
  <c r="GF8"/>
  <c r="GG8"/>
  <c r="GH8"/>
  <c r="GI8"/>
  <c r="GJ8"/>
  <c r="GK8"/>
  <c r="GL8"/>
  <c r="GM8"/>
  <c r="GN8"/>
  <c r="GO8"/>
  <c r="GP8"/>
  <c r="GQ8"/>
  <c r="GR8"/>
  <c r="GS8"/>
  <c r="GT8"/>
  <c r="GU8"/>
  <c r="GV8"/>
  <c r="GW8"/>
  <c r="GX8"/>
  <c r="GY8"/>
  <c r="GZ8"/>
  <c r="HA8"/>
  <c r="HB8"/>
  <c r="HC8"/>
  <c r="HD8"/>
  <c r="HE8"/>
  <c r="HF8"/>
  <c r="HG8"/>
  <c r="HH8"/>
  <c r="HI8"/>
  <c r="HJ8"/>
  <c r="HK8"/>
  <c r="HL8"/>
  <c r="HM8"/>
  <c r="HN8"/>
  <c r="HO8"/>
  <c r="HP8"/>
  <c r="HQ8"/>
  <c r="HR8"/>
  <c r="HS8"/>
  <c r="HT8"/>
  <c r="HU8"/>
  <c r="HV8"/>
  <c r="HW8"/>
  <c r="HX8"/>
  <c r="HY8"/>
  <c r="HZ8"/>
  <c r="IA8"/>
  <c r="IB8"/>
  <c r="IC8"/>
  <c r="ID8"/>
  <c r="IE8"/>
  <c r="IF8"/>
  <c r="IG8"/>
  <c r="IH8"/>
  <c r="II8"/>
  <c r="IJ8"/>
  <c r="IK8"/>
  <c r="IL8"/>
  <c r="IM8"/>
  <c r="IN8"/>
  <c r="IO8"/>
  <c r="IP8"/>
  <c r="IQ8"/>
  <c r="IR8"/>
  <c r="IS8"/>
  <c r="IT8"/>
  <c r="IU8"/>
  <c r="IV8"/>
  <c r="A7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6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A5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N5"/>
  <c r="GR5"/>
  <c r="GS5"/>
  <c r="GV5"/>
  <c r="GW5"/>
  <c r="GX5"/>
  <c r="GY5"/>
  <c r="GZ5"/>
  <c r="HA5"/>
  <c r="HB5"/>
  <c r="HC5"/>
  <c r="HD5"/>
  <c r="HE5"/>
  <c r="HF5"/>
  <c r="HG5"/>
  <c r="HH5"/>
  <c r="HI5"/>
  <c r="HJ5"/>
  <c r="HK5"/>
  <c r="HL5"/>
  <c r="HM5"/>
  <c r="HN5"/>
  <c r="HO5"/>
  <c r="HP5"/>
  <c r="HQ5"/>
  <c r="HR5"/>
  <c r="HS5"/>
  <c r="HT5"/>
  <c r="HU5"/>
  <c r="HV5"/>
  <c r="HW5"/>
  <c r="HX5"/>
  <c r="HY5"/>
  <c r="HZ5"/>
  <c r="IA5"/>
  <c r="IB5"/>
  <c r="IC5"/>
  <c r="ID5"/>
  <c r="IE5"/>
  <c r="IF5"/>
  <c r="IG5"/>
  <c r="IH5"/>
  <c r="II5"/>
  <c r="IJ5"/>
  <c r="IK5"/>
  <c r="IL5"/>
  <c r="IM5"/>
  <c r="IN5"/>
  <c r="IO5"/>
  <c r="IP5"/>
  <c r="IQ5"/>
  <c r="IR5"/>
  <c r="IS5"/>
  <c r="IT5"/>
  <c r="IU5"/>
  <c r="IV5"/>
  <c r="A4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K4"/>
  <c r="FL4"/>
  <c r="FM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GL4"/>
  <c r="GM4"/>
  <c r="GN4"/>
  <c r="GO4"/>
  <c r="GP4"/>
  <c r="GQ4"/>
  <c r="GR4"/>
  <c r="GS4"/>
  <c r="GT4"/>
  <c r="GU4"/>
  <c r="GV4"/>
  <c r="GW4"/>
  <c r="GX4"/>
  <c r="GY4"/>
  <c r="GZ4"/>
  <c r="HA4"/>
  <c r="HB4"/>
  <c r="HC4"/>
  <c r="HD4"/>
  <c r="HE4"/>
  <c r="HF4"/>
  <c r="HG4"/>
  <c r="HH4"/>
  <c r="HI4"/>
  <c r="HJ4"/>
  <c r="HK4"/>
  <c r="HL4"/>
  <c r="HM4"/>
  <c r="HN4"/>
  <c r="HO4"/>
  <c r="HP4"/>
  <c r="HQ4"/>
  <c r="HR4"/>
  <c r="HS4"/>
  <c r="HT4"/>
  <c r="HU4"/>
  <c r="HV4"/>
  <c r="HW4"/>
  <c r="HX4"/>
  <c r="HY4"/>
  <c r="HZ4"/>
  <c r="IA4"/>
  <c r="IB4"/>
  <c r="IC4"/>
  <c r="ID4"/>
  <c r="IE4"/>
  <c r="IF4"/>
  <c r="IG4"/>
  <c r="IH4"/>
  <c r="II4"/>
  <c r="IJ4"/>
  <c r="IK4"/>
  <c r="IL4"/>
  <c r="IM4"/>
  <c r="IN4"/>
  <c r="IO4"/>
  <c r="IP4"/>
  <c r="IQ4"/>
  <c r="IR4"/>
  <c r="IS4"/>
  <c r="IT4"/>
  <c r="IU4"/>
  <c r="IV4"/>
  <c r="A3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EJ3"/>
  <c r="EK3"/>
  <c r="EL3"/>
  <c r="EM3"/>
  <c r="EN3"/>
  <c r="EO3"/>
  <c r="EP3"/>
  <c r="EQ3"/>
  <c r="ER3"/>
  <c r="ES3"/>
  <c r="ET3"/>
  <c r="EU3"/>
  <c r="EV3"/>
  <c r="EW3"/>
  <c r="EX3"/>
  <c r="EY3"/>
  <c r="EZ3"/>
  <c r="FA3"/>
  <c r="FB3"/>
  <c r="FC3"/>
  <c r="FD3"/>
  <c r="FE3"/>
  <c r="FF3"/>
  <c r="FG3"/>
  <c r="FH3"/>
  <c r="FI3"/>
  <c r="FJ3"/>
  <c r="FK3"/>
  <c r="FL3"/>
  <c r="FM3"/>
  <c r="FN3"/>
  <c r="FO3"/>
  <c r="FP3"/>
  <c r="FQ3"/>
  <c r="FR3"/>
  <c r="FS3"/>
  <c r="FT3"/>
  <c r="FU3"/>
  <c r="FV3"/>
  <c r="FW3"/>
  <c r="FX3"/>
  <c r="FY3"/>
  <c r="FZ3"/>
  <c r="GA3"/>
  <c r="GB3"/>
  <c r="GC3"/>
  <c r="GD3"/>
  <c r="GE3"/>
  <c r="GF3"/>
  <c r="GG3"/>
  <c r="GH3"/>
  <c r="GI3"/>
  <c r="GJ3"/>
  <c r="GK3"/>
  <c r="GL3"/>
  <c r="GM3"/>
  <c r="GN3"/>
  <c r="GO3"/>
  <c r="GP3"/>
  <c r="GQ3"/>
  <c r="GR3"/>
  <c r="GS3"/>
  <c r="GT3"/>
  <c r="GU3"/>
  <c r="GV3"/>
  <c r="GW3"/>
  <c r="GX3"/>
  <c r="GY3"/>
  <c r="GZ3"/>
  <c r="HA3"/>
  <c r="HB3"/>
  <c r="HC3"/>
  <c r="HD3"/>
  <c r="HE3"/>
  <c r="HF3"/>
  <c r="HG3"/>
  <c r="HH3"/>
  <c r="HI3"/>
  <c r="HJ3"/>
  <c r="HK3"/>
  <c r="HL3"/>
  <c r="HM3"/>
  <c r="HN3"/>
  <c r="HO3"/>
  <c r="HP3"/>
  <c r="HQ3"/>
  <c r="HR3"/>
  <c r="HS3"/>
  <c r="HT3"/>
  <c r="HU3"/>
  <c r="HV3"/>
  <c r="HW3"/>
  <c r="HX3"/>
  <c r="HY3"/>
  <c r="HZ3"/>
  <c r="IA3"/>
  <c r="IB3"/>
  <c r="IC3"/>
  <c r="ID3"/>
  <c r="IE3"/>
  <c r="IF3"/>
  <c r="IG3"/>
  <c r="IH3"/>
  <c r="II3"/>
  <c r="IJ3"/>
  <c r="IK3"/>
  <c r="IL3"/>
  <c r="IM3"/>
  <c r="IN3"/>
  <c r="IO3"/>
  <c r="IP3"/>
  <c r="IQ3"/>
  <c r="IR3"/>
  <c r="IS3"/>
  <c r="IT3"/>
  <c r="IU3"/>
  <c r="IV3"/>
  <c r="A2"/>
  <c r="B2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DN2"/>
  <c r="DO2"/>
  <c r="DP2"/>
  <c r="DQ2"/>
  <c r="DR2"/>
  <c r="DS2"/>
  <c r="DT2"/>
  <c r="DU2"/>
  <c r="DV2"/>
  <c r="DW2"/>
  <c r="DX2"/>
  <c r="DY2"/>
  <c r="DZ2"/>
  <c r="EA2"/>
  <c r="EB2"/>
  <c r="EC2"/>
  <c r="ED2"/>
  <c r="EE2"/>
  <c r="EF2"/>
  <c r="EG2"/>
  <c r="EH2"/>
  <c r="EI2"/>
  <c r="EJ2"/>
  <c r="EK2"/>
  <c r="EL2"/>
  <c r="EM2"/>
  <c r="EN2"/>
  <c r="EO2"/>
  <c r="EP2"/>
  <c r="EQ2"/>
  <c r="ER2"/>
  <c r="ES2"/>
  <c r="ET2"/>
  <c r="EU2"/>
  <c r="EV2"/>
  <c r="EW2"/>
  <c r="EX2"/>
  <c r="EY2"/>
  <c r="EZ2"/>
  <c r="FA2"/>
  <c r="FB2"/>
  <c r="FC2"/>
  <c r="FD2"/>
  <c r="FE2"/>
  <c r="FF2"/>
  <c r="FG2"/>
  <c r="FH2"/>
  <c r="FI2"/>
  <c r="FJ2"/>
  <c r="FK2"/>
  <c r="FL2"/>
  <c r="FM2"/>
  <c r="FN2"/>
  <c r="FO2"/>
  <c r="FP2"/>
  <c r="FQ2"/>
  <c r="FR2"/>
  <c r="FS2"/>
  <c r="FT2"/>
  <c r="FU2"/>
  <c r="FV2"/>
  <c r="FW2"/>
  <c r="FX2"/>
  <c r="FY2"/>
  <c r="FZ2"/>
  <c r="GA2"/>
  <c r="GB2"/>
  <c r="GC2"/>
  <c r="GD2"/>
  <c r="GE2"/>
  <c r="GF2"/>
  <c r="GG2"/>
  <c r="GH2"/>
  <c r="GI2"/>
  <c r="GJ2"/>
  <c r="GK2"/>
  <c r="GL2"/>
  <c r="GM2"/>
  <c r="GN2"/>
  <c r="GO2"/>
  <c r="GP2"/>
  <c r="GQ2"/>
  <c r="GR2"/>
  <c r="GS2"/>
  <c r="GT2"/>
  <c r="GU2"/>
  <c r="GV2"/>
  <c r="GW2"/>
  <c r="GX2"/>
  <c r="GY2"/>
  <c r="GZ2"/>
  <c r="HA2"/>
  <c r="HB2"/>
  <c r="HC2"/>
  <c r="HD2"/>
  <c r="HE2"/>
  <c r="HF2"/>
  <c r="HG2"/>
  <c r="HH2"/>
  <c r="HI2"/>
  <c r="HJ2"/>
  <c r="HK2"/>
  <c r="HL2"/>
  <c r="HM2"/>
  <c r="HN2"/>
  <c r="HO2"/>
  <c r="HP2"/>
  <c r="HQ2"/>
  <c r="HR2"/>
  <c r="HS2"/>
  <c r="HT2"/>
  <c r="HU2"/>
  <c r="HV2"/>
  <c r="HW2"/>
  <c r="HX2"/>
  <c r="HY2"/>
  <c r="HZ2"/>
  <c r="IA2"/>
  <c r="IB2"/>
  <c r="IC2"/>
  <c r="ID2"/>
  <c r="IE2"/>
  <c r="IF2"/>
  <c r="IG2"/>
  <c r="IH2"/>
  <c r="II2"/>
  <c r="IJ2"/>
  <c r="IK2"/>
  <c r="IL2"/>
  <c r="IM2"/>
  <c r="IN2"/>
  <c r="IO2"/>
  <c r="IP2"/>
  <c r="IQ2"/>
  <c r="IR2"/>
  <c r="IS2"/>
  <c r="IT2"/>
  <c r="IU2"/>
  <c r="IV2"/>
  <c r="A1"/>
  <c r="B1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BT1"/>
  <c r="BU1"/>
  <c r="BV1"/>
  <c r="BW1"/>
  <c r="BX1"/>
  <c r="BY1"/>
  <c r="BZ1"/>
  <c r="CA1"/>
  <c r="CB1"/>
  <c r="CC1"/>
  <c r="CD1"/>
  <c r="CE1"/>
  <c r="CF1"/>
  <c r="CG1"/>
  <c r="CH1"/>
  <c r="CI1"/>
  <c r="CJ1"/>
  <c r="CK1"/>
  <c r="CL1"/>
  <c r="CM1"/>
  <c r="CN1"/>
  <c r="CO1"/>
  <c r="CP1"/>
  <c r="CQ1"/>
  <c r="CR1"/>
  <c r="CS1"/>
  <c r="CT1"/>
  <c r="CU1"/>
  <c r="CV1"/>
  <c r="CW1"/>
  <c r="CX1"/>
  <c r="CY1"/>
  <c r="CZ1"/>
  <c r="DA1"/>
  <c r="DB1"/>
  <c r="DC1"/>
  <c r="DD1"/>
  <c r="DE1"/>
  <c r="DF1"/>
  <c r="DG1"/>
  <c r="DH1"/>
  <c r="DI1"/>
  <c r="DJ1"/>
  <c r="DK1"/>
  <c r="DL1"/>
  <c r="DM1"/>
  <c r="DN1"/>
  <c r="DO1"/>
  <c r="DP1"/>
  <c r="DQ1"/>
  <c r="DR1"/>
  <c r="DS1"/>
  <c r="DT1"/>
  <c r="DU1"/>
  <c r="DV1"/>
  <c r="DW1"/>
  <c r="DX1"/>
  <c r="DY1"/>
  <c r="DZ1"/>
  <c r="EA1"/>
  <c r="EB1"/>
  <c r="EC1"/>
  <c r="ED1"/>
  <c r="EE1"/>
  <c r="EF1"/>
  <c r="EG1"/>
  <c r="EH1"/>
  <c r="EI1"/>
  <c r="EJ1"/>
  <c r="EK1"/>
  <c r="EL1"/>
  <c r="EM1"/>
  <c r="EN1"/>
  <c r="EO1"/>
  <c r="EP1"/>
  <c r="EQ1"/>
  <c r="ER1"/>
  <c r="ES1"/>
  <c r="ET1"/>
  <c r="EU1"/>
  <c r="EV1"/>
  <c r="EW1"/>
  <c r="EX1"/>
  <c r="EY1"/>
  <c r="EZ1"/>
  <c r="FA1"/>
  <c r="FB1"/>
  <c r="FC1"/>
  <c r="FD1"/>
  <c r="FE1"/>
  <c r="FF1"/>
  <c r="FG1"/>
  <c r="FH1"/>
  <c r="FI1"/>
  <c r="FJ1"/>
  <c r="FK1"/>
  <c r="FL1"/>
  <c r="FM1"/>
  <c r="FN1"/>
  <c r="FO1"/>
  <c r="FP1"/>
  <c r="FQ1"/>
  <c r="FR1"/>
  <c r="FS1"/>
  <c r="FT1"/>
  <c r="FU1"/>
  <c r="FV1"/>
  <c r="FW1"/>
  <c r="FX1"/>
  <c r="FY1"/>
  <c r="FZ1"/>
  <c r="GA1"/>
  <c r="GB1"/>
  <c r="GC1"/>
  <c r="GD1"/>
  <c r="GE1"/>
  <c r="GF1"/>
  <c r="GG1"/>
  <c r="GH1"/>
  <c r="GI1"/>
  <c r="GJ1"/>
  <c r="GK1"/>
  <c r="GL1"/>
  <c r="GM1"/>
  <c r="GN1"/>
  <c r="GO1"/>
  <c r="GP1"/>
  <c r="GQ1"/>
  <c r="GR1"/>
  <c r="GS1"/>
  <c r="GT1"/>
  <c r="GU1"/>
  <c r="GV1"/>
  <c r="GW1"/>
  <c r="GX1"/>
  <c r="GY1"/>
  <c r="GZ1"/>
  <c r="HA1"/>
  <c r="HB1"/>
  <c r="HC1"/>
  <c r="HD1"/>
  <c r="HE1"/>
  <c r="HF1"/>
  <c r="HG1"/>
  <c r="HH1"/>
  <c r="HI1"/>
  <c r="HJ1"/>
  <c r="HK1"/>
  <c r="HL1"/>
  <c r="HM1"/>
  <c r="HN1"/>
  <c r="HO1"/>
  <c r="HP1"/>
  <c r="HQ1"/>
  <c r="HR1"/>
  <c r="HS1"/>
  <c r="HT1"/>
  <c r="HU1"/>
  <c r="HV1"/>
  <c r="HW1"/>
  <c r="HX1"/>
  <c r="HY1"/>
  <c r="HZ1"/>
  <c r="IA1"/>
  <c r="IB1"/>
  <c r="IC1"/>
  <c r="ID1"/>
  <c r="IE1"/>
  <c r="IF1"/>
  <c r="IG1"/>
  <c r="IH1"/>
  <c r="II1"/>
  <c r="IJ1"/>
  <c r="IK1"/>
  <c r="IL1"/>
  <c r="IM1"/>
  <c r="IN1"/>
  <c r="IO1"/>
  <c r="IP1"/>
  <c r="IQ1"/>
  <c r="IR1"/>
  <c r="IS1"/>
  <c r="IT1"/>
  <c r="IU1"/>
  <c r="IV1"/>
  <c r="V3" i="2" l="1"/>
  <c r="V4"/>
  <c r="V28"/>
  <c r="V20"/>
  <c r="V40"/>
  <c r="V13"/>
  <c r="V16"/>
  <c r="V25"/>
  <c r="V41"/>
  <c r="V37"/>
  <c r="R46" i="1"/>
  <c r="Q46" s="1"/>
  <c r="V46" i="2"/>
  <c r="V15"/>
  <c r="V11"/>
  <c r="V7"/>
  <c r="V27"/>
  <c r="V23"/>
  <c r="V19"/>
  <c r="V43"/>
  <c r="V39"/>
  <c r="V35"/>
  <c r="R80" i="1"/>
  <c r="S80" s="1"/>
  <c r="R65"/>
  <c r="R61"/>
  <c r="R55"/>
  <c r="Q55" s="1"/>
  <c r="R73"/>
  <c r="R57"/>
  <c r="S57" s="1"/>
  <c r="R49"/>
  <c r="R85"/>
  <c r="S85" s="1"/>
  <c r="R71"/>
  <c r="R84"/>
  <c r="S84" s="1"/>
  <c r="V8" i="2"/>
  <c r="V24"/>
  <c r="V36"/>
  <c r="V12"/>
  <c r="V17"/>
  <c r="V31"/>
  <c r="V44"/>
  <c r="V32"/>
  <c r="V9"/>
  <c r="V5"/>
  <c r="V29"/>
  <c r="V21"/>
  <c r="V45"/>
  <c r="V33"/>
  <c r="V14"/>
  <c r="V10"/>
  <c r="V6"/>
  <c r="V30"/>
  <c r="V26"/>
  <c r="V22"/>
  <c r="V18"/>
  <c r="V42"/>
  <c r="V38"/>
  <c r="V34"/>
  <c r="R89" i="1"/>
  <c r="R70"/>
  <c r="S70" s="1"/>
  <c r="R79"/>
  <c r="Q79" s="1"/>
  <c r="R53"/>
  <c r="S53" s="1"/>
  <c r="R63"/>
  <c r="R50"/>
  <c r="Q50" s="1"/>
  <c r="R78"/>
  <c r="S78" s="1"/>
  <c r="R86"/>
  <c r="S86" s="1"/>
  <c r="R64"/>
  <c r="R72"/>
  <c r="S72" s="1"/>
  <c r="R52"/>
  <c r="Q52" s="1"/>
  <c r="R60"/>
  <c r="S60" s="1"/>
  <c r="R81"/>
  <c r="R75"/>
  <c r="S75" s="1"/>
  <c r="R88"/>
  <c r="Q88" s="1"/>
  <c r="R74"/>
  <c r="S74" s="1"/>
  <c r="S92"/>
  <c r="Q92"/>
  <c r="S68"/>
  <c r="Q68"/>
  <c r="S67"/>
  <c r="Q67"/>
  <c r="S76"/>
  <c r="Q76"/>
  <c r="Q62"/>
  <c r="S62"/>
  <c r="S66"/>
  <c r="Q66"/>
  <c r="S69"/>
  <c r="Q69"/>
  <c r="S63"/>
  <c r="Q63"/>
  <c r="S64"/>
  <c r="Q64"/>
  <c r="S59"/>
  <c r="Q59"/>
  <c r="S51"/>
  <c r="Q51"/>
  <c r="S61"/>
  <c r="Q61"/>
  <c r="Q57"/>
  <c r="S58"/>
  <c r="Q58"/>
  <c r="S48"/>
  <c r="Q48"/>
  <c r="Q60"/>
  <c r="Q53"/>
  <c r="S56"/>
  <c r="Q56"/>
  <c r="S54"/>
  <c r="Q54"/>
  <c r="S89"/>
  <c r="Q89"/>
  <c r="Q82"/>
  <c r="S82"/>
  <c r="Q90"/>
  <c r="S90"/>
  <c r="S81"/>
  <c r="Q81"/>
  <c r="Q77"/>
  <c r="S77"/>
  <c r="S79"/>
  <c r="Q86"/>
  <c r="S83"/>
  <c r="Q83"/>
  <c r="S91"/>
  <c r="Q91"/>
  <c r="O3"/>
  <c r="R3" s="1"/>
  <c r="O12"/>
  <c r="R12" s="1"/>
  <c r="O4"/>
  <c r="R4" s="1"/>
  <c r="O24"/>
  <c r="R24" s="1"/>
  <c r="O31"/>
  <c r="R31" s="1"/>
  <c r="O44"/>
  <c r="R44" s="1"/>
  <c r="O36"/>
  <c r="R36" s="1"/>
  <c r="O32"/>
  <c r="R32" s="1"/>
  <c r="O9"/>
  <c r="R9" s="1"/>
  <c r="O16"/>
  <c r="R16" s="1"/>
  <c r="O29"/>
  <c r="R29" s="1"/>
  <c r="O21"/>
  <c r="R21" s="1"/>
  <c r="O41"/>
  <c r="R41" s="1"/>
  <c r="O33"/>
  <c r="R33" s="1"/>
  <c r="O14"/>
  <c r="R14" s="1"/>
  <c r="O10"/>
  <c r="R10" s="1"/>
  <c r="O6"/>
  <c r="R6" s="1"/>
  <c r="O30"/>
  <c r="R30" s="1"/>
  <c r="O26"/>
  <c r="R26" s="1"/>
  <c r="O22"/>
  <c r="R22" s="1"/>
  <c r="O18"/>
  <c r="R18" s="1"/>
  <c r="O42"/>
  <c r="R42" s="1"/>
  <c r="O38"/>
  <c r="R38" s="1"/>
  <c r="O34"/>
  <c r="R34" s="1"/>
  <c r="O8"/>
  <c r="R8" s="1"/>
  <c r="O17"/>
  <c r="R17" s="1"/>
  <c r="O28"/>
  <c r="R28" s="1"/>
  <c r="O20"/>
  <c r="R20" s="1"/>
  <c r="O40"/>
  <c r="R40" s="1"/>
  <c r="O13"/>
  <c r="R13" s="1"/>
  <c r="O5"/>
  <c r="R5" s="1"/>
  <c r="O25"/>
  <c r="R25" s="1"/>
  <c r="O45"/>
  <c r="R45" s="1"/>
  <c r="O37"/>
  <c r="R37" s="1"/>
  <c r="O15"/>
  <c r="R15" s="1"/>
  <c r="O11"/>
  <c r="R11" s="1"/>
  <c r="O7"/>
  <c r="R7" s="1"/>
  <c r="O27"/>
  <c r="R27" s="1"/>
  <c r="O23"/>
  <c r="R23" s="1"/>
  <c r="O19"/>
  <c r="R19" s="1"/>
  <c r="O43"/>
  <c r="R43" s="1"/>
  <c r="O39"/>
  <c r="R39" s="1"/>
  <c r="O35"/>
  <c r="R35" s="1"/>
  <c r="GQ5" i="7"/>
  <c r="GM5"/>
  <c r="GP5"/>
  <c r="GU5"/>
  <c r="P30" i="1"/>
  <c r="GO5" i="7"/>
  <c r="Q85" i="1" l="1"/>
  <c r="Q70"/>
  <c r="Q84"/>
  <c r="Q74"/>
  <c r="Q75"/>
  <c r="Q72"/>
  <c r="S50"/>
  <c r="S55"/>
  <c r="Q8"/>
  <c r="S8"/>
  <c r="Q13"/>
  <c r="S13"/>
  <c r="Q9"/>
  <c r="S9"/>
  <c r="S15"/>
  <c r="Q15"/>
  <c r="Q5"/>
  <c r="S5"/>
  <c r="Q14"/>
  <c r="S14"/>
  <c r="Q4"/>
  <c r="S4"/>
  <c r="S7"/>
  <c r="Q7"/>
  <c r="Q6"/>
  <c r="S6"/>
  <c r="S3"/>
  <c r="Q3"/>
  <c r="S11"/>
  <c r="Q11"/>
  <c r="AB33" i="2"/>
  <c r="AM33"/>
  <c r="AT33" s="1"/>
  <c r="AM32"/>
  <c r="AT32" s="1"/>
  <c r="AB32"/>
  <c r="AB28"/>
  <c r="AM28"/>
  <c r="AT28" s="1"/>
  <c r="AM22"/>
  <c r="AT22" s="1"/>
  <c r="AB22"/>
  <c r="AM30"/>
  <c r="AT30" s="1"/>
  <c r="AB30"/>
  <c r="AM10"/>
  <c r="AT10" s="1"/>
  <c r="AB10"/>
  <c r="AB12"/>
  <c r="AM12"/>
  <c r="AT12" s="1"/>
  <c r="AM39"/>
  <c r="AT39" s="1"/>
  <c r="AB39"/>
  <c r="AM19"/>
  <c r="AT19" s="1"/>
  <c r="AB19"/>
  <c r="AM27"/>
  <c r="AT27" s="1"/>
  <c r="AB27"/>
  <c r="AM46"/>
  <c r="AT46" s="1"/>
  <c r="AB46"/>
  <c r="AM16"/>
  <c r="AT16" s="1"/>
  <c r="AB16"/>
  <c r="AB34"/>
  <c r="AM34"/>
  <c r="AT34" s="1"/>
  <c r="AB21"/>
  <c r="AM21"/>
  <c r="AT21" s="1"/>
  <c r="AB5"/>
  <c r="AM5"/>
  <c r="AT5" s="1"/>
  <c r="Q12" i="1"/>
  <c r="S12"/>
  <c r="AB24" i="2"/>
  <c r="AM24"/>
  <c r="AT24" s="1"/>
  <c r="AM11"/>
  <c r="AT11" s="1"/>
  <c r="AB11"/>
  <c r="AB41"/>
  <c r="AM41"/>
  <c r="AT41" s="1"/>
  <c r="AM3"/>
  <c r="AT3" s="1"/>
  <c r="AB3"/>
  <c r="AB38"/>
  <c r="AM38"/>
  <c r="AT38" s="1"/>
  <c r="AM45"/>
  <c r="AT45" s="1"/>
  <c r="AB45"/>
  <c r="AM29"/>
  <c r="AT29" s="1"/>
  <c r="AB29"/>
  <c r="AB9"/>
  <c r="AM9"/>
  <c r="AT9" s="1"/>
  <c r="AM44"/>
  <c r="AT44" s="1"/>
  <c r="AB44"/>
  <c r="AB17"/>
  <c r="AM17"/>
  <c r="AT17" s="1"/>
  <c r="AB36"/>
  <c r="AM36"/>
  <c r="AT36" s="1"/>
  <c r="AB8"/>
  <c r="AM8"/>
  <c r="AT8" s="1"/>
  <c r="AM35"/>
  <c r="AT35" s="1"/>
  <c r="AB35"/>
  <c r="AM43"/>
  <c r="AT43" s="1"/>
  <c r="AB43"/>
  <c r="AM7"/>
  <c r="AT7" s="1"/>
  <c r="AB7"/>
  <c r="AM15"/>
  <c r="AT15" s="1"/>
  <c r="AB15"/>
  <c r="AM37"/>
  <c r="AT37" s="1"/>
  <c r="AB37"/>
  <c r="AB25"/>
  <c r="AM25"/>
  <c r="AT25" s="1"/>
  <c r="AM13"/>
  <c r="AT13" s="1"/>
  <c r="AB13"/>
  <c r="AB20"/>
  <c r="AM20"/>
  <c r="AT20" s="1"/>
  <c r="AM4"/>
  <c r="AT4" s="1"/>
  <c r="AB4"/>
  <c r="S46" i="1"/>
  <c r="Q80"/>
  <c r="S88"/>
  <c r="Q78"/>
  <c r="S52"/>
  <c r="AB42" i="2"/>
  <c r="AM42"/>
  <c r="AT42" s="1"/>
  <c r="Q10" i="1"/>
  <c r="S10"/>
  <c r="AB31" i="2"/>
  <c r="AM31"/>
  <c r="AT31" s="1"/>
  <c r="AM40"/>
  <c r="AT40" s="1"/>
  <c r="AB40"/>
  <c r="AM18"/>
  <c r="AT18" s="1"/>
  <c r="AB18"/>
  <c r="AM26"/>
  <c r="AT26" s="1"/>
  <c r="AB26"/>
  <c r="AB6"/>
  <c r="AM6"/>
  <c r="AT6" s="1"/>
  <c r="AB14"/>
  <c r="AM14"/>
  <c r="AT14" s="1"/>
  <c r="AM23"/>
  <c r="AT23" s="1"/>
  <c r="AB23"/>
  <c r="S31" i="1"/>
  <c r="Q31"/>
  <c r="S43"/>
  <c r="Q43"/>
  <c r="S45"/>
  <c r="Q45"/>
  <c r="S40"/>
  <c r="Q40"/>
  <c r="S41"/>
  <c r="Q41"/>
  <c r="S42"/>
  <c r="Q42"/>
  <c r="S39"/>
  <c r="Q39"/>
  <c r="S37"/>
  <c r="Q37"/>
  <c r="S33"/>
  <c r="Q33"/>
  <c r="S44"/>
  <c r="Q44"/>
  <c r="S35"/>
  <c r="Q35"/>
  <c r="S36"/>
  <c r="Q36"/>
  <c r="S38"/>
  <c r="Q38"/>
  <c r="S34"/>
  <c r="Q34"/>
  <c r="S32"/>
  <c r="Q32"/>
  <c r="S73"/>
  <c r="Q73"/>
  <c r="S71"/>
  <c r="Q71"/>
  <c r="S65"/>
  <c r="Q65"/>
  <c r="S17"/>
  <c r="Q17"/>
  <c r="S18"/>
  <c r="Q18"/>
  <c r="Q27"/>
  <c r="S27"/>
  <c r="S26"/>
  <c r="Q26"/>
  <c r="Q23"/>
  <c r="S23"/>
  <c r="S28"/>
  <c r="Q28"/>
  <c r="S29"/>
  <c r="Q29"/>
  <c r="S30"/>
  <c r="Q30"/>
  <c r="S22"/>
  <c r="Q22"/>
  <c r="S16"/>
  <c r="Q16"/>
  <c r="S24"/>
  <c r="Q24"/>
  <c r="Q19"/>
  <c r="S19"/>
  <c r="S25"/>
  <c r="Q25"/>
  <c r="S20"/>
  <c r="Q20"/>
  <c r="S21"/>
  <c r="Q21"/>
  <c r="S87"/>
  <c r="Q87"/>
  <c r="V6" i="7"/>
  <c r="GT5"/>
  <c r="AS14" i="2" l="1"/>
  <c r="AU14"/>
  <c r="AA26"/>
  <c r="AC26"/>
  <c r="AC40"/>
  <c r="AA40"/>
  <c r="AC20"/>
  <c r="AA20"/>
  <c r="AC25"/>
  <c r="AA25"/>
  <c r="AU15"/>
  <c r="AS15"/>
  <c r="AS43"/>
  <c r="AU43"/>
  <c r="AC8"/>
  <c r="AA8"/>
  <c r="AC17"/>
  <c r="AA17"/>
  <c r="AC9"/>
  <c r="AA9"/>
  <c r="AU45"/>
  <c r="AS45"/>
  <c r="AU3"/>
  <c r="AS3"/>
  <c r="AU11"/>
  <c r="AS11"/>
  <c r="AC21"/>
  <c r="AA21"/>
  <c r="AS16"/>
  <c r="AU16"/>
  <c r="AS27"/>
  <c r="AU27"/>
  <c r="AS39"/>
  <c r="AU39"/>
  <c r="AS10"/>
  <c r="AU10"/>
  <c r="AS22"/>
  <c r="AU22"/>
  <c r="AU32"/>
  <c r="AS32"/>
  <c r="AU23"/>
  <c r="AS23"/>
  <c r="AA6"/>
  <c r="AC6"/>
  <c r="AS18"/>
  <c r="AU18"/>
  <c r="AA31"/>
  <c r="AC31"/>
  <c r="AA42"/>
  <c r="AC42"/>
  <c r="AU20"/>
  <c r="AS20"/>
  <c r="AU25"/>
  <c r="AS25"/>
  <c r="AC15"/>
  <c r="AA15"/>
  <c r="AA43"/>
  <c r="AC43"/>
  <c r="AU8"/>
  <c r="AS8"/>
  <c r="AU17"/>
  <c r="AS17"/>
  <c r="AU9"/>
  <c r="AS9"/>
  <c r="AC45"/>
  <c r="AA45"/>
  <c r="AA3"/>
  <c r="AC3"/>
  <c r="AA11"/>
  <c r="AC11"/>
  <c r="AU21"/>
  <c r="AS21"/>
  <c r="AA16"/>
  <c r="AC16"/>
  <c r="AC27"/>
  <c r="AA27"/>
  <c r="AA39"/>
  <c r="AC39"/>
  <c r="AA10"/>
  <c r="AC10"/>
  <c r="AA22"/>
  <c r="AC22"/>
  <c r="AC32"/>
  <c r="AA32"/>
  <c r="AC23"/>
  <c r="AA23"/>
  <c r="AS6"/>
  <c r="AU6"/>
  <c r="AA18"/>
  <c r="AC18"/>
  <c r="AU31"/>
  <c r="AS31"/>
  <c r="AS42"/>
  <c r="AU42"/>
  <c r="AS4"/>
  <c r="AU4"/>
  <c r="AU13"/>
  <c r="AS13"/>
  <c r="AU37"/>
  <c r="AS37"/>
  <c r="AU7"/>
  <c r="AS7"/>
  <c r="AS35"/>
  <c r="AU35"/>
  <c r="AA36"/>
  <c r="AC36"/>
  <c r="AU44"/>
  <c r="AS44"/>
  <c r="AU29"/>
  <c r="AS29"/>
  <c r="AA38"/>
  <c r="AC38"/>
  <c r="AC41"/>
  <c r="AA41"/>
  <c r="AC24"/>
  <c r="AA24"/>
  <c r="AC5"/>
  <c r="AA5"/>
  <c r="AA34"/>
  <c r="AC34"/>
  <c r="AS46"/>
  <c r="AU46"/>
  <c r="AS19"/>
  <c r="AU19"/>
  <c r="AC12"/>
  <c r="AA12"/>
  <c r="AS30"/>
  <c r="AU30"/>
  <c r="AC28"/>
  <c r="AA28"/>
  <c r="AC33"/>
  <c r="AA33"/>
  <c r="AA14"/>
  <c r="AC14"/>
  <c r="AS26"/>
  <c r="AU26"/>
  <c r="AU40"/>
  <c r="AS40"/>
  <c r="AC4"/>
  <c r="AA4"/>
  <c r="AC13"/>
  <c r="AA13"/>
  <c r="AC37"/>
  <c r="AA37"/>
  <c r="AC7"/>
  <c r="AA7"/>
  <c r="AC35"/>
  <c r="AA35"/>
  <c r="AU36"/>
  <c r="AS36"/>
  <c r="AA44"/>
  <c r="AC44"/>
  <c r="AC29"/>
  <c r="AA29"/>
  <c r="AS38"/>
  <c r="AU38"/>
  <c r="AU41"/>
  <c r="AS41"/>
  <c r="AS24"/>
  <c r="AU24"/>
  <c r="AU5"/>
  <c r="AS5"/>
  <c r="AS34"/>
  <c r="AU34"/>
  <c r="AA46"/>
  <c r="AC46"/>
  <c r="AC19"/>
  <c r="AA19"/>
  <c r="AU12"/>
  <c r="AS12"/>
  <c r="AA30"/>
  <c r="AC30"/>
  <c r="AU28"/>
  <c r="AS28"/>
  <c r="AU33"/>
  <c r="AS33"/>
  <c r="S49" i="1"/>
  <c r="Q49"/>
  <c r="GL5" i="7"/>
  <c r="S2" i="1" l="1"/>
  <c r="GK5" i="7"/>
  <c r="Q2" i="1"/>
</calcChain>
</file>

<file path=xl/sharedStrings.xml><?xml version="1.0" encoding="utf-8"?>
<sst xmlns="http://schemas.openxmlformats.org/spreadsheetml/2006/main" count="10055" uniqueCount="1219">
  <si>
    <t>角色识别码</t>
    <phoneticPr fontId="1" type="noConversion"/>
  </si>
  <si>
    <t>角色名称</t>
    <phoneticPr fontId="1" type="noConversion"/>
  </si>
  <si>
    <t>角色等级</t>
    <phoneticPr fontId="1" type="noConversion"/>
  </si>
  <si>
    <t>经验值</t>
    <phoneticPr fontId="1" type="noConversion"/>
  </si>
  <si>
    <t>角色生命值</t>
    <phoneticPr fontId="1" type="noConversion"/>
  </si>
  <si>
    <t>角色法力值</t>
    <phoneticPr fontId="1" type="noConversion"/>
  </si>
  <si>
    <t>角色魂力值</t>
    <phoneticPr fontId="1" type="noConversion"/>
  </si>
  <si>
    <t>力量</t>
    <phoneticPr fontId="1" type="noConversion"/>
  </si>
  <si>
    <t>耐力</t>
    <phoneticPr fontId="1" type="noConversion"/>
  </si>
  <si>
    <t>智力</t>
    <phoneticPr fontId="1" type="noConversion"/>
  </si>
  <si>
    <t>暴击率</t>
    <phoneticPr fontId="1" type="noConversion"/>
  </si>
  <si>
    <t>移动速度</t>
    <phoneticPr fontId="1" type="noConversion"/>
  </si>
  <si>
    <t>攻击力</t>
    <phoneticPr fontId="1" type="noConversion"/>
  </si>
  <si>
    <t>防御力</t>
    <phoneticPr fontId="1" type="noConversion"/>
  </si>
  <si>
    <t>ID</t>
    <phoneticPr fontId="1" type="noConversion"/>
  </si>
  <si>
    <t>士兵名称</t>
    <phoneticPr fontId="1" type="noConversion"/>
  </si>
  <si>
    <t>等级</t>
    <phoneticPr fontId="1" type="noConversion"/>
  </si>
  <si>
    <t>生命值</t>
    <phoneticPr fontId="1" type="noConversion"/>
  </si>
  <si>
    <t>掉落荣誉值</t>
    <phoneticPr fontId="1" type="noConversion"/>
  </si>
  <si>
    <t>掉落金钱</t>
    <phoneticPr fontId="1" type="noConversion"/>
  </si>
  <si>
    <t>建筑物名称</t>
    <phoneticPr fontId="1" type="noConversion"/>
  </si>
  <si>
    <t>解锁判断</t>
    <phoneticPr fontId="1" type="noConversion"/>
  </si>
  <si>
    <t>解锁条件</t>
    <phoneticPr fontId="1" type="noConversion"/>
  </si>
  <si>
    <t>升级消耗</t>
    <phoneticPr fontId="1" type="noConversion"/>
  </si>
  <si>
    <t>升级所需时间</t>
    <phoneticPr fontId="1" type="noConversion"/>
  </si>
  <si>
    <t>装备名称</t>
    <phoneticPr fontId="1" type="noConversion"/>
  </si>
  <si>
    <t>装备等级</t>
    <phoneticPr fontId="1" type="noConversion"/>
  </si>
  <si>
    <t>使用等级</t>
    <phoneticPr fontId="1" type="noConversion"/>
  </si>
  <si>
    <t>耐久</t>
    <phoneticPr fontId="1" type="noConversion"/>
  </si>
  <si>
    <t>职业标识</t>
    <phoneticPr fontId="1" type="noConversion"/>
  </si>
  <si>
    <t>道具名称</t>
    <phoneticPr fontId="1" type="noConversion"/>
  </si>
  <si>
    <t>道具品级</t>
    <phoneticPr fontId="1" type="noConversion"/>
  </si>
  <si>
    <t>使用效果</t>
    <phoneticPr fontId="1" type="noConversion"/>
  </si>
  <si>
    <t>角色类型</t>
    <phoneticPr fontId="1" type="noConversion"/>
  </si>
  <si>
    <t>售价</t>
    <phoneticPr fontId="1" type="noConversion"/>
  </si>
  <si>
    <t>集中</t>
    <phoneticPr fontId="1" type="noConversion"/>
  </si>
  <si>
    <t>战士</t>
    <phoneticPr fontId="1" type="noConversion"/>
  </si>
  <si>
    <t>女主角</t>
    <phoneticPr fontId="1" type="noConversion"/>
  </si>
  <si>
    <t>法师：</t>
    <phoneticPr fontId="1" type="noConversion"/>
  </si>
  <si>
    <t>魔法值系数</t>
    <phoneticPr fontId="1" type="noConversion"/>
  </si>
  <si>
    <t>防御系数</t>
    <phoneticPr fontId="1" type="noConversion"/>
  </si>
  <si>
    <t>进攻系数</t>
    <phoneticPr fontId="1" type="noConversion"/>
  </si>
  <si>
    <t>公式说明</t>
    <phoneticPr fontId="1" type="noConversion"/>
  </si>
  <si>
    <t>法师</t>
    <phoneticPr fontId="1" type="noConversion"/>
  </si>
  <si>
    <t>伤害值</t>
    <phoneticPr fontId="1" type="noConversion"/>
  </si>
  <si>
    <t>数值调试区域</t>
    <phoneticPr fontId="1" type="noConversion"/>
  </si>
  <si>
    <t>计算公式(1-14)</t>
    <phoneticPr fontId="1" type="noConversion"/>
  </si>
  <si>
    <t>计算公式(15-29)</t>
    <phoneticPr fontId="1" type="noConversion"/>
  </si>
  <si>
    <t>计算公式(30-44)</t>
    <phoneticPr fontId="1" type="noConversion"/>
  </si>
  <si>
    <t>计算公式:45</t>
    <phoneticPr fontId="1" type="noConversion"/>
  </si>
  <si>
    <t>男主角</t>
    <phoneticPr fontId="1" type="noConversion"/>
  </si>
  <si>
    <t>CD时间</t>
  </si>
  <si>
    <t>所需魂</t>
  </si>
  <si>
    <t>解锁等级</t>
  </si>
  <si>
    <t xml:space="preserve">盾枪兵LV2
</t>
  </si>
  <si>
    <t xml:space="preserve">盾枪兵LV3
</t>
  </si>
  <si>
    <t xml:space="preserve">盾枪兵LV4
</t>
  </si>
  <si>
    <t xml:space="preserve">盾枪兵LV5
</t>
  </si>
  <si>
    <t xml:space="preserve">盾枪兵LV6
</t>
  </si>
  <si>
    <t xml:space="preserve">盾枪兵LV7
</t>
  </si>
  <si>
    <t xml:space="preserve">盾枪兵LV8
</t>
  </si>
  <si>
    <t xml:space="preserve">盾枪兵LV9
</t>
  </si>
  <si>
    <t xml:space="preserve">盾枪兵LV10
</t>
  </si>
  <si>
    <t xml:space="preserve">盾枪兵LV11
</t>
  </si>
  <si>
    <t xml:space="preserve">盾枪兵LV12
</t>
  </si>
  <si>
    <t xml:space="preserve">盾枪兵LV13
</t>
  </si>
  <si>
    <t xml:space="preserve">盾枪兵LV14
</t>
  </si>
  <si>
    <t xml:space="preserve">盾枪兵LV15
</t>
  </si>
  <si>
    <t xml:space="preserve">盾枪兵LV16
</t>
  </si>
  <si>
    <t xml:space="preserve">盾枪兵LV17
</t>
  </si>
  <si>
    <t xml:space="preserve">盾枪兵LV18
</t>
  </si>
  <si>
    <t xml:space="preserve">盾枪兵LV19
</t>
  </si>
  <si>
    <t xml:space="preserve">盾枪兵LV20
</t>
  </si>
  <si>
    <t xml:space="preserve">盾枪兵LV21
</t>
  </si>
  <si>
    <t xml:space="preserve">盾枪兵LV22
</t>
  </si>
  <si>
    <t xml:space="preserve">盾枪兵LV23
</t>
  </si>
  <si>
    <t xml:space="preserve">盾枪兵LV24
</t>
  </si>
  <si>
    <t xml:space="preserve">盾枪兵LV25
</t>
  </si>
  <si>
    <t xml:space="preserve">盾枪兵LV26
</t>
  </si>
  <si>
    <t xml:space="preserve">盾枪兵LV27
</t>
  </si>
  <si>
    <t xml:space="preserve">盾枪兵LV28
</t>
  </si>
  <si>
    <t xml:space="preserve">盾枪兵LV29
</t>
  </si>
  <si>
    <t xml:space="preserve">盾枪兵LV1
</t>
    <phoneticPr fontId="1" type="noConversion"/>
  </si>
  <si>
    <t xml:space="preserve">盾枪兵LV30
</t>
  </si>
  <si>
    <t xml:space="preserve">盾枪兵LV31
</t>
  </si>
  <si>
    <t xml:space="preserve">盾枪兵LV32
</t>
  </si>
  <si>
    <t xml:space="preserve">盾枪兵LV33
</t>
  </si>
  <si>
    <t xml:space="preserve">盾枪兵LV34
</t>
  </si>
  <si>
    <t xml:space="preserve">盾枪兵LV35
</t>
  </si>
  <si>
    <t xml:space="preserve">盾枪兵LV36
</t>
  </si>
  <si>
    <t xml:space="preserve">盾枪兵LV37
</t>
  </si>
  <si>
    <t xml:space="preserve">盾枪兵LV38
</t>
  </si>
  <si>
    <t xml:space="preserve">盾枪兵LV39
</t>
  </si>
  <si>
    <t xml:space="preserve">盾枪兵LV40
</t>
  </si>
  <si>
    <t xml:space="preserve">盾枪兵LV41
</t>
  </si>
  <si>
    <t xml:space="preserve">盾枪兵LV42
</t>
  </si>
  <si>
    <t xml:space="preserve">盾枪兵LV43
</t>
  </si>
  <si>
    <t xml:space="preserve">盾枪兵LV44
</t>
  </si>
  <si>
    <t xml:space="preserve">盾枪兵LV45
</t>
  </si>
  <si>
    <t>弓箭兵LV1</t>
    <phoneticPr fontId="1" type="noConversion"/>
  </si>
  <si>
    <t>弓箭兵LV2</t>
  </si>
  <si>
    <t>弓箭兵LV3</t>
  </si>
  <si>
    <t>弓箭兵LV4</t>
  </si>
  <si>
    <t>弓箭兵LV5</t>
  </si>
  <si>
    <t>弓箭兵LV6</t>
  </si>
  <si>
    <t>弓箭兵LV7</t>
  </si>
  <si>
    <t>弓箭兵LV8</t>
  </si>
  <si>
    <t>弓箭兵LV9</t>
  </si>
  <si>
    <t>弓箭兵LV10</t>
  </si>
  <si>
    <t>弓箭兵LV11</t>
  </si>
  <si>
    <t>弓箭兵LV12</t>
  </si>
  <si>
    <t>弓箭兵LV13</t>
  </si>
  <si>
    <t>弓箭兵LV14</t>
  </si>
  <si>
    <t>弓箭兵LV15</t>
  </si>
  <si>
    <t>弓箭兵LV16</t>
  </si>
  <si>
    <t>弓箭兵LV17</t>
  </si>
  <si>
    <t>弓箭兵LV18</t>
  </si>
  <si>
    <t>弓箭兵LV19</t>
  </si>
  <si>
    <t>弓箭兵LV20</t>
  </si>
  <si>
    <t>弓箭兵LV21</t>
  </si>
  <si>
    <t>弓箭兵LV22</t>
  </si>
  <si>
    <t>弓箭兵LV23</t>
  </si>
  <si>
    <t>弓箭兵LV24</t>
  </si>
  <si>
    <t>弓箭兵LV25</t>
  </si>
  <si>
    <t>弓箭兵LV26</t>
  </si>
  <si>
    <t>弓箭兵LV27</t>
  </si>
  <si>
    <t>弓箭兵LV28</t>
  </si>
  <si>
    <t>弓箭兵LV29</t>
  </si>
  <si>
    <t>弓箭兵LV30</t>
  </si>
  <si>
    <t>弓箭兵LV31</t>
  </si>
  <si>
    <t>弓箭兵LV32</t>
  </si>
  <si>
    <t>弓箭兵LV33</t>
  </si>
  <si>
    <t>弓箭兵LV34</t>
  </si>
  <si>
    <t>弓箭兵LV35</t>
  </si>
  <si>
    <t>弓箭兵LV36</t>
  </si>
  <si>
    <t>弓箭兵LV37</t>
  </si>
  <si>
    <t>弓箭兵LV38</t>
  </si>
  <si>
    <t>弓箭兵LV39</t>
  </si>
  <si>
    <t>弓箭兵LV40</t>
  </si>
  <si>
    <t>弓箭兵LV41</t>
  </si>
  <si>
    <t>弓箭兵LV42</t>
  </si>
  <si>
    <t>弓箭兵LV43</t>
  </si>
  <si>
    <t>弓箭兵LV44</t>
  </si>
  <si>
    <t>弓箭兵LV45</t>
  </si>
  <si>
    <t>游侠LV1</t>
    <phoneticPr fontId="1" type="noConversion"/>
  </si>
  <si>
    <t>游侠LV2</t>
  </si>
  <si>
    <t>游侠LV3</t>
  </si>
  <si>
    <t>游侠LV4</t>
  </si>
  <si>
    <t>游侠LV5</t>
  </si>
  <si>
    <t>游侠LV6</t>
  </si>
  <si>
    <t>游侠LV7</t>
  </si>
  <si>
    <t>游侠LV8</t>
  </si>
  <si>
    <t>游侠LV9</t>
  </si>
  <si>
    <t>游侠LV10</t>
  </si>
  <si>
    <t>游侠LV11</t>
  </si>
  <si>
    <t>游侠LV12</t>
  </si>
  <si>
    <t>游侠LV13</t>
  </si>
  <si>
    <t>游侠LV14</t>
  </si>
  <si>
    <t>游侠LV15</t>
  </si>
  <si>
    <t>游侠LV16</t>
  </si>
  <si>
    <t>游侠LV17</t>
  </si>
  <si>
    <t>游侠LV18</t>
  </si>
  <si>
    <t>游侠LV19</t>
  </si>
  <si>
    <t>游侠LV20</t>
  </si>
  <si>
    <t>游侠LV21</t>
  </si>
  <si>
    <t>游侠LV22</t>
  </si>
  <si>
    <t>游侠LV23</t>
  </si>
  <si>
    <t>游侠LV24</t>
  </si>
  <si>
    <t>游侠LV25</t>
  </si>
  <si>
    <t>游侠LV26</t>
  </si>
  <si>
    <t>游侠LV27</t>
  </si>
  <si>
    <t>游侠LV28</t>
  </si>
  <si>
    <t>游侠LV29</t>
  </si>
  <si>
    <t>游侠LV30</t>
  </si>
  <si>
    <t>游侠LV31</t>
  </si>
  <si>
    <t>游侠LV32</t>
  </si>
  <si>
    <t>游侠LV33</t>
  </si>
  <si>
    <t>游侠LV34</t>
  </si>
  <si>
    <t>游侠LV35</t>
  </si>
  <si>
    <t>游侠LV36</t>
  </si>
  <si>
    <t>游侠LV37</t>
  </si>
  <si>
    <t>游侠LV38</t>
  </si>
  <si>
    <t>游侠LV39</t>
  </si>
  <si>
    <t>游侠LV40</t>
  </si>
  <si>
    <t>游侠LV41</t>
  </si>
  <si>
    <t>游侠LV42</t>
  </si>
  <si>
    <t>游侠LV43</t>
  </si>
  <si>
    <t>游侠LV44</t>
  </si>
  <si>
    <t>游侠LV45</t>
  </si>
  <si>
    <t>攻击力</t>
    <phoneticPr fontId="1" type="noConversion"/>
  </si>
  <si>
    <t>系数表</t>
    <phoneticPr fontId="1" type="noConversion"/>
  </si>
  <si>
    <t>最大伤害值</t>
    <phoneticPr fontId="1" type="noConversion"/>
  </si>
  <si>
    <t>最小伤害值</t>
    <phoneticPr fontId="1" type="noConversion"/>
  </si>
  <si>
    <t>暴击率</t>
    <phoneticPr fontId="1" type="noConversion"/>
  </si>
  <si>
    <t>最大伤害值</t>
    <phoneticPr fontId="1" type="noConversion"/>
  </si>
  <si>
    <t>移动速度</t>
    <phoneticPr fontId="1" type="noConversion"/>
  </si>
  <si>
    <t>掉落荣誉值</t>
    <phoneticPr fontId="1" type="noConversion"/>
  </si>
  <si>
    <t>伤害系数</t>
    <phoneticPr fontId="1" type="noConversion"/>
  </si>
  <si>
    <t>盾抢</t>
    <phoneticPr fontId="1" type="noConversion"/>
  </si>
  <si>
    <t>弓箭</t>
    <phoneticPr fontId="1" type="noConversion"/>
  </si>
  <si>
    <t>游侠</t>
    <phoneticPr fontId="1" type="noConversion"/>
  </si>
  <si>
    <t>1-14</t>
    <phoneticPr fontId="1" type="noConversion"/>
  </si>
  <si>
    <t>15-29</t>
    <phoneticPr fontId="1" type="noConversion"/>
  </si>
  <si>
    <t>30-44</t>
    <phoneticPr fontId="1" type="noConversion"/>
  </si>
  <si>
    <t>基准次数</t>
    <phoneticPr fontId="1" type="noConversion"/>
  </si>
  <si>
    <t>耐力系数</t>
  </si>
  <si>
    <t>HP加成</t>
    <phoneticPr fontId="1" type="noConversion"/>
  </si>
  <si>
    <t>伤害值</t>
    <phoneticPr fontId="1" type="noConversion"/>
  </si>
  <si>
    <r>
      <t>该表公式与主角属性字段设计相同，但是要加入属性减成，</t>
    </r>
    <r>
      <rPr>
        <u/>
        <sz val="22"/>
        <color rgb="FFFF0000"/>
        <rFont val="宋体"/>
        <family val="3"/>
        <charset val="134"/>
        <scheme val="minor"/>
      </rPr>
      <t xml:space="preserve">具体需要的减成为HP减成和伤害值减成
</t>
    </r>
    <r>
      <rPr>
        <sz val="22"/>
        <color rgb="FFFF0000"/>
        <rFont val="宋体"/>
        <family val="3"/>
        <charset val="134"/>
        <scheme val="minor"/>
      </rPr>
      <t>公式为：HP=HP×HP减成
        伤害=伤害×伤害减成</t>
    </r>
    <phoneticPr fontId="1" type="noConversion"/>
  </si>
  <si>
    <t>怪物ID</t>
    <phoneticPr fontId="1" type="noConversion"/>
  </si>
  <si>
    <t>怪物名称</t>
    <phoneticPr fontId="1" type="noConversion"/>
  </si>
  <si>
    <r>
      <t xml:space="preserve">体型 </t>
    </r>
    <r>
      <rPr>
        <b/>
        <sz val="11"/>
        <color rgb="FFFF0000"/>
        <rFont val="宋体"/>
        <family val="3"/>
        <charset val="134"/>
        <scheme val="minor"/>
      </rPr>
      <t>主角为中</t>
    </r>
    <phoneticPr fontId="1" type="noConversion"/>
  </si>
  <si>
    <t>速度</t>
    <phoneticPr fontId="1" type="noConversion"/>
  </si>
  <si>
    <t>武器</t>
    <phoneticPr fontId="1" type="noConversion"/>
  </si>
  <si>
    <t>怪物属性</t>
    <phoneticPr fontId="1" type="noConversion"/>
  </si>
  <si>
    <t>特殊能力</t>
    <phoneticPr fontId="1" type="noConversion"/>
  </si>
  <si>
    <t>HP值</t>
    <phoneticPr fontId="1" type="noConversion"/>
  </si>
  <si>
    <t>掉落金钱</t>
    <phoneticPr fontId="1" type="noConversion"/>
  </si>
  <si>
    <t>掉落魂</t>
    <phoneticPr fontId="1" type="noConversion"/>
  </si>
  <si>
    <t>攻击范围</t>
    <phoneticPr fontId="1" type="noConversion"/>
  </si>
  <si>
    <t>警戒范围</t>
    <phoneticPr fontId="1" type="noConversion"/>
  </si>
  <si>
    <t>最高等级</t>
    <phoneticPr fontId="1" type="noConversion"/>
  </si>
  <si>
    <t>小</t>
    <phoneticPr fontId="1" type="noConversion"/>
  </si>
  <si>
    <t>快</t>
    <phoneticPr fontId="1" type="noConversion"/>
  </si>
  <si>
    <t>无</t>
    <phoneticPr fontId="1" type="noConversion"/>
  </si>
  <si>
    <t>可以进行简单攻击的基础怪物</t>
    <phoneticPr fontId="1" type="noConversion"/>
  </si>
  <si>
    <t>不单独出现，被萨之父唤出来</t>
    <phoneticPr fontId="1" type="noConversion"/>
  </si>
  <si>
    <t>大</t>
    <phoneticPr fontId="1" type="noConversion"/>
  </si>
  <si>
    <t>中</t>
    <phoneticPr fontId="1" type="noConversion"/>
  </si>
  <si>
    <t>放小鬼影，同时全属性同比上升</t>
    <phoneticPr fontId="1" type="noConversion"/>
  </si>
  <si>
    <t>高</t>
    <phoneticPr fontId="1" type="noConversion"/>
  </si>
  <si>
    <t>木棒</t>
    <phoneticPr fontId="1" type="noConversion"/>
  </si>
  <si>
    <t>低</t>
    <phoneticPr fontId="1" type="noConversion"/>
  </si>
  <si>
    <t>近身1格子</t>
    <phoneticPr fontId="1" type="noConversion"/>
  </si>
  <si>
    <t>全屏</t>
    <phoneticPr fontId="1" type="noConversion"/>
  </si>
  <si>
    <t>慢</t>
    <phoneticPr fontId="1" type="noConversion"/>
  </si>
  <si>
    <t>骨头</t>
    <phoneticPr fontId="1" type="noConversion"/>
  </si>
  <si>
    <t>5%机率，使对方中毒，同时减速</t>
    <phoneticPr fontId="1" type="noConversion"/>
  </si>
  <si>
    <t>低+</t>
    <phoneticPr fontId="1" type="noConversion"/>
  </si>
  <si>
    <t>大砍刀</t>
    <phoneticPr fontId="1" type="noConversion"/>
  </si>
  <si>
    <t>全部属性同比上升</t>
    <phoneticPr fontId="1" type="noConversion"/>
  </si>
  <si>
    <t>木杆铁枪</t>
    <phoneticPr fontId="1" type="noConversion"/>
  </si>
  <si>
    <t>可以进行中程攻击的基础怪物</t>
    <phoneticPr fontId="1" type="noConversion"/>
  </si>
  <si>
    <t>近身2格子</t>
    <phoneticPr fontId="1" type="noConversion"/>
  </si>
  <si>
    <t>钢阔刃枪</t>
    <phoneticPr fontId="1" type="noConversion"/>
  </si>
  <si>
    <t>中+</t>
    <phoneticPr fontId="1" type="noConversion"/>
  </si>
  <si>
    <t>近身2格子</t>
  </si>
  <si>
    <t>钢战长斧</t>
    <phoneticPr fontId="1" type="noConversion"/>
  </si>
  <si>
    <t>木杆战锤</t>
    <phoneticPr fontId="1" type="noConversion"/>
  </si>
  <si>
    <t>可以进行特殊攻击的基础怪物</t>
    <phoneticPr fontId="1" type="noConversion"/>
  </si>
  <si>
    <t>震地（将我方单位击退一格）10%</t>
    <phoneticPr fontId="1" type="noConversion"/>
  </si>
  <si>
    <t>近身1格子[影响额外1格范围]</t>
    <phoneticPr fontId="1" type="noConversion"/>
  </si>
  <si>
    <t>金属重锤</t>
    <phoneticPr fontId="1" type="noConversion"/>
  </si>
  <si>
    <t>可以群攻对方，近身一格全部</t>
    <phoneticPr fontId="1" type="noConversion"/>
  </si>
  <si>
    <t>有一定机率使用震地，将我方单位击晕（5%）</t>
    <phoneticPr fontId="1" type="noConversion"/>
  </si>
  <si>
    <t>进行自爆攻击[2]格内我方单位</t>
    <phoneticPr fontId="1" type="noConversion"/>
  </si>
  <si>
    <t>范围型伤害，向外格递减</t>
    <phoneticPr fontId="1" type="noConversion"/>
  </si>
  <si>
    <t>召唤低级怪物进行攻击</t>
    <phoneticPr fontId="1" type="noConversion"/>
  </si>
  <si>
    <r>
      <t>召唤各种低级</t>
    </r>
    <r>
      <rPr>
        <sz val="11"/>
        <color rgb="FF00B050"/>
        <rFont val="宋体"/>
        <family val="3"/>
        <charset val="134"/>
        <scheme val="minor"/>
      </rPr>
      <t>标绿怪物</t>
    </r>
    <phoneticPr fontId="1" type="noConversion"/>
  </si>
  <si>
    <t>缚地时快</t>
    <phoneticPr fontId="1" type="noConversion"/>
  </si>
  <si>
    <t>特殊移动能力的单位</t>
    <phoneticPr fontId="1" type="noConversion"/>
  </si>
  <si>
    <t>近身1格</t>
    <phoneticPr fontId="1" type="noConversion"/>
  </si>
  <si>
    <t>飞行时快</t>
    <phoneticPr fontId="1" type="noConversion"/>
  </si>
  <si>
    <t>飞行单位</t>
    <phoneticPr fontId="1" type="noConversion"/>
  </si>
  <si>
    <t>空中单位，俯冲攻击</t>
    <phoneticPr fontId="1" type="noConversion"/>
  </si>
  <si>
    <t>木弩</t>
    <phoneticPr fontId="1" type="noConversion"/>
  </si>
  <si>
    <t>远程攻击的普通单位</t>
    <phoneticPr fontId="1" type="noConversion"/>
  </si>
  <si>
    <t>低++</t>
    <phoneticPr fontId="1" type="noConversion"/>
  </si>
  <si>
    <t>强弩</t>
    <phoneticPr fontId="1" type="noConversion"/>
  </si>
  <si>
    <t>不可攻击</t>
    <phoneticPr fontId="1" type="noConversion"/>
  </si>
  <si>
    <t>敌方的辅助单位</t>
    <phoneticPr fontId="1" type="noConversion"/>
  </si>
  <si>
    <t>小BOSS属性根据需要不同可以分为：1、只技能伤害。2、只普通伤害。3、消灭全屏其它敌人伤害。4、防御上升50%。5、只定技能伤害。6、移动加速1.5倍。六种配合小BOSS出现。BOSS会有BOSS结界环在脚下，以实别为重点攻击对像，六种不同条件会有不同的结界环表现方式。</t>
    <phoneticPr fontId="1" type="noConversion"/>
  </si>
  <si>
    <t>鬼影 LV1</t>
    <phoneticPr fontId="1" type="noConversion"/>
  </si>
  <si>
    <t>鬼影 LV2</t>
  </si>
  <si>
    <t>鬼影 LV3</t>
  </si>
  <si>
    <t>鬼影 LV4</t>
  </si>
  <si>
    <t>鬼影 LV5</t>
  </si>
  <si>
    <t>鬼影 LV6</t>
  </si>
  <si>
    <t>鬼影 LV7</t>
  </si>
  <si>
    <t>鬼影 LV8</t>
  </si>
  <si>
    <t>鬼影 LV9</t>
  </si>
  <si>
    <t>鬼影 LV10</t>
  </si>
  <si>
    <t>鬼影 LV11</t>
  </si>
  <si>
    <t>鬼影 LV12</t>
  </si>
  <si>
    <t>鬼影 LV13</t>
  </si>
  <si>
    <t>鬼影 LV14</t>
  </si>
  <si>
    <t>鬼影 LV15</t>
  </si>
  <si>
    <t>鬼影 LV16</t>
  </si>
  <si>
    <t>鬼影 LV17</t>
  </si>
  <si>
    <t>鬼影 LV18</t>
  </si>
  <si>
    <t>鬼影 LV19</t>
  </si>
  <si>
    <t>鬼影 LV20</t>
  </si>
  <si>
    <t>鬼影 LV21</t>
  </si>
  <si>
    <t>鬼影 LV22</t>
  </si>
  <si>
    <t>鬼影 LV23</t>
  </si>
  <si>
    <t>鬼影 LV24</t>
  </si>
  <si>
    <t>鬼影 LV25</t>
  </si>
  <si>
    <t>鬼影 LV26</t>
  </si>
  <si>
    <t>鬼影 LV27</t>
  </si>
  <si>
    <t>鬼影 LV28</t>
  </si>
  <si>
    <t>鬼影 LV29</t>
  </si>
  <si>
    <t>鬼影 LV30</t>
  </si>
  <si>
    <t>鬼影 LV31</t>
  </si>
  <si>
    <t>鬼影 LV32</t>
  </si>
  <si>
    <t>鬼影 LV33</t>
  </si>
  <si>
    <t>鬼影 LV34</t>
  </si>
  <si>
    <t>鬼影 LV35</t>
  </si>
  <si>
    <t>鬼影 LV36</t>
  </si>
  <si>
    <t>鬼影 LV37</t>
  </si>
  <si>
    <t>鬼影 LV38</t>
  </si>
  <si>
    <t>鬼影 LV39</t>
  </si>
  <si>
    <t>鬼影 LV40</t>
  </si>
  <si>
    <t>鬼影 LV41</t>
  </si>
  <si>
    <t>鬼影 LV42</t>
  </si>
  <si>
    <t>鬼影 LV43</t>
  </si>
  <si>
    <t>鬼影 LV44</t>
  </si>
  <si>
    <t>鬼影 LV45</t>
  </si>
  <si>
    <t>鬼影 LV46</t>
  </si>
  <si>
    <t>鬼影 LV47</t>
  </si>
  <si>
    <t>鬼影 LV48</t>
  </si>
  <si>
    <t>鬼影之父 小BOSS LV1</t>
    <phoneticPr fontId="1" type="noConversion"/>
  </si>
  <si>
    <t>鬼影之父 小BOSS LV2</t>
  </si>
  <si>
    <t>鬼影之父 小BOSS LV3</t>
  </si>
  <si>
    <t>鬼影之父 小BOSS LV4</t>
  </si>
  <si>
    <t>鬼影之父 小BOSS LV5</t>
  </si>
  <si>
    <t>鬼影之父 小BOSS LV6</t>
  </si>
  <si>
    <t>鬼影之父 小BOSS LV7</t>
  </si>
  <si>
    <t>鬼影之父 小BOSS LV8</t>
  </si>
  <si>
    <t>鬼影之父 小BOSS LV9</t>
  </si>
  <si>
    <t>鬼影之父 小BOSS LV10</t>
  </si>
  <si>
    <t>鬼影之父 小BOSS LV11</t>
  </si>
  <si>
    <t>鬼影之父 小BOSS LV12</t>
  </si>
  <si>
    <t>鬼影之父 小BOSS LV13</t>
  </si>
  <si>
    <t>鬼影之父 小BOSS LV14</t>
  </si>
  <si>
    <t>鬼影之父 小BOSS LV15</t>
  </si>
  <si>
    <t>鬼影之父 小BOSS LV16</t>
  </si>
  <si>
    <t>鬼影之父 小BOSS LV17</t>
  </si>
  <si>
    <t>鬼影之父 小BOSS LV18</t>
  </si>
  <si>
    <t>鬼影之父 小BOSS LV19</t>
  </si>
  <si>
    <t>鬼影之父 小BOSS LV20</t>
  </si>
  <si>
    <t>鬼影之父 小BOSS LV21</t>
  </si>
  <si>
    <t>鬼影之父 小BOSS LV22</t>
  </si>
  <si>
    <t>鬼影之父 小BOSS LV23</t>
  </si>
  <si>
    <t>鬼影之父 小BOSS LV24</t>
  </si>
  <si>
    <t>鬼影之父 小BOSS LV25</t>
  </si>
  <si>
    <t>鬼影之父 小BOSS LV26</t>
  </si>
  <si>
    <t>鬼影之父 小BOSS LV27</t>
  </si>
  <si>
    <t>鬼影之父 小BOSS LV28</t>
  </si>
  <si>
    <t>鬼影之父 小BOSS LV29</t>
  </si>
  <si>
    <t>鬼影之父 小BOSS LV30</t>
  </si>
  <si>
    <t>鬼影之父 小BOSS LV31</t>
  </si>
  <si>
    <t>鬼影之父 小BOSS LV32</t>
  </si>
  <si>
    <t>鬼影之父 小BOSS LV33</t>
  </si>
  <si>
    <t>鬼影之父 小BOSS LV34</t>
  </si>
  <si>
    <t>鬼影之父 小BOSS LV35</t>
  </si>
  <si>
    <t>鬼影之父 小BOSS LV36</t>
  </si>
  <si>
    <t>鬼影之父 小BOSS LV37</t>
  </si>
  <si>
    <t>鬼影之父 小BOSS LV38</t>
  </si>
  <si>
    <t>鬼影之父 小BOSS LV39</t>
  </si>
  <si>
    <t>鬼影之父 小BOSS LV40</t>
  </si>
  <si>
    <t>鬼影之父 小BOSS LV41</t>
  </si>
  <si>
    <t>鬼影之父 小BOSS LV42</t>
  </si>
  <si>
    <t>鬼影之父 小BOSS LV43</t>
  </si>
  <si>
    <t>鬼影之父 小BOSS LV44</t>
  </si>
  <si>
    <t>鬼影之父 小BOSS LV45</t>
  </si>
  <si>
    <t>鬼影之父 小BOSS LV46</t>
  </si>
  <si>
    <t>鬼影之父 小BOSS LV47</t>
  </si>
  <si>
    <t>鬼影之父 小BOSS LV48</t>
  </si>
  <si>
    <t>僵尸 LV1</t>
    <phoneticPr fontId="1" type="noConversion"/>
  </si>
  <si>
    <t>僵尸 LV2</t>
  </si>
  <si>
    <t>僵尸 LV3</t>
  </si>
  <si>
    <t>僵尸 LV4</t>
  </si>
  <si>
    <t>僵尸 LV5</t>
  </si>
  <si>
    <t>僵尸 LV6</t>
  </si>
  <si>
    <t>僵尸 LV7</t>
  </si>
  <si>
    <t>僵尸 LV8</t>
  </si>
  <si>
    <t>僵尸 LV9</t>
  </si>
  <si>
    <t>僵尸 LV10</t>
  </si>
  <si>
    <t>僵尸 LV11</t>
  </si>
  <si>
    <t>僵尸 LV12</t>
  </si>
  <si>
    <t>僵尸 LV13</t>
  </si>
  <si>
    <t>僵尸 LV14</t>
  </si>
  <si>
    <t>僵尸 LV15</t>
  </si>
  <si>
    <t>僵尸 LV16</t>
  </si>
  <si>
    <t>僵尸 LV17</t>
  </si>
  <si>
    <t>僵尸 LV18</t>
  </si>
  <si>
    <t>僵尸 LV19</t>
  </si>
  <si>
    <t>僵尸 LV20</t>
  </si>
  <si>
    <t>僵尸 LV21</t>
  </si>
  <si>
    <t>僵尸 LV22</t>
  </si>
  <si>
    <t>僵尸 LV23</t>
  </si>
  <si>
    <t>僵尸 LV24</t>
  </si>
  <si>
    <t>僵尸 LV25</t>
  </si>
  <si>
    <t>僵尸 LV26</t>
  </si>
  <si>
    <t>僵尸 LV27</t>
  </si>
  <si>
    <t>僵尸 LV28</t>
  </si>
  <si>
    <t>僵尸 LV29</t>
  </si>
  <si>
    <t>僵尸 LV30</t>
  </si>
  <si>
    <t>僵尸 LV31</t>
  </si>
  <si>
    <t>僵尸 LV32</t>
  </si>
  <si>
    <t>僵尸 LV33</t>
  </si>
  <si>
    <t>僵尸 LV34</t>
  </si>
  <si>
    <t>僵尸 LV35</t>
  </si>
  <si>
    <t>僵尸 LV36</t>
  </si>
  <si>
    <t>僵尸 LV37</t>
  </si>
  <si>
    <t>僵尸 LV38</t>
  </si>
  <si>
    <t>僵尸 LV39</t>
  </si>
  <si>
    <t>僵尸 LV40</t>
  </si>
  <si>
    <t>僵尸 LV41</t>
  </si>
  <si>
    <t>僵尸 LV42</t>
  </si>
  <si>
    <t>僵尸 LV43</t>
  </si>
  <si>
    <t>僵尸 LV44</t>
  </si>
  <si>
    <t>僵尸 LV45</t>
  </si>
  <si>
    <t>僵尸 LV46</t>
  </si>
  <si>
    <t>僵尸 LV47</t>
  </si>
  <si>
    <t>僵尸 LV48</t>
  </si>
  <si>
    <t>毒尸【变绿】小BOSS LV1</t>
    <phoneticPr fontId="1" type="noConversion"/>
  </si>
  <si>
    <t>毒尸【变绿】小BOSS LV2</t>
  </si>
  <si>
    <t>毒尸【变绿】小BOSS LV3</t>
  </si>
  <si>
    <t>毒尸【变绿】小BOSS LV4</t>
  </si>
  <si>
    <t>毒尸【变绿】小BOSS LV5</t>
  </si>
  <si>
    <t>毒尸【变绿】小BOSS LV6</t>
  </si>
  <si>
    <t>毒尸【变绿】小BOSS LV7</t>
  </si>
  <si>
    <t>毒尸【变绿】小BOSS LV8</t>
  </si>
  <si>
    <t>毒尸【变绿】小BOSS LV9</t>
  </si>
  <si>
    <t>毒尸【变绿】小BOSS LV10</t>
  </si>
  <si>
    <t>毒尸【变绿】小BOSS LV11</t>
  </si>
  <si>
    <t>毒尸【变绿】小BOSS LV12</t>
  </si>
  <si>
    <t>毒尸【变绿】小BOSS LV13</t>
  </si>
  <si>
    <t>毒尸【变绿】小BOSS LV14</t>
  </si>
  <si>
    <t>毒尸【变绿】小BOSS LV15</t>
  </si>
  <si>
    <t>毒尸【变绿】小BOSS LV16</t>
  </si>
  <si>
    <t>毒尸【变绿】小BOSS LV17</t>
  </si>
  <si>
    <t>毒尸【变绿】小BOSS LV18</t>
  </si>
  <si>
    <t>毒尸【变绿】小BOSS LV19</t>
  </si>
  <si>
    <t>毒尸【变绿】小BOSS LV20</t>
  </si>
  <si>
    <t>毒尸【变绿】小BOSS LV21</t>
  </si>
  <si>
    <t>毒尸【变绿】小BOSS LV22</t>
  </si>
  <si>
    <t>毒尸【变绿】小BOSS LV23</t>
  </si>
  <si>
    <t>毒尸【变绿】小BOSS LV24</t>
  </si>
  <si>
    <t>毒尸【变绿】小BOSS LV25</t>
  </si>
  <si>
    <t>毒尸【变绿】小BOSS LV26</t>
  </si>
  <si>
    <t>毒尸【变绿】小BOSS LV27</t>
  </si>
  <si>
    <t>毒尸【变绿】小BOSS LV28</t>
  </si>
  <si>
    <t>毒尸【变绿】小BOSS LV29</t>
  </si>
  <si>
    <t>毒尸【变绿】小BOSS LV30</t>
  </si>
  <si>
    <t>毒尸【变绿】小BOSS LV31</t>
  </si>
  <si>
    <t>毒尸【变绿】小BOSS LV32</t>
  </si>
  <si>
    <t>毒尸【变绿】小BOSS LV33</t>
  </si>
  <si>
    <t>毒尸【变绿】小BOSS LV34</t>
  </si>
  <si>
    <t>毒尸【变绿】小BOSS LV35</t>
  </si>
  <si>
    <t>毒尸【变绿】小BOSS LV36</t>
  </si>
  <si>
    <t>毒尸【变绿】小BOSS LV37</t>
  </si>
  <si>
    <t>毒尸【变绿】小BOSS LV38</t>
  </si>
  <si>
    <t>毒尸【变绿】小BOSS LV39</t>
  </si>
  <si>
    <t>毒尸【变绿】小BOSS LV40</t>
  </si>
  <si>
    <t>毒尸【变绿】小BOSS LV41</t>
  </si>
  <si>
    <t>毒尸【变绿】小BOSS LV42</t>
  </si>
  <si>
    <t>毒尸【变绿】小BOSS LV43</t>
  </si>
  <si>
    <t>毒尸【变绿】小BOSS LV44</t>
  </si>
  <si>
    <t>毒尸【变绿】小BOSS LV45</t>
  </si>
  <si>
    <t>毒尸【变绿】小BOSS LV46</t>
  </si>
  <si>
    <t>毒尸【变绿】小BOSS LV47</t>
  </si>
  <si>
    <t>毒尸【变绿】小BOSS LV48</t>
  </si>
  <si>
    <t>狂暴僵尸【变红】小BOSS LV1</t>
    <phoneticPr fontId="1" type="noConversion"/>
  </si>
  <si>
    <t>狂暴僵尸【变红】小BOSS LV2</t>
  </si>
  <si>
    <t>狂暴僵尸【变红】小BOSS LV3</t>
  </si>
  <si>
    <t>狂暴僵尸【变红】小BOSS LV4</t>
  </si>
  <si>
    <t>狂暴僵尸【变红】小BOSS LV5</t>
  </si>
  <si>
    <t>狂暴僵尸【变红】小BOSS LV6</t>
  </si>
  <si>
    <t>狂暴僵尸【变红】小BOSS LV7</t>
  </si>
  <si>
    <t>狂暴僵尸【变红】小BOSS LV8</t>
  </si>
  <si>
    <t>狂暴僵尸【变红】小BOSS LV9</t>
  </si>
  <si>
    <t>狂暴僵尸【变红】小BOSS LV10</t>
  </si>
  <si>
    <t>狂暴僵尸【变红】小BOSS LV11</t>
  </si>
  <si>
    <t>狂暴僵尸【变红】小BOSS LV12</t>
  </si>
  <si>
    <t>狂暴僵尸【变红】小BOSS LV13</t>
  </si>
  <si>
    <t>狂暴僵尸【变红】小BOSS LV14</t>
  </si>
  <si>
    <t>狂暴僵尸【变红】小BOSS LV15</t>
  </si>
  <si>
    <t>狂暴僵尸【变红】小BOSS LV16</t>
  </si>
  <si>
    <t>狂暴僵尸【变红】小BOSS LV17</t>
  </si>
  <si>
    <t>狂暴僵尸【变红】小BOSS LV18</t>
  </si>
  <si>
    <t>狂暴僵尸【变红】小BOSS LV19</t>
  </si>
  <si>
    <t>狂暴僵尸【变红】小BOSS LV20</t>
  </si>
  <si>
    <t>狂暴僵尸【变红】小BOSS LV21</t>
  </si>
  <si>
    <t>狂暴僵尸【变红】小BOSS LV22</t>
  </si>
  <si>
    <t>狂暴僵尸【变红】小BOSS LV23</t>
  </si>
  <si>
    <t>狂暴僵尸【变红】小BOSS LV24</t>
  </si>
  <si>
    <t>狂暴僵尸【变红】小BOSS LV25</t>
  </si>
  <si>
    <t>狂暴僵尸【变红】小BOSS LV26</t>
  </si>
  <si>
    <t>狂暴僵尸【变红】小BOSS LV27</t>
  </si>
  <si>
    <t>狂暴僵尸【变红】小BOSS LV28</t>
  </si>
  <si>
    <t>狂暴僵尸【变红】小BOSS LV29</t>
  </si>
  <si>
    <t>狂暴僵尸【变红】小BOSS LV30</t>
  </si>
  <si>
    <t>狂暴僵尸【变红】小BOSS LV31</t>
  </si>
  <si>
    <t>狂暴僵尸【变红】小BOSS LV32</t>
  </si>
  <si>
    <t>狂暴僵尸【变红】小BOSS LV33</t>
  </si>
  <si>
    <t>狂暴僵尸【变红】小BOSS LV34</t>
  </si>
  <si>
    <t>狂暴僵尸【变红】小BOSS LV35</t>
  </si>
  <si>
    <t>狂暴僵尸【变红】小BOSS LV36</t>
  </si>
  <si>
    <t>狂暴僵尸【变红】小BOSS LV37</t>
  </si>
  <si>
    <t>狂暴僵尸【变红】小BOSS LV38</t>
  </si>
  <si>
    <t>狂暴僵尸【变红】小BOSS LV39</t>
  </si>
  <si>
    <t>狂暴僵尸【变红】小BOSS LV40</t>
  </si>
  <si>
    <t>狂暴僵尸【变红】小BOSS LV41</t>
  </si>
  <si>
    <t>狂暴僵尸【变红】小BOSS LV42</t>
  </si>
  <si>
    <t>狂暴僵尸【变红】小BOSS LV43</t>
  </si>
  <si>
    <t>狂暴僵尸【变红】小BOSS LV44</t>
  </si>
  <si>
    <t>狂暴僵尸【变红】小BOSS LV45</t>
  </si>
  <si>
    <t>狂暴僵尸【变红】小BOSS LV46</t>
  </si>
  <si>
    <t>狂暴僵尸【变红】小BOSS LV47</t>
  </si>
  <si>
    <t>长矛尸 LV1</t>
    <phoneticPr fontId="1" type="noConversion"/>
  </si>
  <si>
    <t>长矛尸 LV2</t>
  </si>
  <si>
    <t>长矛尸 LV3</t>
  </si>
  <si>
    <t>长矛尸 LV4</t>
  </si>
  <si>
    <t>长矛尸 LV5</t>
  </si>
  <si>
    <t>长矛尸 LV6</t>
  </si>
  <si>
    <t>长矛尸 LV7</t>
  </si>
  <si>
    <t>长矛尸 LV8</t>
  </si>
  <si>
    <t>长矛尸 LV9</t>
  </si>
  <si>
    <t>长矛尸 LV10</t>
  </si>
  <si>
    <t>长矛尸 LV11</t>
  </si>
  <si>
    <t>长矛尸 LV12</t>
  </si>
  <si>
    <t>长矛尸 LV13</t>
  </si>
  <si>
    <t>长矛尸 LV14</t>
  </si>
  <si>
    <t>长矛尸 LV15</t>
  </si>
  <si>
    <t>长矛尸 LV16</t>
  </si>
  <si>
    <t>长矛尸 LV17</t>
  </si>
  <si>
    <t>长矛尸 LV18</t>
  </si>
  <si>
    <t>长矛尸 LV19</t>
  </si>
  <si>
    <t>长矛尸 LV20</t>
  </si>
  <si>
    <t>长矛尸 LV21</t>
  </si>
  <si>
    <t>长矛尸 LV22</t>
  </si>
  <si>
    <t>长矛尸 LV23</t>
  </si>
  <si>
    <t>长矛尸 LV24</t>
  </si>
  <si>
    <t>长矛尸 LV25</t>
  </si>
  <si>
    <t>长矛尸 LV26</t>
  </si>
  <si>
    <t>长矛尸 LV27</t>
  </si>
  <si>
    <t>长矛尸 LV28</t>
  </si>
  <si>
    <t>长矛尸 LV29</t>
  </si>
  <si>
    <t>长矛尸 LV30</t>
  </si>
  <si>
    <t>长矛尸 LV31</t>
  </si>
  <si>
    <t>长矛尸 LV32</t>
  </si>
  <si>
    <t>长矛尸 LV33</t>
  </si>
  <si>
    <t>长矛尸 LV34</t>
  </si>
  <si>
    <t>长矛尸 LV35</t>
  </si>
  <si>
    <t>长矛尸 LV36</t>
  </si>
  <si>
    <t>长矛尸 LV37</t>
  </si>
  <si>
    <t>长矛尸 LV38</t>
  </si>
  <si>
    <t>长矛尸 LV39</t>
  </si>
  <si>
    <t>长矛尸 LV40</t>
  </si>
  <si>
    <t>长矛尸 LV41</t>
  </si>
  <si>
    <t>长矛尸 LV42</t>
  </si>
  <si>
    <t>长矛尸 LV43</t>
  </si>
  <si>
    <t>长矛尸 LV44</t>
  </si>
  <si>
    <t>长矛尸 LV45</t>
  </si>
  <si>
    <t>长矛尸 LV46</t>
  </si>
  <si>
    <t>长矛尸 LV47</t>
  </si>
  <si>
    <t>长矛尸 LV48</t>
  </si>
  <si>
    <t>长枪僵尸【？】 LV1</t>
    <phoneticPr fontId="1" type="noConversion"/>
  </si>
  <si>
    <t>长枪僵尸【？】 LV2</t>
  </si>
  <si>
    <t>长枪僵尸【？】 LV3</t>
  </si>
  <si>
    <t>长枪僵尸【？】 LV4</t>
  </si>
  <si>
    <t>长枪僵尸【？】 LV5</t>
  </si>
  <si>
    <t>长枪僵尸【？】 LV6</t>
  </si>
  <si>
    <t>长枪僵尸【？】 LV7</t>
  </si>
  <si>
    <t>长枪僵尸【？】 LV8</t>
  </si>
  <si>
    <t>长枪僵尸【？】 LV9</t>
  </si>
  <si>
    <t>长枪僵尸【？】 LV10</t>
  </si>
  <si>
    <t>长枪僵尸【？】 LV11</t>
  </si>
  <si>
    <t>长枪僵尸【？】 LV12</t>
  </si>
  <si>
    <t>长枪僵尸【？】 LV13</t>
  </si>
  <si>
    <t>长枪僵尸【？】 LV14</t>
  </si>
  <si>
    <t>长枪僵尸【？】 LV15</t>
  </si>
  <si>
    <t>长枪僵尸【？】 LV16</t>
  </si>
  <si>
    <t>长枪僵尸【？】 LV17</t>
  </si>
  <si>
    <t>长枪僵尸【？】 LV18</t>
  </si>
  <si>
    <t>长枪僵尸【？】 LV19</t>
  </si>
  <si>
    <t>长枪僵尸【？】 LV20</t>
  </si>
  <si>
    <t>长枪僵尸【？】 LV21</t>
  </si>
  <si>
    <t>长枪僵尸【？】 LV22</t>
  </si>
  <si>
    <t>长枪僵尸【？】 LV23</t>
  </si>
  <si>
    <t>长枪僵尸【？】 LV24</t>
  </si>
  <si>
    <t>长枪僵尸【？】 LV25</t>
  </si>
  <si>
    <t>长枪僵尸【？】 LV26</t>
  </si>
  <si>
    <t>长枪僵尸【？】 LV27</t>
  </si>
  <si>
    <t>长枪僵尸【？】 LV28</t>
  </si>
  <si>
    <t>长枪僵尸【？】 LV29</t>
  </si>
  <si>
    <t>长枪僵尸【？】 LV30</t>
  </si>
  <si>
    <t>长枪僵尸【？】 LV31</t>
  </si>
  <si>
    <t>长枪僵尸【？】 LV32</t>
  </si>
  <si>
    <t>长枪僵尸【？】 LV33</t>
  </si>
  <si>
    <t>长枪僵尸【？】 LV34</t>
  </si>
  <si>
    <t>长枪僵尸【？】 LV35</t>
  </si>
  <si>
    <t>长枪僵尸【？】 LV36</t>
  </si>
  <si>
    <t>长枪僵尸【？】 LV37</t>
  </si>
  <si>
    <t>长枪僵尸【？】 LV38</t>
  </si>
  <si>
    <t>长枪僵尸【？】 LV39</t>
  </si>
  <si>
    <t>长枪僵尸【？】 LV40</t>
  </si>
  <si>
    <t>长枪僵尸【？】 LV41</t>
  </si>
  <si>
    <t>长枪僵尸【？】 LV42</t>
  </si>
  <si>
    <t>长枪僵尸【？】 LV43</t>
  </si>
  <si>
    <t>长枪僵尸【？】 LV44</t>
  </si>
  <si>
    <t>长枪僵尸【？】 LV45</t>
  </si>
  <si>
    <t>长枪僵尸【？】 LV46</t>
  </si>
  <si>
    <t>长枪僵尸【？】 LV47</t>
  </si>
  <si>
    <t>长枪僵尸【？】 LV48</t>
  </si>
  <si>
    <t>武魂【变红】小BOSS LV1</t>
    <phoneticPr fontId="1" type="noConversion"/>
  </si>
  <si>
    <t>武魂【变红】小BOSS LV2</t>
  </si>
  <si>
    <t>武魂【变红】小BOSS LV3</t>
  </si>
  <si>
    <t>武魂【变红】小BOSS LV4</t>
  </si>
  <si>
    <t>武魂【变红】小BOSS LV5</t>
  </si>
  <si>
    <t>武魂【变红】小BOSS LV6</t>
  </si>
  <si>
    <t>武魂【变红】小BOSS LV7</t>
  </si>
  <si>
    <t>武魂【变红】小BOSS LV8</t>
  </si>
  <si>
    <t>武魂【变红】小BOSS LV9</t>
  </si>
  <si>
    <t>武魂【变红】小BOSS LV10</t>
  </si>
  <si>
    <t>武魂【变红】小BOSS LV11</t>
  </si>
  <si>
    <t>武魂【变红】小BOSS LV12</t>
  </si>
  <si>
    <t>武魂【变红】小BOSS LV13</t>
  </si>
  <si>
    <t>武魂【变红】小BOSS LV14</t>
  </si>
  <si>
    <t>武魂【变红】小BOSS LV15</t>
  </si>
  <si>
    <t>武魂【变红】小BOSS LV16</t>
  </si>
  <si>
    <t>武魂【变红】小BOSS LV17</t>
  </si>
  <si>
    <t>武魂【变红】小BOSS LV18</t>
  </si>
  <si>
    <t>武魂【变红】小BOSS LV19</t>
  </si>
  <si>
    <t>武魂【变红】小BOSS LV20</t>
  </si>
  <si>
    <t>武魂【变红】小BOSS LV21</t>
  </si>
  <si>
    <t>武魂【变红】小BOSS LV22</t>
  </si>
  <si>
    <t>武魂【变红】小BOSS LV23</t>
  </si>
  <si>
    <t>武魂【变红】小BOSS LV24</t>
  </si>
  <si>
    <t>武魂【变红】小BOSS LV25</t>
  </si>
  <si>
    <t>武魂【变红】小BOSS LV26</t>
  </si>
  <si>
    <t>武魂【变红】小BOSS LV27</t>
  </si>
  <si>
    <t>武魂【变红】小BOSS LV28</t>
  </si>
  <si>
    <t>武魂【变红】小BOSS LV29</t>
  </si>
  <si>
    <t>武魂【变红】小BOSS LV30</t>
  </si>
  <si>
    <t>武魂【变红】小BOSS LV31</t>
  </si>
  <si>
    <t>武魂【变红】小BOSS LV32</t>
  </si>
  <si>
    <t>武魂【变红】小BOSS LV33</t>
  </si>
  <si>
    <t>武魂【变红】小BOSS LV34</t>
  </si>
  <si>
    <t>武魂【变红】小BOSS LV35</t>
  </si>
  <si>
    <t>武魂【变红】小BOSS LV36</t>
  </si>
  <si>
    <t>武魂【变红】小BOSS LV37</t>
  </si>
  <si>
    <t>武魂【变红】小BOSS LV38</t>
  </si>
  <si>
    <t>武魂【变红】小BOSS LV39</t>
  </si>
  <si>
    <t>武魂【变红】小BOSS LV40</t>
  </si>
  <si>
    <t>武魂【变红】小BOSS LV41</t>
  </si>
  <si>
    <t>武魂【变红】小BOSS LV42</t>
  </si>
  <si>
    <t>武魂【变红】小BOSS LV43</t>
  </si>
  <si>
    <t>武魂【变红】小BOSS LV44</t>
  </si>
  <si>
    <t>武魂【变红】小BOSS LV45</t>
  </si>
  <si>
    <t>武魂【变红】小BOSS LV46</t>
  </si>
  <si>
    <t>武魂【变红】小BOSS LV47</t>
  </si>
  <si>
    <t>武魂【变红】小BOSS LV48</t>
  </si>
  <si>
    <t>战锤魔兵 LV1</t>
    <phoneticPr fontId="1" type="noConversion"/>
  </si>
  <si>
    <t>战锤魔兵 LV2</t>
  </si>
  <si>
    <t>近身1格子[影响额外2格范围]</t>
  </si>
  <si>
    <t>战锤魔兵 LV3</t>
  </si>
  <si>
    <t>近身1格子[影响额外3格范围]</t>
  </si>
  <si>
    <t>战锤魔兵 LV4</t>
  </si>
  <si>
    <t>近身1格子[影响额外4格范围]</t>
  </si>
  <si>
    <t>战锤魔兵 LV5</t>
  </si>
  <si>
    <t>近身1格子[影响额外5格范围]</t>
  </si>
  <si>
    <t>战锤魔兵 LV6</t>
  </si>
  <si>
    <t>近身1格子[影响额外6格范围]</t>
  </si>
  <si>
    <t>战锤魔兵 LV7</t>
  </si>
  <si>
    <t>近身1格子[影响额外7格范围]</t>
  </si>
  <si>
    <t>战锤魔兵 LV8</t>
  </si>
  <si>
    <t>近身1格子[影响额外8格范围]</t>
  </si>
  <si>
    <t>战锤魔兵 LV9</t>
  </si>
  <si>
    <t>近身1格子[影响额外9格范围]</t>
  </si>
  <si>
    <t>战锤魔兵 LV10</t>
  </si>
  <si>
    <t>近身1格子[影响额外10格范围]</t>
  </si>
  <si>
    <t>战锤魔兵 LV11</t>
  </si>
  <si>
    <t>近身1格子[影响额外11格范围]</t>
  </si>
  <si>
    <t>战锤魔兵 LV12</t>
  </si>
  <si>
    <t>近身1格子[影响额外12格范围]</t>
  </si>
  <si>
    <t>战锤魔兵 LV13</t>
  </si>
  <si>
    <t>近身1格子[影响额外13格范围]</t>
  </si>
  <si>
    <t>战锤魔兵 LV14</t>
  </si>
  <si>
    <t>近身1格子[影响额外14格范围]</t>
  </si>
  <si>
    <t>战锤魔兵 LV15</t>
  </si>
  <si>
    <t>近身1格子[影响额外15格范围]</t>
  </si>
  <si>
    <t>战锤魔兵 LV16</t>
  </si>
  <si>
    <t>近身1格子[影响额外16格范围]</t>
  </si>
  <si>
    <t>战锤魔兵 LV17</t>
  </si>
  <si>
    <t>近身1格子[影响额外17格范围]</t>
  </si>
  <si>
    <t>战锤魔兵 LV18</t>
  </si>
  <si>
    <t>近身1格子[影响额外18格范围]</t>
  </si>
  <si>
    <t>战锤魔兵 LV19</t>
  </si>
  <si>
    <t>近身1格子[影响额外19格范围]</t>
  </si>
  <si>
    <t>战锤魔兵 LV20</t>
  </si>
  <si>
    <t>近身1格子[影响额外20格范围]</t>
  </si>
  <si>
    <t>战锤魔兵 LV21</t>
  </si>
  <si>
    <t>近身1格子[影响额外21格范围]</t>
  </si>
  <si>
    <t>战锤魔兵 LV22</t>
  </si>
  <si>
    <t>近身1格子[影响额外22格范围]</t>
  </si>
  <si>
    <t>战锤魔兵 LV23</t>
  </si>
  <si>
    <t>近身1格子[影响额外23格范围]</t>
  </si>
  <si>
    <t>战锤魔兵 LV24</t>
  </si>
  <si>
    <t>近身1格子[影响额外24格范围]</t>
  </si>
  <si>
    <t>战锤魔兵 LV25</t>
  </si>
  <si>
    <t>近身1格子[影响额外25格范围]</t>
  </si>
  <si>
    <t>战锤魔兵 LV26</t>
  </si>
  <si>
    <t>近身1格子[影响额外26格范围]</t>
  </si>
  <si>
    <t>战锤魔兵 LV27</t>
  </si>
  <si>
    <t>近身1格子[影响额外27格范围]</t>
  </si>
  <si>
    <t>战锤魔兵 LV28</t>
  </si>
  <si>
    <t>近身1格子[影响额外28格范围]</t>
  </si>
  <si>
    <t>战锤魔兵 LV29</t>
  </si>
  <si>
    <t>近身1格子[影响额外29格范围]</t>
  </si>
  <si>
    <t>战锤魔兵 LV30</t>
  </si>
  <si>
    <t>近身1格子[影响额外30格范围]</t>
  </si>
  <si>
    <t>战锤魔兵 LV31</t>
  </si>
  <si>
    <t>近身1格子[影响额外31格范围]</t>
  </si>
  <si>
    <t>战锤魔兵 LV32</t>
  </si>
  <si>
    <t>近身1格子[影响额外32格范围]</t>
  </si>
  <si>
    <t>战锤魔兵 LV33</t>
  </si>
  <si>
    <t>近身1格子[影响额外33格范围]</t>
  </si>
  <si>
    <t>战锤魔兵 LV34</t>
  </si>
  <si>
    <t>近身1格子[影响额外34格范围]</t>
  </si>
  <si>
    <t>战锤魔兵 LV35</t>
  </si>
  <si>
    <t>近身1格子[影响额外35格范围]</t>
  </si>
  <si>
    <t>战锤魔兵 LV36</t>
  </si>
  <si>
    <t>近身1格子[影响额外36格范围]</t>
  </si>
  <si>
    <t>战锤魔兵 LV37</t>
  </si>
  <si>
    <t>近身1格子[影响额外37格范围]</t>
  </si>
  <si>
    <t>战锤魔兵 LV38</t>
  </si>
  <si>
    <t>近身1格子[影响额外38格范围]</t>
  </si>
  <si>
    <t>战锤魔兵 LV39</t>
  </si>
  <si>
    <t>近身1格子[影响额外39格范围]</t>
  </si>
  <si>
    <t>战锤魔兵 LV40</t>
  </si>
  <si>
    <t>近身1格子[影响额外40格范围]</t>
  </si>
  <si>
    <t>战锤魔兵 LV41</t>
  </si>
  <si>
    <t>近身1格子[影响额外41格范围]</t>
  </si>
  <si>
    <t>战锤魔兵 LV42</t>
  </si>
  <si>
    <t>近身1格子[影响额外42格范围]</t>
  </si>
  <si>
    <t>战锤魔兵 LV43</t>
  </si>
  <si>
    <t>近身1格子[影响额外43格范围]</t>
  </si>
  <si>
    <t>战锤魔兵 LV44</t>
  </si>
  <si>
    <t>近身1格子[影响额外44格范围]</t>
  </si>
  <si>
    <t>战锤魔兵 LV45</t>
  </si>
  <si>
    <t>近身1格子[影响额外45格范围]</t>
  </si>
  <si>
    <t>战锤魔兵 LV46</t>
  </si>
  <si>
    <t>近身1格子[影响额外46格范围]</t>
  </si>
  <si>
    <t>战锤魔兵 LV47</t>
  </si>
  <si>
    <t>近身1格子[影响额外47格范围]</t>
  </si>
  <si>
    <t>战锤魔兵 LV48</t>
  </si>
  <si>
    <t>近身1格子[影响额外48格范围]</t>
  </si>
  <si>
    <t>战锤魔兵【变红】小BOSS LV1</t>
    <phoneticPr fontId="1" type="noConversion"/>
  </si>
  <si>
    <t>战锤魔兵【变红】小BOSS LV2</t>
  </si>
  <si>
    <t>战锤魔兵【变红】小BOSS LV3</t>
  </si>
  <si>
    <t>战锤魔兵【变红】小BOSS LV4</t>
  </si>
  <si>
    <t>战锤魔兵【变红】小BOSS LV5</t>
  </si>
  <si>
    <t>战锤魔兵【变红】小BOSS LV6</t>
  </si>
  <si>
    <t>战锤魔兵【变红】小BOSS LV7</t>
  </si>
  <si>
    <t>战锤魔兵【变红】小BOSS LV8</t>
  </si>
  <si>
    <t>战锤魔兵【变红】小BOSS LV9</t>
  </si>
  <si>
    <t>战锤魔兵【变红】小BOSS LV10</t>
  </si>
  <si>
    <t>战锤魔兵【变红】小BOSS LV11</t>
  </si>
  <si>
    <t>战锤魔兵【变红】小BOSS LV12</t>
  </si>
  <si>
    <t>战锤魔兵【变红】小BOSS LV13</t>
  </si>
  <si>
    <t>战锤魔兵【变红】小BOSS LV14</t>
  </si>
  <si>
    <t>战锤魔兵【变红】小BOSS LV15</t>
  </si>
  <si>
    <t>战锤魔兵【变红】小BOSS LV16</t>
  </si>
  <si>
    <t>战锤魔兵【变红】小BOSS LV17</t>
  </si>
  <si>
    <t>战锤魔兵【变红】小BOSS LV18</t>
  </si>
  <si>
    <t>战锤魔兵【变红】小BOSS LV19</t>
  </si>
  <si>
    <t>战锤魔兵【变红】小BOSS LV20</t>
  </si>
  <si>
    <t>战锤魔兵【变红】小BOSS LV21</t>
  </si>
  <si>
    <t>战锤魔兵【变红】小BOSS LV22</t>
  </si>
  <si>
    <t>战锤魔兵【变红】小BOSS LV23</t>
  </si>
  <si>
    <t>战锤魔兵【变红】小BOSS LV24</t>
  </si>
  <si>
    <t>战锤魔兵【变红】小BOSS LV25</t>
  </si>
  <si>
    <t>战锤魔兵【变红】小BOSS LV26</t>
  </si>
  <si>
    <t>战锤魔兵【变红】小BOSS LV27</t>
  </si>
  <si>
    <t>战锤魔兵【变红】小BOSS LV28</t>
  </si>
  <si>
    <t>战锤魔兵【变红】小BOSS LV29</t>
  </si>
  <si>
    <t>战锤魔兵【变红】小BOSS LV30</t>
  </si>
  <si>
    <t>战锤魔兵【变红】小BOSS LV31</t>
  </si>
  <si>
    <t>战锤魔兵【变红】小BOSS LV32</t>
  </si>
  <si>
    <t>战锤魔兵【变红】小BOSS LV33</t>
  </si>
  <si>
    <t>战锤魔兵【变红】小BOSS LV34</t>
  </si>
  <si>
    <t>战锤魔兵【变红】小BOSS LV35</t>
  </si>
  <si>
    <t>战锤魔兵【变红】小BOSS LV36</t>
  </si>
  <si>
    <t>战锤魔兵【变红】小BOSS LV37</t>
  </si>
  <si>
    <t>战锤魔兵【变红】小BOSS LV38</t>
  </si>
  <si>
    <t>战锤魔兵【变红】小BOSS LV39</t>
  </si>
  <si>
    <t>战锤魔兵【变红】小BOSS LV40</t>
  </si>
  <si>
    <t>战锤魔兵【变红】小BOSS LV41</t>
  </si>
  <si>
    <t>战锤魔兵【变红】小BOSS LV42</t>
  </si>
  <si>
    <t>战锤魔兵【变红】小BOSS LV43</t>
  </si>
  <si>
    <t>战锤魔兵【变红】小BOSS LV44</t>
  </si>
  <si>
    <t>战锤魔兵【变红】小BOSS LV45</t>
  </si>
  <si>
    <t>战锤魔兵【变红】小BOSS LV46</t>
  </si>
  <si>
    <t>战锤魔兵【变红】小BOSS LV47</t>
  </si>
  <si>
    <t>战锤魔兵【变红】小BOSS LV48</t>
  </si>
  <si>
    <t>爆炸僵尸 LV1</t>
    <phoneticPr fontId="1" type="noConversion"/>
  </si>
  <si>
    <t>爆炸僵尸 LV2</t>
  </si>
  <si>
    <t>爆炸僵尸 LV3</t>
  </si>
  <si>
    <t>爆炸僵尸 LV4</t>
  </si>
  <si>
    <t>爆炸僵尸 LV5</t>
  </si>
  <si>
    <t>爆炸僵尸 LV6</t>
  </si>
  <si>
    <t>爆炸僵尸 LV7</t>
  </si>
  <si>
    <t>爆炸僵尸 LV8</t>
  </si>
  <si>
    <t>爆炸僵尸 LV9</t>
  </si>
  <si>
    <t>爆炸僵尸 LV10</t>
  </si>
  <si>
    <t>爆炸僵尸 LV11</t>
  </si>
  <si>
    <t>爆炸僵尸 LV12</t>
  </si>
  <si>
    <t>爆炸僵尸 LV13</t>
  </si>
  <si>
    <t>爆炸僵尸 LV14</t>
  </si>
  <si>
    <t>爆炸僵尸 LV15</t>
  </si>
  <si>
    <t>爆炸僵尸 LV16</t>
  </si>
  <si>
    <t>爆炸僵尸 LV17</t>
  </si>
  <si>
    <t>爆炸僵尸 LV18</t>
  </si>
  <si>
    <t>爆炸僵尸 LV19</t>
  </si>
  <si>
    <t>爆炸僵尸 LV20</t>
  </si>
  <si>
    <t>爆炸僵尸 LV21</t>
  </si>
  <si>
    <t>爆炸僵尸 LV22</t>
  </si>
  <si>
    <t>爆炸僵尸 LV23</t>
  </si>
  <si>
    <t>爆炸僵尸 LV24</t>
  </si>
  <si>
    <t>爆炸僵尸 LV25</t>
  </si>
  <si>
    <t>爆炸僵尸 LV26</t>
  </si>
  <si>
    <t>爆炸僵尸 LV27</t>
  </si>
  <si>
    <t>爆炸僵尸 LV28</t>
  </si>
  <si>
    <t>爆炸僵尸 LV29</t>
  </si>
  <si>
    <t>爆炸僵尸 LV30</t>
  </si>
  <si>
    <t>爆炸僵尸 LV31</t>
  </si>
  <si>
    <t>爆炸僵尸 LV32</t>
  </si>
  <si>
    <t>爆炸僵尸 LV33</t>
  </si>
  <si>
    <t>爆炸僵尸 LV34</t>
  </si>
  <si>
    <t>爆炸僵尸 LV35</t>
  </si>
  <si>
    <t>爆炸僵尸 LV36</t>
  </si>
  <si>
    <t>爆炸僵尸 LV37</t>
  </si>
  <si>
    <t>爆炸僵尸 LV38</t>
  </si>
  <si>
    <t>爆炸僵尸 LV39</t>
  </si>
  <si>
    <t>爆炸僵尸 LV40</t>
  </si>
  <si>
    <t>爆炸僵尸 LV41</t>
  </si>
  <si>
    <t>爆炸僵尸 LV42</t>
  </si>
  <si>
    <t>爆炸僵尸 LV43</t>
  </si>
  <si>
    <t>爆炸僵尸 LV44</t>
  </si>
  <si>
    <t>爆炸僵尸 LV45</t>
  </si>
  <si>
    <t>爆炸僵尸 LV46</t>
  </si>
  <si>
    <t>爆炸僵尸 LV47</t>
  </si>
  <si>
    <t>爆炸僵尸 LV48</t>
  </si>
  <si>
    <t>邪恶萨满 小BOSS LV1</t>
    <phoneticPr fontId="1" type="noConversion"/>
  </si>
  <si>
    <t>邪恶萨满 小BOSS LV2</t>
  </si>
  <si>
    <t>邪恶萨满 小BOSS LV3</t>
  </si>
  <si>
    <t>邪恶萨满 小BOSS LV4</t>
  </si>
  <si>
    <t>邪恶萨满 小BOSS LV5</t>
  </si>
  <si>
    <t>邪恶萨满 小BOSS LV6</t>
  </si>
  <si>
    <t>邪恶萨满 小BOSS LV7</t>
  </si>
  <si>
    <t>邪恶萨满 小BOSS LV8</t>
  </si>
  <si>
    <t>邪恶萨满 小BOSS LV9</t>
  </si>
  <si>
    <t>邪恶萨满 小BOSS LV10</t>
  </si>
  <si>
    <t>邪恶萨满 小BOSS LV11</t>
  </si>
  <si>
    <t>邪恶萨满 小BOSS LV12</t>
  </si>
  <si>
    <t>邪恶萨满 小BOSS LV13</t>
  </si>
  <si>
    <t>邪恶萨满 小BOSS LV14</t>
  </si>
  <si>
    <t>邪恶萨满 小BOSS LV15</t>
  </si>
  <si>
    <t>邪恶萨满 小BOSS LV16</t>
  </si>
  <si>
    <t>邪恶萨满 小BOSS LV17</t>
  </si>
  <si>
    <t>邪恶萨满 小BOSS LV18</t>
  </si>
  <si>
    <t>邪恶萨满 小BOSS LV19</t>
  </si>
  <si>
    <t>邪恶萨满 小BOSS LV20</t>
  </si>
  <si>
    <t>邪恶萨满 小BOSS LV21</t>
  </si>
  <si>
    <t>邪恶萨满 小BOSS LV22</t>
  </si>
  <si>
    <t>邪恶萨满 小BOSS LV23</t>
  </si>
  <si>
    <t>邪恶萨满 小BOSS LV24</t>
  </si>
  <si>
    <t>邪恶萨满 小BOSS LV25</t>
  </si>
  <si>
    <t>邪恶萨满 小BOSS LV26</t>
  </si>
  <si>
    <t>邪恶萨满 小BOSS LV27</t>
  </si>
  <si>
    <t>邪恶萨满 小BOSS LV28</t>
  </si>
  <si>
    <t>邪恶萨满 小BOSS LV29</t>
  </si>
  <si>
    <t>邪恶萨满 小BOSS LV30</t>
  </si>
  <si>
    <t>邪恶萨满 小BOSS LV31</t>
  </si>
  <si>
    <t>邪恶萨满 小BOSS LV32</t>
  </si>
  <si>
    <t>邪恶萨满 小BOSS LV33</t>
  </si>
  <si>
    <t>邪恶萨满 小BOSS LV34</t>
  </si>
  <si>
    <t>邪恶萨满 小BOSS LV35</t>
  </si>
  <si>
    <t>邪恶萨满 小BOSS LV36</t>
  </si>
  <si>
    <t>邪恶萨满 小BOSS LV37</t>
  </si>
  <si>
    <t>邪恶萨满 小BOSS LV38</t>
  </si>
  <si>
    <t>邪恶萨满 小BOSS LV39</t>
  </si>
  <si>
    <t>邪恶萨满 小BOSS LV40</t>
  </si>
  <si>
    <t>邪恶萨满 小BOSS LV41</t>
  </si>
  <si>
    <t>邪恶萨满 小BOSS LV42</t>
  </si>
  <si>
    <t>邪恶萨满 小BOSS LV43</t>
  </si>
  <si>
    <t>邪恶萨满 小BOSS LV44</t>
  </si>
  <si>
    <t>邪恶萨满 小BOSS LV45</t>
  </si>
  <si>
    <t>邪恶萨满 小BOSS LV46</t>
  </si>
  <si>
    <t>邪恶萨满 小BOSS LV47</t>
  </si>
  <si>
    <t>邪恶萨满 小BOSS LV48</t>
  </si>
  <si>
    <t>缚地 LV1</t>
    <phoneticPr fontId="1" type="noConversion"/>
  </si>
  <si>
    <t>缚地 LV2</t>
  </si>
  <si>
    <t>缚地 LV3</t>
  </si>
  <si>
    <t>缚地 LV4</t>
  </si>
  <si>
    <t>缚地 LV5</t>
  </si>
  <si>
    <t>缚地 LV6</t>
  </si>
  <si>
    <t>缚地 LV7</t>
  </si>
  <si>
    <t>缚地 LV8</t>
  </si>
  <si>
    <t>缚地 LV9</t>
  </si>
  <si>
    <t>缚地 LV10</t>
  </si>
  <si>
    <t>缚地 LV11</t>
  </si>
  <si>
    <t>缚地 LV12</t>
  </si>
  <si>
    <t>缚地 LV13</t>
  </si>
  <si>
    <t>缚地 LV14</t>
  </si>
  <si>
    <t>缚地 LV15</t>
  </si>
  <si>
    <t>缚地 LV16</t>
  </si>
  <si>
    <t>缚地 LV17</t>
  </si>
  <si>
    <t>缚地 LV18</t>
  </si>
  <si>
    <t>缚地 LV19</t>
  </si>
  <si>
    <t>缚地 LV20</t>
  </si>
  <si>
    <t>缚地 LV21</t>
  </si>
  <si>
    <t>缚地 LV22</t>
  </si>
  <si>
    <t>缚地 LV23</t>
  </si>
  <si>
    <t>缚地 LV24</t>
  </si>
  <si>
    <t>缚地 LV25</t>
  </si>
  <si>
    <t>缚地 LV26</t>
  </si>
  <si>
    <t>缚地 LV27</t>
  </si>
  <si>
    <t>缚地 LV28</t>
  </si>
  <si>
    <t>缚地 LV29</t>
  </si>
  <si>
    <t>缚地 LV30</t>
  </si>
  <si>
    <t>缚地 LV31</t>
  </si>
  <si>
    <t>缚地 LV32</t>
  </si>
  <si>
    <t>缚地 LV33</t>
  </si>
  <si>
    <t>缚地 LV34</t>
  </si>
  <si>
    <t>缚地 LV35</t>
  </si>
  <si>
    <t>缚地 LV36</t>
  </si>
  <si>
    <t>缚地 LV37</t>
  </si>
  <si>
    <t>缚地 LV38</t>
  </si>
  <si>
    <t>缚地 LV39</t>
  </si>
  <si>
    <t>缚地 LV40</t>
  </si>
  <si>
    <t>缚地 LV41</t>
  </si>
  <si>
    <t>缚地 LV42</t>
  </si>
  <si>
    <t>缚地 LV43</t>
  </si>
  <si>
    <t>缚地 LV44</t>
  </si>
  <si>
    <t>缚地 LV45</t>
  </si>
  <si>
    <t>缚地 LV46</t>
  </si>
  <si>
    <t>缚地 LV47</t>
  </si>
  <si>
    <t>缚地 LV48</t>
  </si>
  <si>
    <t>鸟妖 LV1</t>
    <phoneticPr fontId="1" type="noConversion"/>
  </si>
  <si>
    <t>鸟妖 LV2</t>
  </si>
  <si>
    <t>鸟妖 LV3</t>
  </si>
  <si>
    <t>鸟妖 LV4</t>
  </si>
  <si>
    <t>鸟妖 LV5</t>
  </si>
  <si>
    <t>鸟妖 LV6</t>
  </si>
  <si>
    <t>鸟妖 LV7</t>
  </si>
  <si>
    <t>鸟妖 LV8</t>
  </si>
  <si>
    <t>鸟妖 LV9</t>
  </si>
  <si>
    <t>鸟妖 LV10</t>
  </si>
  <si>
    <t>鸟妖 LV11</t>
  </si>
  <si>
    <t>鸟妖 LV12</t>
  </si>
  <si>
    <t>鸟妖 LV13</t>
  </si>
  <si>
    <t>鸟妖 LV14</t>
  </si>
  <si>
    <t>鸟妖 LV15</t>
  </si>
  <si>
    <t>鸟妖 LV16</t>
  </si>
  <si>
    <t>鸟妖 LV17</t>
  </si>
  <si>
    <t>鸟妖 LV18</t>
  </si>
  <si>
    <t>鸟妖 LV19</t>
  </si>
  <si>
    <t>鸟妖 LV20</t>
  </si>
  <si>
    <t>鸟妖 LV21</t>
  </si>
  <si>
    <t>鸟妖 LV22</t>
  </si>
  <si>
    <t>鸟妖 LV23</t>
  </si>
  <si>
    <t>鸟妖 LV24</t>
  </si>
  <si>
    <t>鸟妖 LV25</t>
  </si>
  <si>
    <t>鸟妖 LV26</t>
  </si>
  <si>
    <t>鸟妖 LV27</t>
  </si>
  <si>
    <t>鸟妖 LV28</t>
  </si>
  <si>
    <t>鸟妖 LV29</t>
  </si>
  <si>
    <t>鸟妖 LV30</t>
  </si>
  <si>
    <t>鸟妖 LV31</t>
  </si>
  <si>
    <t>鸟妖 LV32</t>
  </si>
  <si>
    <t>鸟妖 LV33</t>
  </si>
  <si>
    <t>鸟妖 LV34</t>
  </si>
  <si>
    <t>鸟妖 LV35</t>
  </si>
  <si>
    <t>鸟妖 LV36</t>
  </si>
  <si>
    <t>鸟妖 LV37</t>
  </si>
  <si>
    <t>鸟妖 LV38</t>
  </si>
  <si>
    <t>鸟妖 LV39</t>
  </si>
  <si>
    <t>鸟妖 LV40</t>
  </si>
  <si>
    <t>鸟妖 LV41</t>
  </si>
  <si>
    <t>鸟妖 LV42</t>
  </si>
  <si>
    <t>鸟妖 LV43</t>
  </si>
  <si>
    <t>鸟妖 LV44</t>
  </si>
  <si>
    <t>鸟妖 LV45</t>
  </si>
  <si>
    <t>鸟妖 LV46</t>
  </si>
  <si>
    <t>鸟妖 LV47</t>
  </si>
  <si>
    <t>鸟妖 LV48</t>
  </si>
  <si>
    <t>弩箭僵尸 LV1</t>
    <phoneticPr fontId="1" type="noConversion"/>
  </si>
  <si>
    <t>弩箭僵尸 LV2</t>
  </si>
  <si>
    <t>弩箭僵尸 LV3</t>
  </si>
  <si>
    <t>弩箭僵尸 LV4</t>
  </si>
  <si>
    <t>弩箭僵尸 LV5</t>
  </si>
  <si>
    <t>弩箭僵尸 LV6</t>
  </si>
  <si>
    <t>弩箭僵尸 LV7</t>
  </si>
  <si>
    <t>弩箭僵尸 LV8</t>
  </si>
  <si>
    <t>弩箭僵尸 LV9</t>
  </si>
  <si>
    <t>弩箭僵尸 LV10</t>
  </si>
  <si>
    <t>弩箭僵尸 LV11</t>
  </si>
  <si>
    <t>弩箭僵尸 LV12</t>
  </si>
  <si>
    <t>弩箭僵尸 LV13</t>
  </si>
  <si>
    <t>弩箭僵尸 LV14</t>
  </si>
  <si>
    <t>弩箭僵尸 LV15</t>
  </si>
  <si>
    <t>弩箭僵尸 LV16</t>
  </si>
  <si>
    <t>弩箭僵尸 LV17</t>
  </si>
  <si>
    <t>弩箭僵尸 LV18</t>
  </si>
  <si>
    <t>弩箭僵尸 LV19</t>
  </si>
  <si>
    <t>弩箭僵尸 LV20</t>
  </si>
  <si>
    <t>弩箭僵尸 LV21</t>
  </si>
  <si>
    <t>弩箭僵尸 LV22</t>
  </si>
  <si>
    <t>弩箭僵尸 LV23</t>
  </si>
  <si>
    <t>弩箭僵尸 LV24</t>
  </si>
  <si>
    <t>弩箭僵尸 LV25</t>
  </si>
  <si>
    <t>弩箭僵尸 LV26</t>
  </si>
  <si>
    <t>弩箭僵尸 LV27</t>
  </si>
  <si>
    <t>弩箭僵尸 LV28</t>
  </si>
  <si>
    <t>弩箭僵尸 LV29</t>
  </si>
  <si>
    <t>弩箭僵尸 LV30</t>
  </si>
  <si>
    <t>弩箭僵尸 LV31</t>
  </si>
  <si>
    <t>弩箭僵尸 LV32</t>
  </si>
  <si>
    <t>弩箭僵尸 LV33</t>
  </si>
  <si>
    <t>弩箭僵尸 LV34</t>
  </si>
  <si>
    <t>弩箭僵尸 LV35</t>
  </si>
  <si>
    <t>弩箭僵尸 LV36</t>
  </si>
  <si>
    <t>弩箭僵尸 LV37</t>
  </si>
  <si>
    <t>弩箭僵尸 LV38</t>
  </si>
  <si>
    <t>弩箭僵尸 LV39</t>
  </si>
  <si>
    <t>弩箭僵尸 LV40</t>
  </si>
  <si>
    <t>弩箭僵尸 LV41</t>
  </si>
  <si>
    <t>弩箭僵尸 LV42</t>
  </si>
  <si>
    <t>弩箭僵尸 LV43</t>
  </si>
  <si>
    <t>弩箭僵尸 LV44</t>
  </si>
  <si>
    <t>弩箭僵尸 LV45</t>
  </si>
  <si>
    <t>弩箭僵尸 LV46</t>
  </si>
  <si>
    <t>弩箭僵尸 LV47</t>
  </si>
  <si>
    <t>弩箭僵尸 LV48</t>
  </si>
  <si>
    <t>强弩僵尸 LV1</t>
    <phoneticPr fontId="1" type="noConversion"/>
  </si>
  <si>
    <t>强弩僵尸 LV2</t>
  </si>
  <si>
    <t>强弩僵尸 LV3</t>
  </si>
  <si>
    <t>强弩僵尸 LV4</t>
  </si>
  <si>
    <t>强弩僵尸 LV5</t>
  </si>
  <si>
    <t>强弩僵尸 LV6</t>
  </si>
  <si>
    <t>强弩僵尸 LV7</t>
  </si>
  <si>
    <t>强弩僵尸 LV8</t>
  </si>
  <si>
    <t>强弩僵尸 LV9</t>
  </si>
  <si>
    <t>强弩僵尸 LV10</t>
  </si>
  <si>
    <t>强弩僵尸 LV11</t>
  </si>
  <si>
    <t>强弩僵尸 LV12</t>
  </si>
  <si>
    <t>强弩僵尸 LV13</t>
  </si>
  <si>
    <t>强弩僵尸 LV14</t>
  </si>
  <si>
    <t>强弩僵尸 LV15</t>
  </si>
  <si>
    <t>强弩僵尸 LV16</t>
  </si>
  <si>
    <t>强弩僵尸 LV17</t>
  </si>
  <si>
    <t>强弩僵尸 LV18</t>
  </si>
  <si>
    <t>强弩僵尸 LV19</t>
  </si>
  <si>
    <t>强弩僵尸 LV20</t>
  </si>
  <si>
    <t>强弩僵尸 LV21</t>
  </si>
  <si>
    <t>强弩僵尸 LV22</t>
  </si>
  <si>
    <t>强弩僵尸 LV23</t>
  </si>
  <si>
    <t>强弩僵尸 LV24</t>
  </si>
  <si>
    <t>强弩僵尸 LV25</t>
  </si>
  <si>
    <t>强弩僵尸 LV26</t>
  </si>
  <si>
    <t>强弩僵尸 LV27</t>
  </si>
  <si>
    <t>强弩僵尸 LV28</t>
  </si>
  <si>
    <t>强弩僵尸 LV29</t>
  </si>
  <si>
    <t>强弩僵尸 LV30</t>
  </si>
  <si>
    <t>强弩僵尸 LV31</t>
  </si>
  <si>
    <t>强弩僵尸 LV32</t>
  </si>
  <si>
    <t>强弩僵尸 LV33</t>
  </si>
  <si>
    <t>强弩僵尸 LV34</t>
  </si>
  <si>
    <t>强弩僵尸 LV35</t>
  </si>
  <si>
    <t>强弩僵尸 LV36</t>
  </si>
  <si>
    <t>强弩僵尸 LV37</t>
  </si>
  <si>
    <t>强弩僵尸 LV38</t>
  </si>
  <si>
    <t>强弩僵尸 LV39</t>
  </si>
  <si>
    <t>强弩僵尸 LV40</t>
  </si>
  <si>
    <t>强弩僵尸 LV41</t>
  </si>
  <si>
    <t>强弩僵尸 LV42</t>
  </si>
  <si>
    <t>强弩僵尸 LV43</t>
  </si>
  <si>
    <t>强弩僵尸 LV44</t>
  </si>
  <si>
    <t>强弩僵尸 LV45</t>
  </si>
  <si>
    <t>强弩僵尸 LV46</t>
  </si>
  <si>
    <t>强弩僵尸 LV47</t>
  </si>
  <si>
    <t>强弩僵尸 LV48</t>
  </si>
  <si>
    <t>巫婆 LV1</t>
    <phoneticPr fontId="1" type="noConversion"/>
  </si>
  <si>
    <t>巫婆 LV2</t>
  </si>
  <si>
    <t>巫婆 LV3</t>
  </si>
  <si>
    <t>巫婆 LV4</t>
  </si>
  <si>
    <t>巫婆 LV5</t>
  </si>
  <si>
    <t>巫婆 LV6</t>
  </si>
  <si>
    <t>巫婆 LV7</t>
  </si>
  <si>
    <t>巫婆 LV8</t>
  </si>
  <si>
    <t>巫婆 LV9</t>
  </si>
  <si>
    <t>巫婆 LV10</t>
  </si>
  <si>
    <t>巫婆 LV11</t>
  </si>
  <si>
    <t>巫婆 LV12</t>
  </si>
  <si>
    <t>巫婆 LV13</t>
  </si>
  <si>
    <t>巫婆 LV14</t>
  </si>
  <si>
    <t>巫婆 LV15</t>
  </si>
  <si>
    <t>巫婆 LV16</t>
  </si>
  <si>
    <t>巫婆 LV17</t>
  </si>
  <si>
    <t>巫婆 LV18</t>
  </si>
  <si>
    <t>巫婆 LV19</t>
  </si>
  <si>
    <t>巫婆 LV20</t>
  </si>
  <si>
    <t>巫婆 LV21</t>
  </si>
  <si>
    <t>巫婆 LV22</t>
  </si>
  <si>
    <t>巫婆 LV23</t>
  </si>
  <si>
    <t>巫婆 LV24</t>
  </si>
  <si>
    <t>巫婆 LV25</t>
  </si>
  <si>
    <t>巫婆 LV26</t>
  </si>
  <si>
    <t>巫婆 LV27</t>
  </si>
  <si>
    <t>巫婆 LV28</t>
  </si>
  <si>
    <t>巫婆 LV29</t>
  </si>
  <si>
    <t>巫婆 LV30</t>
  </si>
  <si>
    <t>巫婆 LV31</t>
  </si>
  <si>
    <t>巫婆 LV32</t>
  </si>
  <si>
    <t>巫婆 LV33</t>
  </si>
  <si>
    <t>巫婆 LV34</t>
  </si>
  <si>
    <t>巫婆 LV35</t>
  </si>
  <si>
    <t>巫婆 LV36</t>
  </si>
  <si>
    <t>巫婆 LV37</t>
  </si>
  <si>
    <t>巫婆 LV38</t>
  </si>
  <si>
    <t>巫婆 LV39</t>
  </si>
  <si>
    <t>巫婆 LV40</t>
  </si>
  <si>
    <t>巫婆 LV41</t>
  </si>
  <si>
    <t>巫婆 LV42</t>
  </si>
  <si>
    <t>巫婆 LV43</t>
  </si>
  <si>
    <t>巫婆 LV44</t>
  </si>
  <si>
    <t>巫婆 LV45</t>
  </si>
  <si>
    <t>巫婆 LV46</t>
  </si>
  <si>
    <t>巫婆 LV47</t>
  </si>
  <si>
    <t>巫婆 LV48</t>
  </si>
  <si>
    <t>全部属性同比上升5%</t>
    <phoneticPr fontId="1" type="noConversion"/>
  </si>
  <si>
    <t>对应系数</t>
    <phoneticPr fontId="1" type="noConversion"/>
  </si>
  <si>
    <t>低</t>
  </si>
  <si>
    <t>低+</t>
  </si>
  <si>
    <t>低++</t>
  </si>
  <si>
    <t>中</t>
    <phoneticPr fontId="1" type="noConversion"/>
  </si>
  <si>
    <t>中+</t>
    <phoneticPr fontId="1" type="noConversion"/>
  </si>
  <si>
    <t>中++</t>
    <phoneticPr fontId="1" type="noConversion"/>
  </si>
  <si>
    <t>[3]格</t>
    <phoneticPr fontId="1" type="noConversion"/>
  </si>
  <si>
    <t>在[3]格外进行远程攻击，有躲避玩家的意识</t>
    <phoneticPr fontId="1" type="noConversion"/>
  </si>
  <si>
    <t>对[3]格内的目标进行生命值恢复，有躲避玩家的意识</t>
    <phoneticPr fontId="1" type="noConversion"/>
  </si>
  <si>
    <t>每3秒[10%]生命值</t>
    <phoneticPr fontId="1" type="noConversion"/>
  </si>
  <si>
    <t>[2]格</t>
    <phoneticPr fontId="1" type="noConversion"/>
  </si>
  <si>
    <t>高</t>
    <phoneticPr fontId="1" type="noConversion"/>
  </si>
  <si>
    <t>高+</t>
    <phoneticPr fontId="1" type="noConversion"/>
  </si>
  <si>
    <t>高++</t>
    <phoneticPr fontId="1" type="noConversion"/>
  </si>
  <si>
    <t>低</t>
    <phoneticPr fontId="1" type="noConversion"/>
  </si>
  <si>
    <t>低+</t>
    <phoneticPr fontId="1" type="noConversion"/>
  </si>
  <si>
    <t>[5]格</t>
    <phoneticPr fontId="1" type="noConversion"/>
  </si>
  <si>
    <t>在自身周围[2]格内进行召唤</t>
    <phoneticPr fontId="1" type="noConversion"/>
  </si>
  <si>
    <t>低++</t>
    <phoneticPr fontId="1" type="noConversion"/>
  </si>
  <si>
    <t>可以进行钻地[3]格距离</t>
    <phoneticPr fontId="1" type="noConversion"/>
  </si>
  <si>
    <t>攻击力</t>
    <phoneticPr fontId="1" type="noConversion"/>
  </si>
  <si>
    <t>防御力</t>
    <phoneticPr fontId="1" type="noConversion"/>
  </si>
  <si>
    <t>HP</t>
    <phoneticPr fontId="1" type="noConversion"/>
  </si>
  <si>
    <t>怪物描述</t>
    <phoneticPr fontId="1" type="noConversion"/>
  </si>
  <si>
    <t>出现条件</t>
    <phoneticPr fontId="1" type="noConversion"/>
  </si>
  <si>
    <t>鬼影</t>
    <phoneticPr fontId="1" type="noConversion"/>
  </si>
  <si>
    <t>鬼影之父 小BOSS</t>
    <phoneticPr fontId="1" type="noConversion"/>
  </si>
  <si>
    <t>僵尸</t>
    <phoneticPr fontId="1" type="noConversion"/>
  </si>
  <si>
    <t>毒尸【变绿】小BOSS</t>
    <phoneticPr fontId="1" type="noConversion"/>
  </si>
  <si>
    <t>狂暴僵尸【变红】小BOSS</t>
    <phoneticPr fontId="1" type="noConversion"/>
  </si>
  <si>
    <t>长矛尸</t>
    <phoneticPr fontId="1" type="noConversion"/>
  </si>
  <si>
    <t>长枪僵尸【？】</t>
    <phoneticPr fontId="1" type="noConversion"/>
  </si>
  <si>
    <t>武魂【变红】小BOSS</t>
    <phoneticPr fontId="1" type="noConversion"/>
  </si>
  <si>
    <t>战锤魔兵</t>
    <phoneticPr fontId="1" type="noConversion"/>
  </si>
  <si>
    <t>战锤魔兵【变红】小BOSS</t>
    <phoneticPr fontId="1" type="noConversion"/>
  </si>
  <si>
    <t>爆炸僵尸</t>
    <phoneticPr fontId="1" type="noConversion"/>
  </si>
  <si>
    <t>邪恶萨满 小BOSS</t>
    <phoneticPr fontId="1" type="noConversion"/>
  </si>
  <si>
    <t>在自身周围[]格内进行召唤</t>
    <phoneticPr fontId="1" type="noConversion"/>
  </si>
  <si>
    <t>缚地</t>
    <phoneticPr fontId="1" type="noConversion"/>
  </si>
  <si>
    <t>可以进行钻地[]格距离</t>
    <phoneticPr fontId="1" type="noConversion"/>
  </si>
  <si>
    <t>鸟妖</t>
    <phoneticPr fontId="1" type="noConversion"/>
  </si>
  <si>
    <t>弩箭僵尸</t>
    <phoneticPr fontId="1" type="noConversion"/>
  </si>
  <si>
    <t>在[]格外进行远程攻击，有躲避玩家的意识</t>
    <phoneticPr fontId="1" type="noConversion"/>
  </si>
  <si>
    <t>强弩僵尸</t>
    <phoneticPr fontId="1" type="noConversion"/>
  </si>
  <si>
    <t>巫婆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</si>
  <si>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</si>
  <si>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</si>
  <si>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</si>
  <si>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中+</t>
    <phoneticPr fontId="1" type="noConversion"/>
  </si>
  <si>
    <t>低++</t>
    <phoneticPr fontId="1" type="noConversion"/>
  </si>
  <si>
    <t>低+</t>
    <phoneticPr fontId="1" type="noConversion"/>
  </si>
  <si>
    <t>中++</t>
    <phoneticPr fontId="1" type="noConversion"/>
  </si>
  <si>
    <t>高+</t>
    <phoneticPr fontId="1" type="noConversion"/>
  </si>
  <si>
    <r>
      <t xml:space="preserve">公式一共包括三个阶段（1-15），（16-30），（31-45），其中每个阶段分为三套公式，包括简单（对NPC依赖度低），一般（对NPC依赖度适中)，困难（对NPC依赖度高）
HP=耐力*耐力系数*HP加成
MP=智力×魔法值系数
防御=耐力×防御系数
攻击=力量×攻击系数(战士)（力量×0.1+智力×0.9）×攻击系数(法师)
伤害=HP/基准次数×（1+攻击/防御）
</t>
    </r>
    <r>
      <rPr>
        <sz val="11"/>
        <color rgb="FFFF0000"/>
        <rFont val="宋体"/>
        <family val="3"/>
        <charset val="134"/>
        <scheme val="minor"/>
      </rPr>
      <t>最大伤害值</t>
    </r>
    <r>
      <rPr>
        <sz val="11"/>
        <color rgb="FFFF0000"/>
        <rFont val="宋体"/>
        <family val="2"/>
        <scheme val="minor"/>
      </rPr>
      <t>=伤害×1.02（法师）伤害×1.05(战士)</t>
    </r>
    <r>
      <rPr>
        <sz val="11"/>
        <color rgb="FFFF0000"/>
        <rFont val="宋体"/>
        <family val="3"/>
        <charset val="134"/>
        <scheme val="minor"/>
      </rPr>
      <t xml:space="preserve">
最小伤害值=伤害×0.92（法师） 伤害×0.95（战士）
暴击能产生180%的伤害</t>
    </r>
    <r>
      <rPr>
        <sz val="11"/>
        <color theme="1"/>
        <rFont val="宋体"/>
        <family val="2"/>
        <scheme val="minor"/>
      </rPr>
      <t xml:space="preserve">
1-14级，每升一级提供6个技能点，15-29级，每升一级提供8个技能点，30-44级，每升一级提供10个技能点,45级12个技能点
</t>
    </r>
    <r>
      <rPr>
        <sz val="11"/>
        <color rgb="FFFF0000"/>
        <rFont val="宋体"/>
        <family val="3"/>
        <charset val="134"/>
        <scheme val="minor"/>
      </rPr>
      <t>通过装备来限制智力与力量的加点</t>
    </r>
    <r>
      <rPr>
        <sz val="11"/>
        <color rgb="FFFF0000"/>
        <rFont val="宋体"/>
        <family val="2"/>
        <scheme val="minor"/>
      </rPr>
      <t>(衍行建议)</t>
    </r>
    <r>
      <rPr>
        <sz val="22"/>
        <color rgb="FFFF0000"/>
        <rFont val="宋体"/>
        <family val="3"/>
        <charset val="134"/>
        <scheme val="minor"/>
      </rPr>
      <t xml:space="preserve">
</t>
    </r>
    <r>
      <rPr>
        <b/>
        <u/>
        <sz val="22"/>
        <color rgb="FFFF0000"/>
        <rFont val="宋体"/>
        <family val="3"/>
        <charset val="134"/>
        <scheme val="minor"/>
      </rPr>
      <t>在本表中，我需要的可以调节的系数为：力量，耐力，智力，耐力系数，魔法系数，防御系数，进攻系数，基准次数，</t>
    </r>
    <r>
      <rPr>
        <b/>
        <u/>
        <sz val="22"/>
        <color rgb="FFFF0000"/>
        <rFont val="宋体"/>
        <family val="2"/>
        <scheme val="minor"/>
      </rPr>
      <t xml:space="preserve"> Level</t>
    </r>
    <r>
      <rPr>
        <b/>
        <u/>
        <sz val="22"/>
        <color rgb="FFFF0000"/>
        <rFont val="宋体"/>
        <family val="3"/>
        <charset val="134"/>
        <scheme val="minor"/>
      </rPr>
      <t>和</t>
    </r>
    <r>
      <rPr>
        <b/>
        <u/>
        <sz val="22"/>
        <color rgb="FFFF0000"/>
        <rFont val="宋体"/>
        <family val="2"/>
        <scheme val="minor"/>
      </rPr>
      <t>HP加成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</si>
  <si>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怪物伤害值=HP/伤害基准*(1+攻击力/防御力)
需要调节的数值为对应系数以及伤害基准</t>
    <phoneticPr fontId="1" type="noConversion"/>
  </si>
  <si>
    <t>主角 LV1</t>
    <phoneticPr fontId="1" type="noConversion"/>
  </si>
  <si>
    <t>总战力计算表</t>
    <phoneticPr fontId="1" type="noConversion"/>
  </si>
  <si>
    <t>实时数值总和</t>
  </si>
  <si>
    <t>魔法系列</t>
  </si>
  <si>
    <t>风语系列</t>
  </si>
  <si>
    <t>迷失系列</t>
  </si>
  <si>
    <t>四圣系列</t>
  </si>
  <si>
    <t>附加攻击LV(N)</t>
  </si>
  <si>
    <t>防御LV（N）</t>
  </si>
  <si>
    <t>力量 LV(N)</t>
  </si>
  <si>
    <t>耐力LV(N)</t>
  </si>
  <si>
    <t>智力 LVN</t>
  </si>
  <si>
    <t>耐力</t>
    <phoneticPr fontId="1" type="noConversion"/>
  </si>
  <si>
    <t>智力</t>
    <phoneticPr fontId="1" type="noConversion"/>
  </si>
  <si>
    <t>主角 LV2</t>
  </si>
  <si>
    <t>主角 LV3</t>
  </si>
  <si>
    <t>主角 LV4</t>
  </si>
  <si>
    <t>主角 LV6</t>
  </si>
  <si>
    <t>主角 LV7</t>
  </si>
  <si>
    <t>主角 LV8</t>
  </si>
  <si>
    <t>主角 LV9</t>
  </si>
  <si>
    <t>主角 LV10</t>
  </si>
  <si>
    <t>主角 LV11</t>
  </si>
  <si>
    <t>主角 LV12</t>
  </si>
  <si>
    <t>主角 LV13</t>
  </si>
  <si>
    <t>主角 LV14</t>
  </si>
  <si>
    <t>主角 LV15</t>
  </si>
  <si>
    <t>主角 LV5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</si>
</sst>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.0%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  <font>
      <b/>
      <u/>
      <sz val="22"/>
      <color rgb="FFFF0000"/>
      <name val="宋体"/>
      <family val="3"/>
      <charset val="134"/>
      <scheme val="minor"/>
    </font>
    <font>
      <b/>
      <u/>
      <sz val="22"/>
      <color rgb="FFFF0000"/>
      <name val="宋体"/>
      <family val="2"/>
      <scheme val="minor"/>
    </font>
    <font>
      <u/>
      <sz val="22"/>
      <color rgb="FFFF000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176" fontId="0" fillId="0" borderId="0" xfId="0" applyNumberFormat="1" applyFill="1"/>
    <xf numFmtId="0" fontId="0" fillId="0" borderId="0" xfId="0" applyAlignment="1">
      <alignment vertical="top"/>
    </xf>
    <xf numFmtId="0" fontId="2" fillId="2" borderId="0" xfId="0" applyFont="1" applyFill="1"/>
    <xf numFmtId="0" fontId="0" fillId="0" borderId="0" xfId="0" applyFont="1" applyFill="1"/>
    <xf numFmtId="0" fontId="4" fillId="0" borderId="0" xfId="0" applyFont="1"/>
    <xf numFmtId="9" fontId="0" fillId="0" borderId="0" xfId="0" applyNumberFormat="1" applyFill="1"/>
    <xf numFmtId="9" fontId="0" fillId="2" borderId="0" xfId="0" applyNumberFormat="1" applyFill="1"/>
    <xf numFmtId="177" fontId="0" fillId="0" borderId="0" xfId="0" applyNumberFormat="1"/>
    <xf numFmtId="10" fontId="0" fillId="2" borderId="0" xfId="0" applyNumberFormat="1" applyFill="1"/>
    <xf numFmtId="10" fontId="0" fillId="0" borderId="0" xfId="0" applyNumberFormat="1" applyFill="1"/>
    <xf numFmtId="49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9" fontId="0" fillId="0" borderId="0" xfId="0" applyNumberFormat="1"/>
    <xf numFmtId="0" fontId="2" fillId="0" borderId="0" xfId="0" applyFont="1" applyAlignment="1">
      <alignment vertical="center"/>
    </xf>
    <xf numFmtId="10" fontId="2" fillId="0" borderId="0" xfId="0" applyNumberFormat="1" applyFont="1" applyFill="1"/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L108"/>
  <sheetViews>
    <sheetView topLeftCell="W76" zoomScale="80" zoomScaleNormal="80" workbookViewId="0">
      <selection activeCell="AH73" sqref="AH73"/>
    </sheetView>
  </sheetViews>
  <sheetFormatPr defaultRowHeight="13.5"/>
  <cols>
    <col min="1" max="1" width="10.625" customWidth="1"/>
    <col min="2" max="2" width="9.625" customWidth="1"/>
    <col min="5" max="5" width="8.5" customWidth="1"/>
    <col min="6" max="6" width="10.75" customWidth="1"/>
    <col min="7" max="7" width="10.625" customWidth="1"/>
    <col min="8" max="8" width="11.375" customWidth="1"/>
    <col min="12" max="13" width="0" hidden="1" customWidth="1"/>
    <col min="14" max="14" width="10.75" customWidth="1"/>
    <col min="16" max="16" width="0" hidden="1" customWidth="1"/>
    <col min="17" max="17" width="11" style="4" customWidth="1"/>
    <col min="18" max="18" width="9" style="4" customWidth="1"/>
    <col min="19" max="19" width="51" style="4" customWidth="1"/>
    <col min="20" max="20" width="6.125" style="4" hidden="1" customWidth="1"/>
    <col min="21" max="21" width="11.25" hidden="1" customWidth="1"/>
    <col min="22" max="22" width="9" hidden="1" customWidth="1"/>
    <col min="23" max="23" width="23.125" customWidth="1"/>
    <col min="24" max="24" width="16.5" customWidth="1"/>
    <col min="25" max="25" width="13.125" customWidth="1"/>
    <col min="26" max="26" width="15.25" customWidth="1"/>
    <col min="27" max="27" width="14.875" customWidth="1"/>
    <col min="28" max="28" width="15" customWidth="1"/>
    <col min="29" max="29" width="11.5" customWidth="1"/>
    <col min="30" max="30" width="13.375" customWidth="1"/>
    <col min="31" max="31" width="10.625" hidden="1" customWidth="1"/>
    <col min="32" max="32" width="15.625" customWidth="1"/>
    <col min="33" max="33" width="14" customWidth="1"/>
    <col min="35" max="35" width="9" customWidth="1"/>
    <col min="36" max="36" width="11.875" customWidth="1"/>
    <col min="37" max="37" width="9" customWidth="1"/>
    <col min="39" max="39" width="12.5" customWidth="1"/>
    <col min="41" max="41" width="11" customWidth="1"/>
    <col min="44" max="44" width="12.75" customWidth="1"/>
    <col min="45" max="45" width="11.25" customWidth="1"/>
  </cols>
  <sheetData>
    <row r="1" spans="1:30" ht="27.75" customHeight="1">
      <c r="A1" s="2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35</v>
      </c>
      <c r="M1" s="2" t="s">
        <v>10</v>
      </c>
      <c r="N1" s="4" t="s">
        <v>12</v>
      </c>
      <c r="O1" t="s">
        <v>13</v>
      </c>
      <c r="P1" s="2" t="s">
        <v>11</v>
      </c>
      <c r="Q1" s="2" t="s">
        <v>191</v>
      </c>
      <c r="R1" s="10" t="s">
        <v>44</v>
      </c>
      <c r="S1" s="2" t="s">
        <v>192</v>
      </c>
      <c r="T1" s="2" t="s">
        <v>193</v>
      </c>
      <c r="U1" t="s">
        <v>18</v>
      </c>
      <c r="V1" t="s">
        <v>19</v>
      </c>
      <c r="W1" s="33" t="s">
        <v>45</v>
      </c>
      <c r="X1" s="33"/>
      <c r="Y1" s="33"/>
      <c r="Z1" s="33"/>
      <c r="AA1" s="33"/>
      <c r="AB1" s="33"/>
      <c r="AC1" s="33"/>
      <c r="AD1" s="33"/>
    </row>
    <row r="2" spans="1:30" ht="27.75" customHeight="1">
      <c r="B2" t="s">
        <v>43</v>
      </c>
      <c r="C2" t="s">
        <v>37</v>
      </c>
      <c r="D2" s="1">
        <v>1</v>
      </c>
      <c r="E2" s="1">
        <v>0</v>
      </c>
      <c r="F2" s="4">
        <f>J2*$Y$3*$AD$3</f>
        <v>60</v>
      </c>
      <c r="G2" s="4">
        <f>K2*$Z$3</f>
        <v>150</v>
      </c>
      <c r="I2">
        <v>5</v>
      </c>
      <c r="J2">
        <v>10</v>
      </c>
      <c r="K2">
        <v>25</v>
      </c>
      <c r="L2" s="2"/>
      <c r="M2" s="2"/>
      <c r="N2">
        <f>(K2*0.9+I2*0.1)*$AB$3</f>
        <v>23</v>
      </c>
      <c r="O2" s="8">
        <f>J2*$AA$3</f>
        <v>10</v>
      </c>
      <c r="Q2" s="4">
        <f>R2*0.92</f>
        <v>30.360000000000003</v>
      </c>
      <c r="R2" s="8">
        <f>F2/$AC$3*(1+(N2/O2))</f>
        <v>33</v>
      </c>
      <c r="S2" s="8">
        <f>R2*1.02</f>
        <v>33.660000000000004</v>
      </c>
      <c r="T2" s="16">
        <v>0.01</v>
      </c>
      <c r="U2" s="4"/>
      <c r="W2" s="4" t="s">
        <v>46</v>
      </c>
      <c r="X2" s="4" t="s">
        <v>38</v>
      </c>
      <c r="Y2" s="14" t="s">
        <v>205</v>
      </c>
      <c r="Z2" s="15" t="s">
        <v>39</v>
      </c>
      <c r="AA2" s="15" t="s">
        <v>40</v>
      </c>
      <c r="AB2" s="15" t="s">
        <v>41</v>
      </c>
      <c r="AC2" s="15" t="s">
        <v>204</v>
      </c>
      <c r="AD2" s="25" t="s">
        <v>206</v>
      </c>
    </row>
    <row r="3" spans="1:30">
      <c r="D3" s="1">
        <v>2</v>
      </c>
      <c r="E3" s="1">
        <f>33*D3^3</f>
        <v>264</v>
      </c>
      <c r="F3" s="4">
        <f t="shared" ref="F3:F15" si="0">J3*$Y$3*$AD$3</f>
        <v>66</v>
      </c>
      <c r="G3" s="4">
        <f t="shared" ref="G3:G15" si="1">K3*$Z$3</f>
        <v>159</v>
      </c>
      <c r="I3">
        <f t="shared" ref="I3:I15" si="2">$I$2+D2</f>
        <v>6</v>
      </c>
      <c r="J3" s="4">
        <f t="shared" ref="J3:J15" si="3">$J$2+D2</f>
        <v>11</v>
      </c>
      <c r="K3" s="4">
        <f>$K$2+D2*1.5</f>
        <v>26.5</v>
      </c>
      <c r="L3" s="2"/>
      <c r="M3" s="2"/>
      <c r="N3" s="4">
        <f t="shared" ref="N3:N15" si="4">(K3*0.9+I3*0.1)*$AB$3</f>
        <v>24.450000000000003</v>
      </c>
      <c r="O3" s="8">
        <f t="shared" ref="O3:O15" si="5">J3*$AA$3</f>
        <v>11</v>
      </c>
      <c r="Q3" s="4">
        <f t="shared" ref="Q3:Q45" si="6">R3*0.92</f>
        <v>32.614000000000004</v>
      </c>
      <c r="R3" s="8">
        <f>F3/$AC$3*(1+(N3/O3))</f>
        <v>35.450000000000003</v>
      </c>
      <c r="S3" s="8">
        <f t="shared" ref="S3:S45" si="7">R3*1.02</f>
        <v>36.159000000000006</v>
      </c>
      <c r="T3" s="16">
        <v>0.01</v>
      </c>
      <c r="W3" s="4"/>
      <c r="X3" s="4"/>
      <c r="Y3" s="8">
        <v>2</v>
      </c>
      <c r="Z3" s="4">
        <v>6</v>
      </c>
      <c r="AA3" s="4">
        <v>1</v>
      </c>
      <c r="AB3" s="4">
        <v>1</v>
      </c>
      <c r="AC3" s="4">
        <v>6</v>
      </c>
      <c r="AD3" s="4">
        <v>3</v>
      </c>
    </row>
    <row r="4" spans="1:30">
      <c r="D4" s="1">
        <v>3</v>
      </c>
      <c r="E4" s="1">
        <f t="shared" ref="E4:E46" si="8">33*D4^3</f>
        <v>891</v>
      </c>
      <c r="F4" s="4">
        <f t="shared" si="0"/>
        <v>72</v>
      </c>
      <c r="G4" s="4">
        <f t="shared" si="1"/>
        <v>168</v>
      </c>
      <c r="I4" s="4">
        <f t="shared" si="2"/>
        <v>7</v>
      </c>
      <c r="J4" s="4">
        <f t="shared" si="3"/>
        <v>12</v>
      </c>
      <c r="K4" s="4">
        <f t="shared" ref="K4:K15" si="9">$K$2+D3*1.5</f>
        <v>28</v>
      </c>
      <c r="L4" s="2"/>
      <c r="M4" s="2"/>
      <c r="N4" s="4">
        <f t="shared" si="4"/>
        <v>25.9</v>
      </c>
      <c r="O4" s="8">
        <f t="shared" si="5"/>
        <v>12</v>
      </c>
      <c r="Q4" s="4">
        <f t="shared" si="6"/>
        <v>34.868000000000002</v>
      </c>
      <c r="R4" s="8">
        <f t="shared" ref="R4:R10" si="10">F4/$AC$3*(1+(N4/O4))</f>
        <v>37.9</v>
      </c>
      <c r="S4" s="8">
        <f t="shared" si="7"/>
        <v>38.658000000000001</v>
      </c>
      <c r="T4" s="16">
        <v>0.01</v>
      </c>
      <c r="W4" s="4"/>
      <c r="X4" s="4" t="s">
        <v>36</v>
      </c>
      <c r="Y4" s="8" t="s">
        <v>205</v>
      </c>
      <c r="Z4" s="4" t="s">
        <v>39</v>
      </c>
      <c r="AA4" s="4" t="s">
        <v>40</v>
      </c>
      <c r="AB4" s="4" t="s">
        <v>41</v>
      </c>
      <c r="AC4" s="15" t="s">
        <v>204</v>
      </c>
      <c r="AD4" s="25" t="s">
        <v>206</v>
      </c>
    </row>
    <row r="5" spans="1:30">
      <c r="D5" s="1">
        <v>4</v>
      </c>
      <c r="E5" s="1">
        <f t="shared" si="8"/>
        <v>2112</v>
      </c>
      <c r="F5" s="4">
        <f t="shared" si="0"/>
        <v>78</v>
      </c>
      <c r="G5" s="4">
        <f t="shared" si="1"/>
        <v>177</v>
      </c>
      <c r="I5" s="4">
        <f t="shared" si="2"/>
        <v>8</v>
      </c>
      <c r="J5" s="4">
        <f t="shared" si="3"/>
        <v>13</v>
      </c>
      <c r="K5" s="4">
        <f t="shared" si="9"/>
        <v>29.5</v>
      </c>
      <c r="L5" s="2"/>
      <c r="M5" s="2"/>
      <c r="N5" s="4">
        <f t="shared" si="4"/>
        <v>27.35</v>
      </c>
      <c r="O5" s="8">
        <f t="shared" si="5"/>
        <v>13</v>
      </c>
      <c r="Q5" s="4">
        <f t="shared" si="6"/>
        <v>37.122</v>
      </c>
      <c r="R5" s="8">
        <f t="shared" si="10"/>
        <v>40.35</v>
      </c>
      <c r="S5" s="8">
        <f t="shared" si="7"/>
        <v>41.157000000000004</v>
      </c>
      <c r="T5" s="16">
        <v>0.01</v>
      </c>
      <c r="W5" s="4"/>
      <c r="X5" s="5"/>
      <c r="Y5" s="8">
        <v>3</v>
      </c>
      <c r="Z5" s="5">
        <v>3</v>
      </c>
      <c r="AA5" s="5">
        <v>2</v>
      </c>
      <c r="AB5" s="5">
        <v>2</v>
      </c>
      <c r="AC5" s="5">
        <v>8</v>
      </c>
      <c r="AD5" s="5">
        <v>4</v>
      </c>
    </row>
    <row r="6" spans="1:30">
      <c r="D6" s="1">
        <v>5</v>
      </c>
      <c r="E6" s="1">
        <f t="shared" si="8"/>
        <v>4125</v>
      </c>
      <c r="F6" s="4">
        <f t="shared" si="0"/>
        <v>84</v>
      </c>
      <c r="G6" s="4">
        <f t="shared" si="1"/>
        <v>186</v>
      </c>
      <c r="I6" s="4">
        <f t="shared" si="2"/>
        <v>9</v>
      </c>
      <c r="J6" s="4">
        <f t="shared" si="3"/>
        <v>14</v>
      </c>
      <c r="K6" s="4">
        <f t="shared" si="9"/>
        <v>31</v>
      </c>
      <c r="L6" s="2"/>
      <c r="M6" s="2"/>
      <c r="N6" s="4">
        <f t="shared" si="4"/>
        <v>28.8</v>
      </c>
      <c r="O6" s="8">
        <f t="shared" si="5"/>
        <v>14</v>
      </c>
      <c r="Q6" s="4">
        <f t="shared" si="6"/>
        <v>39.376000000000005</v>
      </c>
      <c r="R6" s="8">
        <f t="shared" si="10"/>
        <v>42.800000000000004</v>
      </c>
      <c r="S6" s="8">
        <f t="shared" si="7"/>
        <v>43.656000000000006</v>
      </c>
      <c r="T6" s="16">
        <v>0.01</v>
      </c>
      <c r="W6" s="4" t="s">
        <v>47</v>
      </c>
      <c r="X6" s="4" t="s">
        <v>38</v>
      </c>
      <c r="Y6" s="8" t="s">
        <v>205</v>
      </c>
      <c r="Z6" s="4" t="s">
        <v>39</v>
      </c>
      <c r="AA6" s="4" t="s">
        <v>40</v>
      </c>
      <c r="AB6" s="4" t="s">
        <v>41</v>
      </c>
      <c r="AC6" s="15" t="s">
        <v>204</v>
      </c>
      <c r="AD6" s="25" t="s">
        <v>206</v>
      </c>
    </row>
    <row r="7" spans="1:30">
      <c r="D7" s="1">
        <v>6</v>
      </c>
      <c r="E7" s="1">
        <f t="shared" si="8"/>
        <v>7128</v>
      </c>
      <c r="F7" s="4">
        <f t="shared" si="0"/>
        <v>90</v>
      </c>
      <c r="G7" s="4">
        <f t="shared" si="1"/>
        <v>195</v>
      </c>
      <c r="I7" s="4">
        <f t="shared" si="2"/>
        <v>10</v>
      </c>
      <c r="J7" s="4">
        <f t="shared" si="3"/>
        <v>15</v>
      </c>
      <c r="K7" s="4">
        <f t="shared" si="9"/>
        <v>32.5</v>
      </c>
      <c r="L7" s="2"/>
      <c r="M7" s="2"/>
      <c r="N7" s="4">
        <f t="shared" si="4"/>
        <v>30.25</v>
      </c>
      <c r="O7" s="8">
        <f t="shared" si="5"/>
        <v>15</v>
      </c>
      <c r="Q7" s="4">
        <f t="shared" si="6"/>
        <v>41.63</v>
      </c>
      <c r="R7" s="8">
        <f t="shared" si="10"/>
        <v>45.25</v>
      </c>
      <c r="S7" s="8">
        <f t="shared" si="7"/>
        <v>46.155000000000001</v>
      </c>
      <c r="T7" s="16">
        <v>0.01</v>
      </c>
      <c r="W7" s="4"/>
      <c r="X7" s="4"/>
      <c r="Y7" s="8">
        <v>2.3333333333333335</v>
      </c>
      <c r="Z7" s="4">
        <v>9</v>
      </c>
      <c r="AA7" s="4">
        <v>2</v>
      </c>
      <c r="AB7" s="4">
        <v>1.0125</v>
      </c>
      <c r="AC7" s="4">
        <v>5</v>
      </c>
      <c r="AD7" s="4">
        <v>5</v>
      </c>
    </row>
    <row r="8" spans="1:30">
      <c r="D8" s="1">
        <v>7</v>
      </c>
      <c r="E8" s="1">
        <f t="shared" si="8"/>
        <v>11319</v>
      </c>
      <c r="F8" s="4">
        <f t="shared" si="0"/>
        <v>96</v>
      </c>
      <c r="G8" s="4">
        <f t="shared" si="1"/>
        <v>204</v>
      </c>
      <c r="I8" s="4">
        <f t="shared" si="2"/>
        <v>11</v>
      </c>
      <c r="J8" s="4">
        <f t="shared" si="3"/>
        <v>16</v>
      </c>
      <c r="K8" s="4">
        <f t="shared" si="9"/>
        <v>34</v>
      </c>
      <c r="L8" s="2"/>
      <c r="M8" s="2"/>
      <c r="N8" s="4">
        <f t="shared" si="4"/>
        <v>31.700000000000003</v>
      </c>
      <c r="O8" s="8">
        <f t="shared" si="5"/>
        <v>16</v>
      </c>
      <c r="Q8" s="4">
        <f t="shared" si="6"/>
        <v>43.884000000000007</v>
      </c>
      <c r="R8" s="8">
        <f t="shared" si="10"/>
        <v>47.7</v>
      </c>
      <c r="S8" s="8">
        <f t="shared" si="7"/>
        <v>48.654000000000003</v>
      </c>
      <c r="T8" s="16">
        <v>0.01</v>
      </c>
      <c r="W8" s="4"/>
      <c r="X8" s="4" t="s">
        <v>36</v>
      </c>
      <c r="Y8" s="8" t="s">
        <v>205</v>
      </c>
      <c r="Z8" s="4" t="s">
        <v>39</v>
      </c>
      <c r="AA8" s="4" t="s">
        <v>40</v>
      </c>
      <c r="AB8" s="4" t="s">
        <v>41</v>
      </c>
      <c r="AC8" s="15" t="s">
        <v>204</v>
      </c>
      <c r="AD8" s="25" t="s">
        <v>206</v>
      </c>
    </row>
    <row r="9" spans="1:30">
      <c r="D9" s="1">
        <v>8</v>
      </c>
      <c r="E9" s="1">
        <f t="shared" si="8"/>
        <v>16896</v>
      </c>
      <c r="F9" s="4">
        <f t="shared" si="0"/>
        <v>102</v>
      </c>
      <c r="G9" s="4">
        <f t="shared" si="1"/>
        <v>213</v>
      </c>
      <c r="I9" s="4">
        <f t="shared" si="2"/>
        <v>12</v>
      </c>
      <c r="J9" s="4">
        <f t="shared" si="3"/>
        <v>17</v>
      </c>
      <c r="K9" s="4">
        <f t="shared" si="9"/>
        <v>35.5</v>
      </c>
      <c r="L9" s="2"/>
      <c r="M9" s="2"/>
      <c r="N9" s="4">
        <f t="shared" si="4"/>
        <v>33.15</v>
      </c>
      <c r="O9" s="8">
        <f t="shared" si="5"/>
        <v>17</v>
      </c>
      <c r="Q9" s="4">
        <f t="shared" si="6"/>
        <v>46.138000000000005</v>
      </c>
      <c r="R9" s="8">
        <f t="shared" si="10"/>
        <v>50.150000000000006</v>
      </c>
      <c r="S9" s="8">
        <f t="shared" si="7"/>
        <v>51.153000000000006</v>
      </c>
      <c r="T9" s="16">
        <v>0.01</v>
      </c>
      <c r="W9" s="4"/>
      <c r="X9" s="4"/>
      <c r="Y9" s="11">
        <v>3.5</v>
      </c>
      <c r="Z9" s="4">
        <v>4.5</v>
      </c>
      <c r="AA9" s="4">
        <v>4</v>
      </c>
      <c r="AB9" s="4">
        <v>2.0249999999999999</v>
      </c>
      <c r="AC9" s="4">
        <v>7</v>
      </c>
      <c r="AD9" s="4">
        <v>6</v>
      </c>
    </row>
    <row r="10" spans="1:30">
      <c r="D10" s="1">
        <v>9</v>
      </c>
      <c r="E10" s="1">
        <f t="shared" si="8"/>
        <v>24057</v>
      </c>
      <c r="F10" s="4">
        <f t="shared" si="0"/>
        <v>108</v>
      </c>
      <c r="G10" s="4">
        <f t="shared" si="1"/>
        <v>222</v>
      </c>
      <c r="I10" s="4">
        <f t="shared" si="2"/>
        <v>13</v>
      </c>
      <c r="J10" s="4">
        <f t="shared" si="3"/>
        <v>18</v>
      </c>
      <c r="K10" s="4">
        <f t="shared" si="9"/>
        <v>37</v>
      </c>
      <c r="L10" s="2"/>
      <c r="M10" s="2"/>
      <c r="N10" s="4">
        <f t="shared" si="4"/>
        <v>34.6</v>
      </c>
      <c r="O10" s="8">
        <f t="shared" si="5"/>
        <v>18</v>
      </c>
      <c r="Q10" s="4">
        <f t="shared" si="6"/>
        <v>48.39200000000001</v>
      </c>
      <c r="R10" s="8">
        <f t="shared" si="10"/>
        <v>52.600000000000009</v>
      </c>
      <c r="S10" s="8">
        <f t="shared" si="7"/>
        <v>53.652000000000008</v>
      </c>
      <c r="T10" s="16">
        <v>0.01</v>
      </c>
      <c r="W10" s="4" t="s">
        <v>48</v>
      </c>
      <c r="X10" s="4" t="s">
        <v>38</v>
      </c>
      <c r="Y10" s="8" t="s">
        <v>205</v>
      </c>
      <c r="Z10" s="4" t="s">
        <v>39</v>
      </c>
      <c r="AA10" s="4" t="s">
        <v>40</v>
      </c>
      <c r="AB10" s="4" t="s">
        <v>41</v>
      </c>
      <c r="AC10" s="15" t="s">
        <v>204</v>
      </c>
      <c r="AD10" s="25" t="s">
        <v>206</v>
      </c>
    </row>
    <row r="11" spans="1:30">
      <c r="D11" s="1">
        <v>10</v>
      </c>
      <c r="E11" s="1">
        <f t="shared" si="8"/>
        <v>33000</v>
      </c>
      <c r="F11" s="4">
        <f t="shared" si="0"/>
        <v>114</v>
      </c>
      <c r="G11" s="4">
        <f t="shared" si="1"/>
        <v>231</v>
      </c>
      <c r="I11" s="4">
        <f t="shared" si="2"/>
        <v>14</v>
      </c>
      <c r="J11" s="4">
        <f t="shared" si="3"/>
        <v>19</v>
      </c>
      <c r="K11" s="4">
        <f t="shared" si="9"/>
        <v>38.5</v>
      </c>
      <c r="L11" s="2"/>
      <c r="M11" s="2"/>
      <c r="N11" s="4">
        <f t="shared" si="4"/>
        <v>36.049999999999997</v>
      </c>
      <c r="O11" s="8">
        <f t="shared" si="5"/>
        <v>19</v>
      </c>
      <c r="Q11" s="4">
        <f t="shared" si="6"/>
        <v>50.645999999999994</v>
      </c>
      <c r="R11" s="8">
        <f>F11/$AC$3*(1+(N11/O11))</f>
        <v>55.04999999999999</v>
      </c>
      <c r="S11" s="8">
        <f t="shared" si="7"/>
        <v>56.150999999999989</v>
      </c>
      <c r="T11" s="16">
        <v>0.01</v>
      </c>
      <c r="W11" s="4"/>
      <c r="X11" s="4"/>
      <c r="Y11" s="8">
        <v>2.6666666666666665</v>
      </c>
      <c r="Z11" s="4">
        <v>12</v>
      </c>
      <c r="AA11" s="4">
        <v>3</v>
      </c>
      <c r="AB11" s="4">
        <v>1.25</v>
      </c>
      <c r="AC11" s="4">
        <v>4</v>
      </c>
      <c r="AD11" s="4">
        <v>7</v>
      </c>
    </row>
    <row r="12" spans="1:30">
      <c r="D12" s="1">
        <v>11</v>
      </c>
      <c r="E12" s="1">
        <f t="shared" si="8"/>
        <v>43923</v>
      </c>
      <c r="F12" s="4">
        <f t="shared" si="0"/>
        <v>120</v>
      </c>
      <c r="G12" s="4">
        <f t="shared" si="1"/>
        <v>240</v>
      </c>
      <c r="I12" s="4">
        <f t="shared" si="2"/>
        <v>15</v>
      </c>
      <c r="J12" s="4">
        <f t="shared" si="3"/>
        <v>20</v>
      </c>
      <c r="K12" s="4">
        <f t="shared" si="9"/>
        <v>40</v>
      </c>
      <c r="L12" s="2"/>
      <c r="M12" s="2"/>
      <c r="N12" s="4">
        <f t="shared" si="4"/>
        <v>37.5</v>
      </c>
      <c r="O12" s="8">
        <f t="shared" si="5"/>
        <v>20</v>
      </c>
      <c r="Q12" s="4">
        <f t="shared" si="6"/>
        <v>52.900000000000006</v>
      </c>
      <c r="R12" s="8">
        <f>F12/$AC$3*(1+(N12/O12))</f>
        <v>57.5</v>
      </c>
      <c r="S12" s="8">
        <f t="shared" si="7"/>
        <v>58.65</v>
      </c>
      <c r="T12" s="16">
        <v>0.01</v>
      </c>
      <c r="W12" s="4"/>
      <c r="X12" s="4" t="s">
        <v>36</v>
      </c>
      <c r="Y12" s="8" t="s">
        <v>205</v>
      </c>
      <c r="Z12" s="4" t="s">
        <v>39</v>
      </c>
      <c r="AA12" s="4" t="s">
        <v>40</v>
      </c>
      <c r="AB12" s="4" t="s">
        <v>41</v>
      </c>
      <c r="AC12" s="15" t="s">
        <v>204</v>
      </c>
      <c r="AD12" s="25" t="s">
        <v>206</v>
      </c>
    </row>
    <row r="13" spans="1:30">
      <c r="D13" s="1">
        <v>12</v>
      </c>
      <c r="E13" s="1">
        <f t="shared" si="8"/>
        <v>57024</v>
      </c>
      <c r="F13" s="4">
        <f t="shared" si="0"/>
        <v>126</v>
      </c>
      <c r="G13" s="4">
        <f t="shared" si="1"/>
        <v>249</v>
      </c>
      <c r="I13" s="4">
        <f t="shared" si="2"/>
        <v>16</v>
      </c>
      <c r="J13" s="4">
        <f t="shared" si="3"/>
        <v>21</v>
      </c>
      <c r="K13" s="4">
        <f t="shared" si="9"/>
        <v>41.5</v>
      </c>
      <c r="L13" s="2"/>
      <c r="M13" s="2"/>
      <c r="N13" s="4">
        <f t="shared" si="4"/>
        <v>38.950000000000003</v>
      </c>
      <c r="O13" s="8">
        <f t="shared" si="5"/>
        <v>21</v>
      </c>
      <c r="Q13" s="4">
        <f t="shared" si="6"/>
        <v>55.154000000000003</v>
      </c>
      <c r="R13" s="8">
        <f t="shared" ref="R13:R15" si="11">F13/$AC$3*(1+(N13/O13))</f>
        <v>59.95</v>
      </c>
      <c r="S13" s="8">
        <f t="shared" si="7"/>
        <v>61.149000000000001</v>
      </c>
      <c r="T13" s="16">
        <v>0.01</v>
      </c>
      <c r="W13" s="4"/>
      <c r="X13" s="4"/>
      <c r="Y13" s="8">
        <v>4</v>
      </c>
      <c r="Z13" s="4">
        <v>6</v>
      </c>
      <c r="AA13" s="4">
        <v>6</v>
      </c>
      <c r="AB13" s="4">
        <v>2.5</v>
      </c>
      <c r="AC13" s="4">
        <v>6</v>
      </c>
      <c r="AD13" s="4">
        <v>8</v>
      </c>
    </row>
    <row r="14" spans="1:30">
      <c r="D14" s="1">
        <v>13</v>
      </c>
      <c r="E14" s="1">
        <f t="shared" si="8"/>
        <v>72501</v>
      </c>
      <c r="F14" s="4">
        <f t="shared" si="0"/>
        <v>132</v>
      </c>
      <c r="G14" s="4">
        <f t="shared" si="1"/>
        <v>258</v>
      </c>
      <c r="I14" s="4">
        <f t="shared" si="2"/>
        <v>17</v>
      </c>
      <c r="J14" s="4">
        <f t="shared" si="3"/>
        <v>22</v>
      </c>
      <c r="K14" s="4">
        <f t="shared" si="9"/>
        <v>43</v>
      </c>
      <c r="L14" s="2"/>
      <c r="M14" s="2"/>
      <c r="N14" s="4">
        <f t="shared" si="4"/>
        <v>40.400000000000006</v>
      </c>
      <c r="O14" s="8">
        <f t="shared" si="5"/>
        <v>22</v>
      </c>
      <c r="Q14" s="4">
        <f t="shared" si="6"/>
        <v>57.408000000000015</v>
      </c>
      <c r="R14" s="8">
        <f t="shared" si="11"/>
        <v>62.400000000000013</v>
      </c>
      <c r="S14" s="8">
        <f t="shared" si="7"/>
        <v>63.648000000000017</v>
      </c>
      <c r="T14" s="16">
        <v>0.01</v>
      </c>
      <c r="X14" s="4"/>
      <c r="Y14" s="8"/>
      <c r="Z14" s="4"/>
      <c r="AA14" s="4"/>
      <c r="AB14" s="4"/>
      <c r="AC14" s="4"/>
    </row>
    <row r="15" spans="1:30">
      <c r="D15" s="1">
        <v>14</v>
      </c>
      <c r="E15" s="1">
        <f t="shared" si="8"/>
        <v>90552</v>
      </c>
      <c r="F15" s="4">
        <f t="shared" si="0"/>
        <v>138</v>
      </c>
      <c r="G15" s="4">
        <f t="shared" si="1"/>
        <v>267</v>
      </c>
      <c r="I15" s="4">
        <f t="shared" si="2"/>
        <v>18</v>
      </c>
      <c r="J15" s="4">
        <f t="shared" si="3"/>
        <v>23</v>
      </c>
      <c r="K15" s="4">
        <f t="shared" si="9"/>
        <v>44.5</v>
      </c>
      <c r="L15" s="2"/>
      <c r="M15" s="2"/>
      <c r="N15" s="4">
        <f t="shared" si="4"/>
        <v>41.85</v>
      </c>
      <c r="O15" s="8">
        <f t="shared" si="5"/>
        <v>23</v>
      </c>
      <c r="Q15" s="4">
        <f t="shared" si="6"/>
        <v>59.661999999999999</v>
      </c>
      <c r="R15" s="8">
        <f t="shared" si="11"/>
        <v>64.849999999999994</v>
      </c>
      <c r="S15" s="8">
        <f t="shared" si="7"/>
        <v>66.146999999999991</v>
      </c>
      <c r="T15" s="16">
        <v>0.01</v>
      </c>
      <c r="W15" s="4" t="s">
        <v>49</v>
      </c>
      <c r="X15" s="4" t="s">
        <v>38</v>
      </c>
      <c r="Y15" s="8" t="s">
        <v>205</v>
      </c>
      <c r="Z15" s="4" t="s">
        <v>39</v>
      </c>
      <c r="AA15" s="4" t="s">
        <v>40</v>
      </c>
      <c r="AB15" s="4" t="s">
        <v>41</v>
      </c>
      <c r="AC15" s="15" t="s">
        <v>204</v>
      </c>
      <c r="AD15" s="25" t="s">
        <v>206</v>
      </c>
    </row>
    <row r="16" spans="1:30">
      <c r="A16" s="7"/>
      <c r="B16" s="7"/>
      <c r="C16" s="7"/>
      <c r="D16" s="6">
        <v>15</v>
      </c>
      <c r="E16" s="1">
        <f t="shared" si="8"/>
        <v>111375</v>
      </c>
      <c r="F16" s="4">
        <f>J16*$Y$7*$AD$7</f>
        <v>303.33333333333337</v>
      </c>
      <c r="G16" s="7">
        <f>K16*$Z$7</f>
        <v>477</v>
      </c>
      <c r="H16" s="7"/>
      <c r="I16" s="7">
        <f t="shared" ref="I16:I30" si="12">$I$2+D15+2</f>
        <v>21</v>
      </c>
      <c r="J16" s="7">
        <f t="shared" ref="J16:J30" si="13">$J$2+D15+2</f>
        <v>26</v>
      </c>
      <c r="K16" s="7">
        <f>$K$2+D15*2</f>
        <v>53</v>
      </c>
      <c r="L16" s="13"/>
      <c r="M16" s="13"/>
      <c r="N16" s="4">
        <f>(K16*0.9+I16*0.1)*$AB$7</f>
        <v>50.422499999999999</v>
      </c>
      <c r="O16" s="7">
        <f>J16*$AA$7</f>
        <v>52</v>
      </c>
      <c r="P16" s="7"/>
      <c r="Q16" s="7">
        <f t="shared" si="6"/>
        <v>109.93348333333334</v>
      </c>
      <c r="R16" s="8">
        <f>F16/$AC$7*(1+(N16/O16))</f>
        <v>119.49291666666667</v>
      </c>
      <c r="S16" s="7">
        <f t="shared" si="7"/>
        <v>121.88277500000001</v>
      </c>
      <c r="T16" s="17">
        <v>0.02</v>
      </c>
      <c r="U16" s="7"/>
      <c r="V16" s="7"/>
      <c r="X16" s="4"/>
      <c r="Y16" s="8">
        <v>3</v>
      </c>
      <c r="Z16" s="4">
        <v>15</v>
      </c>
      <c r="AA16" s="4">
        <v>4</v>
      </c>
      <c r="AB16" s="4">
        <v>1.5</v>
      </c>
      <c r="AC16" s="4">
        <v>3</v>
      </c>
      <c r="AD16" s="4">
        <v>9</v>
      </c>
    </row>
    <row r="17" spans="1:30">
      <c r="D17" s="1">
        <v>16</v>
      </c>
      <c r="E17" s="1">
        <f t="shared" si="8"/>
        <v>135168</v>
      </c>
      <c r="F17" s="4">
        <f t="shared" ref="F17:F30" si="14">J17*$Y$7*$AD$7</f>
        <v>315.00000000000006</v>
      </c>
      <c r="G17" s="8">
        <f t="shared" ref="G17:G30" si="15">K17*$Z$7</f>
        <v>495</v>
      </c>
      <c r="I17" s="4">
        <f t="shared" si="12"/>
        <v>22</v>
      </c>
      <c r="J17" s="4">
        <f t="shared" si="13"/>
        <v>27</v>
      </c>
      <c r="K17" s="4">
        <f t="shared" ref="K17:K30" si="16">$K$2+D16*2</f>
        <v>55</v>
      </c>
      <c r="L17" s="2"/>
      <c r="M17" s="2"/>
      <c r="N17" s="4">
        <f t="shared" ref="N17:N30" si="17">(K17*0.9+I17*0.1)*$AB$7</f>
        <v>52.346249999999998</v>
      </c>
      <c r="O17" s="8">
        <f t="shared" ref="O17:O30" si="18">J17*$AA$7</f>
        <v>54</v>
      </c>
      <c r="Q17" s="4">
        <f t="shared" si="6"/>
        <v>114.14497500000003</v>
      </c>
      <c r="R17" s="8">
        <f t="shared" ref="R17:R30" si="19">F17/$AC$7*(1+(N17/O17))</f>
        <v>124.07062500000002</v>
      </c>
      <c r="S17" s="8">
        <f t="shared" si="7"/>
        <v>126.55203750000003</v>
      </c>
      <c r="T17" s="16">
        <v>0.02</v>
      </c>
      <c r="X17" s="4" t="s">
        <v>36</v>
      </c>
      <c r="Y17" s="8" t="s">
        <v>205</v>
      </c>
      <c r="Z17" s="4" t="s">
        <v>39</v>
      </c>
      <c r="AA17" s="4" t="s">
        <v>40</v>
      </c>
      <c r="AB17" s="4" t="s">
        <v>41</v>
      </c>
      <c r="AC17" s="15" t="s">
        <v>204</v>
      </c>
      <c r="AD17" s="25" t="s">
        <v>206</v>
      </c>
    </row>
    <row r="18" spans="1:30">
      <c r="D18" s="1">
        <v>17</v>
      </c>
      <c r="E18" s="1">
        <f t="shared" si="8"/>
        <v>162129</v>
      </c>
      <c r="F18" s="4">
        <f t="shared" si="14"/>
        <v>326.66666666666674</v>
      </c>
      <c r="G18" s="8">
        <f t="shared" si="15"/>
        <v>513</v>
      </c>
      <c r="I18" s="4">
        <f t="shared" si="12"/>
        <v>23</v>
      </c>
      <c r="J18" s="4">
        <f t="shared" si="13"/>
        <v>28</v>
      </c>
      <c r="K18" s="4">
        <f t="shared" si="16"/>
        <v>57</v>
      </c>
      <c r="L18" s="2"/>
      <c r="M18" s="2"/>
      <c r="N18" s="4">
        <f t="shared" si="17"/>
        <v>54.269999999999996</v>
      </c>
      <c r="O18" s="8">
        <f t="shared" si="18"/>
        <v>56</v>
      </c>
      <c r="Q18" s="4">
        <f t="shared" si="6"/>
        <v>118.35646666666668</v>
      </c>
      <c r="R18" s="8">
        <f t="shared" si="19"/>
        <v>128.64833333333334</v>
      </c>
      <c r="S18" s="8">
        <f t="shared" si="7"/>
        <v>131.22130000000001</v>
      </c>
      <c r="T18" s="16">
        <v>0.02</v>
      </c>
      <c r="X18" s="4"/>
      <c r="Y18" s="8">
        <v>4.5</v>
      </c>
      <c r="Z18" s="4">
        <v>7.5</v>
      </c>
      <c r="AA18" s="4">
        <v>8</v>
      </c>
      <c r="AB18" s="4">
        <v>3</v>
      </c>
      <c r="AC18" s="4">
        <v>5</v>
      </c>
      <c r="AD18" s="4">
        <v>10</v>
      </c>
    </row>
    <row r="19" spans="1:30">
      <c r="D19" s="1">
        <v>18</v>
      </c>
      <c r="E19" s="1">
        <f t="shared" si="8"/>
        <v>192456</v>
      </c>
      <c r="F19" s="4">
        <f t="shared" si="14"/>
        <v>338.33333333333337</v>
      </c>
      <c r="G19" s="8">
        <f t="shared" si="15"/>
        <v>531</v>
      </c>
      <c r="I19" s="4">
        <f t="shared" si="12"/>
        <v>24</v>
      </c>
      <c r="J19" s="4">
        <f t="shared" si="13"/>
        <v>29</v>
      </c>
      <c r="K19" s="4">
        <f t="shared" si="16"/>
        <v>59</v>
      </c>
      <c r="L19" s="2"/>
      <c r="M19" s="2"/>
      <c r="N19" s="4">
        <f t="shared" si="17"/>
        <v>56.193749999999994</v>
      </c>
      <c r="O19" s="8">
        <f t="shared" si="18"/>
        <v>58</v>
      </c>
      <c r="Q19" s="4">
        <f t="shared" si="6"/>
        <v>122.56795833333335</v>
      </c>
      <c r="R19" s="8">
        <f t="shared" si="19"/>
        <v>133.22604166666667</v>
      </c>
      <c r="S19" s="8">
        <f t="shared" si="7"/>
        <v>135.89056250000002</v>
      </c>
      <c r="T19" s="16">
        <v>0.02</v>
      </c>
      <c r="X19" s="4"/>
      <c r="Y19" s="4"/>
      <c r="Z19" s="4"/>
      <c r="AA19" s="4"/>
      <c r="AB19" s="4"/>
      <c r="AC19" s="4"/>
      <c r="AD19" s="4"/>
    </row>
    <row r="20" spans="1:30">
      <c r="D20" s="1">
        <v>19</v>
      </c>
      <c r="E20" s="1">
        <f t="shared" si="8"/>
        <v>226347</v>
      </c>
      <c r="F20" s="4">
        <f t="shared" si="14"/>
        <v>350</v>
      </c>
      <c r="G20" s="8">
        <f t="shared" si="15"/>
        <v>549</v>
      </c>
      <c r="I20" s="4">
        <f t="shared" si="12"/>
        <v>25</v>
      </c>
      <c r="J20" s="4">
        <f t="shared" si="13"/>
        <v>30</v>
      </c>
      <c r="K20" s="4">
        <f t="shared" si="16"/>
        <v>61</v>
      </c>
      <c r="L20" s="2"/>
      <c r="M20" s="2"/>
      <c r="N20" s="4">
        <f t="shared" si="17"/>
        <v>58.117499999999993</v>
      </c>
      <c r="O20" s="8">
        <f t="shared" si="18"/>
        <v>60</v>
      </c>
      <c r="Q20" s="4">
        <f t="shared" si="6"/>
        <v>126.77944999999998</v>
      </c>
      <c r="R20" s="8">
        <f t="shared" si="19"/>
        <v>137.80374999999998</v>
      </c>
      <c r="S20" s="8">
        <f t="shared" si="7"/>
        <v>140.55982499999999</v>
      </c>
      <c r="T20" s="16">
        <v>0.02</v>
      </c>
    </row>
    <row r="21" spans="1:30">
      <c r="D21" s="1">
        <v>20</v>
      </c>
      <c r="E21" s="1">
        <f t="shared" si="8"/>
        <v>264000</v>
      </c>
      <c r="F21" s="4">
        <f t="shared" si="14"/>
        <v>361.66666666666674</v>
      </c>
      <c r="G21" s="8">
        <f t="shared" si="15"/>
        <v>567</v>
      </c>
      <c r="I21" s="4">
        <f t="shared" si="12"/>
        <v>26</v>
      </c>
      <c r="J21" s="4">
        <f t="shared" si="13"/>
        <v>31</v>
      </c>
      <c r="K21" s="4">
        <f t="shared" si="16"/>
        <v>63</v>
      </c>
      <c r="L21" s="2"/>
      <c r="M21" s="2"/>
      <c r="N21" s="4">
        <f t="shared" si="17"/>
        <v>60.041250000000005</v>
      </c>
      <c r="O21" s="8">
        <f t="shared" si="18"/>
        <v>62</v>
      </c>
      <c r="Q21" s="4">
        <f t="shared" si="6"/>
        <v>130.99094166666671</v>
      </c>
      <c r="R21" s="8">
        <f t="shared" si="19"/>
        <v>142.38145833333337</v>
      </c>
      <c r="S21" s="8">
        <f t="shared" si="7"/>
        <v>145.22908750000005</v>
      </c>
      <c r="T21" s="16">
        <v>0.02</v>
      </c>
    </row>
    <row r="22" spans="1:30">
      <c r="D22" s="1">
        <v>21</v>
      </c>
      <c r="E22" s="1">
        <f t="shared" si="8"/>
        <v>305613</v>
      </c>
      <c r="F22" s="4">
        <f t="shared" si="14"/>
        <v>373.33333333333337</v>
      </c>
      <c r="G22" s="8">
        <f t="shared" si="15"/>
        <v>585</v>
      </c>
      <c r="I22" s="4">
        <f t="shared" si="12"/>
        <v>27</v>
      </c>
      <c r="J22" s="4">
        <f t="shared" si="13"/>
        <v>32</v>
      </c>
      <c r="K22" s="4">
        <f t="shared" si="16"/>
        <v>65</v>
      </c>
      <c r="N22" s="4">
        <f t="shared" si="17"/>
        <v>61.965000000000003</v>
      </c>
      <c r="O22" s="8">
        <f t="shared" si="18"/>
        <v>64</v>
      </c>
      <c r="Q22" s="4">
        <f t="shared" si="6"/>
        <v>135.20243333333335</v>
      </c>
      <c r="R22" s="8">
        <f t="shared" si="19"/>
        <v>146.95916666666668</v>
      </c>
      <c r="S22" s="8">
        <f t="shared" si="7"/>
        <v>149.89835000000002</v>
      </c>
      <c r="T22" s="16">
        <v>0.02</v>
      </c>
    </row>
    <row r="23" spans="1:30">
      <c r="D23" s="1">
        <v>22</v>
      </c>
      <c r="E23" s="1">
        <f t="shared" si="8"/>
        <v>351384</v>
      </c>
      <c r="F23" s="4">
        <f t="shared" si="14"/>
        <v>385</v>
      </c>
      <c r="G23" s="8">
        <f t="shared" si="15"/>
        <v>603</v>
      </c>
      <c r="I23" s="4">
        <f t="shared" si="12"/>
        <v>28</v>
      </c>
      <c r="J23" s="4">
        <f t="shared" si="13"/>
        <v>33</v>
      </c>
      <c r="K23" s="4">
        <f t="shared" si="16"/>
        <v>67</v>
      </c>
      <c r="N23" s="4">
        <f t="shared" si="17"/>
        <v>63.888750000000002</v>
      </c>
      <c r="O23" s="8">
        <f t="shared" si="18"/>
        <v>66</v>
      </c>
      <c r="Q23" s="4">
        <f t="shared" si="6"/>
        <v>139.41392500000001</v>
      </c>
      <c r="R23" s="8">
        <f t="shared" si="19"/>
        <v>151.53687500000001</v>
      </c>
      <c r="S23" s="8">
        <f t="shared" si="7"/>
        <v>154.56761250000002</v>
      </c>
      <c r="T23" s="16">
        <v>0.02</v>
      </c>
    </row>
    <row r="24" spans="1:30">
      <c r="D24" s="1">
        <v>23</v>
      </c>
      <c r="E24" s="1">
        <f t="shared" si="8"/>
        <v>401511</v>
      </c>
      <c r="F24" s="4">
        <f t="shared" si="14"/>
        <v>396.66666666666674</v>
      </c>
      <c r="G24" s="8">
        <f t="shared" si="15"/>
        <v>621</v>
      </c>
      <c r="I24" s="4">
        <f t="shared" si="12"/>
        <v>29</v>
      </c>
      <c r="J24" s="4">
        <f t="shared" si="13"/>
        <v>34</v>
      </c>
      <c r="K24" s="4">
        <f t="shared" si="16"/>
        <v>69</v>
      </c>
      <c r="N24" s="4">
        <f t="shared" si="17"/>
        <v>65.8125</v>
      </c>
      <c r="O24" s="8">
        <f t="shared" si="18"/>
        <v>68</v>
      </c>
      <c r="Q24" s="4">
        <f t="shared" si="6"/>
        <v>143.62541666666669</v>
      </c>
      <c r="R24" s="8">
        <f t="shared" si="19"/>
        <v>156.11458333333334</v>
      </c>
      <c r="S24" s="8">
        <f t="shared" si="7"/>
        <v>159.23687500000003</v>
      </c>
      <c r="T24" s="16">
        <v>0.02</v>
      </c>
      <c r="W24" s="35" t="s">
        <v>42</v>
      </c>
      <c r="X24" s="35"/>
      <c r="Y24" s="35"/>
      <c r="Z24" s="35"/>
      <c r="AA24" s="35"/>
      <c r="AB24" s="35"/>
      <c r="AC24" s="35"/>
      <c r="AD24" s="35"/>
    </row>
    <row r="25" spans="1:30">
      <c r="D25" s="1">
        <v>24</v>
      </c>
      <c r="E25" s="1">
        <f t="shared" si="8"/>
        <v>456192</v>
      </c>
      <c r="F25" s="4">
        <f t="shared" si="14"/>
        <v>408.33333333333337</v>
      </c>
      <c r="G25" s="8">
        <f t="shared" si="15"/>
        <v>639</v>
      </c>
      <c r="I25" s="4">
        <f t="shared" si="12"/>
        <v>30</v>
      </c>
      <c r="J25" s="4">
        <f t="shared" si="13"/>
        <v>35</v>
      </c>
      <c r="K25" s="4">
        <f t="shared" si="16"/>
        <v>71</v>
      </c>
      <c r="N25" s="4">
        <f t="shared" si="17"/>
        <v>67.736249999999998</v>
      </c>
      <c r="O25" s="8">
        <f t="shared" si="18"/>
        <v>70</v>
      </c>
      <c r="Q25" s="4">
        <f t="shared" si="6"/>
        <v>147.83690833333333</v>
      </c>
      <c r="R25" s="8">
        <f t="shared" si="19"/>
        <v>160.69229166666665</v>
      </c>
      <c r="S25" s="8">
        <f t="shared" si="7"/>
        <v>163.90613749999997</v>
      </c>
      <c r="T25" s="16">
        <v>0.02</v>
      </c>
      <c r="W25" s="34" t="s">
        <v>1189</v>
      </c>
      <c r="X25" s="34"/>
      <c r="Y25" s="34"/>
      <c r="Z25" s="34"/>
      <c r="AA25" s="34"/>
      <c r="AB25" s="34"/>
      <c r="AC25" s="34"/>
      <c r="AD25" s="34"/>
    </row>
    <row r="26" spans="1:30">
      <c r="D26" s="1">
        <v>25</v>
      </c>
      <c r="E26" s="1">
        <f t="shared" si="8"/>
        <v>515625</v>
      </c>
      <c r="F26" s="4">
        <f t="shared" si="14"/>
        <v>420</v>
      </c>
      <c r="G26" s="8">
        <f t="shared" si="15"/>
        <v>657</v>
      </c>
      <c r="I26" s="4">
        <f t="shared" si="12"/>
        <v>31</v>
      </c>
      <c r="J26" s="4">
        <f t="shared" si="13"/>
        <v>36</v>
      </c>
      <c r="K26" s="4">
        <f t="shared" si="16"/>
        <v>73</v>
      </c>
      <c r="N26" s="4">
        <f t="shared" si="17"/>
        <v>69.66</v>
      </c>
      <c r="O26" s="8">
        <f t="shared" si="18"/>
        <v>72</v>
      </c>
      <c r="Q26" s="4">
        <f t="shared" si="6"/>
        <v>152.04839999999999</v>
      </c>
      <c r="R26" s="8">
        <f t="shared" si="19"/>
        <v>165.26999999999998</v>
      </c>
      <c r="S26" s="8">
        <f t="shared" si="7"/>
        <v>168.57539999999997</v>
      </c>
      <c r="T26" s="16">
        <v>0.02</v>
      </c>
      <c r="W26" s="34"/>
      <c r="X26" s="34"/>
      <c r="Y26" s="34"/>
      <c r="Z26" s="34"/>
      <c r="AA26" s="34"/>
      <c r="AB26" s="34"/>
      <c r="AC26" s="34"/>
      <c r="AD26" s="34"/>
    </row>
    <row r="27" spans="1:30">
      <c r="D27" s="1">
        <v>26</v>
      </c>
      <c r="E27" s="1">
        <f t="shared" si="8"/>
        <v>580008</v>
      </c>
      <c r="F27" s="4">
        <f t="shared" si="14"/>
        <v>431.66666666666674</v>
      </c>
      <c r="G27" s="8">
        <f t="shared" si="15"/>
        <v>675</v>
      </c>
      <c r="H27" s="8"/>
      <c r="I27" s="8">
        <f t="shared" si="12"/>
        <v>32</v>
      </c>
      <c r="J27" s="8">
        <f t="shared" si="13"/>
        <v>37</v>
      </c>
      <c r="K27" s="4">
        <f t="shared" si="16"/>
        <v>75</v>
      </c>
      <c r="L27" s="8"/>
      <c r="M27" s="8"/>
      <c r="N27" s="4">
        <f t="shared" si="17"/>
        <v>71.583749999999995</v>
      </c>
      <c r="O27" s="8">
        <f t="shared" si="18"/>
        <v>74</v>
      </c>
      <c r="P27" s="8"/>
      <c r="Q27" s="4">
        <f t="shared" si="6"/>
        <v>156.25989166666668</v>
      </c>
      <c r="R27" s="8">
        <f t="shared" si="19"/>
        <v>169.84770833333334</v>
      </c>
      <c r="S27" s="8">
        <f t="shared" si="7"/>
        <v>173.2446625</v>
      </c>
      <c r="T27" s="16">
        <v>0.02</v>
      </c>
      <c r="U27" s="8"/>
      <c r="V27" s="8"/>
      <c r="W27" s="34"/>
      <c r="X27" s="34"/>
      <c r="Y27" s="34"/>
      <c r="Z27" s="34"/>
      <c r="AA27" s="34"/>
      <c r="AB27" s="34"/>
      <c r="AC27" s="34"/>
      <c r="AD27" s="34"/>
    </row>
    <row r="28" spans="1:30">
      <c r="D28" s="1">
        <v>27</v>
      </c>
      <c r="E28" s="1">
        <f t="shared" si="8"/>
        <v>649539</v>
      </c>
      <c r="F28" s="4">
        <f t="shared" si="14"/>
        <v>443.33333333333337</v>
      </c>
      <c r="G28" s="8">
        <f t="shared" si="15"/>
        <v>693</v>
      </c>
      <c r="H28" s="8"/>
      <c r="I28" s="8">
        <f t="shared" si="12"/>
        <v>33</v>
      </c>
      <c r="J28" s="8">
        <f t="shared" si="13"/>
        <v>38</v>
      </c>
      <c r="K28" s="4">
        <f t="shared" si="16"/>
        <v>77</v>
      </c>
      <c r="L28" s="8"/>
      <c r="M28" s="8"/>
      <c r="N28" s="4">
        <f t="shared" si="17"/>
        <v>73.507499999999993</v>
      </c>
      <c r="O28" s="8">
        <f t="shared" si="18"/>
        <v>76</v>
      </c>
      <c r="P28" s="8"/>
      <c r="Q28" s="4">
        <f t="shared" si="6"/>
        <v>160.47138333333336</v>
      </c>
      <c r="R28" s="8">
        <f t="shared" si="19"/>
        <v>174.42541666666668</v>
      </c>
      <c r="S28" s="8">
        <f t="shared" si="7"/>
        <v>177.91392500000001</v>
      </c>
      <c r="T28" s="16">
        <v>0.02</v>
      </c>
      <c r="U28" s="8"/>
      <c r="V28" s="8"/>
      <c r="W28" s="34"/>
      <c r="X28" s="34"/>
      <c r="Y28" s="34"/>
      <c r="Z28" s="34"/>
      <c r="AA28" s="34"/>
      <c r="AB28" s="34"/>
      <c r="AC28" s="34"/>
      <c r="AD28" s="34"/>
    </row>
    <row r="29" spans="1:30">
      <c r="D29" s="1">
        <v>28</v>
      </c>
      <c r="E29" s="1">
        <f t="shared" si="8"/>
        <v>724416</v>
      </c>
      <c r="F29" s="4">
        <f t="shared" si="14"/>
        <v>455</v>
      </c>
      <c r="G29" s="8">
        <f t="shared" si="15"/>
        <v>711</v>
      </c>
      <c r="H29" s="8"/>
      <c r="I29" s="8">
        <f t="shared" si="12"/>
        <v>34</v>
      </c>
      <c r="J29" s="8">
        <f t="shared" si="13"/>
        <v>39</v>
      </c>
      <c r="K29" s="4">
        <f t="shared" si="16"/>
        <v>79</v>
      </c>
      <c r="L29" s="8"/>
      <c r="M29" s="8"/>
      <c r="N29" s="4">
        <f t="shared" si="17"/>
        <v>75.431250000000006</v>
      </c>
      <c r="O29" s="8">
        <f t="shared" si="18"/>
        <v>78</v>
      </c>
      <c r="P29" s="8"/>
      <c r="Q29" s="4">
        <f t="shared" si="6"/>
        <v>164.68287500000002</v>
      </c>
      <c r="R29" s="8">
        <f t="shared" si="19"/>
        <v>179.00312500000001</v>
      </c>
      <c r="S29" s="8">
        <f t="shared" si="7"/>
        <v>182.58318750000001</v>
      </c>
      <c r="T29" s="16">
        <v>0.02</v>
      </c>
      <c r="U29" s="8"/>
      <c r="V29" s="8"/>
      <c r="W29" s="34"/>
      <c r="X29" s="34"/>
      <c r="Y29" s="34"/>
      <c r="Z29" s="34"/>
      <c r="AA29" s="34"/>
      <c r="AB29" s="34"/>
      <c r="AC29" s="34"/>
      <c r="AD29" s="34"/>
    </row>
    <row r="30" spans="1:30">
      <c r="D30" s="1">
        <v>29</v>
      </c>
      <c r="E30" s="1">
        <f t="shared" si="8"/>
        <v>804837</v>
      </c>
      <c r="F30" s="4">
        <f t="shared" si="14"/>
        <v>466.66666666666674</v>
      </c>
      <c r="G30" s="8">
        <f t="shared" si="15"/>
        <v>729</v>
      </c>
      <c r="H30" s="8"/>
      <c r="I30" s="8">
        <f t="shared" si="12"/>
        <v>35</v>
      </c>
      <c r="J30" s="8">
        <f t="shared" si="13"/>
        <v>40</v>
      </c>
      <c r="K30" s="4">
        <f t="shared" si="16"/>
        <v>81</v>
      </c>
      <c r="L30" s="8"/>
      <c r="M30" s="8"/>
      <c r="N30" s="4">
        <f t="shared" si="17"/>
        <v>77.355000000000004</v>
      </c>
      <c r="O30" s="8">
        <f t="shared" si="18"/>
        <v>80</v>
      </c>
      <c r="P30" s="8">
        <f>K30*主角属性字段设计!$AA$57</f>
        <v>162</v>
      </c>
      <c r="Q30" s="4">
        <f t="shared" si="6"/>
        <v>168.89436666666668</v>
      </c>
      <c r="R30" s="8">
        <f t="shared" si="19"/>
        <v>183.58083333333335</v>
      </c>
      <c r="S30" s="8">
        <f t="shared" si="7"/>
        <v>187.25245000000001</v>
      </c>
      <c r="T30" s="16">
        <v>0.02</v>
      </c>
      <c r="U30" s="8"/>
      <c r="V30" s="8"/>
      <c r="W30" s="34"/>
      <c r="X30" s="34"/>
      <c r="Y30" s="34"/>
      <c r="Z30" s="34"/>
      <c r="AA30" s="34"/>
      <c r="AB30" s="34"/>
      <c r="AC30" s="34"/>
      <c r="AD30" s="34"/>
    </row>
    <row r="31" spans="1:30">
      <c r="A31" s="7"/>
      <c r="B31" s="7"/>
      <c r="C31" s="7"/>
      <c r="D31" s="6">
        <v>30</v>
      </c>
      <c r="E31" s="1">
        <f t="shared" si="8"/>
        <v>891000</v>
      </c>
      <c r="F31" s="4">
        <f>J31*$Y$11*$AD$11</f>
        <v>802.66666666666663</v>
      </c>
      <c r="G31" s="7">
        <f>K31*$Z$11</f>
        <v>1170</v>
      </c>
      <c r="H31" s="7"/>
      <c r="I31" s="7">
        <f t="shared" ref="I31:I45" si="20">$I$2+D30+2+2</f>
        <v>38</v>
      </c>
      <c r="J31" s="7">
        <f t="shared" ref="J31:J45" si="21">$J$2+D30+2+2</f>
        <v>43</v>
      </c>
      <c r="K31" s="7">
        <f>$K$2+D30*2.5</f>
        <v>97.5</v>
      </c>
      <c r="L31" s="7"/>
      <c r="M31" s="7"/>
      <c r="N31" s="4">
        <f>(K31*0.9+I31*0.1)*$AB$11</f>
        <v>114.4375</v>
      </c>
      <c r="O31" s="7">
        <f>J31*$AA$11</f>
        <v>129</v>
      </c>
      <c r="P31" s="7"/>
      <c r="Q31" s="7">
        <f t="shared" si="6"/>
        <v>348.38611111111112</v>
      </c>
      <c r="R31" s="8">
        <f>F31/$AC$11*(1+(N31/O31))</f>
        <v>378.68055555555554</v>
      </c>
      <c r="S31" s="7">
        <f t="shared" si="7"/>
        <v>386.25416666666666</v>
      </c>
      <c r="T31" s="17">
        <v>0.03</v>
      </c>
      <c r="U31" s="7"/>
      <c r="V31" s="7"/>
      <c r="W31" s="34"/>
      <c r="X31" s="34"/>
      <c r="Y31" s="34"/>
      <c r="Z31" s="34"/>
      <c r="AA31" s="34"/>
      <c r="AB31" s="34"/>
      <c r="AC31" s="34"/>
      <c r="AD31" s="34"/>
    </row>
    <row r="32" spans="1:30">
      <c r="D32" s="1">
        <v>31</v>
      </c>
      <c r="E32" s="1">
        <f t="shared" si="8"/>
        <v>983103</v>
      </c>
      <c r="F32" s="4">
        <f t="shared" ref="F32:F45" si="22">J32*$Y$11*$AD$11</f>
        <v>821.33333333333326</v>
      </c>
      <c r="G32" s="8">
        <f t="shared" ref="G32:G45" si="23">K32*$Z$11</f>
        <v>1200</v>
      </c>
      <c r="H32" s="8"/>
      <c r="I32" s="8">
        <f t="shared" si="20"/>
        <v>39</v>
      </c>
      <c r="J32" s="8">
        <f t="shared" si="21"/>
        <v>44</v>
      </c>
      <c r="K32" s="4">
        <f t="shared" ref="K32:K44" si="24">$K$2+D31*2.5</f>
        <v>100</v>
      </c>
      <c r="L32" s="8"/>
      <c r="M32" s="8"/>
      <c r="N32" s="4">
        <f t="shared" ref="N32:N45" si="25">(K32*0.9+I32*0.1)*$AB$11</f>
        <v>117.375</v>
      </c>
      <c r="O32" s="8">
        <f t="shared" ref="O32:O45" si="26">J32*$AA$11</f>
        <v>132</v>
      </c>
      <c r="P32" s="8"/>
      <c r="Q32" s="4">
        <f t="shared" si="6"/>
        <v>356.88333333333333</v>
      </c>
      <c r="R32" s="8">
        <f t="shared" ref="R32:R45" si="27">F32/$AC$11*(1+(N32/O32))</f>
        <v>387.91666666666663</v>
      </c>
      <c r="S32" s="8">
        <f t="shared" si="7"/>
        <v>395.67499999999995</v>
      </c>
      <c r="T32" s="16">
        <v>0.03</v>
      </c>
      <c r="U32" s="8"/>
      <c r="V32" s="8"/>
      <c r="W32" s="34"/>
      <c r="X32" s="34"/>
      <c r="Y32" s="34"/>
      <c r="Z32" s="34"/>
      <c r="AA32" s="34"/>
      <c r="AB32" s="34"/>
      <c r="AC32" s="34"/>
      <c r="AD32" s="34"/>
    </row>
    <row r="33" spans="1:30">
      <c r="D33" s="1">
        <v>32</v>
      </c>
      <c r="E33" s="1">
        <f t="shared" si="8"/>
        <v>1081344</v>
      </c>
      <c r="F33" s="4">
        <f t="shared" si="22"/>
        <v>840</v>
      </c>
      <c r="G33" s="8">
        <f t="shared" si="23"/>
        <v>1230</v>
      </c>
      <c r="H33" s="8"/>
      <c r="I33" s="8">
        <f t="shared" si="20"/>
        <v>40</v>
      </c>
      <c r="J33" s="8">
        <f t="shared" si="21"/>
        <v>45</v>
      </c>
      <c r="K33" s="4">
        <f t="shared" si="24"/>
        <v>102.5</v>
      </c>
      <c r="L33" s="8"/>
      <c r="M33" s="8"/>
      <c r="N33" s="4">
        <f t="shared" si="25"/>
        <v>120.3125</v>
      </c>
      <c r="O33" s="8">
        <f t="shared" si="26"/>
        <v>135</v>
      </c>
      <c r="P33" s="8"/>
      <c r="Q33" s="4">
        <f t="shared" si="6"/>
        <v>365.38055555555559</v>
      </c>
      <c r="R33" s="8">
        <f t="shared" si="27"/>
        <v>397.15277777777777</v>
      </c>
      <c r="S33" s="8">
        <f t="shared" si="7"/>
        <v>405.09583333333336</v>
      </c>
      <c r="T33" s="16">
        <v>0.03</v>
      </c>
      <c r="U33" s="8"/>
      <c r="V33" s="8"/>
      <c r="W33" s="34"/>
      <c r="X33" s="34"/>
      <c r="Y33" s="34"/>
      <c r="Z33" s="34"/>
      <c r="AA33" s="34"/>
      <c r="AB33" s="34"/>
      <c r="AC33" s="34"/>
      <c r="AD33" s="34"/>
    </row>
    <row r="34" spans="1:30">
      <c r="D34" s="1">
        <v>33</v>
      </c>
      <c r="E34" s="1">
        <f t="shared" si="8"/>
        <v>1185921</v>
      </c>
      <c r="F34" s="4">
        <f t="shared" si="22"/>
        <v>858.66666666666663</v>
      </c>
      <c r="G34" s="8">
        <f t="shared" si="23"/>
        <v>1260</v>
      </c>
      <c r="H34" s="8"/>
      <c r="I34" s="8">
        <f t="shared" si="20"/>
        <v>41</v>
      </c>
      <c r="J34" s="8">
        <f t="shared" si="21"/>
        <v>46</v>
      </c>
      <c r="K34" s="4">
        <f t="shared" si="24"/>
        <v>105</v>
      </c>
      <c r="L34" s="8"/>
      <c r="M34" s="8"/>
      <c r="N34" s="4">
        <f t="shared" si="25"/>
        <v>123.25</v>
      </c>
      <c r="O34" s="8">
        <f t="shared" si="26"/>
        <v>138</v>
      </c>
      <c r="P34" s="8"/>
      <c r="Q34" s="4">
        <f t="shared" si="6"/>
        <v>373.87777777777774</v>
      </c>
      <c r="R34" s="8">
        <f t="shared" si="27"/>
        <v>406.38888888888886</v>
      </c>
      <c r="S34" s="8">
        <f t="shared" si="7"/>
        <v>414.51666666666665</v>
      </c>
      <c r="T34" s="16">
        <v>0.03</v>
      </c>
      <c r="U34" s="8"/>
      <c r="V34" s="8"/>
      <c r="W34" s="34"/>
      <c r="X34" s="34"/>
      <c r="Y34" s="34"/>
      <c r="Z34" s="34"/>
      <c r="AA34" s="34"/>
      <c r="AB34" s="34"/>
      <c r="AC34" s="34"/>
      <c r="AD34" s="34"/>
    </row>
    <row r="35" spans="1:30">
      <c r="D35" s="1">
        <v>34</v>
      </c>
      <c r="E35" s="1">
        <f t="shared" si="8"/>
        <v>1297032</v>
      </c>
      <c r="F35" s="4">
        <f t="shared" si="22"/>
        <v>877.33333333333326</v>
      </c>
      <c r="G35" s="8">
        <f t="shared" si="23"/>
        <v>1290</v>
      </c>
      <c r="H35" s="8"/>
      <c r="I35" s="8">
        <f t="shared" si="20"/>
        <v>42</v>
      </c>
      <c r="J35" s="8">
        <f t="shared" si="21"/>
        <v>47</v>
      </c>
      <c r="K35" s="4">
        <f t="shared" si="24"/>
        <v>107.5</v>
      </c>
      <c r="L35" s="8"/>
      <c r="M35" s="8"/>
      <c r="N35" s="4">
        <f t="shared" si="25"/>
        <v>126.1875</v>
      </c>
      <c r="O35" s="8">
        <f t="shared" si="26"/>
        <v>141</v>
      </c>
      <c r="P35" s="8"/>
      <c r="Q35" s="4">
        <f t="shared" si="6"/>
        <v>382.375</v>
      </c>
      <c r="R35" s="8">
        <f t="shared" si="27"/>
        <v>415.625</v>
      </c>
      <c r="S35" s="8">
        <f t="shared" si="7"/>
        <v>423.9375</v>
      </c>
      <c r="T35" s="16">
        <v>0.03</v>
      </c>
      <c r="U35" s="8"/>
      <c r="V35" s="8"/>
      <c r="W35" s="34"/>
      <c r="X35" s="34"/>
      <c r="Y35" s="34"/>
      <c r="Z35" s="34"/>
      <c r="AA35" s="34"/>
      <c r="AB35" s="34"/>
      <c r="AC35" s="34"/>
      <c r="AD35" s="34"/>
    </row>
    <row r="36" spans="1:30">
      <c r="D36" s="1">
        <v>35</v>
      </c>
      <c r="E36" s="1">
        <f t="shared" si="8"/>
        <v>1414875</v>
      </c>
      <c r="F36" s="4">
        <f t="shared" si="22"/>
        <v>896</v>
      </c>
      <c r="G36" s="8">
        <f t="shared" si="23"/>
        <v>1320</v>
      </c>
      <c r="H36" s="8"/>
      <c r="I36" s="8">
        <f t="shared" si="20"/>
        <v>43</v>
      </c>
      <c r="J36" s="8">
        <f t="shared" si="21"/>
        <v>48</v>
      </c>
      <c r="K36" s="4">
        <f t="shared" si="24"/>
        <v>110</v>
      </c>
      <c r="L36" s="8"/>
      <c r="M36" s="8"/>
      <c r="N36" s="4">
        <f t="shared" si="25"/>
        <v>129.125</v>
      </c>
      <c r="O36" s="8">
        <f t="shared" si="26"/>
        <v>144</v>
      </c>
      <c r="P36" s="8"/>
      <c r="Q36" s="4">
        <f t="shared" si="6"/>
        <v>390.87222222222221</v>
      </c>
      <c r="R36" s="8">
        <f t="shared" si="27"/>
        <v>424.86111111111109</v>
      </c>
      <c r="S36" s="8">
        <f t="shared" si="7"/>
        <v>433.35833333333329</v>
      </c>
      <c r="T36" s="16">
        <v>0.03</v>
      </c>
      <c r="U36" s="8"/>
      <c r="V36" s="8"/>
      <c r="W36" s="34"/>
      <c r="X36" s="34"/>
      <c r="Y36" s="34"/>
      <c r="Z36" s="34"/>
      <c r="AA36" s="34"/>
      <c r="AB36" s="34"/>
      <c r="AC36" s="34"/>
      <c r="AD36" s="34"/>
    </row>
    <row r="37" spans="1:30">
      <c r="D37" s="1">
        <v>36</v>
      </c>
      <c r="E37" s="1">
        <f t="shared" si="8"/>
        <v>1539648</v>
      </c>
      <c r="F37" s="4">
        <f t="shared" si="22"/>
        <v>914.66666666666663</v>
      </c>
      <c r="G37" s="8">
        <f t="shared" si="23"/>
        <v>1350</v>
      </c>
      <c r="H37" s="8"/>
      <c r="I37" s="8">
        <f t="shared" si="20"/>
        <v>44</v>
      </c>
      <c r="J37" s="8">
        <f t="shared" si="21"/>
        <v>49</v>
      </c>
      <c r="K37" s="4">
        <f t="shared" si="24"/>
        <v>112.5</v>
      </c>
      <c r="L37" s="8"/>
      <c r="M37" s="8"/>
      <c r="N37" s="4">
        <f t="shared" si="25"/>
        <v>132.0625</v>
      </c>
      <c r="O37" s="8">
        <f t="shared" si="26"/>
        <v>147</v>
      </c>
      <c r="P37" s="8"/>
      <c r="Q37" s="4">
        <f t="shared" si="6"/>
        <v>399.36944444444447</v>
      </c>
      <c r="R37" s="8">
        <f t="shared" si="27"/>
        <v>434.09722222222223</v>
      </c>
      <c r="S37" s="8">
        <f t="shared" si="7"/>
        <v>442.7791666666667</v>
      </c>
      <c r="T37" s="16">
        <v>0.03</v>
      </c>
      <c r="U37" s="8"/>
      <c r="V37" s="8"/>
      <c r="W37" s="34"/>
      <c r="X37" s="34"/>
      <c r="Y37" s="34"/>
      <c r="Z37" s="34"/>
      <c r="AA37" s="34"/>
      <c r="AB37" s="34"/>
      <c r="AC37" s="34"/>
      <c r="AD37" s="34"/>
    </row>
    <row r="38" spans="1:30">
      <c r="D38" s="1">
        <v>37</v>
      </c>
      <c r="E38" s="1">
        <f t="shared" si="8"/>
        <v>1671549</v>
      </c>
      <c r="F38" s="4">
        <f t="shared" si="22"/>
        <v>933.33333333333326</v>
      </c>
      <c r="G38" s="8">
        <f t="shared" si="23"/>
        <v>1380</v>
      </c>
      <c r="H38" s="8"/>
      <c r="I38" s="8">
        <f t="shared" si="20"/>
        <v>45</v>
      </c>
      <c r="J38" s="8">
        <f t="shared" si="21"/>
        <v>50</v>
      </c>
      <c r="K38" s="4">
        <f t="shared" si="24"/>
        <v>115</v>
      </c>
      <c r="L38" s="8"/>
      <c r="M38" s="8"/>
      <c r="N38" s="4">
        <f t="shared" si="25"/>
        <v>135</v>
      </c>
      <c r="O38" s="8">
        <f t="shared" si="26"/>
        <v>150</v>
      </c>
      <c r="P38" s="8"/>
      <c r="Q38" s="4">
        <f t="shared" si="6"/>
        <v>407.86666666666662</v>
      </c>
      <c r="R38" s="8">
        <f t="shared" si="27"/>
        <v>443.33333333333326</v>
      </c>
      <c r="S38" s="8">
        <f t="shared" si="7"/>
        <v>452.19999999999993</v>
      </c>
      <c r="T38" s="16">
        <v>0.03</v>
      </c>
      <c r="U38" s="8"/>
      <c r="V38" s="8"/>
      <c r="W38" s="34"/>
      <c r="X38" s="34"/>
      <c r="Y38" s="34"/>
      <c r="Z38" s="34"/>
      <c r="AA38" s="34"/>
      <c r="AB38" s="34"/>
      <c r="AC38" s="34"/>
      <c r="AD38" s="34"/>
    </row>
    <row r="39" spans="1:30">
      <c r="D39" s="1">
        <v>38</v>
      </c>
      <c r="E39" s="1">
        <f t="shared" si="8"/>
        <v>1810776</v>
      </c>
      <c r="F39" s="4">
        <f t="shared" si="22"/>
        <v>952</v>
      </c>
      <c r="G39" s="8">
        <f t="shared" si="23"/>
        <v>1410</v>
      </c>
      <c r="H39" s="8"/>
      <c r="I39" s="8">
        <f t="shared" si="20"/>
        <v>46</v>
      </c>
      <c r="J39" s="8">
        <f t="shared" si="21"/>
        <v>51</v>
      </c>
      <c r="K39" s="4">
        <f t="shared" si="24"/>
        <v>117.5</v>
      </c>
      <c r="L39" s="8"/>
      <c r="M39" s="8"/>
      <c r="N39" s="4">
        <f t="shared" si="25"/>
        <v>137.9375</v>
      </c>
      <c r="O39" s="8">
        <f t="shared" si="26"/>
        <v>153</v>
      </c>
      <c r="P39" s="8"/>
      <c r="Q39" s="4">
        <f t="shared" si="6"/>
        <v>416.36388888888894</v>
      </c>
      <c r="R39" s="8">
        <f t="shared" si="27"/>
        <v>452.56944444444446</v>
      </c>
      <c r="S39" s="8">
        <f t="shared" si="7"/>
        <v>461.62083333333334</v>
      </c>
      <c r="T39" s="16">
        <v>0.03</v>
      </c>
      <c r="U39" s="8"/>
      <c r="V39" s="8"/>
      <c r="W39" s="34"/>
      <c r="X39" s="34"/>
      <c r="Y39" s="34"/>
      <c r="Z39" s="34"/>
      <c r="AA39" s="34"/>
      <c r="AB39" s="34"/>
      <c r="AC39" s="34"/>
      <c r="AD39" s="34"/>
    </row>
    <row r="40" spans="1:30">
      <c r="D40" s="1">
        <v>39</v>
      </c>
      <c r="E40" s="1">
        <f t="shared" si="8"/>
        <v>1957527</v>
      </c>
      <c r="F40" s="4">
        <f t="shared" si="22"/>
        <v>970.66666666666663</v>
      </c>
      <c r="G40" s="8">
        <f t="shared" si="23"/>
        <v>1440</v>
      </c>
      <c r="H40" s="8"/>
      <c r="I40" s="8">
        <f t="shared" si="20"/>
        <v>47</v>
      </c>
      <c r="J40" s="8">
        <f t="shared" si="21"/>
        <v>52</v>
      </c>
      <c r="K40" s="4">
        <f t="shared" si="24"/>
        <v>120</v>
      </c>
      <c r="L40" s="8"/>
      <c r="M40" s="8"/>
      <c r="N40" s="4">
        <f t="shared" si="25"/>
        <v>140.875</v>
      </c>
      <c r="O40" s="8">
        <f t="shared" si="26"/>
        <v>156</v>
      </c>
      <c r="P40" s="8"/>
      <c r="Q40" s="4">
        <f t="shared" si="6"/>
        <v>424.86111111111114</v>
      </c>
      <c r="R40" s="8">
        <f t="shared" si="27"/>
        <v>461.80555555555554</v>
      </c>
      <c r="S40" s="8">
        <f t="shared" si="7"/>
        <v>471.04166666666669</v>
      </c>
      <c r="T40" s="16">
        <v>0.03</v>
      </c>
      <c r="U40" s="8"/>
      <c r="V40" s="8"/>
      <c r="W40" s="34"/>
      <c r="X40" s="34"/>
      <c r="Y40" s="34"/>
      <c r="Z40" s="34"/>
      <c r="AA40" s="34"/>
      <c r="AB40" s="34"/>
      <c r="AC40" s="34"/>
      <c r="AD40" s="34"/>
    </row>
    <row r="41" spans="1:30">
      <c r="D41" s="1">
        <v>40</v>
      </c>
      <c r="E41" s="1">
        <f t="shared" si="8"/>
        <v>2112000</v>
      </c>
      <c r="F41" s="4">
        <f t="shared" si="22"/>
        <v>989.33333333333326</v>
      </c>
      <c r="G41" s="8">
        <f t="shared" si="23"/>
        <v>1470</v>
      </c>
      <c r="H41" s="8"/>
      <c r="I41" s="8">
        <f t="shared" si="20"/>
        <v>48</v>
      </c>
      <c r="J41" s="8">
        <f t="shared" si="21"/>
        <v>53</v>
      </c>
      <c r="K41" s="4">
        <f t="shared" si="24"/>
        <v>122.5</v>
      </c>
      <c r="L41" s="8"/>
      <c r="M41" s="8"/>
      <c r="N41" s="4">
        <f t="shared" si="25"/>
        <v>143.8125</v>
      </c>
      <c r="O41" s="8">
        <f t="shared" si="26"/>
        <v>159</v>
      </c>
      <c r="P41" s="8"/>
      <c r="Q41" s="4">
        <f t="shared" si="6"/>
        <v>433.35833333333329</v>
      </c>
      <c r="R41" s="8">
        <f t="shared" si="27"/>
        <v>471.04166666666657</v>
      </c>
      <c r="S41" s="8">
        <f t="shared" si="7"/>
        <v>480.46249999999992</v>
      </c>
      <c r="T41" s="16">
        <v>0.03</v>
      </c>
      <c r="U41" s="8"/>
      <c r="V41" s="8"/>
      <c r="W41" s="34"/>
      <c r="X41" s="34"/>
      <c r="Y41" s="34"/>
      <c r="Z41" s="34"/>
      <c r="AA41" s="34"/>
      <c r="AB41" s="34"/>
      <c r="AC41" s="34"/>
      <c r="AD41" s="34"/>
    </row>
    <row r="42" spans="1:30">
      <c r="D42" s="1">
        <v>41</v>
      </c>
      <c r="E42" s="1">
        <f t="shared" si="8"/>
        <v>2274393</v>
      </c>
      <c r="F42" s="4">
        <f t="shared" si="22"/>
        <v>1008</v>
      </c>
      <c r="G42" s="8">
        <f t="shared" si="23"/>
        <v>1500</v>
      </c>
      <c r="H42" s="8"/>
      <c r="I42" s="8">
        <f t="shared" si="20"/>
        <v>49</v>
      </c>
      <c r="J42" s="8">
        <f t="shared" si="21"/>
        <v>54</v>
      </c>
      <c r="K42" s="4">
        <f t="shared" si="24"/>
        <v>125</v>
      </c>
      <c r="L42" s="8"/>
      <c r="M42" s="8"/>
      <c r="N42" s="4">
        <f t="shared" si="25"/>
        <v>146.75</v>
      </c>
      <c r="O42" s="8">
        <f t="shared" si="26"/>
        <v>162</v>
      </c>
      <c r="P42" s="8"/>
      <c r="Q42" s="4">
        <f t="shared" si="6"/>
        <v>441.85555555555561</v>
      </c>
      <c r="R42" s="8">
        <f t="shared" si="27"/>
        <v>480.27777777777783</v>
      </c>
      <c r="S42" s="8">
        <f t="shared" si="7"/>
        <v>489.88333333333338</v>
      </c>
      <c r="T42" s="16">
        <v>0.03</v>
      </c>
      <c r="U42" s="8"/>
      <c r="V42" s="8"/>
      <c r="W42" s="34"/>
      <c r="X42" s="34"/>
      <c r="Y42" s="34"/>
      <c r="Z42" s="34"/>
      <c r="AA42" s="34"/>
      <c r="AB42" s="34"/>
      <c r="AC42" s="34"/>
      <c r="AD42" s="34"/>
    </row>
    <row r="43" spans="1:30">
      <c r="D43" s="1">
        <v>42</v>
      </c>
      <c r="E43" s="1">
        <f t="shared" si="8"/>
        <v>2444904</v>
      </c>
      <c r="F43" s="4">
        <f t="shared" si="22"/>
        <v>1026.6666666666665</v>
      </c>
      <c r="G43" s="8">
        <f t="shared" si="23"/>
        <v>1530</v>
      </c>
      <c r="H43" s="8"/>
      <c r="I43" s="8">
        <f t="shared" si="20"/>
        <v>50</v>
      </c>
      <c r="J43" s="8">
        <f t="shared" si="21"/>
        <v>55</v>
      </c>
      <c r="K43" s="4">
        <f t="shared" si="24"/>
        <v>127.5</v>
      </c>
      <c r="L43" s="8"/>
      <c r="M43" s="8"/>
      <c r="N43" s="4">
        <f t="shared" si="25"/>
        <v>149.6875</v>
      </c>
      <c r="O43" s="8">
        <f t="shared" si="26"/>
        <v>165</v>
      </c>
      <c r="P43" s="8"/>
      <c r="Q43" s="4">
        <f t="shared" si="6"/>
        <v>450.3527777777777</v>
      </c>
      <c r="R43" s="8">
        <f t="shared" si="27"/>
        <v>489.5138888888888</v>
      </c>
      <c r="S43" s="8">
        <f t="shared" si="7"/>
        <v>499.30416666666656</v>
      </c>
      <c r="T43" s="16">
        <v>0.03</v>
      </c>
      <c r="U43" s="8"/>
      <c r="V43" s="8"/>
      <c r="W43" s="34"/>
      <c r="X43" s="34"/>
      <c r="Y43" s="34"/>
      <c r="Z43" s="34"/>
      <c r="AA43" s="34"/>
      <c r="AB43" s="34"/>
      <c r="AC43" s="34"/>
      <c r="AD43" s="34"/>
    </row>
    <row r="44" spans="1:30">
      <c r="D44" s="1">
        <v>43</v>
      </c>
      <c r="E44" s="1">
        <f t="shared" si="8"/>
        <v>2623731</v>
      </c>
      <c r="F44" s="4">
        <f t="shared" si="22"/>
        <v>1045.3333333333333</v>
      </c>
      <c r="G44" s="8">
        <f t="shared" si="23"/>
        <v>1560</v>
      </c>
      <c r="H44" s="8"/>
      <c r="I44" s="8">
        <f t="shared" si="20"/>
        <v>51</v>
      </c>
      <c r="J44" s="8">
        <f t="shared" si="21"/>
        <v>56</v>
      </c>
      <c r="K44" s="4">
        <f t="shared" si="24"/>
        <v>130</v>
      </c>
      <c r="L44" s="8"/>
      <c r="M44" s="8"/>
      <c r="N44" s="4">
        <f t="shared" si="25"/>
        <v>152.625</v>
      </c>
      <c r="O44" s="8">
        <f t="shared" si="26"/>
        <v>168</v>
      </c>
      <c r="P44" s="8"/>
      <c r="Q44" s="4">
        <f t="shared" si="6"/>
        <v>458.84999999999997</v>
      </c>
      <c r="R44" s="8">
        <f t="shared" si="27"/>
        <v>498.74999999999994</v>
      </c>
      <c r="S44" s="8">
        <f t="shared" si="7"/>
        <v>508.72499999999997</v>
      </c>
      <c r="T44" s="16">
        <v>0.03</v>
      </c>
      <c r="U44" s="8"/>
      <c r="V44" s="8"/>
      <c r="W44" s="34"/>
      <c r="X44" s="34"/>
      <c r="Y44" s="34"/>
      <c r="Z44" s="34"/>
      <c r="AA44" s="34"/>
      <c r="AB44" s="34"/>
      <c r="AC44" s="34"/>
      <c r="AD44" s="34"/>
    </row>
    <row r="45" spans="1:30">
      <c r="D45" s="1">
        <v>44</v>
      </c>
      <c r="E45" s="1">
        <f t="shared" si="8"/>
        <v>2811072</v>
      </c>
      <c r="F45" s="4">
        <f t="shared" si="22"/>
        <v>1064</v>
      </c>
      <c r="G45" s="8">
        <f t="shared" si="23"/>
        <v>1590</v>
      </c>
      <c r="H45" s="8"/>
      <c r="I45" s="8">
        <f t="shared" si="20"/>
        <v>52</v>
      </c>
      <c r="J45" s="8">
        <f t="shared" si="21"/>
        <v>57</v>
      </c>
      <c r="K45" s="4">
        <f>$K$2+D44*2.5</f>
        <v>132.5</v>
      </c>
      <c r="L45" s="8"/>
      <c r="M45" s="8"/>
      <c r="N45" s="4">
        <f t="shared" si="25"/>
        <v>155.5625</v>
      </c>
      <c r="O45" s="8">
        <f t="shared" si="26"/>
        <v>171</v>
      </c>
      <c r="P45" s="8"/>
      <c r="Q45" s="4">
        <f t="shared" si="6"/>
        <v>467.34722222222229</v>
      </c>
      <c r="R45" s="8">
        <f t="shared" si="27"/>
        <v>507.98611111111114</v>
      </c>
      <c r="S45" s="8">
        <f t="shared" si="7"/>
        <v>518.14583333333337</v>
      </c>
      <c r="T45" s="16">
        <v>0.03</v>
      </c>
      <c r="U45" s="8"/>
      <c r="V45" s="8"/>
      <c r="W45" s="34"/>
      <c r="X45" s="34"/>
      <c r="Y45" s="34"/>
      <c r="Z45" s="34"/>
      <c r="AA45" s="34"/>
      <c r="AB45" s="34"/>
      <c r="AC45" s="34"/>
      <c r="AD45" s="34"/>
    </row>
    <row r="46" spans="1:30">
      <c r="A46" s="7"/>
      <c r="B46" s="7"/>
      <c r="C46" s="7"/>
      <c r="D46" s="6">
        <v>45</v>
      </c>
      <c r="E46" s="1">
        <f t="shared" si="8"/>
        <v>3007125</v>
      </c>
      <c r="F46" s="4">
        <f>J46*$Y$16*$AD$16</f>
        <v>1620</v>
      </c>
      <c r="G46" s="7">
        <f>K46*$Z$16</f>
        <v>2685</v>
      </c>
      <c r="H46" s="7"/>
      <c r="I46" s="7">
        <f>$I$2+D45+2+2+2</f>
        <v>55</v>
      </c>
      <c r="J46" s="7">
        <f>$J$2+D45+2+2+2</f>
        <v>60</v>
      </c>
      <c r="K46" s="7">
        <f>$K$2+D45*3.5</f>
        <v>179</v>
      </c>
      <c r="L46" s="7"/>
      <c r="M46" s="7"/>
      <c r="N46" s="4">
        <f>(K46*0.9+I46*0.1)*$AB$16</f>
        <v>249.89999999999998</v>
      </c>
      <c r="O46" s="7">
        <f>J46*$AA$16</f>
        <v>240</v>
      </c>
      <c r="P46" s="7"/>
      <c r="Q46" s="7">
        <f t="shared" ref="Q46" si="28">R46*0.9</f>
        <v>992.0474999999999</v>
      </c>
      <c r="R46" s="8">
        <f>F46/$AC$16*(1+(N46/O46))</f>
        <v>1102.2749999999999</v>
      </c>
      <c r="S46" s="7">
        <f t="shared" ref="S46" si="29">R46*1.05</f>
        <v>1157.3887499999998</v>
      </c>
      <c r="T46" s="17">
        <v>0.04</v>
      </c>
      <c r="U46" s="7"/>
      <c r="V46" s="7"/>
      <c r="W46" s="34"/>
      <c r="X46" s="34"/>
      <c r="Y46" s="34"/>
      <c r="Z46" s="34"/>
      <c r="AA46" s="34"/>
      <c r="AB46" s="34"/>
      <c r="AC46" s="34"/>
      <c r="AD46" s="34"/>
    </row>
    <row r="47" spans="1:30">
      <c r="B47" s="4" t="s">
        <v>33</v>
      </c>
      <c r="C47" s="4" t="s">
        <v>1</v>
      </c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  <c r="I47" s="4" t="s">
        <v>7</v>
      </c>
      <c r="J47" s="4" t="s">
        <v>8</v>
      </c>
      <c r="K47" s="4" t="s">
        <v>9</v>
      </c>
      <c r="L47" s="2" t="s">
        <v>35</v>
      </c>
      <c r="M47" s="2" t="s">
        <v>10</v>
      </c>
      <c r="N47" s="4" t="s">
        <v>12</v>
      </c>
      <c r="O47" s="4" t="s">
        <v>13</v>
      </c>
      <c r="P47" s="2" t="s">
        <v>11</v>
      </c>
      <c r="Q47" s="2" t="s">
        <v>191</v>
      </c>
      <c r="R47" s="8" t="s">
        <v>207</v>
      </c>
      <c r="S47" s="2" t="s">
        <v>192</v>
      </c>
      <c r="T47" s="2" t="s">
        <v>193</v>
      </c>
      <c r="U47" s="4" t="s">
        <v>18</v>
      </c>
      <c r="V47" s="4" t="s">
        <v>19</v>
      </c>
      <c r="W47" s="34"/>
      <c r="X47" s="34"/>
      <c r="Y47" s="34"/>
      <c r="Z47" s="34"/>
      <c r="AA47" s="34"/>
      <c r="AB47" s="34"/>
      <c r="AC47" s="34"/>
      <c r="AD47" s="34"/>
    </row>
    <row r="48" spans="1:30">
      <c r="B48" s="4" t="s">
        <v>36</v>
      </c>
      <c r="C48" s="4" t="s">
        <v>50</v>
      </c>
      <c r="D48" s="1">
        <v>1</v>
      </c>
      <c r="E48" s="1">
        <v>0</v>
      </c>
      <c r="F48" s="4">
        <f>J48*$Y$5*$AD$5</f>
        <v>240</v>
      </c>
      <c r="G48" s="4">
        <f>K48*$Z$5+D48^2</f>
        <v>16</v>
      </c>
      <c r="H48" s="4"/>
      <c r="I48" s="4">
        <v>15</v>
      </c>
      <c r="J48" s="4">
        <v>20</v>
      </c>
      <c r="K48" s="4">
        <v>5</v>
      </c>
      <c r="L48" s="2"/>
      <c r="M48" s="2"/>
      <c r="N48" s="4">
        <f>I48*$AB$5</f>
        <v>30</v>
      </c>
      <c r="O48" s="4">
        <f>J48*$AA$5</f>
        <v>40</v>
      </c>
      <c r="P48" s="4"/>
      <c r="Q48" s="4">
        <f>R48*0.95</f>
        <v>49.875</v>
      </c>
      <c r="R48" s="8">
        <f>F48/$AC$5*(1+(N48/O48))</f>
        <v>52.5</v>
      </c>
      <c r="S48" s="4">
        <f>R48*1.05</f>
        <v>55.125</v>
      </c>
      <c r="T48" s="18">
        <v>1.4999999999999999E-2</v>
      </c>
      <c r="U48" s="4"/>
      <c r="V48" s="4"/>
      <c r="W48" s="34"/>
      <c r="X48" s="34"/>
      <c r="Y48" s="34"/>
      <c r="Z48" s="34"/>
      <c r="AA48" s="34"/>
      <c r="AB48" s="34"/>
      <c r="AC48" s="34"/>
      <c r="AD48" s="34"/>
    </row>
    <row r="49" spans="1:30">
      <c r="B49" s="4"/>
      <c r="C49" s="4"/>
      <c r="D49" s="1">
        <v>2</v>
      </c>
      <c r="E49" s="1">
        <f>33*D49^3</f>
        <v>264</v>
      </c>
      <c r="F49" s="4">
        <f t="shared" ref="F49:F61" si="30">J49*$Y$5*$AD$5</f>
        <v>276</v>
      </c>
      <c r="G49" s="4">
        <f t="shared" ref="G49:G61" si="31">K49*$Z$5+D49^2</f>
        <v>22</v>
      </c>
      <c r="H49" s="4"/>
      <c r="I49" s="4">
        <f>$I$48+D49*2</f>
        <v>19</v>
      </c>
      <c r="J49" s="4">
        <f>$J$48+D48+2</f>
        <v>23</v>
      </c>
      <c r="K49" s="4">
        <f>$K$48+D48</f>
        <v>6</v>
      </c>
      <c r="L49" s="2"/>
      <c r="M49" s="2"/>
      <c r="N49" s="4">
        <f t="shared" ref="N49:N61" si="32">I49*$AB$5</f>
        <v>38</v>
      </c>
      <c r="O49" s="4">
        <f t="shared" ref="O49:O61" si="33">J49*$AA$5</f>
        <v>46</v>
      </c>
      <c r="P49" s="4"/>
      <c r="Q49" s="4">
        <f t="shared" ref="Q49:Q92" si="34">R49*0.95</f>
        <v>59.85</v>
      </c>
      <c r="R49" s="8">
        <f t="shared" ref="R49:R61" si="35">F49/$AC$5*(1+(N49/O49))</f>
        <v>63.000000000000007</v>
      </c>
      <c r="S49" s="4">
        <f t="shared" ref="S49:S92" si="36">R49*1.05</f>
        <v>66.150000000000006</v>
      </c>
      <c r="T49" s="18">
        <v>1.4999999999999999E-2</v>
      </c>
      <c r="U49" s="4"/>
      <c r="V49" s="4"/>
      <c r="W49" s="34"/>
      <c r="X49" s="34"/>
      <c r="Y49" s="34"/>
      <c r="Z49" s="34"/>
      <c r="AA49" s="34"/>
      <c r="AB49" s="34"/>
      <c r="AC49" s="34"/>
      <c r="AD49" s="34"/>
    </row>
    <row r="50" spans="1:30">
      <c r="B50" s="4"/>
      <c r="C50" s="4"/>
      <c r="D50" s="1">
        <v>3</v>
      </c>
      <c r="E50" s="1">
        <f t="shared" ref="E50:E92" si="37">33*D50^3</f>
        <v>891</v>
      </c>
      <c r="F50" s="4">
        <f t="shared" si="30"/>
        <v>288</v>
      </c>
      <c r="G50" s="4">
        <f t="shared" si="31"/>
        <v>30</v>
      </c>
      <c r="H50" s="4"/>
      <c r="I50" s="4">
        <f t="shared" ref="I50:I61" si="38">$I$48+D50*2</f>
        <v>21</v>
      </c>
      <c r="J50" s="4">
        <f t="shared" ref="J50:J61" si="39">$J$48+D49+2</f>
        <v>24</v>
      </c>
      <c r="K50" s="4">
        <f t="shared" ref="K50:K92" si="40">$K$48+D49</f>
        <v>7</v>
      </c>
      <c r="L50" s="2"/>
      <c r="M50" s="2"/>
      <c r="N50" s="4">
        <f t="shared" si="32"/>
        <v>42</v>
      </c>
      <c r="O50" s="4">
        <f t="shared" si="33"/>
        <v>48</v>
      </c>
      <c r="P50" s="4"/>
      <c r="Q50" s="4">
        <f t="shared" si="34"/>
        <v>64.125</v>
      </c>
      <c r="R50" s="8">
        <f t="shared" si="35"/>
        <v>67.5</v>
      </c>
      <c r="S50" s="4">
        <f t="shared" si="36"/>
        <v>70.875</v>
      </c>
      <c r="T50" s="18">
        <v>1.4999999999999999E-2</v>
      </c>
      <c r="U50" s="4"/>
      <c r="V50" s="4"/>
      <c r="W50" s="34"/>
      <c r="X50" s="34"/>
      <c r="Y50" s="34"/>
      <c r="Z50" s="34"/>
      <c r="AA50" s="34"/>
      <c r="AB50" s="34"/>
      <c r="AC50" s="34"/>
      <c r="AD50" s="34"/>
    </row>
    <row r="51" spans="1:30">
      <c r="B51" s="4"/>
      <c r="C51" s="4"/>
      <c r="D51" s="1">
        <v>4</v>
      </c>
      <c r="E51" s="1">
        <f t="shared" si="37"/>
        <v>2112</v>
      </c>
      <c r="F51" s="4">
        <f t="shared" si="30"/>
        <v>300</v>
      </c>
      <c r="G51" s="4">
        <f t="shared" si="31"/>
        <v>40</v>
      </c>
      <c r="H51" s="4"/>
      <c r="I51" s="4">
        <f t="shared" si="38"/>
        <v>23</v>
      </c>
      <c r="J51" s="4">
        <f t="shared" si="39"/>
        <v>25</v>
      </c>
      <c r="K51" s="4">
        <f t="shared" si="40"/>
        <v>8</v>
      </c>
      <c r="L51" s="2"/>
      <c r="M51" s="2"/>
      <c r="N51" s="4">
        <f t="shared" si="32"/>
        <v>46</v>
      </c>
      <c r="O51" s="4">
        <f t="shared" si="33"/>
        <v>50</v>
      </c>
      <c r="P51" s="4"/>
      <c r="Q51" s="4">
        <f t="shared" si="34"/>
        <v>68.399999999999991</v>
      </c>
      <c r="R51" s="8">
        <f t="shared" si="35"/>
        <v>72</v>
      </c>
      <c r="S51" s="4">
        <f t="shared" si="36"/>
        <v>75.600000000000009</v>
      </c>
      <c r="T51" s="18">
        <v>1.4999999999999999E-2</v>
      </c>
      <c r="U51" s="4"/>
      <c r="V51" s="4"/>
      <c r="W51" s="33" t="s">
        <v>190</v>
      </c>
      <c r="X51" s="33"/>
      <c r="Y51" s="33"/>
      <c r="Z51" s="33"/>
      <c r="AA51" s="33"/>
      <c r="AB51" s="33"/>
      <c r="AC51" s="33"/>
    </row>
    <row r="52" spans="1:30">
      <c r="B52" s="4"/>
      <c r="C52" s="4"/>
      <c r="D52" s="1">
        <v>5</v>
      </c>
      <c r="E52" s="1">
        <f t="shared" si="37"/>
        <v>4125</v>
      </c>
      <c r="F52" s="4">
        <f t="shared" si="30"/>
        <v>312</v>
      </c>
      <c r="G52" s="4">
        <f t="shared" si="31"/>
        <v>52</v>
      </c>
      <c r="H52" s="4"/>
      <c r="I52" s="4">
        <f t="shared" si="38"/>
        <v>25</v>
      </c>
      <c r="J52" s="4">
        <f t="shared" si="39"/>
        <v>26</v>
      </c>
      <c r="K52" s="4">
        <f t="shared" si="40"/>
        <v>9</v>
      </c>
      <c r="L52" s="2"/>
      <c r="M52" s="2"/>
      <c r="N52" s="4">
        <f t="shared" si="32"/>
        <v>50</v>
      </c>
      <c r="O52" s="4">
        <f t="shared" si="33"/>
        <v>52</v>
      </c>
      <c r="P52" s="4"/>
      <c r="Q52" s="4">
        <f t="shared" si="34"/>
        <v>72.674999999999997</v>
      </c>
      <c r="R52" s="8">
        <f t="shared" si="35"/>
        <v>76.5</v>
      </c>
      <c r="S52" s="4">
        <f t="shared" si="36"/>
        <v>80.325000000000003</v>
      </c>
      <c r="T52" s="18">
        <v>1.4999999999999999E-2</v>
      </c>
      <c r="U52" s="4"/>
      <c r="V52" s="4"/>
      <c r="W52" s="4" t="s">
        <v>46</v>
      </c>
      <c r="X52" s="4" t="s">
        <v>38</v>
      </c>
      <c r="Y52" s="14" t="s">
        <v>205</v>
      </c>
      <c r="Z52" s="15" t="s">
        <v>39</v>
      </c>
      <c r="AA52" s="15" t="s">
        <v>40</v>
      </c>
      <c r="AB52" s="15" t="s">
        <v>41</v>
      </c>
      <c r="AC52" s="15" t="s">
        <v>204</v>
      </c>
      <c r="AD52" s="25" t="s">
        <v>206</v>
      </c>
    </row>
    <row r="53" spans="1:30">
      <c r="B53" s="4"/>
      <c r="C53" s="4"/>
      <c r="D53" s="1">
        <v>6</v>
      </c>
      <c r="E53" s="1">
        <f t="shared" si="37"/>
        <v>7128</v>
      </c>
      <c r="F53" s="4">
        <f t="shared" si="30"/>
        <v>324</v>
      </c>
      <c r="G53" s="4">
        <f t="shared" si="31"/>
        <v>66</v>
      </c>
      <c r="H53" s="4"/>
      <c r="I53" s="4">
        <f t="shared" si="38"/>
        <v>27</v>
      </c>
      <c r="J53" s="4">
        <f t="shared" si="39"/>
        <v>27</v>
      </c>
      <c r="K53" s="4">
        <f t="shared" si="40"/>
        <v>10</v>
      </c>
      <c r="L53" s="2"/>
      <c r="M53" s="2"/>
      <c r="N53" s="4">
        <f t="shared" si="32"/>
        <v>54</v>
      </c>
      <c r="O53" s="4">
        <f t="shared" si="33"/>
        <v>54</v>
      </c>
      <c r="P53" s="4"/>
      <c r="Q53" s="4">
        <f t="shared" si="34"/>
        <v>76.95</v>
      </c>
      <c r="R53" s="8">
        <f t="shared" si="35"/>
        <v>81</v>
      </c>
      <c r="S53" s="4">
        <f t="shared" si="36"/>
        <v>85.05</v>
      </c>
      <c r="T53" s="18">
        <v>1.4999999999999999E-2</v>
      </c>
      <c r="U53" s="4"/>
      <c r="V53" s="4"/>
      <c r="W53" s="4"/>
      <c r="X53" s="4"/>
      <c r="Y53" s="8">
        <v>2</v>
      </c>
      <c r="Z53" s="4">
        <v>6</v>
      </c>
      <c r="AA53" s="4">
        <v>1</v>
      </c>
      <c r="AB53" s="4">
        <v>1</v>
      </c>
      <c r="AC53" s="4">
        <v>10</v>
      </c>
      <c r="AD53" s="4">
        <v>3</v>
      </c>
    </row>
    <row r="54" spans="1:30">
      <c r="B54" s="4"/>
      <c r="C54" s="4"/>
      <c r="D54" s="1">
        <v>7</v>
      </c>
      <c r="E54" s="1">
        <f t="shared" si="37"/>
        <v>11319</v>
      </c>
      <c r="F54" s="4">
        <f t="shared" si="30"/>
        <v>336</v>
      </c>
      <c r="G54" s="4">
        <f t="shared" si="31"/>
        <v>82</v>
      </c>
      <c r="H54" s="4"/>
      <c r="I54" s="4">
        <f t="shared" si="38"/>
        <v>29</v>
      </c>
      <c r="J54" s="4">
        <f t="shared" si="39"/>
        <v>28</v>
      </c>
      <c r="K54" s="4">
        <f t="shared" si="40"/>
        <v>11</v>
      </c>
      <c r="L54" s="2"/>
      <c r="M54" s="2"/>
      <c r="N54" s="4">
        <f t="shared" si="32"/>
        <v>58</v>
      </c>
      <c r="O54" s="4">
        <f t="shared" si="33"/>
        <v>56</v>
      </c>
      <c r="P54" s="4"/>
      <c r="Q54" s="4">
        <f t="shared" si="34"/>
        <v>81.224999999999994</v>
      </c>
      <c r="R54" s="8">
        <f t="shared" si="35"/>
        <v>85.5</v>
      </c>
      <c r="S54" s="4">
        <f t="shared" si="36"/>
        <v>89.775000000000006</v>
      </c>
      <c r="T54" s="18">
        <v>1.4999999999999999E-2</v>
      </c>
      <c r="U54" s="4"/>
      <c r="V54" s="4"/>
      <c r="W54" s="4"/>
      <c r="X54" s="4" t="s">
        <v>36</v>
      </c>
      <c r="Y54" s="8" t="s">
        <v>205</v>
      </c>
      <c r="Z54" s="4" t="s">
        <v>39</v>
      </c>
      <c r="AA54" s="4" t="s">
        <v>40</v>
      </c>
      <c r="AB54" s="4" t="s">
        <v>41</v>
      </c>
      <c r="AC54" s="15" t="s">
        <v>204</v>
      </c>
      <c r="AD54" s="25" t="s">
        <v>206</v>
      </c>
    </row>
    <row r="55" spans="1:30">
      <c r="B55" s="4"/>
      <c r="C55" s="4"/>
      <c r="D55" s="1">
        <v>8</v>
      </c>
      <c r="E55" s="1">
        <f t="shared" si="37"/>
        <v>16896</v>
      </c>
      <c r="F55" s="4">
        <f t="shared" si="30"/>
        <v>348</v>
      </c>
      <c r="G55" s="4">
        <f t="shared" si="31"/>
        <v>100</v>
      </c>
      <c r="H55" s="4"/>
      <c r="I55" s="4">
        <f t="shared" si="38"/>
        <v>31</v>
      </c>
      <c r="J55" s="4">
        <f t="shared" si="39"/>
        <v>29</v>
      </c>
      <c r="K55" s="4">
        <f t="shared" si="40"/>
        <v>12</v>
      </c>
      <c r="L55" s="2"/>
      <c r="M55" s="2"/>
      <c r="N55" s="4">
        <f t="shared" si="32"/>
        <v>62</v>
      </c>
      <c r="O55" s="4">
        <f t="shared" si="33"/>
        <v>58</v>
      </c>
      <c r="P55" s="4"/>
      <c r="Q55" s="4">
        <f t="shared" si="34"/>
        <v>85.499999999999986</v>
      </c>
      <c r="R55" s="8">
        <f t="shared" si="35"/>
        <v>89.999999999999986</v>
      </c>
      <c r="S55" s="4">
        <f t="shared" si="36"/>
        <v>94.499999999999986</v>
      </c>
      <c r="T55" s="18">
        <v>1.4999999999999999E-2</v>
      </c>
      <c r="U55" s="4"/>
      <c r="V55" s="4"/>
      <c r="W55" s="4"/>
      <c r="X55" s="5"/>
      <c r="Y55" s="8">
        <v>3</v>
      </c>
      <c r="Z55" s="5">
        <v>3</v>
      </c>
      <c r="AA55" s="5">
        <v>2</v>
      </c>
      <c r="AB55" s="5">
        <v>2</v>
      </c>
      <c r="AC55" s="5">
        <v>15</v>
      </c>
      <c r="AD55" s="5">
        <v>4</v>
      </c>
    </row>
    <row r="56" spans="1:30">
      <c r="B56" s="4"/>
      <c r="C56" s="4"/>
      <c r="D56" s="1">
        <v>9</v>
      </c>
      <c r="E56" s="1">
        <f t="shared" si="37"/>
        <v>24057</v>
      </c>
      <c r="F56" s="4">
        <f t="shared" si="30"/>
        <v>360</v>
      </c>
      <c r="G56" s="4">
        <f t="shared" si="31"/>
        <v>120</v>
      </c>
      <c r="H56" s="4"/>
      <c r="I56" s="4">
        <f t="shared" si="38"/>
        <v>33</v>
      </c>
      <c r="J56" s="4">
        <f t="shared" si="39"/>
        <v>30</v>
      </c>
      <c r="K56" s="4">
        <f t="shared" si="40"/>
        <v>13</v>
      </c>
      <c r="L56" s="2"/>
      <c r="M56" s="2"/>
      <c r="N56" s="4">
        <f t="shared" si="32"/>
        <v>66</v>
      </c>
      <c r="O56" s="4">
        <f t="shared" si="33"/>
        <v>60</v>
      </c>
      <c r="P56" s="4"/>
      <c r="Q56" s="4">
        <f t="shared" si="34"/>
        <v>89.774999999999991</v>
      </c>
      <c r="R56" s="8">
        <f t="shared" si="35"/>
        <v>94.5</v>
      </c>
      <c r="S56" s="4">
        <f t="shared" si="36"/>
        <v>99.225000000000009</v>
      </c>
      <c r="T56" s="18">
        <v>1.4999999999999999E-2</v>
      </c>
      <c r="U56" s="4"/>
      <c r="V56" s="4"/>
      <c r="W56" s="4" t="s">
        <v>47</v>
      </c>
      <c r="X56" s="4" t="s">
        <v>38</v>
      </c>
      <c r="Y56" s="8" t="s">
        <v>205</v>
      </c>
      <c r="Z56" s="4" t="s">
        <v>39</v>
      </c>
      <c r="AA56" s="4" t="s">
        <v>40</v>
      </c>
      <c r="AB56" s="4" t="s">
        <v>41</v>
      </c>
      <c r="AC56" s="15" t="s">
        <v>204</v>
      </c>
      <c r="AD56" s="25" t="s">
        <v>206</v>
      </c>
    </row>
    <row r="57" spans="1:30">
      <c r="B57" s="4"/>
      <c r="C57" s="4"/>
      <c r="D57" s="1">
        <v>10</v>
      </c>
      <c r="E57" s="1">
        <f t="shared" si="37"/>
        <v>33000</v>
      </c>
      <c r="F57" s="4">
        <f t="shared" si="30"/>
        <v>372</v>
      </c>
      <c r="G57" s="4">
        <f t="shared" si="31"/>
        <v>142</v>
      </c>
      <c r="H57" s="4"/>
      <c r="I57" s="4">
        <f t="shared" si="38"/>
        <v>35</v>
      </c>
      <c r="J57" s="4">
        <f t="shared" si="39"/>
        <v>31</v>
      </c>
      <c r="K57" s="4">
        <f t="shared" si="40"/>
        <v>14</v>
      </c>
      <c r="L57" s="2"/>
      <c r="M57" s="2"/>
      <c r="N57" s="4">
        <f t="shared" si="32"/>
        <v>70</v>
      </c>
      <c r="O57" s="4">
        <f t="shared" si="33"/>
        <v>62</v>
      </c>
      <c r="P57" s="4"/>
      <c r="Q57" s="4">
        <f t="shared" si="34"/>
        <v>94.05</v>
      </c>
      <c r="R57" s="8">
        <f t="shared" si="35"/>
        <v>99</v>
      </c>
      <c r="S57" s="4">
        <f t="shared" si="36"/>
        <v>103.95</v>
      </c>
      <c r="T57" s="18">
        <v>1.4999999999999999E-2</v>
      </c>
      <c r="U57" s="4"/>
      <c r="V57" s="4"/>
      <c r="W57" s="4"/>
      <c r="X57" s="4"/>
      <c r="Y57" s="8">
        <v>2.3333333333333335</v>
      </c>
      <c r="Z57" s="4">
        <v>9</v>
      </c>
      <c r="AA57" s="4">
        <v>2</v>
      </c>
      <c r="AB57" s="4">
        <v>1.0125</v>
      </c>
      <c r="AC57" s="4">
        <v>15</v>
      </c>
      <c r="AD57" s="4">
        <v>5</v>
      </c>
    </row>
    <row r="58" spans="1:30">
      <c r="B58" s="4"/>
      <c r="C58" s="4"/>
      <c r="D58" s="1">
        <v>11</v>
      </c>
      <c r="E58" s="1">
        <f t="shared" si="37"/>
        <v>43923</v>
      </c>
      <c r="F58" s="4">
        <f t="shared" si="30"/>
        <v>384</v>
      </c>
      <c r="G58" s="4">
        <f t="shared" si="31"/>
        <v>166</v>
      </c>
      <c r="H58" s="4"/>
      <c r="I58" s="4">
        <f t="shared" si="38"/>
        <v>37</v>
      </c>
      <c r="J58" s="4">
        <f t="shared" si="39"/>
        <v>32</v>
      </c>
      <c r="K58" s="4">
        <f t="shared" si="40"/>
        <v>15</v>
      </c>
      <c r="L58" s="2"/>
      <c r="M58" s="2"/>
      <c r="N58" s="4">
        <f t="shared" si="32"/>
        <v>74</v>
      </c>
      <c r="O58" s="4">
        <f t="shared" si="33"/>
        <v>64</v>
      </c>
      <c r="P58" s="4"/>
      <c r="Q58" s="4">
        <f t="shared" si="34"/>
        <v>98.324999999999989</v>
      </c>
      <c r="R58" s="8">
        <f t="shared" si="35"/>
        <v>103.5</v>
      </c>
      <c r="S58" s="4">
        <f t="shared" si="36"/>
        <v>108.67500000000001</v>
      </c>
      <c r="T58" s="18">
        <v>1.4999999999999999E-2</v>
      </c>
      <c r="U58" s="4"/>
      <c r="V58" s="4"/>
      <c r="W58" s="4"/>
      <c r="X58" s="4" t="s">
        <v>36</v>
      </c>
      <c r="Y58" s="8" t="s">
        <v>205</v>
      </c>
      <c r="Z58" s="4" t="s">
        <v>39</v>
      </c>
      <c r="AA58" s="4" t="s">
        <v>40</v>
      </c>
      <c r="AB58" s="4" t="s">
        <v>41</v>
      </c>
      <c r="AC58" s="15" t="s">
        <v>204</v>
      </c>
      <c r="AD58" s="25" t="s">
        <v>206</v>
      </c>
    </row>
    <row r="59" spans="1:30">
      <c r="B59" s="4"/>
      <c r="C59" s="4"/>
      <c r="D59" s="1">
        <v>12</v>
      </c>
      <c r="E59" s="1">
        <f t="shared" si="37"/>
        <v>57024</v>
      </c>
      <c r="F59" s="4">
        <f t="shared" si="30"/>
        <v>396</v>
      </c>
      <c r="G59" s="8">
        <f t="shared" si="31"/>
        <v>192</v>
      </c>
      <c r="H59" s="8"/>
      <c r="I59" s="8">
        <f t="shared" si="38"/>
        <v>39</v>
      </c>
      <c r="J59" s="8">
        <f t="shared" si="39"/>
        <v>33</v>
      </c>
      <c r="K59" s="4">
        <f t="shared" si="40"/>
        <v>16</v>
      </c>
      <c r="L59" s="9"/>
      <c r="M59" s="9"/>
      <c r="N59" s="4">
        <f t="shared" si="32"/>
        <v>78</v>
      </c>
      <c r="O59" s="4">
        <f t="shared" si="33"/>
        <v>66</v>
      </c>
      <c r="P59" s="8"/>
      <c r="Q59" s="4">
        <f t="shared" si="34"/>
        <v>102.59999999999998</v>
      </c>
      <c r="R59" s="8">
        <f t="shared" si="35"/>
        <v>107.99999999999999</v>
      </c>
      <c r="S59" s="4">
        <f t="shared" si="36"/>
        <v>113.39999999999999</v>
      </c>
      <c r="T59" s="18">
        <v>1.4999999999999999E-2</v>
      </c>
      <c r="U59" s="8"/>
      <c r="V59" s="8"/>
      <c r="W59" s="4"/>
      <c r="X59" s="4"/>
      <c r="Y59" s="11">
        <v>3.5</v>
      </c>
      <c r="Z59" s="4">
        <v>4.5</v>
      </c>
      <c r="AA59" s="4">
        <v>4</v>
      </c>
      <c r="AB59" s="4">
        <v>2.0249999999999999</v>
      </c>
      <c r="AC59" s="4">
        <v>20</v>
      </c>
      <c r="AD59" s="4">
        <v>6</v>
      </c>
    </row>
    <row r="60" spans="1:30">
      <c r="B60" s="4"/>
      <c r="C60" s="4"/>
      <c r="D60" s="1">
        <v>13</v>
      </c>
      <c r="E60" s="1">
        <f t="shared" si="37"/>
        <v>72501</v>
      </c>
      <c r="F60" s="4">
        <f t="shared" si="30"/>
        <v>408</v>
      </c>
      <c r="G60" s="8">
        <f t="shared" si="31"/>
        <v>220</v>
      </c>
      <c r="H60" s="8"/>
      <c r="I60" s="8">
        <f t="shared" si="38"/>
        <v>41</v>
      </c>
      <c r="J60" s="8">
        <f t="shared" si="39"/>
        <v>34</v>
      </c>
      <c r="K60" s="4">
        <f t="shared" si="40"/>
        <v>17</v>
      </c>
      <c r="L60" s="9"/>
      <c r="M60" s="9"/>
      <c r="N60" s="4">
        <f t="shared" si="32"/>
        <v>82</v>
      </c>
      <c r="O60" s="4">
        <f t="shared" si="33"/>
        <v>68</v>
      </c>
      <c r="P60" s="8"/>
      <c r="Q60" s="4">
        <f t="shared" si="34"/>
        <v>106.87500000000001</v>
      </c>
      <c r="R60" s="8">
        <f t="shared" si="35"/>
        <v>112.50000000000001</v>
      </c>
      <c r="S60" s="4">
        <f t="shared" si="36"/>
        <v>118.12500000000001</v>
      </c>
      <c r="T60" s="18">
        <v>1.4999999999999999E-2</v>
      </c>
      <c r="U60" s="8"/>
      <c r="V60" s="8"/>
      <c r="W60" s="4" t="s">
        <v>48</v>
      </c>
      <c r="X60" s="4" t="s">
        <v>38</v>
      </c>
      <c r="Y60" s="8" t="s">
        <v>205</v>
      </c>
      <c r="Z60" s="4" t="s">
        <v>39</v>
      </c>
      <c r="AA60" s="4" t="s">
        <v>40</v>
      </c>
      <c r="AB60" s="4" t="s">
        <v>41</v>
      </c>
      <c r="AC60" s="15" t="s">
        <v>204</v>
      </c>
      <c r="AD60" s="25" t="s">
        <v>206</v>
      </c>
    </row>
    <row r="61" spans="1:30">
      <c r="B61" s="4"/>
      <c r="C61" s="4"/>
      <c r="D61" s="1">
        <v>14</v>
      </c>
      <c r="E61" s="1">
        <f t="shared" si="37"/>
        <v>90552</v>
      </c>
      <c r="F61" s="4">
        <f t="shared" si="30"/>
        <v>420</v>
      </c>
      <c r="G61" s="8">
        <f t="shared" si="31"/>
        <v>250</v>
      </c>
      <c r="H61" s="8"/>
      <c r="I61" s="8">
        <f t="shared" si="38"/>
        <v>43</v>
      </c>
      <c r="J61" s="8">
        <f t="shared" si="39"/>
        <v>35</v>
      </c>
      <c r="K61" s="4">
        <f t="shared" si="40"/>
        <v>18</v>
      </c>
      <c r="L61" s="9"/>
      <c r="M61" s="9"/>
      <c r="N61" s="4">
        <f t="shared" si="32"/>
        <v>86</v>
      </c>
      <c r="O61" s="4">
        <f t="shared" si="33"/>
        <v>70</v>
      </c>
      <c r="P61" s="8"/>
      <c r="Q61" s="4">
        <f t="shared" si="34"/>
        <v>111.14999999999999</v>
      </c>
      <c r="R61" s="8">
        <f t="shared" si="35"/>
        <v>117</v>
      </c>
      <c r="S61" s="4">
        <f t="shared" si="36"/>
        <v>122.85000000000001</v>
      </c>
      <c r="T61" s="18">
        <v>1.4999999999999999E-2</v>
      </c>
      <c r="U61" s="8"/>
      <c r="V61" s="8"/>
      <c r="W61" s="4"/>
      <c r="X61" s="4"/>
      <c r="Y61" s="8">
        <v>2.6666666666666665</v>
      </c>
      <c r="Z61" s="4">
        <v>12</v>
      </c>
      <c r="AA61" s="4">
        <v>3</v>
      </c>
      <c r="AB61" s="4">
        <v>1.25</v>
      </c>
      <c r="AC61" s="4">
        <v>20</v>
      </c>
      <c r="AD61" s="4">
        <v>7</v>
      </c>
    </row>
    <row r="62" spans="1:30">
      <c r="A62" s="7"/>
      <c r="B62" s="7"/>
      <c r="C62" s="7"/>
      <c r="D62" s="6">
        <v>15</v>
      </c>
      <c r="E62" s="1">
        <f t="shared" si="37"/>
        <v>111375</v>
      </c>
      <c r="F62" s="4">
        <f>J62*$Y$9*$AD$9</f>
        <v>798</v>
      </c>
      <c r="G62" s="7">
        <f>K62*$Z$9+D62^2</f>
        <v>310.5</v>
      </c>
      <c r="H62" s="7"/>
      <c r="I62" s="7">
        <f>$I$48+D62*3</f>
        <v>60</v>
      </c>
      <c r="J62" s="7">
        <f>$J$48+D61+4</f>
        <v>38</v>
      </c>
      <c r="K62" s="7">
        <f t="shared" si="40"/>
        <v>19</v>
      </c>
      <c r="L62" s="13"/>
      <c r="M62" s="13"/>
      <c r="N62" s="7">
        <f>I62*$AB$9</f>
        <v>121.5</v>
      </c>
      <c r="O62" s="7">
        <f>J62*$AA$9</f>
        <v>152</v>
      </c>
      <c r="P62" s="7"/>
      <c r="Q62" s="7">
        <f t="shared" si="34"/>
        <v>194.86874999999998</v>
      </c>
      <c r="R62" s="8">
        <f>F62/$AC$9*(1+(N62/O62))</f>
        <v>205.125</v>
      </c>
      <c r="S62" s="7">
        <f t="shared" si="36"/>
        <v>215.38125000000002</v>
      </c>
      <c r="T62" s="19">
        <v>2.5000000000000001E-2</v>
      </c>
      <c r="U62" s="7"/>
      <c r="V62" s="7"/>
      <c r="W62" s="4"/>
      <c r="X62" s="4" t="s">
        <v>36</v>
      </c>
      <c r="Y62" s="8" t="s">
        <v>205</v>
      </c>
      <c r="Z62" s="4" t="s">
        <v>39</v>
      </c>
      <c r="AA62" s="4" t="s">
        <v>40</v>
      </c>
      <c r="AB62" s="4" t="s">
        <v>41</v>
      </c>
      <c r="AC62" s="15" t="s">
        <v>204</v>
      </c>
      <c r="AD62" s="25" t="s">
        <v>206</v>
      </c>
    </row>
    <row r="63" spans="1:30">
      <c r="B63" s="4"/>
      <c r="C63" s="4"/>
      <c r="D63" s="1">
        <v>16</v>
      </c>
      <c r="E63" s="1">
        <f t="shared" si="37"/>
        <v>135168</v>
      </c>
      <c r="F63" s="4">
        <f t="shared" ref="F63:F76" si="41">J63*$Y$9*$AD$9</f>
        <v>819</v>
      </c>
      <c r="G63" s="8">
        <f t="shared" ref="G63:G76" si="42">K63*$Z$9+D63^2</f>
        <v>346</v>
      </c>
      <c r="H63" s="8"/>
      <c r="I63" s="8">
        <f t="shared" ref="I63:I76" si="43">$I$48+D63*3</f>
        <v>63</v>
      </c>
      <c r="J63" s="8">
        <f t="shared" ref="J63:J76" si="44">$J$48+D62+4</f>
        <v>39</v>
      </c>
      <c r="K63" s="4">
        <f t="shared" si="40"/>
        <v>20</v>
      </c>
      <c r="L63" s="9"/>
      <c r="M63" s="9"/>
      <c r="N63" s="8">
        <f t="shared" ref="N63:N75" si="45">I63*$AB$9</f>
        <v>127.57499999999999</v>
      </c>
      <c r="O63" s="8">
        <f t="shared" ref="O63:O76" si="46">J63*$AA$9</f>
        <v>156</v>
      </c>
      <c r="P63" s="8"/>
      <c r="Q63" s="4">
        <f t="shared" si="34"/>
        <v>202.04718749999998</v>
      </c>
      <c r="R63" s="8">
        <f t="shared" ref="R63:R76" si="47">F63/$AC$9*(1+(N63/O63))</f>
        <v>212.68124999999998</v>
      </c>
      <c r="S63" s="4">
        <f t="shared" si="36"/>
        <v>223.31531249999998</v>
      </c>
      <c r="T63" s="20">
        <v>2.5000000000000001E-2</v>
      </c>
      <c r="U63" s="8"/>
      <c r="V63" s="8"/>
      <c r="W63" s="4"/>
      <c r="X63" s="4"/>
      <c r="Y63" s="8">
        <v>4</v>
      </c>
      <c r="Z63" s="4">
        <v>6</v>
      </c>
      <c r="AA63" s="4">
        <v>6</v>
      </c>
      <c r="AB63" s="4">
        <v>2.5</v>
      </c>
      <c r="AC63" s="4">
        <v>25</v>
      </c>
      <c r="AD63" s="4">
        <v>8</v>
      </c>
    </row>
    <row r="64" spans="1:30">
      <c r="B64" s="4"/>
      <c r="C64" s="4"/>
      <c r="D64" s="1">
        <v>17</v>
      </c>
      <c r="E64" s="1">
        <f t="shared" si="37"/>
        <v>162129</v>
      </c>
      <c r="F64" s="4">
        <f t="shared" si="41"/>
        <v>840</v>
      </c>
      <c r="G64" s="8">
        <f t="shared" si="42"/>
        <v>383.5</v>
      </c>
      <c r="H64" s="8"/>
      <c r="I64" s="8">
        <f t="shared" si="43"/>
        <v>66</v>
      </c>
      <c r="J64" s="8">
        <f t="shared" si="44"/>
        <v>40</v>
      </c>
      <c r="K64" s="4">
        <f t="shared" si="40"/>
        <v>21</v>
      </c>
      <c r="L64" s="9"/>
      <c r="M64" s="9"/>
      <c r="N64" s="8">
        <f t="shared" si="45"/>
        <v>133.65</v>
      </c>
      <c r="O64" s="8">
        <f t="shared" si="46"/>
        <v>160</v>
      </c>
      <c r="P64" s="8"/>
      <c r="Q64" s="4">
        <f t="shared" si="34"/>
        <v>209.22562500000001</v>
      </c>
      <c r="R64" s="8">
        <f t="shared" si="47"/>
        <v>220.23750000000001</v>
      </c>
      <c r="S64" s="4">
        <f t="shared" si="36"/>
        <v>231.24937500000001</v>
      </c>
      <c r="T64" s="20">
        <v>2.5000000000000001E-2</v>
      </c>
      <c r="U64" s="8"/>
      <c r="V64" s="8"/>
      <c r="W64" s="4"/>
      <c r="X64" s="4"/>
      <c r="Y64" s="8"/>
      <c r="Z64" s="4"/>
      <c r="AA64" s="4"/>
      <c r="AB64" s="4"/>
      <c r="AC64" s="4"/>
      <c r="AD64" s="4"/>
    </row>
    <row r="65" spans="1:34">
      <c r="B65" s="4"/>
      <c r="C65" s="4"/>
      <c r="D65" s="1">
        <v>18</v>
      </c>
      <c r="E65" s="1">
        <f t="shared" si="37"/>
        <v>192456</v>
      </c>
      <c r="F65" s="4">
        <f t="shared" si="41"/>
        <v>861</v>
      </c>
      <c r="G65" s="8">
        <f t="shared" si="42"/>
        <v>423</v>
      </c>
      <c r="H65" s="8"/>
      <c r="I65" s="8">
        <f t="shared" si="43"/>
        <v>69</v>
      </c>
      <c r="J65" s="8">
        <f t="shared" si="44"/>
        <v>41</v>
      </c>
      <c r="K65" s="4">
        <f t="shared" si="40"/>
        <v>22</v>
      </c>
      <c r="L65" s="9"/>
      <c r="M65" s="9"/>
      <c r="N65" s="8">
        <f t="shared" si="45"/>
        <v>139.72499999999999</v>
      </c>
      <c r="O65" s="8">
        <f t="shared" si="46"/>
        <v>164</v>
      </c>
      <c r="P65" s="8"/>
      <c r="Q65" s="4">
        <f t="shared" si="34"/>
        <v>216.40406250000001</v>
      </c>
      <c r="R65" s="8">
        <f t="shared" si="47"/>
        <v>227.79375000000002</v>
      </c>
      <c r="S65" s="4">
        <f t="shared" si="36"/>
        <v>239.18343750000003</v>
      </c>
      <c r="T65" s="20">
        <v>2.5000000000000001E-2</v>
      </c>
      <c r="U65" s="8"/>
      <c r="V65" s="8"/>
      <c r="W65" s="4" t="s">
        <v>49</v>
      </c>
      <c r="X65" s="4" t="s">
        <v>38</v>
      </c>
      <c r="Y65" s="8" t="s">
        <v>205</v>
      </c>
      <c r="Z65" s="4" t="s">
        <v>39</v>
      </c>
      <c r="AA65" s="4" t="s">
        <v>40</v>
      </c>
      <c r="AB65" s="4" t="s">
        <v>41</v>
      </c>
      <c r="AC65" s="15" t="s">
        <v>204</v>
      </c>
      <c r="AD65" s="25" t="s">
        <v>206</v>
      </c>
    </row>
    <row r="66" spans="1:34">
      <c r="B66" s="4"/>
      <c r="C66" s="4"/>
      <c r="D66" s="1">
        <v>19</v>
      </c>
      <c r="E66" s="1">
        <f t="shared" si="37"/>
        <v>226347</v>
      </c>
      <c r="F66" s="4">
        <f t="shared" si="41"/>
        <v>882</v>
      </c>
      <c r="G66" s="8">
        <f t="shared" si="42"/>
        <v>464.5</v>
      </c>
      <c r="H66" s="8"/>
      <c r="I66" s="8">
        <f t="shared" si="43"/>
        <v>72</v>
      </c>
      <c r="J66" s="8">
        <f t="shared" si="44"/>
        <v>42</v>
      </c>
      <c r="K66" s="4">
        <f t="shared" si="40"/>
        <v>23</v>
      </c>
      <c r="L66" s="9"/>
      <c r="M66" s="9"/>
      <c r="N66" s="8">
        <f t="shared" si="45"/>
        <v>145.79999999999998</v>
      </c>
      <c r="O66" s="8">
        <f t="shared" si="46"/>
        <v>168</v>
      </c>
      <c r="P66" s="8"/>
      <c r="Q66" s="4">
        <f t="shared" si="34"/>
        <v>223.58249999999998</v>
      </c>
      <c r="R66" s="8">
        <f t="shared" si="47"/>
        <v>235.35</v>
      </c>
      <c r="S66" s="4">
        <f t="shared" si="36"/>
        <v>247.11750000000001</v>
      </c>
      <c r="T66" s="20">
        <v>2.5000000000000001E-2</v>
      </c>
      <c r="U66" s="8"/>
      <c r="V66" s="8"/>
      <c r="W66" s="4"/>
      <c r="X66" s="4"/>
      <c r="Y66" s="8">
        <v>3</v>
      </c>
      <c r="Z66" s="4">
        <v>15</v>
      </c>
      <c r="AA66" s="4">
        <v>4</v>
      </c>
      <c r="AB66" s="4">
        <v>1.5</v>
      </c>
      <c r="AC66" s="4">
        <v>25</v>
      </c>
      <c r="AD66" s="4">
        <v>9</v>
      </c>
    </row>
    <row r="67" spans="1:34">
      <c r="B67" s="4"/>
      <c r="C67" s="4"/>
      <c r="D67" s="1">
        <v>20</v>
      </c>
      <c r="E67" s="1">
        <f t="shared" si="37"/>
        <v>264000</v>
      </c>
      <c r="F67" s="4">
        <f t="shared" si="41"/>
        <v>903</v>
      </c>
      <c r="G67" s="8">
        <f t="shared" si="42"/>
        <v>508</v>
      </c>
      <c r="H67" s="8"/>
      <c r="I67" s="8">
        <f t="shared" si="43"/>
        <v>75</v>
      </c>
      <c r="J67" s="8">
        <f t="shared" si="44"/>
        <v>43</v>
      </c>
      <c r="K67" s="4">
        <f t="shared" si="40"/>
        <v>24</v>
      </c>
      <c r="L67" s="9"/>
      <c r="M67" s="9"/>
      <c r="N67" s="8">
        <f t="shared" si="45"/>
        <v>151.875</v>
      </c>
      <c r="O67" s="8">
        <f t="shared" si="46"/>
        <v>172</v>
      </c>
      <c r="P67" s="8"/>
      <c r="Q67" s="4">
        <f t="shared" si="34"/>
        <v>230.76093749999998</v>
      </c>
      <c r="R67" s="8">
        <f t="shared" si="47"/>
        <v>242.90625</v>
      </c>
      <c r="S67" s="4">
        <f t="shared" si="36"/>
        <v>255.05156250000002</v>
      </c>
      <c r="T67" s="20">
        <v>2.5000000000000001E-2</v>
      </c>
      <c r="U67" s="8"/>
      <c r="V67" s="8"/>
      <c r="W67" s="4"/>
      <c r="X67" s="4" t="s">
        <v>36</v>
      </c>
      <c r="Y67" s="8" t="s">
        <v>205</v>
      </c>
      <c r="Z67" s="4" t="s">
        <v>39</v>
      </c>
      <c r="AA67" s="4" t="s">
        <v>40</v>
      </c>
      <c r="AB67" s="4" t="s">
        <v>41</v>
      </c>
      <c r="AC67" s="15" t="s">
        <v>204</v>
      </c>
      <c r="AD67" s="25" t="s">
        <v>206</v>
      </c>
    </row>
    <row r="68" spans="1:34">
      <c r="B68" s="4"/>
      <c r="C68" s="4"/>
      <c r="D68" s="1">
        <v>21</v>
      </c>
      <c r="E68" s="1">
        <f t="shared" si="37"/>
        <v>305613</v>
      </c>
      <c r="F68" s="4">
        <f t="shared" si="41"/>
        <v>924</v>
      </c>
      <c r="G68" s="8">
        <f t="shared" si="42"/>
        <v>553.5</v>
      </c>
      <c r="H68" s="8"/>
      <c r="I68" s="8">
        <f t="shared" si="43"/>
        <v>78</v>
      </c>
      <c r="J68" s="8">
        <f t="shared" si="44"/>
        <v>44</v>
      </c>
      <c r="K68" s="4">
        <f t="shared" si="40"/>
        <v>25</v>
      </c>
      <c r="L68" s="8"/>
      <c r="M68" s="8"/>
      <c r="N68" s="8">
        <f t="shared" si="45"/>
        <v>157.94999999999999</v>
      </c>
      <c r="O68" s="8">
        <f t="shared" si="46"/>
        <v>176</v>
      </c>
      <c r="P68" s="8"/>
      <c r="Q68" s="4">
        <f t="shared" si="34"/>
        <v>237.93937499999998</v>
      </c>
      <c r="R68" s="8">
        <f t="shared" si="47"/>
        <v>250.46250000000001</v>
      </c>
      <c r="S68" s="4">
        <f t="shared" si="36"/>
        <v>262.98562500000003</v>
      </c>
      <c r="T68" s="20">
        <v>2.5000000000000001E-2</v>
      </c>
      <c r="U68" s="8"/>
      <c r="V68" s="8"/>
      <c r="W68" s="4"/>
      <c r="X68" s="4"/>
      <c r="Y68" s="8">
        <v>4.5</v>
      </c>
      <c r="Z68" s="4">
        <v>7.5</v>
      </c>
      <c r="AA68" s="4">
        <v>8</v>
      </c>
      <c r="AB68" s="4">
        <v>3</v>
      </c>
      <c r="AC68" s="4">
        <v>30</v>
      </c>
      <c r="AD68" s="4">
        <v>10</v>
      </c>
    </row>
    <row r="69" spans="1:34">
      <c r="B69" s="4"/>
      <c r="C69" s="4"/>
      <c r="D69" s="1">
        <v>22</v>
      </c>
      <c r="E69" s="1">
        <f t="shared" si="37"/>
        <v>351384</v>
      </c>
      <c r="F69" s="4">
        <f t="shared" si="41"/>
        <v>945</v>
      </c>
      <c r="G69" s="8">
        <f t="shared" si="42"/>
        <v>601</v>
      </c>
      <c r="H69" s="8"/>
      <c r="I69" s="8">
        <f t="shared" si="43"/>
        <v>81</v>
      </c>
      <c r="J69" s="8">
        <f t="shared" si="44"/>
        <v>45</v>
      </c>
      <c r="K69" s="4">
        <f t="shared" si="40"/>
        <v>26</v>
      </c>
      <c r="L69" s="8"/>
      <c r="M69" s="8"/>
      <c r="N69" s="8">
        <f t="shared" si="45"/>
        <v>164.02500000000001</v>
      </c>
      <c r="O69" s="8">
        <f t="shared" si="46"/>
        <v>180</v>
      </c>
      <c r="P69" s="8"/>
      <c r="Q69" s="4">
        <f t="shared" si="34"/>
        <v>245.11781249999999</v>
      </c>
      <c r="R69" s="8">
        <f t="shared" si="47"/>
        <v>258.01875000000001</v>
      </c>
      <c r="S69" s="4">
        <f t="shared" si="36"/>
        <v>270.91968750000001</v>
      </c>
      <c r="T69" s="20">
        <v>2.5000000000000001E-2</v>
      </c>
      <c r="U69" s="8"/>
      <c r="V69" s="8"/>
      <c r="W69" s="4"/>
      <c r="X69" s="4"/>
      <c r="Y69" s="4"/>
      <c r="Z69" s="4"/>
      <c r="AA69" s="4"/>
      <c r="AB69" s="4"/>
      <c r="AC69" s="4"/>
      <c r="AD69" s="4"/>
    </row>
    <row r="70" spans="1:34">
      <c r="B70" s="4"/>
      <c r="C70" s="4"/>
      <c r="D70" s="1">
        <v>23</v>
      </c>
      <c r="E70" s="1">
        <f t="shared" si="37"/>
        <v>401511</v>
      </c>
      <c r="F70" s="4">
        <f t="shared" si="41"/>
        <v>966</v>
      </c>
      <c r="G70" s="8">
        <f t="shared" si="42"/>
        <v>650.5</v>
      </c>
      <c r="H70" s="8"/>
      <c r="I70" s="8">
        <f t="shared" si="43"/>
        <v>84</v>
      </c>
      <c r="J70" s="8">
        <f t="shared" si="44"/>
        <v>46</v>
      </c>
      <c r="K70" s="4">
        <f t="shared" si="40"/>
        <v>27</v>
      </c>
      <c r="L70" s="8"/>
      <c r="M70" s="8"/>
      <c r="N70" s="8">
        <f t="shared" si="45"/>
        <v>170.1</v>
      </c>
      <c r="O70" s="8">
        <f t="shared" si="46"/>
        <v>184</v>
      </c>
      <c r="P70" s="8"/>
      <c r="Q70" s="4">
        <f t="shared" si="34"/>
        <v>252.29624999999999</v>
      </c>
      <c r="R70" s="8">
        <f t="shared" si="47"/>
        <v>265.57499999999999</v>
      </c>
      <c r="S70" s="4">
        <f t="shared" si="36"/>
        <v>278.85374999999999</v>
      </c>
      <c r="T70" s="20">
        <v>2.5000000000000001E-2</v>
      </c>
      <c r="U70" s="8"/>
      <c r="V70" s="8"/>
    </row>
    <row r="71" spans="1:34">
      <c r="B71" s="4"/>
      <c r="C71" s="4"/>
      <c r="D71" s="1">
        <v>24</v>
      </c>
      <c r="E71" s="1">
        <f t="shared" si="37"/>
        <v>456192</v>
      </c>
      <c r="F71" s="4">
        <f t="shared" si="41"/>
        <v>987</v>
      </c>
      <c r="G71" s="8">
        <f t="shared" si="42"/>
        <v>702</v>
      </c>
      <c r="H71" s="8"/>
      <c r="I71" s="8">
        <f t="shared" si="43"/>
        <v>87</v>
      </c>
      <c r="J71" s="8">
        <f t="shared" si="44"/>
        <v>47</v>
      </c>
      <c r="K71" s="4">
        <f t="shared" si="40"/>
        <v>28</v>
      </c>
      <c r="L71" s="8"/>
      <c r="M71" s="8"/>
      <c r="N71" s="8">
        <f t="shared" si="45"/>
        <v>176.17499999999998</v>
      </c>
      <c r="O71" s="8">
        <f t="shared" si="46"/>
        <v>188</v>
      </c>
      <c r="P71" s="8"/>
      <c r="Q71" s="4">
        <f t="shared" si="34"/>
        <v>259.47468750000002</v>
      </c>
      <c r="R71" s="8">
        <f t="shared" si="47"/>
        <v>273.13125000000002</v>
      </c>
      <c r="S71" s="4">
        <f t="shared" si="36"/>
        <v>286.78781250000003</v>
      </c>
      <c r="T71" s="20">
        <v>2.5000000000000001E-2</v>
      </c>
      <c r="U71" s="8"/>
      <c r="V71" s="8"/>
      <c r="AD71" s="4"/>
    </row>
    <row r="72" spans="1:34">
      <c r="B72" s="4"/>
      <c r="C72" s="4"/>
      <c r="D72" s="1">
        <v>25</v>
      </c>
      <c r="E72" s="1">
        <f t="shared" si="37"/>
        <v>515625</v>
      </c>
      <c r="F72" s="4">
        <f t="shared" si="41"/>
        <v>1008</v>
      </c>
      <c r="G72" s="8">
        <f t="shared" si="42"/>
        <v>755.5</v>
      </c>
      <c r="H72" s="8"/>
      <c r="I72" s="8">
        <f t="shared" si="43"/>
        <v>90</v>
      </c>
      <c r="J72" s="8">
        <f t="shared" si="44"/>
        <v>48</v>
      </c>
      <c r="K72" s="4">
        <f t="shared" si="40"/>
        <v>29</v>
      </c>
      <c r="L72" s="8"/>
      <c r="M72" s="8"/>
      <c r="N72" s="8">
        <f t="shared" si="45"/>
        <v>182.25</v>
      </c>
      <c r="O72" s="8">
        <f t="shared" si="46"/>
        <v>192</v>
      </c>
      <c r="P72" s="8"/>
      <c r="Q72" s="4">
        <f t="shared" si="34"/>
        <v>266.65312499999999</v>
      </c>
      <c r="R72" s="8">
        <f t="shared" si="47"/>
        <v>280.6875</v>
      </c>
      <c r="S72" s="4">
        <f t="shared" si="36"/>
        <v>294.72187500000001</v>
      </c>
      <c r="T72" s="20">
        <v>2.5000000000000001E-2</v>
      </c>
      <c r="U72" s="8"/>
      <c r="V72" s="8"/>
    </row>
    <row r="73" spans="1:34" ht="54.75" customHeight="1">
      <c r="B73" s="4"/>
      <c r="C73" s="4"/>
      <c r="D73" s="1">
        <v>26</v>
      </c>
      <c r="E73" s="1">
        <f t="shared" si="37"/>
        <v>580008</v>
      </c>
      <c r="F73" s="4">
        <f t="shared" si="41"/>
        <v>1029</v>
      </c>
      <c r="G73" s="8">
        <f t="shared" si="42"/>
        <v>811</v>
      </c>
      <c r="H73" s="8"/>
      <c r="I73" s="8">
        <f t="shared" si="43"/>
        <v>93</v>
      </c>
      <c r="J73" s="8">
        <f t="shared" si="44"/>
        <v>49</v>
      </c>
      <c r="K73" s="4">
        <f t="shared" si="40"/>
        <v>30</v>
      </c>
      <c r="L73" s="8"/>
      <c r="M73" s="8"/>
      <c r="N73" s="8">
        <f t="shared" si="45"/>
        <v>188.32499999999999</v>
      </c>
      <c r="O73" s="8">
        <f t="shared" si="46"/>
        <v>196</v>
      </c>
      <c r="P73" s="8"/>
      <c r="Q73" s="4">
        <f t="shared" si="34"/>
        <v>273.83156249999996</v>
      </c>
      <c r="R73" s="8">
        <f t="shared" si="47"/>
        <v>288.24374999999998</v>
      </c>
      <c r="S73" s="4">
        <f t="shared" si="36"/>
        <v>302.65593749999999</v>
      </c>
      <c r="T73" s="20">
        <v>2.5000000000000001E-2</v>
      </c>
      <c r="U73" s="8"/>
      <c r="V73" s="8"/>
      <c r="W73" s="5" t="s">
        <v>1192</v>
      </c>
      <c r="X73" s="4" t="s">
        <v>4</v>
      </c>
      <c r="Y73" s="4" t="s">
        <v>5</v>
      </c>
      <c r="Z73" s="4" t="s">
        <v>12</v>
      </c>
      <c r="AA73" s="4" t="s">
        <v>13</v>
      </c>
      <c r="AB73" s="4" t="s">
        <v>7</v>
      </c>
      <c r="AC73" s="4" t="s">
        <v>1203</v>
      </c>
      <c r="AD73" s="4" t="s">
        <v>1204</v>
      </c>
      <c r="AE73" s="2" t="s">
        <v>191</v>
      </c>
      <c r="AF73" s="2" t="s">
        <v>191</v>
      </c>
      <c r="AG73" s="10" t="s">
        <v>44</v>
      </c>
      <c r="AH73" s="2" t="s">
        <v>192</v>
      </c>
    </row>
    <row r="74" spans="1:34">
      <c r="B74" s="4"/>
      <c r="C74" s="4"/>
      <c r="D74" s="1">
        <v>27</v>
      </c>
      <c r="E74" s="1">
        <f t="shared" si="37"/>
        <v>649539</v>
      </c>
      <c r="F74" s="4">
        <f t="shared" si="41"/>
        <v>1050</v>
      </c>
      <c r="G74" s="8">
        <f t="shared" si="42"/>
        <v>868.5</v>
      </c>
      <c r="H74" s="8"/>
      <c r="I74" s="8">
        <f t="shared" si="43"/>
        <v>96</v>
      </c>
      <c r="J74" s="8">
        <f t="shared" si="44"/>
        <v>50</v>
      </c>
      <c r="K74" s="4">
        <f t="shared" si="40"/>
        <v>31</v>
      </c>
      <c r="L74" s="8"/>
      <c r="M74" s="8"/>
      <c r="N74" s="8">
        <f t="shared" si="45"/>
        <v>194.39999999999998</v>
      </c>
      <c r="O74" s="8">
        <f t="shared" si="46"/>
        <v>200</v>
      </c>
      <c r="P74" s="8"/>
      <c r="Q74" s="4">
        <f t="shared" si="34"/>
        <v>281.01</v>
      </c>
      <c r="R74" s="8">
        <f t="shared" si="47"/>
        <v>295.8</v>
      </c>
      <c r="S74" s="4">
        <f t="shared" si="36"/>
        <v>310.59000000000003</v>
      </c>
      <c r="T74" s="20">
        <v>2.5000000000000001E-2</v>
      </c>
      <c r="U74" s="8"/>
      <c r="V74" s="8"/>
      <c r="W74" s="5" t="s">
        <v>1191</v>
      </c>
      <c r="X74" s="5">
        <f>$AC74*$Y$3*$AD$3</f>
        <v>627.33333333333337</v>
      </c>
      <c r="Y74" s="5">
        <f>$AD74*$Z$3</f>
        <v>440.66666666666663</v>
      </c>
      <c r="Z74" s="5">
        <f>($AB74*0.1+$AD74*0.9)*$AB$3</f>
        <v>68.222222222222214</v>
      </c>
      <c r="AA74" s="4">
        <f>$AC74*$AA$3</f>
        <v>104.55555555555556</v>
      </c>
      <c r="AB74" s="4">
        <f>$I2+$AF$90</f>
        <v>21.222222222222221</v>
      </c>
      <c r="AC74" s="4">
        <f>$J2+$AI$90</f>
        <v>104.55555555555556</v>
      </c>
      <c r="AD74" s="4">
        <f>$K2+$AL$90</f>
        <v>73.444444444444443</v>
      </c>
      <c r="AE74" s="4"/>
      <c r="AF74" s="4">
        <f>AG74*1.02</f>
        <v>176.23333333333332</v>
      </c>
      <c r="AG74" s="4">
        <f>$X74/$AC$3*(1+$Z74/$AA74)</f>
        <v>172.77777777777777</v>
      </c>
      <c r="AH74">
        <f>AG74*0.92</f>
        <v>158.95555555555555</v>
      </c>
    </row>
    <row r="75" spans="1:34">
      <c r="B75" s="4"/>
      <c r="C75" s="4"/>
      <c r="D75" s="1">
        <v>28</v>
      </c>
      <c r="E75" s="1">
        <f t="shared" si="37"/>
        <v>724416</v>
      </c>
      <c r="F75" s="4">
        <f t="shared" si="41"/>
        <v>1071</v>
      </c>
      <c r="G75" s="8">
        <f t="shared" si="42"/>
        <v>928</v>
      </c>
      <c r="H75" s="8"/>
      <c r="I75" s="8">
        <f t="shared" si="43"/>
        <v>99</v>
      </c>
      <c r="J75" s="8">
        <f t="shared" si="44"/>
        <v>51</v>
      </c>
      <c r="K75" s="4">
        <f t="shared" si="40"/>
        <v>32</v>
      </c>
      <c r="L75" s="8"/>
      <c r="M75" s="8"/>
      <c r="N75" s="8">
        <f t="shared" si="45"/>
        <v>200.47499999999999</v>
      </c>
      <c r="O75" s="8">
        <f t="shared" si="46"/>
        <v>204</v>
      </c>
      <c r="P75" s="8"/>
      <c r="Q75" s="4">
        <f t="shared" si="34"/>
        <v>288.18843749999996</v>
      </c>
      <c r="R75" s="8">
        <f t="shared" si="47"/>
        <v>303.35624999999999</v>
      </c>
      <c r="S75" s="4">
        <f t="shared" si="36"/>
        <v>318.52406250000001</v>
      </c>
      <c r="T75" s="20">
        <v>2.5000000000000001E-2</v>
      </c>
      <c r="U75" s="8"/>
      <c r="V75" s="8"/>
      <c r="W75" s="5" t="s">
        <v>1205</v>
      </c>
      <c r="X75" s="5">
        <f t="shared" ref="X75:X87" si="48">$AC75*$Y$3*$AD$3</f>
        <v>633.33333333333337</v>
      </c>
      <c r="Y75" s="5">
        <f t="shared" ref="Y75:Y87" si="49">$AD75*$Z$3</f>
        <v>449.66666666666663</v>
      </c>
      <c r="Z75" s="5">
        <f t="shared" ref="Z75:Z87" si="50">($AB75*0.1+$AD75*0.9)*$AB$3</f>
        <v>69.672222222222231</v>
      </c>
      <c r="AA75" s="4">
        <f t="shared" ref="AA75:AA87" si="51">$AC75*$AA$3</f>
        <v>105.55555555555556</v>
      </c>
      <c r="AB75" s="4">
        <f t="shared" ref="AB75:AB87" si="52">$I3+$AF$90</f>
        <v>22.222222222222221</v>
      </c>
      <c r="AC75" s="4">
        <f t="shared" ref="AC75:AC87" si="53">$J3+$AI$90</f>
        <v>105.55555555555556</v>
      </c>
      <c r="AD75" s="4">
        <f t="shared" ref="AD75:AD87" si="54">$K3+$AL$90</f>
        <v>74.944444444444443</v>
      </c>
      <c r="AE75" s="4"/>
      <c r="AF75" s="4">
        <f t="shared" ref="AF75:AF87" si="55">AG75*1.02</f>
        <v>178.73233333333334</v>
      </c>
      <c r="AG75" s="4">
        <f t="shared" ref="AG75:AG87" si="56">$X75/$AC$3*(1+$Z75/$AA75)</f>
        <v>175.22777777777779</v>
      </c>
      <c r="AH75" s="4">
        <f t="shared" ref="AH75:AH87" si="57">AG75*0.92</f>
        <v>161.20955555555557</v>
      </c>
    </row>
    <row r="76" spans="1:34">
      <c r="B76" s="4"/>
      <c r="C76" s="4"/>
      <c r="D76" s="1">
        <v>29</v>
      </c>
      <c r="E76" s="1">
        <f t="shared" si="37"/>
        <v>804837</v>
      </c>
      <c r="F76" s="4">
        <f t="shared" si="41"/>
        <v>1092</v>
      </c>
      <c r="G76" s="8">
        <f t="shared" si="42"/>
        <v>989.5</v>
      </c>
      <c r="H76" s="8"/>
      <c r="I76" s="8">
        <f t="shared" si="43"/>
        <v>102</v>
      </c>
      <c r="J76" s="8">
        <f t="shared" si="44"/>
        <v>52</v>
      </c>
      <c r="K76" s="4">
        <f t="shared" si="40"/>
        <v>33</v>
      </c>
      <c r="L76" s="8"/>
      <c r="M76" s="8"/>
      <c r="N76" s="8">
        <f>I76*$AB$9</f>
        <v>206.54999999999998</v>
      </c>
      <c r="O76" s="8">
        <f t="shared" si="46"/>
        <v>208</v>
      </c>
      <c r="P76" s="8">
        <f>K76*主角属性字段设计!$AA$57</f>
        <v>66</v>
      </c>
      <c r="Q76" s="4">
        <f t="shared" si="34"/>
        <v>295.36687499999999</v>
      </c>
      <c r="R76" s="8">
        <f t="shared" si="47"/>
        <v>310.91250000000002</v>
      </c>
      <c r="S76" s="4">
        <f t="shared" si="36"/>
        <v>326.45812500000005</v>
      </c>
      <c r="T76" s="20">
        <v>2.5000000000000001E-2</v>
      </c>
      <c r="U76" s="8"/>
      <c r="V76" s="8"/>
      <c r="W76" s="5" t="s">
        <v>1206</v>
      </c>
      <c r="X76" s="5">
        <f t="shared" si="48"/>
        <v>639.33333333333337</v>
      </c>
      <c r="Y76" s="5">
        <f t="shared" si="49"/>
        <v>458.66666666666663</v>
      </c>
      <c r="Z76" s="5">
        <f t="shared" si="50"/>
        <v>71.12222222222222</v>
      </c>
      <c r="AA76" s="4">
        <f t="shared" si="51"/>
        <v>106.55555555555556</v>
      </c>
      <c r="AB76" s="4">
        <f t="shared" si="52"/>
        <v>23.222222222222221</v>
      </c>
      <c r="AC76" s="4">
        <f t="shared" si="53"/>
        <v>106.55555555555556</v>
      </c>
      <c r="AD76" s="4">
        <f t="shared" si="54"/>
        <v>76.444444444444443</v>
      </c>
      <c r="AE76" s="4"/>
      <c r="AF76" s="4">
        <f t="shared" si="55"/>
        <v>181.23133333333334</v>
      </c>
      <c r="AG76" s="4">
        <f t="shared" si="56"/>
        <v>177.67777777777778</v>
      </c>
      <c r="AH76" s="4">
        <f t="shared" si="57"/>
        <v>163.46355555555556</v>
      </c>
    </row>
    <row r="77" spans="1:34">
      <c r="A77" s="7"/>
      <c r="B77" s="7"/>
      <c r="C77" s="7"/>
      <c r="D77" s="6">
        <v>30</v>
      </c>
      <c r="E77" s="1">
        <f t="shared" si="37"/>
        <v>891000</v>
      </c>
      <c r="F77" s="4">
        <f>J77*$Y$13*$AD$13</f>
        <v>1760</v>
      </c>
      <c r="G77" s="7">
        <f>K77*$Z$9+D13^2</f>
        <v>297</v>
      </c>
      <c r="H77" s="7"/>
      <c r="I77" s="7">
        <f>$I$48+D77*4</f>
        <v>135</v>
      </c>
      <c r="J77" s="7">
        <f>$J$48+D76+6</f>
        <v>55</v>
      </c>
      <c r="K77" s="7">
        <f t="shared" si="40"/>
        <v>34</v>
      </c>
      <c r="L77" s="7"/>
      <c r="M77" s="7"/>
      <c r="N77" s="7">
        <f t="shared" ref="N77:N91" si="58">I77*$AB$9</f>
        <v>273.375</v>
      </c>
      <c r="O77" s="7">
        <f>J77*$AA$13</f>
        <v>330</v>
      </c>
      <c r="P77" s="7"/>
      <c r="Q77" s="7">
        <f t="shared" si="34"/>
        <v>509.51666666666659</v>
      </c>
      <c r="R77" s="8">
        <f>F77/$AC$13*(1+(N77/O77))</f>
        <v>536.33333333333326</v>
      </c>
      <c r="S77" s="7">
        <f t="shared" si="36"/>
        <v>563.15</v>
      </c>
      <c r="T77" s="19">
        <v>3.5000000000000003E-2</v>
      </c>
      <c r="U77" s="7"/>
      <c r="V77" s="7"/>
      <c r="W77" s="5" t="s">
        <v>1207</v>
      </c>
      <c r="X77" s="5">
        <f t="shared" si="48"/>
        <v>645.33333333333337</v>
      </c>
      <c r="Y77" s="5">
        <f t="shared" si="49"/>
        <v>467.66666666666663</v>
      </c>
      <c r="Z77" s="5">
        <f t="shared" si="50"/>
        <v>72.572222222222223</v>
      </c>
      <c r="AA77" s="4">
        <f t="shared" si="51"/>
        <v>107.55555555555556</v>
      </c>
      <c r="AB77" s="4">
        <f t="shared" si="52"/>
        <v>24.222222222222221</v>
      </c>
      <c r="AC77" s="4">
        <f t="shared" si="53"/>
        <v>107.55555555555556</v>
      </c>
      <c r="AD77" s="4">
        <f t="shared" si="54"/>
        <v>77.944444444444443</v>
      </c>
      <c r="AE77" s="4"/>
      <c r="AF77" s="4">
        <f t="shared" si="55"/>
        <v>183.73033333333336</v>
      </c>
      <c r="AG77" s="4">
        <f t="shared" si="56"/>
        <v>180.12777777777779</v>
      </c>
      <c r="AH77" s="4">
        <f t="shared" si="57"/>
        <v>165.71755555555558</v>
      </c>
    </row>
    <row r="78" spans="1:34" s="2" customFormat="1">
      <c r="D78" s="30">
        <v>31</v>
      </c>
      <c r="E78" s="30">
        <f t="shared" si="37"/>
        <v>983103</v>
      </c>
      <c r="F78" s="2">
        <f t="shared" ref="F78:F91" si="59">J78*$Y$13*$AD$13</f>
        <v>1792</v>
      </c>
      <c r="G78" s="9">
        <f t="shared" ref="G78:G91" si="60">K78*$Z$9+D14^2</f>
        <v>326.5</v>
      </c>
      <c r="H78" s="9"/>
      <c r="I78" s="9">
        <f t="shared" ref="I78:I91" si="61">$I$48+D78*4</f>
        <v>139</v>
      </c>
      <c r="J78" s="9">
        <f t="shared" ref="J78:J91" si="62">$J$48+D77+6</f>
        <v>56</v>
      </c>
      <c r="K78" s="2">
        <f t="shared" si="40"/>
        <v>35</v>
      </c>
      <c r="L78" s="9"/>
      <c r="M78" s="9"/>
      <c r="N78" s="9">
        <f t="shared" si="58"/>
        <v>281.47499999999997</v>
      </c>
      <c r="O78" s="9">
        <f t="shared" ref="O78:O91" si="63">J78*$AA$13</f>
        <v>336</v>
      </c>
      <c r="P78" s="9"/>
      <c r="Q78" s="2">
        <f t="shared" si="34"/>
        <v>521.42333333333329</v>
      </c>
      <c r="R78" s="9">
        <f t="shared" ref="R78:R91" si="64">F78/$AC$13*(1+(N78/O78))</f>
        <v>548.86666666666667</v>
      </c>
      <c r="S78" s="2">
        <f t="shared" si="36"/>
        <v>576.31000000000006</v>
      </c>
      <c r="T78" s="31">
        <v>3.5000000000000003E-2</v>
      </c>
      <c r="U78" s="9"/>
      <c r="V78" s="9"/>
      <c r="W78" s="32" t="s">
        <v>1218</v>
      </c>
      <c r="X78" s="32">
        <f t="shared" si="48"/>
        <v>651.33333333333337</v>
      </c>
      <c r="Y78" s="32">
        <f t="shared" si="49"/>
        <v>476.66666666666663</v>
      </c>
      <c r="Z78" s="32">
        <f t="shared" si="50"/>
        <v>74.022222222222226</v>
      </c>
      <c r="AA78" s="2">
        <f t="shared" si="51"/>
        <v>108.55555555555556</v>
      </c>
      <c r="AB78" s="2">
        <f t="shared" si="52"/>
        <v>25.222222222222221</v>
      </c>
      <c r="AC78" s="2">
        <f t="shared" si="53"/>
        <v>108.55555555555556</v>
      </c>
      <c r="AD78" s="2">
        <f t="shared" si="54"/>
        <v>79.444444444444443</v>
      </c>
      <c r="AF78" s="2">
        <f t="shared" si="55"/>
        <v>186.2293333333333</v>
      </c>
      <c r="AG78" s="2">
        <f t="shared" si="56"/>
        <v>182.57777777777775</v>
      </c>
      <c r="AH78" s="2">
        <f t="shared" si="57"/>
        <v>167.97155555555554</v>
      </c>
    </row>
    <row r="79" spans="1:34">
      <c r="B79" s="4"/>
      <c r="C79" s="4"/>
      <c r="D79" s="1">
        <v>32</v>
      </c>
      <c r="E79" s="1">
        <f t="shared" si="37"/>
        <v>1081344</v>
      </c>
      <c r="F79" s="4">
        <f t="shared" si="59"/>
        <v>1824</v>
      </c>
      <c r="G79" s="8">
        <f t="shared" si="60"/>
        <v>358</v>
      </c>
      <c r="H79" s="8"/>
      <c r="I79" s="8">
        <f t="shared" si="61"/>
        <v>143</v>
      </c>
      <c r="J79" s="8">
        <f t="shared" si="62"/>
        <v>57</v>
      </c>
      <c r="K79" s="4">
        <f t="shared" si="40"/>
        <v>36</v>
      </c>
      <c r="L79" s="8"/>
      <c r="M79" s="8"/>
      <c r="N79" s="8">
        <f t="shared" si="58"/>
        <v>289.57499999999999</v>
      </c>
      <c r="O79" s="8">
        <f t="shared" si="63"/>
        <v>342</v>
      </c>
      <c r="P79" s="8"/>
      <c r="Q79" s="4">
        <f t="shared" si="34"/>
        <v>533.32999999999993</v>
      </c>
      <c r="R79" s="8">
        <f t="shared" si="64"/>
        <v>561.4</v>
      </c>
      <c r="S79" s="4">
        <f t="shared" si="36"/>
        <v>589.47</v>
      </c>
      <c r="T79" s="20">
        <v>3.5000000000000003E-2</v>
      </c>
      <c r="U79" s="8"/>
      <c r="V79" s="8"/>
      <c r="W79" s="5" t="s">
        <v>1208</v>
      </c>
      <c r="X79" s="5">
        <f t="shared" si="48"/>
        <v>657.33333333333337</v>
      </c>
      <c r="Y79" s="5">
        <f t="shared" si="49"/>
        <v>485.66666666666663</v>
      </c>
      <c r="Z79" s="5">
        <f t="shared" si="50"/>
        <v>75.472222222222214</v>
      </c>
      <c r="AA79" s="4">
        <f t="shared" si="51"/>
        <v>109.55555555555556</v>
      </c>
      <c r="AB79" s="4">
        <f t="shared" si="52"/>
        <v>26.222222222222221</v>
      </c>
      <c r="AC79" s="4">
        <f t="shared" si="53"/>
        <v>109.55555555555556</v>
      </c>
      <c r="AD79" s="4">
        <f t="shared" si="54"/>
        <v>80.944444444444443</v>
      </c>
      <c r="AE79" s="4"/>
      <c r="AF79" s="4">
        <f t="shared" si="55"/>
        <v>188.72833333333332</v>
      </c>
      <c r="AG79" s="4">
        <f t="shared" si="56"/>
        <v>185.02777777777777</v>
      </c>
      <c r="AH79" s="4">
        <f t="shared" si="57"/>
        <v>170.22555555555556</v>
      </c>
    </row>
    <row r="80" spans="1:34">
      <c r="B80" s="4"/>
      <c r="C80" s="4"/>
      <c r="D80" s="1">
        <v>33</v>
      </c>
      <c r="E80" s="1">
        <f t="shared" si="37"/>
        <v>1185921</v>
      </c>
      <c r="F80" s="4">
        <f t="shared" si="59"/>
        <v>1856</v>
      </c>
      <c r="G80" s="8">
        <f t="shared" si="60"/>
        <v>391.5</v>
      </c>
      <c r="H80" s="8"/>
      <c r="I80" s="8">
        <f t="shared" si="61"/>
        <v>147</v>
      </c>
      <c r="J80" s="8">
        <f t="shared" si="62"/>
        <v>58</v>
      </c>
      <c r="K80" s="4">
        <f t="shared" si="40"/>
        <v>37</v>
      </c>
      <c r="L80" s="8"/>
      <c r="M80" s="8"/>
      <c r="N80" s="8">
        <f t="shared" si="58"/>
        <v>297.67500000000001</v>
      </c>
      <c r="O80" s="8">
        <f t="shared" si="63"/>
        <v>348</v>
      </c>
      <c r="P80" s="8"/>
      <c r="Q80" s="4">
        <f t="shared" si="34"/>
        <v>545.23666666666657</v>
      </c>
      <c r="R80" s="8">
        <f t="shared" si="64"/>
        <v>573.93333333333328</v>
      </c>
      <c r="S80" s="4">
        <f t="shared" si="36"/>
        <v>602.63</v>
      </c>
      <c r="T80" s="20">
        <v>3.5000000000000003E-2</v>
      </c>
      <c r="U80" s="8"/>
      <c r="V80" s="8"/>
      <c r="W80" s="5" t="s">
        <v>1209</v>
      </c>
      <c r="X80" s="5">
        <f t="shared" si="48"/>
        <v>663.33333333333337</v>
      </c>
      <c r="Y80" s="5">
        <f t="shared" si="49"/>
        <v>494.66666666666663</v>
      </c>
      <c r="Z80" s="5">
        <f t="shared" si="50"/>
        <v>76.922222222222231</v>
      </c>
      <c r="AA80" s="4">
        <f t="shared" si="51"/>
        <v>110.55555555555556</v>
      </c>
      <c r="AB80" s="4">
        <f t="shared" si="52"/>
        <v>27.222222222222221</v>
      </c>
      <c r="AC80" s="4">
        <f t="shared" si="53"/>
        <v>110.55555555555556</v>
      </c>
      <c r="AD80" s="4">
        <f t="shared" si="54"/>
        <v>82.444444444444443</v>
      </c>
      <c r="AE80" s="4"/>
      <c r="AF80" s="4">
        <f t="shared" si="55"/>
        <v>191.22733333333332</v>
      </c>
      <c r="AG80" s="4">
        <f t="shared" si="56"/>
        <v>187.47777777777776</v>
      </c>
      <c r="AH80" s="4">
        <f t="shared" si="57"/>
        <v>172.47955555555555</v>
      </c>
    </row>
    <row r="81" spans="1:38">
      <c r="B81" s="4"/>
      <c r="C81" s="4"/>
      <c r="D81" s="1">
        <v>34</v>
      </c>
      <c r="E81" s="1">
        <f t="shared" si="37"/>
        <v>1297032</v>
      </c>
      <c r="F81" s="4">
        <f t="shared" si="59"/>
        <v>1888</v>
      </c>
      <c r="G81" s="8">
        <f t="shared" si="60"/>
        <v>427</v>
      </c>
      <c r="H81" s="8"/>
      <c r="I81" s="8">
        <f t="shared" si="61"/>
        <v>151</v>
      </c>
      <c r="J81" s="8">
        <f t="shared" si="62"/>
        <v>59</v>
      </c>
      <c r="K81" s="4">
        <f t="shared" si="40"/>
        <v>38</v>
      </c>
      <c r="L81" s="8"/>
      <c r="M81" s="8"/>
      <c r="N81" s="8">
        <f t="shared" si="58"/>
        <v>305.77499999999998</v>
      </c>
      <c r="O81" s="8">
        <f t="shared" si="63"/>
        <v>354</v>
      </c>
      <c r="P81" s="8"/>
      <c r="Q81" s="4">
        <f t="shared" si="34"/>
        <v>557.14333333333332</v>
      </c>
      <c r="R81" s="8">
        <f t="shared" si="64"/>
        <v>586.4666666666667</v>
      </c>
      <c r="S81" s="4">
        <f t="shared" si="36"/>
        <v>615.79000000000008</v>
      </c>
      <c r="T81" s="20">
        <v>3.5000000000000003E-2</v>
      </c>
      <c r="U81" s="8"/>
      <c r="V81" s="8"/>
      <c r="W81" s="5" t="s">
        <v>1210</v>
      </c>
      <c r="X81" s="5">
        <f t="shared" si="48"/>
        <v>669.33333333333337</v>
      </c>
      <c r="Y81" s="5">
        <f t="shared" si="49"/>
        <v>503.66666666666663</v>
      </c>
      <c r="Z81" s="5">
        <f t="shared" si="50"/>
        <v>78.37222222222222</v>
      </c>
      <c r="AA81" s="4">
        <f t="shared" si="51"/>
        <v>111.55555555555556</v>
      </c>
      <c r="AB81" s="4">
        <f t="shared" si="52"/>
        <v>28.222222222222221</v>
      </c>
      <c r="AC81" s="4">
        <f t="shared" si="53"/>
        <v>111.55555555555556</v>
      </c>
      <c r="AD81" s="4">
        <f t="shared" si="54"/>
        <v>83.944444444444443</v>
      </c>
      <c r="AE81" s="4"/>
      <c r="AF81" s="4">
        <f t="shared" si="55"/>
        <v>193.72633333333334</v>
      </c>
      <c r="AG81" s="4">
        <f t="shared" si="56"/>
        <v>189.92777777777778</v>
      </c>
      <c r="AH81" s="4">
        <f t="shared" si="57"/>
        <v>174.73355555555557</v>
      </c>
    </row>
    <row r="82" spans="1:38">
      <c r="B82" s="4"/>
      <c r="C82" s="4"/>
      <c r="D82" s="1">
        <v>35</v>
      </c>
      <c r="E82" s="1">
        <f t="shared" si="37"/>
        <v>1414875</v>
      </c>
      <c r="F82" s="4">
        <f t="shared" si="59"/>
        <v>1920</v>
      </c>
      <c r="G82" s="8">
        <f t="shared" si="60"/>
        <v>464.5</v>
      </c>
      <c r="H82" s="8"/>
      <c r="I82" s="8">
        <f t="shared" si="61"/>
        <v>155</v>
      </c>
      <c r="J82" s="8">
        <f t="shared" si="62"/>
        <v>60</v>
      </c>
      <c r="K82" s="4">
        <f t="shared" si="40"/>
        <v>39</v>
      </c>
      <c r="L82" s="8"/>
      <c r="M82" s="8"/>
      <c r="N82" s="8">
        <f t="shared" si="58"/>
        <v>313.875</v>
      </c>
      <c r="O82" s="8">
        <f t="shared" si="63"/>
        <v>360</v>
      </c>
      <c r="P82" s="8"/>
      <c r="Q82" s="4">
        <f t="shared" si="34"/>
        <v>569.04999999999995</v>
      </c>
      <c r="R82" s="8">
        <f t="shared" si="64"/>
        <v>599</v>
      </c>
      <c r="S82" s="4">
        <f t="shared" si="36"/>
        <v>628.95000000000005</v>
      </c>
      <c r="T82" s="20">
        <v>3.5000000000000003E-2</v>
      </c>
      <c r="U82" s="8"/>
      <c r="V82" s="8"/>
      <c r="W82" s="5" t="s">
        <v>1211</v>
      </c>
      <c r="X82" s="5">
        <f t="shared" si="48"/>
        <v>675.33333333333337</v>
      </c>
      <c r="Y82" s="5">
        <f t="shared" si="49"/>
        <v>512.66666666666663</v>
      </c>
      <c r="Z82" s="5">
        <f t="shared" si="50"/>
        <v>79.822222222222223</v>
      </c>
      <c r="AA82" s="4">
        <f t="shared" si="51"/>
        <v>112.55555555555556</v>
      </c>
      <c r="AB82" s="4">
        <f t="shared" si="52"/>
        <v>29.222222222222221</v>
      </c>
      <c r="AC82" s="4">
        <f t="shared" si="53"/>
        <v>112.55555555555556</v>
      </c>
      <c r="AD82" s="4">
        <f t="shared" si="54"/>
        <v>85.444444444444443</v>
      </c>
      <c r="AE82" s="4"/>
      <c r="AF82" s="4">
        <f t="shared" si="55"/>
        <v>196.22533333333331</v>
      </c>
      <c r="AG82" s="4">
        <f t="shared" si="56"/>
        <v>192.37777777777777</v>
      </c>
      <c r="AH82" s="4">
        <f t="shared" si="57"/>
        <v>176.98755555555556</v>
      </c>
    </row>
    <row r="83" spans="1:38">
      <c r="B83" s="4"/>
      <c r="C83" s="4"/>
      <c r="D83" s="1">
        <v>36</v>
      </c>
      <c r="E83" s="1">
        <f t="shared" si="37"/>
        <v>1539648</v>
      </c>
      <c r="F83" s="4">
        <f t="shared" si="59"/>
        <v>1952</v>
      </c>
      <c r="G83" s="8">
        <f t="shared" si="60"/>
        <v>504</v>
      </c>
      <c r="H83" s="8"/>
      <c r="I83" s="8">
        <f t="shared" si="61"/>
        <v>159</v>
      </c>
      <c r="J83" s="8">
        <f t="shared" si="62"/>
        <v>61</v>
      </c>
      <c r="K83" s="4">
        <f t="shared" si="40"/>
        <v>40</v>
      </c>
      <c r="L83" s="8"/>
      <c r="M83" s="8"/>
      <c r="N83" s="8">
        <f t="shared" si="58"/>
        <v>321.97499999999997</v>
      </c>
      <c r="O83" s="8">
        <f t="shared" si="63"/>
        <v>366</v>
      </c>
      <c r="P83" s="8"/>
      <c r="Q83" s="4">
        <f t="shared" si="34"/>
        <v>580.95666666666659</v>
      </c>
      <c r="R83" s="8">
        <f t="shared" si="64"/>
        <v>611.5333333333333</v>
      </c>
      <c r="S83" s="4">
        <f t="shared" si="36"/>
        <v>642.11</v>
      </c>
      <c r="T83" s="20">
        <v>3.5000000000000003E-2</v>
      </c>
      <c r="U83" s="8"/>
      <c r="V83" s="8"/>
      <c r="W83" s="5" t="s">
        <v>1212</v>
      </c>
      <c r="X83" s="5">
        <f t="shared" si="48"/>
        <v>681.33333333333337</v>
      </c>
      <c r="Y83" s="5">
        <f t="shared" si="49"/>
        <v>521.66666666666663</v>
      </c>
      <c r="Z83" s="5">
        <f t="shared" si="50"/>
        <v>81.272222222222226</v>
      </c>
      <c r="AA83" s="4">
        <f t="shared" si="51"/>
        <v>113.55555555555556</v>
      </c>
      <c r="AB83" s="4">
        <f t="shared" si="52"/>
        <v>30.222222222222221</v>
      </c>
      <c r="AC83" s="4">
        <f t="shared" si="53"/>
        <v>113.55555555555556</v>
      </c>
      <c r="AD83" s="4">
        <f t="shared" si="54"/>
        <v>86.944444444444443</v>
      </c>
      <c r="AE83" s="4"/>
      <c r="AF83" s="4">
        <f t="shared" si="55"/>
        <v>198.72433333333333</v>
      </c>
      <c r="AG83" s="4">
        <f t="shared" si="56"/>
        <v>194.82777777777778</v>
      </c>
      <c r="AH83" s="4">
        <f t="shared" si="57"/>
        <v>179.24155555555558</v>
      </c>
    </row>
    <row r="84" spans="1:38">
      <c r="B84" s="4"/>
      <c r="C84" s="4"/>
      <c r="D84" s="1">
        <v>37</v>
      </c>
      <c r="E84" s="1">
        <f t="shared" si="37"/>
        <v>1671549</v>
      </c>
      <c r="F84" s="4">
        <f t="shared" si="59"/>
        <v>1984</v>
      </c>
      <c r="G84" s="8">
        <f t="shared" si="60"/>
        <v>545.5</v>
      </c>
      <c r="H84" s="8"/>
      <c r="I84" s="8">
        <f t="shared" si="61"/>
        <v>163</v>
      </c>
      <c r="J84" s="8">
        <f t="shared" si="62"/>
        <v>62</v>
      </c>
      <c r="K84" s="4">
        <f t="shared" si="40"/>
        <v>41</v>
      </c>
      <c r="L84" s="8"/>
      <c r="M84" s="8"/>
      <c r="N84" s="8">
        <f t="shared" si="58"/>
        <v>330.07499999999999</v>
      </c>
      <c r="O84" s="8">
        <f t="shared" si="63"/>
        <v>372</v>
      </c>
      <c r="P84" s="8"/>
      <c r="Q84" s="4">
        <f t="shared" si="34"/>
        <v>592.86333333333334</v>
      </c>
      <c r="R84" s="8">
        <f t="shared" si="64"/>
        <v>624.06666666666672</v>
      </c>
      <c r="S84" s="4">
        <f t="shared" si="36"/>
        <v>655.2700000000001</v>
      </c>
      <c r="T84" s="20">
        <v>3.5000000000000003E-2</v>
      </c>
      <c r="U84" s="8"/>
      <c r="V84" s="8"/>
      <c r="W84" s="5" t="s">
        <v>1213</v>
      </c>
      <c r="X84" s="5">
        <f t="shared" si="48"/>
        <v>687.33333333333337</v>
      </c>
      <c r="Y84" s="5">
        <f t="shared" si="49"/>
        <v>530.66666666666663</v>
      </c>
      <c r="Z84" s="5">
        <f t="shared" si="50"/>
        <v>82.722222222222214</v>
      </c>
      <c r="AA84" s="4">
        <f t="shared" si="51"/>
        <v>114.55555555555556</v>
      </c>
      <c r="AB84" s="4">
        <f t="shared" si="52"/>
        <v>31.222222222222221</v>
      </c>
      <c r="AC84" s="4">
        <f t="shared" si="53"/>
        <v>114.55555555555556</v>
      </c>
      <c r="AD84" s="4">
        <f t="shared" si="54"/>
        <v>88.444444444444443</v>
      </c>
      <c r="AE84" s="4"/>
      <c r="AF84" s="4">
        <f t="shared" si="55"/>
        <v>201.22333333333336</v>
      </c>
      <c r="AG84" s="4">
        <f t="shared" si="56"/>
        <v>197.2777777777778</v>
      </c>
      <c r="AH84" s="4">
        <f t="shared" si="57"/>
        <v>181.4955555555556</v>
      </c>
    </row>
    <row r="85" spans="1:38">
      <c r="B85" s="4"/>
      <c r="C85" s="4"/>
      <c r="D85" s="1">
        <v>38</v>
      </c>
      <c r="E85" s="1">
        <f t="shared" si="37"/>
        <v>1810776</v>
      </c>
      <c r="F85" s="4">
        <f t="shared" si="59"/>
        <v>2016</v>
      </c>
      <c r="G85" s="8">
        <f t="shared" si="60"/>
        <v>589</v>
      </c>
      <c r="H85" s="8"/>
      <c r="I85" s="8">
        <f t="shared" si="61"/>
        <v>167</v>
      </c>
      <c r="J85" s="8">
        <f t="shared" si="62"/>
        <v>63</v>
      </c>
      <c r="K85" s="4">
        <f t="shared" si="40"/>
        <v>42</v>
      </c>
      <c r="L85" s="8"/>
      <c r="M85" s="8"/>
      <c r="N85" s="8">
        <f t="shared" si="58"/>
        <v>338.17500000000001</v>
      </c>
      <c r="O85" s="8">
        <f t="shared" si="63"/>
        <v>378</v>
      </c>
      <c r="P85" s="8"/>
      <c r="Q85" s="4">
        <f t="shared" si="34"/>
        <v>604.77</v>
      </c>
      <c r="R85" s="8">
        <f t="shared" si="64"/>
        <v>636.6</v>
      </c>
      <c r="S85" s="4">
        <f t="shared" si="36"/>
        <v>668.43000000000006</v>
      </c>
      <c r="T85" s="20">
        <v>3.5000000000000003E-2</v>
      </c>
      <c r="U85" s="8"/>
      <c r="V85" s="8"/>
      <c r="W85" s="5" t="s">
        <v>1214</v>
      </c>
      <c r="X85" s="5">
        <f t="shared" si="48"/>
        <v>693.33333333333337</v>
      </c>
      <c r="Y85" s="5">
        <f t="shared" si="49"/>
        <v>539.66666666666663</v>
      </c>
      <c r="Z85" s="5">
        <f t="shared" si="50"/>
        <v>84.172222222222231</v>
      </c>
      <c r="AA85" s="4">
        <f t="shared" si="51"/>
        <v>115.55555555555556</v>
      </c>
      <c r="AB85" s="4">
        <f t="shared" si="52"/>
        <v>32.222222222222221</v>
      </c>
      <c r="AC85" s="4">
        <f t="shared" si="53"/>
        <v>115.55555555555556</v>
      </c>
      <c r="AD85" s="4">
        <f t="shared" si="54"/>
        <v>89.944444444444443</v>
      </c>
      <c r="AE85" s="4"/>
      <c r="AF85" s="4">
        <f t="shared" si="55"/>
        <v>203.72233333333335</v>
      </c>
      <c r="AG85" s="4">
        <f t="shared" si="56"/>
        <v>199.72777777777779</v>
      </c>
      <c r="AH85" s="4">
        <f t="shared" si="57"/>
        <v>183.74955555555556</v>
      </c>
    </row>
    <row r="86" spans="1:38">
      <c r="B86" s="4"/>
      <c r="C86" s="4"/>
      <c r="D86" s="1">
        <v>39</v>
      </c>
      <c r="E86" s="1">
        <f t="shared" si="37"/>
        <v>1957527</v>
      </c>
      <c r="F86" s="4">
        <f t="shared" si="59"/>
        <v>2048</v>
      </c>
      <c r="G86" s="8">
        <f t="shared" si="60"/>
        <v>634.5</v>
      </c>
      <c r="H86" s="8"/>
      <c r="I86" s="8">
        <f t="shared" si="61"/>
        <v>171</v>
      </c>
      <c r="J86" s="8">
        <f t="shared" si="62"/>
        <v>64</v>
      </c>
      <c r="K86" s="4">
        <f t="shared" si="40"/>
        <v>43</v>
      </c>
      <c r="L86" s="8"/>
      <c r="M86" s="8"/>
      <c r="N86" s="8">
        <f t="shared" si="58"/>
        <v>346.27499999999998</v>
      </c>
      <c r="O86" s="8">
        <f t="shared" si="63"/>
        <v>384</v>
      </c>
      <c r="P86" s="8"/>
      <c r="Q86" s="4">
        <f t="shared" si="34"/>
        <v>616.67666666666662</v>
      </c>
      <c r="R86" s="8">
        <f t="shared" si="64"/>
        <v>649.13333333333333</v>
      </c>
      <c r="S86" s="4">
        <f t="shared" si="36"/>
        <v>681.59</v>
      </c>
      <c r="T86" s="20">
        <v>3.5000000000000003E-2</v>
      </c>
      <c r="U86" s="8"/>
      <c r="V86" s="8"/>
      <c r="W86" s="5" t="s">
        <v>1215</v>
      </c>
      <c r="X86" s="5">
        <f t="shared" si="48"/>
        <v>699.33333333333337</v>
      </c>
      <c r="Y86" s="5">
        <f t="shared" si="49"/>
        <v>548.66666666666663</v>
      </c>
      <c r="Z86" s="5">
        <f t="shared" si="50"/>
        <v>85.62222222222222</v>
      </c>
      <c r="AA86" s="4">
        <f t="shared" si="51"/>
        <v>116.55555555555556</v>
      </c>
      <c r="AB86" s="4">
        <f t="shared" si="52"/>
        <v>33.222222222222221</v>
      </c>
      <c r="AC86" s="4">
        <f t="shared" si="53"/>
        <v>116.55555555555556</v>
      </c>
      <c r="AD86" s="4">
        <f t="shared" si="54"/>
        <v>91.444444444444443</v>
      </c>
      <c r="AE86" s="4"/>
      <c r="AF86" s="4">
        <f t="shared" si="55"/>
        <v>206.22133333333335</v>
      </c>
      <c r="AG86" s="4">
        <f t="shared" si="56"/>
        <v>202.17777777777778</v>
      </c>
      <c r="AH86" s="4">
        <f t="shared" si="57"/>
        <v>186.00355555555555</v>
      </c>
    </row>
    <row r="87" spans="1:38">
      <c r="B87" s="4"/>
      <c r="C87" s="4"/>
      <c r="D87" s="1">
        <v>40</v>
      </c>
      <c r="E87" s="1">
        <f t="shared" si="37"/>
        <v>2112000</v>
      </c>
      <c r="F87" s="4">
        <f t="shared" si="59"/>
        <v>2080</v>
      </c>
      <c r="G87" s="8">
        <f t="shared" si="60"/>
        <v>682</v>
      </c>
      <c r="H87" s="8"/>
      <c r="I87" s="8">
        <f t="shared" si="61"/>
        <v>175</v>
      </c>
      <c r="J87" s="8">
        <f t="shared" si="62"/>
        <v>65</v>
      </c>
      <c r="K87" s="4">
        <f t="shared" si="40"/>
        <v>44</v>
      </c>
      <c r="L87" s="8"/>
      <c r="M87" s="8"/>
      <c r="N87" s="8">
        <f t="shared" si="58"/>
        <v>354.375</v>
      </c>
      <c r="O87" s="8">
        <f t="shared" si="63"/>
        <v>390</v>
      </c>
      <c r="P87" s="8"/>
      <c r="Q87" s="4">
        <f t="shared" si="34"/>
        <v>628.58333333333337</v>
      </c>
      <c r="R87" s="8">
        <f t="shared" si="64"/>
        <v>661.66666666666674</v>
      </c>
      <c r="S87" s="4">
        <f t="shared" si="36"/>
        <v>694.75000000000011</v>
      </c>
      <c r="T87" s="20">
        <v>3.5000000000000003E-2</v>
      </c>
      <c r="U87" s="8"/>
      <c r="V87" s="8"/>
      <c r="W87" s="5" t="s">
        <v>1216</v>
      </c>
      <c r="X87" s="5">
        <f t="shared" si="48"/>
        <v>705.33333333333337</v>
      </c>
      <c r="Y87" s="5">
        <f t="shared" si="49"/>
        <v>557.66666666666663</v>
      </c>
      <c r="Z87" s="5">
        <f t="shared" si="50"/>
        <v>87.072222222222223</v>
      </c>
      <c r="AA87" s="4">
        <f t="shared" si="51"/>
        <v>117.55555555555556</v>
      </c>
      <c r="AB87" s="4">
        <f t="shared" si="52"/>
        <v>34.222222222222221</v>
      </c>
      <c r="AC87" s="4">
        <f t="shared" si="53"/>
        <v>117.55555555555556</v>
      </c>
      <c r="AD87" s="4">
        <f t="shared" si="54"/>
        <v>92.944444444444443</v>
      </c>
      <c r="AE87" s="4"/>
      <c r="AF87" s="4">
        <f t="shared" si="55"/>
        <v>208.72033333333331</v>
      </c>
      <c r="AG87" s="4">
        <f t="shared" si="56"/>
        <v>204.62777777777777</v>
      </c>
      <c r="AH87" s="4">
        <f t="shared" si="57"/>
        <v>188.25755555555554</v>
      </c>
    </row>
    <row r="88" spans="1:38">
      <c r="B88" s="4"/>
      <c r="C88" s="4"/>
      <c r="D88" s="1">
        <v>41</v>
      </c>
      <c r="E88" s="1">
        <f t="shared" si="37"/>
        <v>2274393</v>
      </c>
      <c r="F88" s="4">
        <f t="shared" si="59"/>
        <v>2112</v>
      </c>
      <c r="G88" s="8">
        <f t="shared" si="60"/>
        <v>731.5</v>
      </c>
      <c r="H88" s="8"/>
      <c r="I88" s="8">
        <f t="shared" si="61"/>
        <v>179</v>
      </c>
      <c r="J88" s="8">
        <f t="shared" si="62"/>
        <v>66</v>
      </c>
      <c r="K88" s="4">
        <f t="shared" si="40"/>
        <v>45</v>
      </c>
      <c r="L88" s="8"/>
      <c r="M88" s="8"/>
      <c r="N88" s="8">
        <f t="shared" si="58"/>
        <v>362.47499999999997</v>
      </c>
      <c r="O88" s="8">
        <f t="shared" si="63"/>
        <v>396</v>
      </c>
      <c r="P88" s="8"/>
      <c r="Q88" s="4">
        <f t="shared" si="34"/>
        <v>640.4899999999999</v>
      </c>
      <c r="R88" s="8">
        <f t="shared" si="64"/>
        <v>674.19999999999993</v>
      </c>
      <c r="S88" s="4">
        <f t="shared" si="36"/>
        <v>707.91</v>
      </c>
      <c r="T88" s="20">
        <v>3.5000000000000003E-2</v>
      </c>
      <c r="U88" s="8"/>
      <c r="V88" s="8"/>
      <c r="W88" s="5" t="s">
        <v>1217</v>
      </c>
    </row>
    <row r="89" spans="1:38">
      <c r="B89" s="4"/>
      <c r="C89" s="4"/>
      <c r="D89" s="1">
        <v>42</v>
      </c>
      <c r="E89" s="1">
        <f t="shared" si="37"/>
        <v>2444904</v>
      </c>
      <c r="F89" s="4">
        <f t="shared" si="59"/>
        <v>2144</v>
      </c>
      <c r="G89" s="8">
        <f t="shared" si="60"/>
        <v>783</v>
      </c>
      <c r="H89" s="8"/>
      <c r="I89" s="8">
        <f t="shared" si="61"/>
        <v>183</v>
      </c>
      <c r="J89" s="8">
        <f t="shared" si="62"/>
        <v>67</v>
      </c>
      <c r="K89" s="4">
        <f t="shared" si="40"/>
        <v>46</v>
      </c>
      <c r="L89" s="8"/>
      <c r="M89" s="8"/>
      <c r="N89" s="8">
        <f t="shared" si="58"/>
        <v>370.57499999999999</v>
      </c>
      <c r="O89" s="8">
        <f t="shared" si="63"/>
        <v>402</v>
      </c>
      <c r="P89" s="8"/>
      <c r="Q89" s="4">
        <f t="shared" si="34"/>
        <v>652.39666666666653</v>
      </c>
      <c r="R89" s="8">
        <f t="shared" si="64"/>
        <v>686.73333333333323</v>
      </c>
      <c r="S89" s="4">
        <f t="shared" si="36"/>
        <v>721.06999999999994</v>
      </c>
      <c r="T89" s="20">
        <v>3.5000000000000003E-2</v>
      </c>
      <c r="U89" s="8"/>
      <c r="V89" s="8"/>
      <c r="W89" t="s">
        <v>1193</v>
      </c>
      <c r="Z89" t="s">
        <v>1198</v>
      </c>
      <c r="AC89" t="s">
        <v>1199</v>
      </c>
      <c r="AD89" s="4"/>
      <c r="AF89" t="s">
        <v>1200</v>
      </c>
      <c r="AI89" t="s">
        <v>1201</v>
      </c>
      <c r="AL89" t="s">
        <v>1202</v>
      </c>
    </row>
    <row r="90" spans="1:38">
      <c r="B90" s="4"/>
      <c r="C90" s="4"/>
      <c r="D90" s="1">
        <v>43</v>
      </c>
      <c r="E90" s="1">
        <f t="shared" si="37"/>
        <v>2623731</v>
      </c>
      <c r="F90" s="4">
        <f t="shared" si="59"/>
        <v>2176</v>
      </c>
      <c r="G90" s="8">
        <f t="shared" si="60"/>
        <v>836.5</v>
      </c>
      <c r="H90" s="8"/>
      <c r="I90" s="8">
        <f t="shared" si="61"/>
        <v>187</v>
      </c>
      <c r="J90" s="8">
        <f t="shared" si="62"/>
        <v>68</v>
      </c>
      <c r="K90" s="4">
        <f t="shared" si="40"/>
        <v>47</v>
      </c>
      <c r="L90" s="8"/>
      <c r="M90" s="8"/>
      <c r="N90" s="8">
        <f t="shared" si="58"/>
        <v>378.67500000000001</v>
      </c>
      <c r="O90" s="8">
        <f t="shared" si="63"/>
        <v>408</v>
      </c>
      <c r="P90" s="8"/>
      <c r="Q90" s="4">
        <f t="shared" si="34"/>
        <v>664.3033333333334</v>
      </c>
      <c r="R90" s="8">
        <f t="shared" si="64"/>
        <v>699.26666666666677</v>
      </c>
      <c r="S90" s="4">
        <f t="shared" si="36"/>
        <v>734.23000000000013</v>
      </c>
      <c r="T90" s="20">
        <v>3.5000000000000003E-2</v>
      </c>
      <c r="U90" s="8"/>
      <c r="V90" s="8"/>
      <c r="W90" t="s">
        <v>1194</v>
      </c>
      <c r="Z90">
        <v>19.222222222222221</v>
      </c>
      <c r="AC90">
        <v>24.222222222222221</v>
      </c>
      <c r="AF90">
        <v>16.222222222222221</v>
      </c>
      <c r="AI90">
        <v>94.555555555555557</v>
      </c>
      <c r="AL90">
        <v>48.444444444444443</v>
      </c>
    </row>
    <row r="91" spans="1:38">
      <c r="B91" s="4"/>
      <c r="C91" s="4"/>
      <c r="D91" s="1">
        <v>44</v>
      </c>
      <c r="E91" s="1">
        <f t="shared" si="37"/>
        <v>2811072</v>
      </c>
      <c r="F91" s="4">
        <f t="shared" si="59"/>
        <v>2208</v>
      </c>
      <c r="G91" s="8">
        <f t="shared" si="60"/>
        <v>892</v>
      </c>
      <c r="H91" s="8"/>
      <c r="I91" s="8">
        <f t="shared" si="61"/>
        <v>191</v>
      </c>
      <c r="J91" s="8">
        <f t="shared" si="62"/>
        <v>69</v>
      </c>
      <c r="K91" s="4">
        <f t="shared" si="40"/>
        <v>48</v>
      </c>
      <c r="L91" s="8"/>
      <c r="M91" s="8"/>
      <c r="N91" s="8">
        <f t="shared" si="58"/>
        <v>386.77499999999998</v>
      </c>
      <c r="O91" s="8">
        <f t="shared" si="63"/>
        <v>414</v>
      </c>
      <c r="P91" s="8"/>
      <c r="Q91" s="4">
        <f t="shared" si="34"/>
        <v>676.20999999999992</v>
      </c>
      <c r="R91" s="8">
        <f t="shared" si="64"/>
        <v>711.8</v>
      </c>
      <c r="S91" s="4">
        <f t="shared" si="36"/>
        <v>747.39</v>
      </c>
      <c r="T91" s="20">
        <v>3.5000000000000003E-2</v>
      </c>
      <c r="U91" s="8"/>
      <c r="V91" s="8"/>
      <c r="W91" t="s">
        <v>1195</v>
      </c>
      <c r="Z91">
        <v>33.444444444444443</v>
      </c>
      <c r="AC91">
        <v>45.555555555555557</v>
      </c>
      <c r="AD91" s="4"/>
      <c r="AF91">
        <v>28.666666666666664</v>
      </c>
      <c r="AI91">
        <v>160.33333333333331</v>
      </c>
      <c r="AL91">
        <v>82.222222222222229</v>
      </c>
    </row>
    <row r="92" spans="1:38">
      <c r="A92" s="7"/>
      <c r="B92" s="7"/>
      <c r="C92" s="7"/>
      <c r="D92" s="6">
        <v>45</v>
      </c>
      <c r="E92" s="1">
        <f t="shared" si="37"/>
        <v>3007125</v>
      </c>
      <c r="F92" s="4">
        <f>J92*$Y$18*$AD$18</f>
        <v>3240</v>
      </c>
      <c r="G92" s="7">
        <f>K92*$Z$18+D28^2</f>
        <v>1096.5</v>
      </c>
      <c r="H92" s="7"/>
      <c r="I92" s="7">
        <f>$I$48+D92*5</f>
        <v>240</v>
      </c>
      <c r="J92" s="7">
        <f>$J$48+D91+8</f>
        <v>72</v>
      </c>
      <c r="K92" s="7">
        <f t="shared" si="40"/>
        <v>49</v>
      </c>
      <c r="L92" s="7"/>
      <c r="M92" s="7"/>
      <c r="N92" s="7">
        <f>I92*$AB$18</f>
        <v>720</v>
      </c>
      <c r="O92" s="7">
        <f>J92*$AA$18</f>
        <v>576</v>
      </c>
      <c r="P92" s="7"/>
      <c r="Q92" s="7">
        <f t="shared" si="34"/>
        <v>1385.1</v>
      </c>
      <c r="R92" s="8">
        <f>F92/$AC$18*(1+(N92/O92))</f>
        <v>1458</v>
      </c>
      <c r="S92" s="7">
        <f t="shared" si="36"/>
        <v>1530.9</v>
      </c>
      <c r="T92" s="19">
        <v>4.4999999999999998E-2</v>
      </c>
      <c r="U92" s="7"/>
      <c r="V92" s="7"/>
      <c r="W92" t="s">
        <v>1196</v>
      </c>
      <c r="Y92" s="4"/>
      <c r="Z92" s="4">
        <v>47.666666666666664</v>
      </c>
      <c r="AA92" s="4"/>
      <c r="AB92" s="4"/>
      <c r="AC92" s="4">
        <v>70.444444444444443</v>
      </c>
      <c r="AD92" s="8"/>
      <c r="AF92">
        <v>42.888888888888886</v>
      </c>
      <c r="AI92">
        <v>235.88888888888889</v>
      </c>
      <c r="AL92">
        <v>121.33333333333333</v>
      </c>
    </row>
    <row r="93" spans="1:38"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t="s">
        <v>1197</v>
      </c>
      <c r="Y93" s="4"/>
      <c r="Z93" s="4">
        <v>69</v>
      </c>
      <c r="AA93" s="4"/>
      <c r="AB93" s="4"/>
      <c r="AC93" s="4">
        <v>107.77777777777777</v>
      </c>
      <c r="AD93" s="4"/>
      <c r="AF93">
        <v>76.666666666666657</v>
      </c>
      <c r="AI93">
        <v>352.33333333333326</v>
      </c>
      <c r="AL93">
        <v>183.55555555555554</v>
      </c>
    </row>
    <row r="94" spans="1:38">
      <c r="C94" s="4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Y94" s="4"/>
      <c r="Z94" s="4"/>
      <c r="AA94" s="4"/>
      <c r="AB94" s="4"/>
      <c r="AC94" s="4"/>
      <c r="AD94" s="8"/>
    </row>
    <row r="95" spans="1:38"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Y95" s="4"/>
      <c r="Z95" s="4"/>
      <c r="AA95" s="4"/>
      <c r="AB95" s="4"/>
      <c r="AC95" s="4"/>
    </row>
    <row r="96" spans="1:38"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Y96" s="4"/>
      <c r="Z96" s="4"/>
      <c r="AA96" s="4"/>
      <c r="AB96" s="4"/>
      <c r="AC96" s="4"/>
      <c r="AD96" s="8"/>
    </row>
    <row r="97" spans="7:30"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Y97" s="4"/>
      <c r="Z97" s="4"/>
      <c r="AA97" s="4"/>
      <c r="AB97" s="4"/>
      <c r="AC97" s="4"/>
      <c r="AD97" s="4"/>
    </row>
    <row r="98" spans="7:30"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Y98" s="4"/>
      <c r="Z98" s="4"/>
      <c r="AA98" s="4"/>
      <c r="AB98" s="4"/>
      <c r="AC98" s="4"/>
      <c r="AD98" s="8"/>
    </row>
    <row r="99" spans="7:30"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Y99" s="4"/>
      <c r="Z99" s="4"/>
      <c r="AA99" s="4"/>
      <c r="AB99" s="4"/>
      <c r="AC99" s="5"/>
      <c r="AD99" s="4"/>
    </row>
    <row r="100" spans="7:30"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4"/>
      <c r="Y100" s="4"/>
      <c r="Z100" s="4"/>
      <c r="AA100" s="4"/>
      <c r="AB100" s="4"/>
      <c r="AC100" s="4"/>
      <c r="AD100" s="8"/>
    </row>
    <row r="101" spans="7:30"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Y101" s="4"/>
      <c r="Z101" s="4"/>
      <c r="AA101" s="4"/>
      <c r="AB101" s="4"/>
      <c r="AC101" s="4"/>
    </row>
    <row r="102" spans="7:30"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Y102" s="4"/>
      <c r="Z102" s="4"/>
      <c r="AA102" s="4"/>
      <c r="AB102" s="4"/>
      <c r="AC102" s="4"/>
      <c r="AD102" s="8"/>
    </row>
    <row r="103" spans="7:30"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Y103" s="4"/>
      <c r="Z103" s="5"/>
      <c r="AA103" s="5"/>
      <c r="AB103" s="5"/>
      <c r="AC103" s="4"/>
    </row>
    <row r="104" spans="7:30"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7:30"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4"/>
      <c r="X105" s="4"/>
      <c r="Y105" s="4"/>
      <c r="Z105" s="4"/>
      <c r="AA105" s="4"/>
      <c r="AB105" s="4"/>
      <c r="AC105" s="4"/>
      <c r="AD105" s="8"/>
    </row>
    <row r="106" spans="7:30">
      <c r="W106" s="4"/>
      <c r="X106" s="4"/>
      <c r="Y106" s="4"/>
      <c r="Z106" s="4"/>
      <c r="AA106" s="4"/>
      <c r="AB106" s="4"/>
      <c r="AC106" s="4"/>
    </row>
    <row r="107" spans="7:30">
      <c r="W107" s="4"/>
      <c r="X107" s="4"/>
      <c r="Y107" s="4"/>
      <c r="Z107" s="4"/>
      <c r="AA107" s="4"/>
      <c r="AB107" s="4"/>
      <c r="AC107" s="4"/>
      <c r="AD107" s="8"/>
    </row>
    <row r="108" spans="7:30">
      <c r="W108" s="4"/>
      <c r="X108" s="4"/>
      <c r="Y108" s="4"/>
      <c r="Z108" s="4"/>
      <c r="AA108" s="4"/>
      <c r="AB108" s="4"/>
      <c r="AC108" s="4"/>
    </row>
  </sheetData>
  <mergeCells count="4">
    <mergeCell ref="W1:AD1"/>
    <mergeCell ref="W25:AD50"/>
    <mergeCell ref="W24:AD24"/>
    <mergeCell ref="W51:AC51"/>
  </mergeCells>
  <phoneticPr fontId="1" type="noConversion"/>
  <pageMargins left="0.7" right="0.7" top="0.75" bottom="0.75" header="0.3" footer="0.3"/>
  <pageSetup paperSize="9" orientation="portrait" r:id="rId1"/>
  <customProperties>
    <customPr name="DVSECTION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A66"/>
  <sheetViews>
    <sheetView tabSelected="1" topLeftCell="C1" zoomScale="80" zoomScaleNormal="80" workbookViewId="0">
      <selection activeCell="L1" sqref="L1"/>
    </sheetView>
  </sheetViews>
  <sheetFormatPr defaultRowHeight="13.5"/>
  <cols>
    <col min="3" max="3" width="11" customWidth="1"/>
    <col min="4" max="4" width="11.375" customWidth="1"/>
    <col min="5" max="5" width="11.125" customWidth="1"/>
    <col min="6" max="6" width="11.375" customWidth="1"/>
    <col min="7" max="7" width="0" hidden="1" customWidth="1"/>
    <col min="8" max="8" width="9.25" hidden="1" customWidth="1"/>
    <col min="9" max="11" width="9.25" style="4" customWidth="1"/>
    <col min="12" max="12" width="10.75" customWidth="1"/>
    <col min="13" max="13" width="11.125" customWidth="1"/>
    <col min="17" max="17" width="0" hidden="1" customWidth="1"/>
    <col min="21" max="21" width="11.875" customWidth="1"/>
    <col min="25" max="26" width="0" hidden="1" customWidth="1"/>
    <col min="27" max="27" width="12.25" customWidth="1"/>
    <col min="29" max="29" width="11.375" customWidth="1"/>
    <col min="30" max="31" width="11.375" style="4" customWidth="1"/>
    <col min="41" max="42" width="0" hidden="1" customWidth="1"/>
    <col min="43" max="43" width="9" style="4"/>
    <col min="44" max="44" width="0" hidden="1" customWidth="1"/>
    <col min="45" max="47" width="9" style="4"/>
    <col min="52" max="52" width="0" hidden="1" customWidth="1"/>
  </cols>
  <sheetData>
    <row r="1" spans="1:53" ht="65.25" customHeight="1">
      <c r="A1" t="s">
        <v>14</v>
      </c>
      <c r="B1" t="s">
        <v>33</v>
      </c>
      <c r="C1" t="s">
        <v>15</v>
      </c>
      <c r="D1" s="4" t="s">
        <v>17</v>
      </c>
      <c r="E1" t="s">
        <v>13</v>
      </c>
      <c r="F1" t="s">
        <v>12</v>
      </c>
      <c r="G1" t="s">
        <v>16</v>
      </c>
      <c r="H1" t="s">
        <v>21</v>
      </c>
      <c r="I1" s="2" t="s">
        <v>192</v>
      </c>
      <c r="J1" s="10" t="s">
        <v>44</v>
      </c>
      <c r="K1" s="2" t="s">
        <v>194</v>
      </c>
      <c r="L1" s="10" t="s">
        <v>11</v>
      </c>
      <c r="M1" t="s">
        <v>18</v>
      </c>
      <c r="N1" t="s">
        <v>19</v>
      </c>
      <c r="O1" t="s">
        <v>51</v>
      </c>
      <c r="P1" t="s">
        <v>52</v>
      </c>
      <c r="Q1" t="s">
        <v>53</v>
      </c>
      <c r="S1" s="4" t="s">
        <v>14</v>
      </c>
      <c r="T1" s="4" t="s">
        <v>33</v>
      </c>
      <c r="U1" s="4" t="s">
        <v>15</v>
      </c>
      <c r="V1" s="4" t="s">
        <v>17</v>
      </c>
      <c r="W1" s="4" t="s">
        <v>13</v>
      </c>
      <c r="X1" s="4" t="s">
        <v>12</v>
      </c>
      <c r="Y1" s="4" t="s">
        <v>16</v>
      </c>
      <c r="Z1" s="4" t="s">
        <v>21</v>
      </c>
      <c r="AA1" s="2" t="s">
        <v>192</v>
      </c>
      <c r="AB1" s="10" t="s">
        <v>44</v>
      </c>
      <c r="AC1" s="2" t="s">
        <v>194</v>
      </c>
      <c r="AD1" s="2" t="s">
        <v>195</v>
      </c>
      <c r="AE1" s="15" t="s">
        <v>196</v>
      </c>
      <c r="AF1" s="4" t="s">
        <v>19</v>
      </c>
      <c r="AG1" s="4" t="s">
        <v>51</v>
      </c>
      <c r="AH1" s="4" t="s">
        <v>52</v>
      </c>
      <c r="AJ1" s="4" t="s">
        <v>14</v>
      </c>
      <c r="AK1" s="4" t="s">
        <v>33</v>
      </c>
      <c r="AL1" s="4" t="s">
        <v>15</v>
      </c>
      <c r="AM1" s="4" t="s">
        <v>17</v>
      </c>
      <c r="AN1" s="4" t="s">
        <v>13</v>
      </c>
      <c r="AO1" s="4" t="s">
        <v>12</v>
      </c>
      <c r="AP1" s="4" t="s">
        <v>16</v>
      </c>
      <c r="AQ1" s="4" t="s">
        <v>189</v>
      </c>
      <c r="AR1" s="4" t="s">
        <v>21</v>
      </c>
      <c r="AS1" s="2" t="s">
        <v>192</v>
      </c>
      <c r="AT1" s="10" t="s">
        <v>44</v>
      </c>
      <c r="AU1" s="2" t="s">
        <v>194</v>
      </c>
      <c r="AV1" s="10" t="s">
        <v>11</v>
      </c>
      <c r="AW1" s="4" t="s">
        <v>18</v>
      </c>
      <c r="AX1" s="4" t="s">
        <v>19</v>
      </c>
      <c r="AY1" s="4" t="s">
        <v>51</v>
      </c>
      <c r="AZ1" s="4"/>
      <c r="BA1" s="4" t="s">
        <v>52</v>
      </c>
    </row>
    <row r="2" spans="1:53" ht="32.25" customHeight="1">
      <c r="C2" s="3" t="s">
        <v>82</v>
      </c>
      <c r="D2" s="4">
        <v>360</v>
      </c>
      <c r="E2">
        <v>40</v>
      </c>
      <c r="F2">
        <v>30</v>
      </c>
      <c r="I2" s="4">
        <f>J2*0.95</f>
        <v>39.9</v>
      </c>
      <c r="J2" s="4">
        <f>D2/$C$51*(1+F2/E2)</f>
        <v>42</v>
      </c>
      <c r="K2" s="4">
        <f>J2*1.05</f>
        <v>44.1</v>
      </c>
      <c r="U2" s="4" t="s">
        <v>99</v>
      </c>
      <c r="V2">
        <f>主角属性字段设计!F2</f>
        <v>60</v>
      </c>
      <c r="W2">
        <v>10</v>
      </c>
      <c r="X2">
        <v>25</v>
      </c>
      <c r="AA2">
        <f>AB2*0.92</f>
        <v>19.32</v>
      </c>
      <c r="AB2" s="4">
        <f>V2/$F$51*(1+X2/W2)</f>
        <v>21</v>
      </c>
      <c r="AC2">
        <f>AB2*1.02</f>
        <v>21.42</v>
      </c>
      <c r="AL2" s="4" t="s">
        <v>144</v>
      </c>
      <c r="AM2" s="4">
        <f>(D2+V2)/2</f>
        <v>210</v>
      </c>
      <c r="AN2" s="4">
        <f>(E2+W2)/2</f>
        <v>25</v>
      </c>
      <c r="AO2" s="4"/>
      <c r="AP2" s="4"/>
      <c r="AQ2" s="4">
        <f>(F2+X2)/2</f>
        <v>27.5</v>
      </c>
      <c r="AS2" s="4">
        <f>AT2*0.94</f>
        <v>33.163199999999996</v>
      </c>
      <c r="AT2" s="4">
        <f>AM2/$K$51*(1+AQ2/AN2)</f>
        <v>35.28</v>
      </c>
      <c r="AU2" s="4">
        <f>AT2*1.04</f>
        <v>36.691200000000002</v>
      </c>
    </row>
    <row r="3" spans="1:53" ht="27">
      <c r="C3" s="3" t="s">
        <v>54</v>
      </c>
      <c r="D3">
        <v>414</v>
      </c>
      <c r="E3" s="4">
        <v>46</v>
      </c>
      <c r="F3">
        <v>38</v>
      </c>
      <c r="I3" s="4">
        <f t="shared" ref="I3:I46" si="0">J3*0.95</f>
        <v>47.88</v>
      </c>
      <c r="J3" s="4">
        <f t="shared" ref="J3:J15" si="1">D3/$C$51*(1+F3/E3)</f>
        <v>50.400000000000006</v>
      </c>
      <c r="K3" s="4">
        <f t="shared" ref="K3:K46" si="2">J3*1.05</f>
        <v>52.920000000000009</v>
      </c>
      <c r="U3" s="4" t="s">
        <v>100</v>
      </c>
      <c r="V3">
        <f>主角属性字段设计!F3</f>
        <v>66</v>
      </c>
      <c r="W3">
        <v>11</v>
      </c>
      <c r="X3">
        <v>26.5</v>
      </c>
      <c r="AA3" s="4">
        <f t="shared" ref="AA3:AA46" si="3">AB3*0.92</f>
        <v>20.7</v>
      </c>
      <c r="AB3" s="4">
        <f t="shared" ref="AB3:AB15" si="4">V3/$F$51*(1+X3/W3)</f>
        <v>22.5</v>
      </c>
      <c r="AC3" s="4">
        <f t="shared" ref="AC3:AC46" si="5">AB3*1.02</f>
        <v>22.95</v>
      </c>
      <c r="AL3" s="4" t="s">
        <v>145</v>
      </c>
      <c r="AM3" s="4">
        <f t="shared" ref="AM3:AM46" si="6">(D3+V3)/2</f>
        <v>240</v>
      </c>
      <c r="AN3" s="4">
        <f t="shared" ref="AN3:AN46" si="7">(E3+W3)/2</f>
        <v>28.5</v>
      </c>
      <c r="AQ3" s="4">
        <f t="shared" ref="AQ3:AQ46" si="8">(F3+X3)/2</f>
        <v>32.25</v>
      </c>
      <c r="AS3" s="4">
        <f t="shared" ref="AS3:AS46" si="9">AT3*0.94</f>
        <v>38.470736842105261</v>
      </c>
      <c r="AT3" s="4">
        <f t="shared" ref="AT3:AT15" si="10">AM3/$K$51*(1+AQ3/AN3)</f>
        <v>40.926315789473684</v>
      </c>
      <c r="AU3" s="4">
        <f t="shared" ref="AU3:AU46" si="11">AT3*1.04</f>
        <v>42.56336842105263</v>
      </c>
    </row>
    <row r="4" spans="1:53" ht="27">
      <c r="C4" s="3" t="s">
        <v>55</v>
      </c>
      <c r="D4">
        <v>432</v>
      </c>
      <c r="E4">
        <v>48</v>
      </c>
      <c r="F4">
        <v>42</v>
      </c>
      <c r="I4" s="4">
        <f t="shared" si="0"/>
        <v>51.3</v>
      </c>
      <c r="J4" s="4">
        <f t="shared" si="1"/>
        <v>54</v>
      </c>
      <c r="K4" s="4">
        <f t="shared" si="2"/>
        <v>56.7</v>
      </c>
      <c r="U4" s="4" t="s">
        <v>101</v>
      </c>
      <c r="V4">
        <f>主角属性字段设计!F4</f>
        <v>72</v>
      </c>
      <c r="W4">
        <v>12</v>
      </c>
      <c r="X4">
        <v>28</v>
      </c>
      <c r="AA4" s="4">
        <f t="shared" si="3"/>
        <v>22.080000000000002</v>
      </c>
      <c r="AB4" s="4">
        <f t="shared" si="4"/>
        <v>24</v>
      </c>
      <c r="AC4" s="4">
        <f t="shared" si="5"/>
        <v>24.48</v>
      </c>
      <c r="AL4" s="4" t="s">
        <v>146</v>
      </c>
      <c r="AM4" s="4">
        <f t="shared" si="6"/>
        <v>252</v>
      </c>
      <c r="AN4" s="4">
        <f t="shared" si="7"/>
        <v>30</v>
      </c>
      <c r="AQ4" s="4">
        <f t="shared" si="8"/>
        <v>35</v>
      </c>
      <c r="AS4" s="4">
        <f t="shared" si="9"/>
        <v>41.059200000000004</v>
      </c>
      <c r="AT4" s="4">
        <f t="shared" si="10"/>
        <v>43.680000000000007</v>
      </c>
      <c r="AU4" s="4">
        <f t="shared" si="11"/>
        <v>45.427200000000006</v>
      </c>
    </row>
    <row r="5" spans="1:53" ht="27">
      <c r="C5" s="3" t="s">
        <v>56</v>
      </c>
      <c r="D5">
        <v>450</v>
      </c>
      <c r="E5">
        <v>50</v>
      </c>
      <c r="F5">
        <v>46</v>
      </c>
      <c r="I5" s="4">
        <f t="shared" si="0"/>
        <v>54.719999999999992</v>
      </c>
      <c r="J5" s="4">
        <f t="shared" si="1"/>
        <v>57.599999999999994</v>
      </c>
      <c r="K5" s="4">
        <f t="shared" si="2"/>
        <v>60.48</v>
      </c>
      <c r="U5" s="4" t="s">
        <v>102</v>
      </c>
      <c r="V5">
        <f>主角属性字段设计!F5</f>
        <v>78</v>
      </c>
      <c r="W5">
        <v>13</v>
      </c>
      <c r="X5">
        <v>29.5</v>
      </c>
      <c r="AA5" s="4">
        <f t="shared" si="3"/>
        <v>23.46</v>
      </c>
      <c r="AB5" s="4">
        <f t="shared" si="4"/>
        <v>25.5</v>
      </c>
      <c r="AC5" s="4">
        <f t="shared" si="5"/>
        <v>26.01</v>
      </c>
      <c r="AL5" s="4" t="s">
        <v>147</v>
      </c>
      <c r="AM5" s="4">
        <f t="shared" si="6"/>
        <v>264</v>
      </c>
      <c r="AN5" s="4">
        <f t="shared" si="7"/>
        <v>31.5</v>
      </c>
      <c r="AQ5" s="4">
        <f t="shared" si="8"/>
        <v>37.75</v>
      </c>
      <c r="AS5" s="4">
        <f t="shared" si="9"/>
        <v>43.644647619047625</v>
      </c>
      <c r="AT5" s="4">
        <f t="shared" si="10"/>
        <v>46.430476190476199</v>
      </c>
      <c r="AU5" s="4">
        <f t="shared" si="11"/>
        <v>48.287695238095246</v>
      </c>
    </row>
    <row r="6" spans="1:53" ht="27">
      <c r="C6" s="3" t="s">
        <v>57</v>
      </c>
      <c r="D6">
        <v>468</v>
      </c>
      <c r="E6">
        <v>52</v>
      </c>
      <c r="F6">
        <v>50</v>
      </c>
      <c r="I6" s="4">
        <f t="shared" si="0"/>
        <v>58.14</v>
      </c>
      <c r="J6" s="4">
        <f t="shared" si="1"/>
        <v>61.2</v>
      </c>
      <c r="K6" s="4">
        <f t="shared" si="2"/>
        <v>64.260000000000005</v>
      </c>
      <c r="U6" s="4" t="s">
        <v>103</v>
      </c>
      <c r="V6">
        <f>主角属性字段设计!F6</f>
        <v>84</v>
      </c>
      <c r="W6">
        <v>14</v>
      </c>
      <c r="X6">
        <v>31</v>
      </c>
      <c r="AA6" s="4">
        <f t="shared" si="3"/>
        <v>24.840000000000003</v>
      </c>
      <c r="AB6" s="4">
        <f t="shared" si="4"/>
        <v>27.000000000000004</v>
      </c>
      <c r="AC6" s="4">
        <f t="shared" si="5"/>
        <v>27.540000000000003</v>
      </c>
      <c r="AL6" s="4" t="s">
        <v>148</v>
      </c>
      <c r="AM6" s="4">
        <f t="shared" si="6"/>
        <v>276</v>
      </c>
      <c r="AN6" s="4">
        <f t="shared" si="7"/>
        <v>33</v>
      </c>
      <c r="AQ6" s="4">
        <f t="shared" si="8"/>
        <v>40.5</v>
      </c>
      <c r="AS6" s="4">
        <f t="shared" si="9"/>
        <v>46.227490909090911</v>
      </c>
      <c r="AT6" s="4">
        <f t="shared" si="10"/>
        <v>49.17818181818182</v>
      </c>
      <c r="AU6" s="4">
        <f t="shared" si="11"/>
        <v>51.145309090909095</v>
      </c>
    </row>
    <row r="7" spans="1:53" ht="27">
      <c r="C7" s="3" t="s">
        <v>58</v>
      </c>
      <c r="D7">
        <v>486</v>
      </c>
      <c r="E7">
        <v>54</v>
      </c>
      <c r="F7">
        <v>54</v>
      </c>
      <c r="I7" s="4">
        <f t="shared" si="0"/>
        <v>61.559999999999995</v>
      </c>
      <c r="J7" s="4">
        <f t="shared" si="1"/>
        <v>64.8</v>
      </c>
      <c r="K7" s="4">
        <f t="shared" si="2"/>
        <v>68.040000000000006</v>
      </c>
      <c r="U7" s="4" t="s">
        <v>104</v>
      </c>
      <c r="V7">
        <f>主角属性字段设计!F7</f>
        <v>90</v>
      </c>
      <c r="W7">
        <v>15</v>
      </c>
      <c r="X7">
        <v>32.5</v>
      </c>
      <c r="AA7" s="4">
        <f t="shared" si="3"/>
        <v>26.220000000000002</v>
      </c>
      <c r="AB7" s="4">
        <f t="shared" si="4"/>
        <v>28.5</v>
      </c>
      <c r="AC7" s="4">
        <f t="shared" si="5"/>
        <v>29.07</v>
      </c>
      <c r="AL7" s="4" t="s">
        <v>149</v>
      </c>
      <c r="AM7" s="4">
        <f t="shared" si="6"/>
        <v>288</v>
      </c>
      <c r="AN7" s="4">
        <f t="shared" si="7"/>
        <v>34.5</v>
      </c>
      <c r="AQ7" s="4">
        <f t="shared" si="8"/>
        <v>43.25</v>
      </c>
      <c r="AS7" s="4">
        <f t="shared" si="9"/>
        <v>48.80806956521738</v>
      </c>
      <c r="AT7" s="4">
        <f t="shared" si="10"/>
        <v>51.923478260869558</v>
      </c>
      <c r="AU7" s="4">
        <f t="shared" si="11"/>
        <v>54.000417391304339</v>
      </c>
    </row>
    <row r="8" spans="1:53" ht="27">
      <c r="C8" s="3" t="s">
        <v>59</v>
      </c>
      <c r="D8">
        <v>504</v>
      </c>
      <c r="E8">
        <v>56</v>
      </c>
      <c r="F8">
        <v>58</v>
      </c>
      <c r="I8" s="4">
        <f t="shared" si="0"/>
        <v>64.98</v>
      </c>
      <c r="J8" s="4">
        <f t="shared" si="1"/>
        <v>68.400000000000006</v>
      </c>
      <c r="K8" s="4">
        <f t="shared" si="2"/>
        <v>71.820000000000007</v>
      </c>
      <c r="U8" s="4" t="s">
        <v>105</v>
      </c>
      <c r="V8">
        <f>主角属性字段设计!F8</f>
        <v>96</v>
      </c>
      <c r="W8">
        <v>16</v>
      </c>
      <c r="X8">
        <v>34</v>
      </c>
      <c r="AA8" s="4">
        <f t="shared" si="3"/>
        <v>27.6</v>
      </c>
      <c r="AB8" s="4">
        <f t="shared" si="4"/>
        <v>30</v>
      </c>
      <c r="AC8" s="4">
        <f t="shared" si="5"/>
        <v>30.6</v>
      </c>
      <c r="AL8" s="4" t="s">
        <v>150</v>
      </c>
      <c r="AM8" s="4">
        <f t="shared" si="6"/>
        <v>300</v>
      </c>
      <c r="AN8" s="4">
        <f t="shared" si="7"/>
        <v>36</v>
      </c>
      <c r="AQ8" s="4">
        <f t="shared" si="8"/>
        <v>46</v>
      </c>
      <c r="AS8" s="4">
        <f t="shared" si="9"/>
        <v>51.386666666666663</v>
      </c>
      <c r="AT8" s="4">
        <f t="shared" si="10"/>
        <v>54.666666666666664</v>
      </c>
      <c r="AU8" s="4">
        <f t="shared" si="11"/>
        <v>56.853333333333332</v>
      </c>
    </row>
    <row r="9" spans="1:53" ht="27">
      <c r="C9" s="3" t="s">
        <v>60</v>
      </c>
      <c r="D9">
        <v>522</v>
      </c>
      <c r="E9">
        <v>58</v>
      </c>
      <c r="F9">
        <v>62</v>
      </c>
      <c r="I9" s="4">
        <f t="shared" si="0"/>
        <v>68.399999999999977</v>
      </c>
      <c r="J9" s="4">
        <f t="shared" si="1"/>
        <v>71.999999999999986</v>
      </c>
      <c r="K9" s="4">
        <f t="shared" si="2"/>
        <v>75.599999999999994</v>
      </c>
      <c r="U9" s="4" t="s">
        <v>106</v>
      </c>
      <c r="V9">
        <f>主角属性字段设计!F9</f>
        <v>102</v>
      </c>
      <c r="W9">
        <v>17</v>
      </c>
      <c r="X9">
        <v>35.5</v>
      </c>
      <c r="AA9" s="4">
        <f t="shared" si="3"/>
        <v>28.98</v>
      </c>
      <c r="AB9" s="4">
        <f t="shared" si="4"/>
        <v>31.5</v>
      </c>
      <c r="AC9" s="4">
        <f t="shared" si="5"/>
        <v>32.130000000000003</v>
      </c>
      <c r="AL9" s="4" t="s">
        <v>151</v>
      </c>
      <c r="AM9" s="4">
        <f t="shared" si="6"/>
        <v>312</v>
      </c>
      <c r="AN9" s="4">
        <f t="shared" si="7"/>
        <v>37.5</v>
      </c>
      <c r="AQ9" s="4">
        <f t="shared" si="8"/>
        <v>48.75</v>
      </c>
      <c r="AS9" s="4">
        <f t="shared" si="9"/>
        <v>53.963519999999988</v>
      </c>
      <c r="AT9" s="4">
        <f t="shared" si="10"/>
        <v>57.407999999999994</v>
      </c>
      <c r="AU9" s="4">
        <f t="shared" si="11"/>
        <v>59.704319999999996</v>
      </c>
    </row>
    <row r="10" spans="1:53" ht="27">
      <c r="C10" s="3" t="s">
        <v>61</v>
      </c>
      <c r="D10">
        <v>540</v>
      </c>
      <c r="E10">
        <v>60</v>
      </c>
      <c r="F10">
        <v>66</v>
      </c>
      <c r="I10" s="4">
        <f t="shared" si="0"/>
        <v>71.820000000000007</v>
      </c>
      <c r="J10" s="4">
        <f t="shared" si="1"/>
        <v>75.600000000000009</v>
      </c>
      <c r="K10" s="4">
        <f t="shared" si="2"/>
        <v>79.38000000000001</v>
      </c>
      <c r="U10" s="4" t="s">
        <v>107</v>
      </c>
      <c r="V10">
        <f>主角属性字段设计!F10</f>
        <v>108</v>
      </c>
      <c r="W10">
        <v>18</v>
      </c>
      <c r="X10">
        <v>37</v>
      </c>
      <c r="AA10" s="4">
        <f t="shared" si="3"/>
        <v>30.360000000000003</v>
      </c>
      <c r="AB10" s="4">
        <f t="shared" si="4"/>
        <v>33</v>
      </c>
      <c r="AC10" s="4">
        <f t="shared" si="5"/>
        <v>33.660000000000004</v>
      </c>
      <c r="AL10" s="4" t="s">
        <v>152</v>
      </c>
      <c r="AM10" s="4">
        <f t="shared" si="6"/>
        <v>324</v>
      </c>
      <c r="AN10" s="4">
        <f t="shared" si="7"/>
        <v>39</v>
      </c>
      <c r="AQ10" s="4">
        <f t="shared" si="8"/>
        <v>51.5</v>
      </c>
      <c r="AS10" s="4">
        <f t="shared" si="9"/>
        <v>56.538830769230763</v>
      </c>
      <c r="AT10" s="4">
        <f t="shared" si="10"/>
        <v>60.147692307692303</v>
      </c>
      <c r="AU10" s="4">
        <f t="shared" si="11"/>
        <v>62.553599999999996</v>
      </c>
    </row>
    <row r="11" spans="1:53" ht="27">
      <c r="C11" s="3" t="s">
        <v>62</v>
      </c>
      <c r="D11">
        <v>558</v>
      </c>
      <c r="E11">
        <v>62</v>
      </c>
      <c r="F11">
        <v>70</v>
      </c>
      <c r="I11" s="4">
        <f t="shared" si="0"/>
        <v>75.239999999999995</v>
      </c>
      <c r="J11" s="4">
        <f t="shared" si="1"/>
        <v>79.2</v>
      </c>
      <c r="K11" s="4">
        <f t="shared" si="2"/>
        <v>83.160000000000011</v>
      </c>
      <c r="U11" s="4" t="s">
        <v>108</v>
      </c>
      <c r="V11">
        <f>主角属性字段设计!F11</f>
        <v>114</v>
      </c>
      <c r="W11">
        <v>19</v>
      </c>
      <c r="X11">
        <v>38.5</v>
      </c>
      <c r="AA11" s="4">
        <f t="shared" si="3"/>
        <v>31.740000000000002</v>
      </c>
      <c r="AB11" s="4">
        <f t="shared" si="4"/>
        <v>34.5</v>
      </c>
      <c r="AC11" s="4">
        <f t="shared" si="5"/>
        <v>35.19</v>
      </c>
      <c r="AL11" s="4" t="s">
        <v>153</v>
      </c>
      <c r="AM11" s="4">
        <f t="shared" si="6"/>
        <v>336</v>
      </c>
      <c r="AN11" s="4">
        <f t="shared" si="7"/>
        <v>40.5</v>
      </c>
      <c r="AQ11" s="4">
        <f t="shared" si="8"/>
        <v>54.25</v>
      </c>
      <c r="AS11" s="4">
        <f t="shared" si="9"/>
        <v>59.11277037037037</v>
      </c>
      <c r="AT11" s="4">
        <f t="shared" si="10"/>
        <v>62.885925925925932</v>
      </c>
      <c r="AU11" s="4">
        <f t="shared" si="11"/>
        <v>65.401362962962978</v>
      </c>
    </row>
    <row r="12" spans="1:53" ht="27">
      <c r="C12" s="3" t="s">
        <v>63</v>
      </c>
      <c r="D12">
        <v>576</v>
      </c>
      <c r="E12">
        <v>64</v>
      </c>
      <c r="F12">
        <v>74</v>
      </c>
      <c r="I12" s="4">
        <f t="shared" si="0"/>
        <v>78.66</v>
      </c>
      <c r="J12" s="4">
        <f t="shared" si="1"/>
        <v>82.8</v>
      </c>
      <c r="K12" s="4">
        <f t="shared" si="2"/>
        <v>86.94</v>
      </c>
      <c r="U12" s="4" t="s">
        <v>109</v>
      </c>
      <c r="V12">
        <f>主角属性字段设计!F12</f>
        <v>120</v>
      </c>
      <c r="W12">
        <v>20</v>
      </c>
      <c r="X12">
        <v>40</v>
      </c>
      <c r="AA12" s="4">
        <f t="shared" si="3"/>
        <v>33.120000000000005</v>
      </c>
      <c r="AB12" s="4">
        <f t="shared" si="4"/>
        <v>36</v>
      </c>
      <c r="AC12" s="4">
        <f t="shared" si="5"/>
        <v>36.72</v>
      </c>
      <c r="AL12" s="4" t="s">
        <v>154</v>
      </c>
      <c r="AM12" s="4">
        <f t="shared" si="6"/>
        <v>348</v>
      </c>
      <c r="AN12" s="4">
        <f t="shared" si="7"/>
        <v>42</v>
      </c>
      <c r="AQ12" s="4">
        <f t="shared" si="8"/>
        <v>57</v>
      </c>
      <c r="AS12" s="4">
        <f t="shared" si="9"/>
        <v>61.685485714285711</v>
      </c>
      <c r="AT12" s="4">
        <f t="shared" si="10"/>
        <v>65.622857142857143</v>
      </c>
      <c r="AU12" s="4">
        <f t="shared" si="11"/>
        <v>68.247771428571426</v>
      </c>
    </row>
    <row r="13" spans="1:53" ht="27">
      <c r="C13" s="3" t="s">
        <v>64</v>
      </c>
      <c r="D13">
        <v>594</v>
      </c>
      <c r="E13">
        <v>66</v>
      </c>
      <c r="F13">
        <v>78</v>
      </c>
      <c r="I13" s="4">
        <f t="shared" si="0"/>
        <v>82.079999999999984</v>
      </c>
      <c r="J13" s="4">
        <f t="shared" si="1"/>
        <v>86.399999999999991</v>
      </c>
      <c r="K13" s="4">
        <f t="shared" si="2"/>
        <v>90.72</v>
      </c>
      <c r="U13" s="4" t="s">
        <v>110</v>
      </c>
      <c r="V13">
        <f>主角属性字段设计!F13</f>
        <v>126</v>
      </c>
      <c r="W13">
        <v>21</v>
      </c>
      <c r="X13">
        <v>41.5</v>
      </c>
      <c r="AA13" s="4">
        <f t="shared" si="3"/>
        <v>34.5</v>
      </c>
      <c r="AB13" s="4">
        <f t="shared" si="4"/>
        <v>37.5</v>
      </c>
      <c r="AC13" s="4">
        <f t="shared" si="5"/>
        <v>38.25</v>
      </c>
      <c r="AL13" s="4" t="s">
        <v>155</v>
      </c>
      <c r="AM13" s="4">
        <f t="shared" si="6"/>
        <v>360</v>
      </c>
      <c r="AN13" s="4">
        <f t="shared" si="7"/>
        <v>43.5</v>
      </c>
      <c r="AQ13" s="4">
        <f t="shared" si="8"/>
        <v>59.75</v>
      </c>
      <c r="AS13" s="4">
        <f t="shared" si="9"/>
        <v>64.257103448275871</v>
      </c>
      <c r="AT13" s="4">
        <f t="shared" si="10"/>
        <v>68.358620689655183</v>
      </c>
      <c r="AU13" s="4">
        <f t="shared" si="11"/>
        <v>71.092965517241396</v>
      </c>
    </row>
    <row r="14" spans="1:53" ht="27">
      <c r="C14" s="3" t="s">
        <v>65</v>
      </c>
      <c r="D14">
        <v>612</v>
      </c>
      <c r="E14">
        <v>68</v>
      </c>
      <c r="F14">
        <v>82</v>
      </c>
      <c r="I14" s="4">
        <f t="shared" si="0"/>
        <v>85.5</v>
      </c>
      <c r="J14" s="4">
        <f t="shared" si="1"/>
        <v>90</v>
      </c>
      <c r="K14" s="4">
        <f t="shared" si="2"/>
        <v>94.5</v>
      </c>
      <c r="U14" s="4" t="s">
        <v>111</v>
      </c>
      <c r="V14">
        <f>主角属性字段设计!F14</f>
        <v>132</v>
      </c>
      <c r="W14">
        <v>22</v>
      </c>
      <c r="X14">
        <v>43</v>
      </c>
      <c r="AA14" s="4">
        <f t="shared" si="3"/>
        <v>35.880000000000003</v>
      </c>
      <c r="AB14" s="4">
        <f t="shared" si="4"/>
        <v>39</v>
      </c>
      <c r="AC14" s="4">
        <f t="shared" si="5"/>
        <v>39.78</v>
      </c>
      <c r="AL14" s="4" t="s">
        <v>156</v>
      </c>
      <c r="AM14" s="4">
        <f t="shared" si="6"/>
        <v>372</v>
      </c>
      <c r="AN14" s="4">
        <f t="shared" si="7"/>
        <v>45</v>
      </c>
      <c r="AQ14" s="4">
        <f t="shared" si="8"/>
        <v>62.5</v>
      </c>
      <c r="AS14" s="4">
        <f t="shared" si="9"/>
        <v>66.827733333333327</v>
      </c>
      <c r="AT14" s="4">
        <f t="shared" si="10"/>
        <v>71.093333333333334</v>
      </c>
      <c r="AU14" s="4">
        <f t="shared" si="11"/>
        <v>73.937066666666666</v>
      </c>
    </row>
    <row r="15" spans="1:53" s="8" customFormat="1" ht="27">
      <c r="C15" s="24" t="s">
        <v>66</v>
      </c>
      <c r="D15" s="8">
        <v>630</v>
      </c>
      <c r="E15" s="8">
        <v>70</v>
      </c>
      <c r="F15" s="8">
        <v>86</v>
      </c>
      <c r="I15" s="4">
        <f t="shared" si="0"/>
        <v>88.92</v>
      </c>
      <c r="J15" s="4">
        <f t="shared" si="1"/>
        <v>93.600000000000009</v>
      </c>
      <c r="K15" s="4">
        <f t="shared" si="2"/>
        <v>98.280000000000015</v>
      </c>
      <c r="U15" s="8" t="s">
        <v>112</v>
      </c>
      <c r="V15" s="8">
        <f>主角属性字段设计!F15</f>
        <v>138</v>
      </c>
      <c r="W15" s="8">
        <v>23</v>
      </c>
      <c r="X15" s="8">
        <v>44.5</v>
      </c>
      <c r="AA15" s="4">
        <f t="shared" si="3"/>
        <v>37.260000000000005</v>
      </c>
      <c r="AB15" s="4">
        <f t="shared" si="4"/>
        <v>40.500000000000007</v>
      </c>
      <c r="AC15" s="4">
        <f t="shared" si="5"/>
        <v>41.310000000000009</v>
      </c>
      <c r="AL15" s="8" t="s">
        <v>157</v>
      </c>
      <c r="AM15" s="4">
        <f t="shared" si="6"/>
        <v>384</v>
      </c>
      <c r="AN15" s="4">
        <f t="shared" si="7"/>
        <v>46.5</v>
      </c>
      <c r="AQ15" s="4">
        <f t="shared" si="8"/>
        <v>65.25</v>
      </c>
      <c r="AS15" s="4">
        <f t="shared" si="9"/>
        <v>69.397470967741938</v>
      </c>
      <c r="AT15" s="4">
        <f t="shared" si="10"/>
        <v>73.827096774193549</v>
      </c>
      <c r="AU15" s="4">
        <f t="shared" si="11"/>
        <v>76.780180645161295</v>
      </c>
    </row>
    <row r="16" spans="1:53" s="7" customFormat="1" ht="27">
      <c r="C16" s="23" t="s">
        <v>67</v>
      </c>
      <c r="D16" s="7">
        <v>1064</v>
      </c>
      <c r="E16" s="7">
        <v>152</v>
      </c>
      <c r="F16" s="7">
        <v>121.5</v>
      </c>
      <c r="I16" s="4">
        <f t="shared" si="0"/>
        <v>90.938749999999999</v>
      </c>
      <c r="J16" s="4">
        <f>D16/$C$53*(1+F16/E16)</f>
        <v>95.725000000000009</v>
      </c>
      <c r="K16" s="4">
        <f t="shared" si="2"/>
        <v>100.51125000000002</v>
      </c>
      <c r="U16" s="7" t="s">
        <v>113</v>
      </c>
      <c r="V16" s="7">
        <f>主角属性字段设计!F16</f>
        <v>303.33333333333337</v>
      </c>
      <c r="W16" s="7">
        <v>52</v>
      </c>
      <c r="X16" s="7">
        <v>53.662499999999994</v>
      </c>
      <c r="AA16" s="4">
        <f t="shared" si="3"/>
        <v>37.80369444444446</v>
      </c>
      <c r="AB16" s="4">
        <f>V16/$F$53*(1+X16/W16)</f>
        <v>41.090972222222234</v>
      </c>
      <c r="AC16" s="4">
        <f t="shared" si="5"/>
        <v>41.912791666666678</v>
      </c>
      <c r="AL16" s="7" t="s">
        <v>158</v>
      </c>
      <c r="AM16" s="4">
        <f t="shared" si="6"/>
        <v>683.66666666666674</v>
      </c>
      <c r="AN16" s="4">
        <f t="shared" si="7"/>
        <v>102</v>
      </c>
      <c r="AQ16" s="4">
        <f t="shared" si="8"/>
        <v>87.581249999999997</v>
      </c>
      <c r="AS16" s="4">
        <f t="shared" si="9"/>
        <v>68.254206372549021</v>
      </c>
      <c r="AT16" s="4">
        <f>AM16/$K$53*(1+AQ16/AN16)</f>
        <v>72.610857843137268</v>
      </c>
      <c r="AU16" s="4">
        <f t="shared" si="11"/>
        <v>75.515292156862756</v>
      </c>
    </row>
    <row r="17" spans="3:47" ht="27">
      <c r="C17" s="3" t="s">
        <v>68</v>
      </c>
      <c r="D17">
        <v>1092</v>
      </c>
      <c r="E17">
        <v>156</v>
      </c>
      <c r="F17">
        <v>127.57499999999999</v>
      </c>
      <c r="I17" s="4">
        <f t="shared" si="0"/>
        <v>94.288687499999995</v>
      </c>
      <c r="J17" s="4">
        <f t="shared" ref="J17:J30" si="12">D17/$C$53*(1+F17/E17)</f>
        <v>99.251249999999999</v>
      </c>
      <c r="K17" s="4">
        <f t="shared" si="2"/>
        <v>104.2138125</v>
      </c>
      <c r="U17" s="4" t="s">
        <v>114</v>
      </c>
      <c r="V17">
        <f>主角属性字段设计!F17</f>
        <v>315.00000000000006</v>
      </c>
      <c r="W17">
        <v>54</v>
      </c>
      <c r="X17">
        <v>55.6875</v>
      </c>
      <c r="AA17" s="4">
        <f t="shared" si="3"/>
        <v>39.243750000000006</v>
      </c>
      <c r="AB17" s="4">
        <f t="shared" ref="AB17:AB30" si="13">V17/$F$53*(1+X17/W17)</f>
        <v>42.656250000000007</v>
      </c>
      <c r="AC17" s="4">
        <f t="shared" si="5"/>
        <v>43.509375000000006</v>
      </c>
      <c r="AL17" s="4" t="s">
        <v>159</v>
      </c>
      <c r="AM17" s="4">
        <f t="shared" si="6"/>
        <v>703.5</v>
      </c>
      <c r="AN17" s="4">
        <f t="shared" si="7"/>
        <v>105</v>
      </c>
      <c r="AQ17" s="4">
        <f t="shared" si="8"/>
        <v>91.631249999999994</v>
      </c>
      <c r="AS17" s="4">
        <f t="shared" si="9"/>
        <v>70.764777857142846</v>
      </c>
      <c r="AT17" s="4">
        <f t="shared" ref="AT17:AT30" si="14">AM17/$K$53*(1+AQ17/AN17)</f>
        <v>75.281678571428571</v>
      </c>
      <c r="AU17" s="4">
        <f t="shared" si="11"/>
        <v>78.292945714285722</v>
      </c>
    </row>
    <row r="18" spans="3:47" ht="27">
      <c r="C18" s="3" t="s">
        <v>69</v>
      </c>
      <c r="D18">
        <v>1120</v>
      </c>
      <c r="E18">
        <v>160</v>
      </c>
      <c r="F18">
        <v>133.65</v>
      </c>
      <c r="I18" s="4">
        <f t="shared" si="0"/>
        <v>97.638625000000005</v>
      </c>
      <c r="J18" s="4">
        <f t="shared" si="12"/>
        <v>102.7775</v>
      </c>
      <c r="K18" s="4">
        <f t="shared" si="2"/>
        <v>107.916375</v>
      </c>
      <c r="U18" s="4" t="s">
        <v>115</v>
      </c>
      <c r="V18">
        <f>主角属性字段设计!F18</f>
        <v>326.66666666666674</v>
      </c>
      <c r="W18">
        <v>56</v>
      </c>
      <c r="X18">
        <v>57.712499999999999</v>
      </c>
      <c r="AA18" s="4">
        <f t="shared" si="3"/>
        <v>40.683805555555566</v>
      </c>
      <c r="AB18" s="4">
        <f t="shared" si="13"/>
        <v>44.221527777777787</v>
      </c>
      <c r="AC18" s="4">
        <f t="shared" si="5"/>
        <v>45.105958333333341</v>
      </c>
      <c r="AL18" s="4" t="s">
        <v>160</v>
      </c>
      <c r="AM18" s="4">
        <f t="shared" si="6"/>
        <v>723.33333333333337</v>
      </c>
      <c r="AN18" s="4">
        <f t="shared" si="7"/>
        <v>108</v>
      </c>
      <c r="AQ18" s="4">
        <f t="shared" si="8"/>
        <v>95.681250000000006</v>
      </c>
      <c r="AS18" s="4">
        <f t="shared" si="9"/>
        <v>73.274958333333331</v>
      </c>
      <c r="AT18" s="4">
        <f t="shared" si="14"/>
        <v>77.952083333333334</v>
      </c>
      <c r="AU18" s="4">
        <f t="shared" si="11"/>
        <v>81.070166666666665</v>
      </c>
    </row>
    <row r="19" spans="3:47" ht="27">
      <c r="C19" s="3" t="s">
        <v>70</v>
      </c>
      <c r="D19">
        <v>1148</v>
      </c>
      <c r="E19">
        <v>164</v>
      </c>
      <c r="F19">
        <v>139.72499999999999</v>
      </c>
      <c r="I19" s="4">
        <f t="shared" si="0"/>
        <v>100.9885625</v>
      </c>
      <c r="J19" s="4">
        <f t="shared" si="12"/>
        <v>106.30375000000001</v>
      </c>
      <c r="K19" s="4">
        <f t="shared" si="2"/>
        <v>111.61893750000002</v>
      </c>
      <c r="U19" s="4" t="s">
        <v>116</v>
      </c>
      <c r="V19">
        <f>主角属性字段设计!F19</f>
        <v>338.33333333333337</v>
      </c>
      <c r="W19">
        <v>58</v>
      </c>
      <c r="X19">
        <v>59.737499999999997</v>
      </c>
      <c r="AA19" s="4">
        <f t="shared" si="3"/>
        <v>42.123861111111111</v>
      </c>
      <c r="AB19" s="4">
        <f t="shared" si="13"/>
        <v>45.786805555555553</v>
      </c>
      <c r="AC19" s="4">
        <f t="shared" si="5"/>
        <v>46.702541666666662</v>
      </c>
      <c r="AL19" s="4" t="s">
        <v>161</v>
      </c>
      <c r="AM19" s="4">
        <f t="shared" si="6"/>
        <v>743.16666666666674</v>
      </c>
      <c r="AN19" s="4">
        <f t="shared" si="7"/>
        <v>111</v>
      </c>
      <c r="AQ19" s="4">
        <f t="shared" si="8"/>
        <v>99.731249999999989</v>
      </c>
      <c r="AS19" s="4">
        <f t="shared" si="9"/>
        <v>75.784779504504499</v>
      </c>
      <c r="AT19" s="4">
        <f t="shared" si="14"/>
        <v>80.62210585585585</v>
      </c>
      <c r="AU19" s="4">
        <f t="shared" si="11"/>
        <v>83.846990090090088</v>
      </c>
    </row>
    <row r="20" spans="3:47" ht="27">
      <c r="C20" s="3" t="s">
        <v>71</v>
      </c>
      <c r="D20">
        <v>1176</v>
      </c>
      <c r="E20">
        <v>168</v>
      </c>
      <c r="F20">
        <v>145.79999999999998</v>
      </c>
      <c r="I20" s="4">
        <f t="shared" si="0"/>
        <v>104.3385</v>
      </c>
      <c r="J20" s="4">
        <f t="shared" si="12"/>
        <v>109.83</v>
      </c>
      <c r="K20" s="4">
        <f t="shared" si="2"/>
        <v>115.3215</v>
      </c>
      <c r="U20" s="4" t="s">
        <v>117</v>
      </c>
      <c r="V20">
        <f>主角属性字段设计!F20</f>
        <v>350</v>
      </c>
      <c r="W20">
        <v>60</v>
      </c>
      <c r="X20">
        <v>61.762499999999996</v>
      </c>
      <c r="AA20" s="4">
        <f t="shared" si="3"/>
        <v>43.563916666666664</v>
      </c>
      <c r="AB20" s="4">
        <f t="shared" si="13"/>
        <v>47.352083333333326</v>
      </c>
      <c r="AC20" s="4">
        <f t="shared" si="5"/>
        <v>48.299124999999997</v>
      </c>
      <c r="AL20" s="4" t="s">
        <v>162</v>
      </c>
      <c r="AM20" s="4">
        <f t="shared" si="6"/>
        <v>763</v>
      </c>
      <c r="AN20" s="4">
        <f t="shared" si="7"/>
        <v>114</v>
      </c>
      <c r="AQ20" s="4">
        <f t="shared" si="8"/>
        <v>103.78124999999999</v>
      </c>
      <c r="AS20" s="4">
        <f t="shared" si="9"/>
        <v>78.294269736842111</v>
      </c>
      <c r="AT20" s="4">
        <f t="shared" si="14"/>
        <v>83.291776315789477</v>
      </c>
      <c r="AU20" s="4">
        <f t="shared" si="11"/>
        <v>86.623447368421054</v>
      </c>
    </row>
    <row r="21" spans="3:47" ht="27">
      <c r="C21" s="3" t="s">
        <v>72</v>
      </c>
      <c r="D21">
        <v>1204</v>
      </c>
      <c r="E21">
        <v>172</v>
      </c>
      <c r="F21">
        <v>151.875</v>
      </c>
      <c r="I21" s="4">
        <f t="shared" si="0"/>
        <v>107.68843749999999</v>
      </c>
      <c r="J21" s="4">
        <f t="shared" si="12"/>
        <v>113.35625</v>
      </c>
      <c r="K21" s="4">
        <f t="shared" si="2"/>
        <v>119.02406250000001</v>
      </c>
      <c r="U21" s="4" t="s">
        <v>118</v>
      </c>
      <c r="V21">
        <f>主角属性字段设计!F21</f>
        <v>361.66666666666674</v>
      </c>
      <c r="W21">
        <v>62</v>
      </c>
      <c r="X21">
        <v>63.787499999999994</v>
      </c>
      <c r="AA21" s="4">
        <f t="shared" si="3"/>
        <v>45.003972222222238</v>
      </c>
      <c r="AB21" s="4">
        <f t="shared" si="13"/>
        <v>48.917361111111127</v>
      </c>
      <c r="AC21" s="4">
        <f t="shared" si="5"/>
        <v>49.895708333333353</v>
      </c>
      <c r="AL21" s="4" t="s">
        <v>163</v>
      </c>
      <c r="AM21" s="4">
        <f t="shared" si="6"/>
        <v>782.83333333333337</v>
      </c>
      <c r="AN21" s="4">
        <f t="shared" si="7"/>
        <v>117</v>
      </c>
      <c r="AQ21" s="4">
        <f t="shared" si="8"/>
        <v>107.83125</v>
      </c>
      <c r="AS21" s="4">
        <f t="shared" si="9"/>
        <v>80.803454487179494</v>
      </c>
      <c r="AT21" s="4">
        <f t="shared" si="14"/>
        <v>85.961121794871801</v>
      </c>
      <c r="AU21" s="4">
        <f t="shared" si="11"/>
        <v>89.399566666666672</v>
      </c>
    </row>
    <row r="22" spans="3:47" ht="27">
      <c r="C22" s="3" t="s">
        <v>73</v>
      </c>
      <c r="D22">
        <v>1232</v>
      </c>
      <c r="E22">
        <v>176</v>
      </c>
      <c r="F22">
        <v>157.94999999999999</v>
      </c>
      <c r="I22" s="4">
        <f t="shared" si="0"/>
        <v>111.038375</v>
      </c>
      <c r="J22" s="4">
        <f t="shared" si="12"/>
        <v>116.88250000000001</v>
      </c>
      <c r="K22" s="4">
        <f t="shared" si="2"/>
        <v>122.72662500000001</v>
      </c>
      <c r="U22" s="4" t="s">
        <v>119</v>
      </c>
      <c r="V22">
        <f>主角属性字段设计!F22</f>
        <v>373.33333333333337</v>
      </c>
      <c r="W22">
        <v>64</v>
      </c>
      <c r="X22">
        <v>65.8125</v>
      </c>
      <c r="AA22" s="4">
        <f t="shared" si="3"/>
        <v>46.444027777777791</v>
      </c>
      <c r="AB22" s="4">
        <f t="shared" si="13"/>
        <v>50.4826388888889</v>
      </c>
      <c r="AC22" s="4">
        <f t="shared" si="5"/>
        <v>51.492291666666681</v>
      </c>
      <c r="AL22" s="4" t="s">
        <v>164</v>
      </c>
      <c r="AM22" s="4">
        <f t="shared" si="6"/>
        <v>802.66666666666674</v>
      </c>
      <c r="AN22" s="4">
        <f t="shared" si="7"/>
        <v>120</v>
      </c>
      <c r="AQ22" s="4">
        <f t="shared" si="8"/>
        <v>111.88124999999999</v>
      </c>
      <c r="AS22" s="4">
        <f t="shared" si="9"/>
        <v>83.312356666666659</v>
      </c>
      <c r="AT22" s="4">
        <f t="shared" si="14"/>
        <v>88.630166666666668</v>
      </c>
      <c r="AU22" s="4">
        <f t="shared" si="11"/>
        <v>92.17537333333334</v>
      </c>
    </row>
    <row r="23" spans="3:47" ht="27">
      <c r="C23" s="3" t="s">
        <v>74</v>
      </c>
      <c r="D23">
        <v>1260</v>
      </c>
      <c r="E23">
        <v>180</v>
      </c>
      <c r="F23">
        <v>164.02500000000001</v>
      </c>
      <c r="I23" s="4">
        <f t="shared" si="0"/>
        <v>114.3883125</v>
      </c>
      <c r="J23" s="4">
        <f t="shared" si="12"/>
        <v>120.40875</v>
      </c>
      <c r="K23" s="4">
        <f t="shared" si="2"/>
        <v>126.4291875</v>
      </c>
      <c r="U23" s="4" t="s">
        <v>120</v>
      </c>
      <c r="V23">
        <f>主角属性字段设计!F23</f>
        <v>385</v>
      </c>
      <c r="W23">
        <v>66</v>
      </c>
      <c r="X23">
        <v>67.837499999999991</v>
      </c>
      <c r="AA23" s="4">
        <f t="shared" si="3"/>
        <v>47.884083333333329</v>
      </c>
      <c r="AB23" s="4">
        <f t="shared" si="13"/>
        <v>52.047916666666659</v>
      </c>
      <c r="AC23" s="4">
        <f t="shared" si="5"/>
        <v>53.088874999999994</v>
      </c>
      <c r="AL23" s="4" t="s">
        <v>165</v>
      </c>
      <c r="AM23" s="4">
        <f t="shared" si="6"/>
        <v>822.5</v>
      </c>
      <c r="AN23" s="4">
        <f t="shared" si="7"/>
        <v>123</v>
      </c>
      <c r="AQ23" s="4">
        <f t="shared" si="8"/>
        <v>115.93125000000001</v>
      </c>
      <c r="AS23" s="4">
        <f t="shared" si="9"/>
        <v>85.820996951219499</v>
      </c>
      <c r="AT23" s="4">
        <f t="shared" si="14"/>
        <v>91.298932926829266</v>
      </c>
      <c r="AU23" s="4">
        <f t="shared" si="11"/>
        <v>94.950890243902435</v>
      </c>
    </row>
    <row r="24" spans="3:47" ht="27">
      <c r="C24" s="3" t="s">
        <v>75</v>
      </c>
      <c r="D24">
        <v>1288</v>
      </c>
      <c r="E24">
        <v>184</v>
      </c>
      <c r="F24">
        <v>170.1</v>
      </c>
      <c r="I24" s="4">
        <f t="shared" si="0"/>
        <v>117.73824999999999</v>
      </c>
      <c r="J24" s="4">
        <f t="shared" si="12"/>
        <v>123.935</v>
      </c>
      <c r="K24" s="4">
        <f t="shared" si="2"/>
        <v>130.13175000000001</v>
      </c>
      <c r="U24" s="4" t="s">
        <v>121</v>
      </c>
      <c r="V24">
        <f>主角属性字段设计!F24</f>
        <v>396.66666666666674</v>
      </c>
      <c r="W24">
        <v>68</v>
      </c>
      <c r="X24">
        <v>69.862499999999997</v>
      </c>
      <c r="AA24" s="4">
        <f t="shared" si="3"/>
        <v>49.324138888888896</v>
      </c>
      <c r="AB24" s="4">
        <f t="shared" si="13"/>
        <v>53.613194444444453</v>
      </c>
      <c r="AC24" s="4">
        <f t="shared" si="5"/>
        <v>54.685458333333344</v>
      </c>
      <c r="AL24" s="4" t="s">
        <v>166</v>
      </c>
      <c r="AM24" s="4">
        <f t="shared" si="6"/>
        <v>842.33333333333337</v>
      </c>
      <c r="AN24" s="4">
        <f t="shared" si="7"/>
        <v>126</v>
      </c>
      <c r="AQ24" s="4">
        <f t="shared" si="8"/>
        <v>119.98124999999999</v>
      </c>
      <c r="AS24" s="4">
        <f t="shared" si="9"/>
        <v>88.329394047619047</v>
      </c>
      <c r="AT24" s="4">
        <f t="shared" si="14"/>
        <v>93.967440476190475</v>
      </c>
      <c r="AU24" s="4">
        <f t="shared" si="11"/>
        <v>97.726138095238099</v>
      </c>
    </row>
    <row r="25" spans="3:47" ht="27">
      <c r="C25" s="3" t="s">
        <v>76</v>
      </c>
      <c r="D25">
        <v>1316</v>
      </c>
      <c r="E25">
        <v>188</v>
      </c>
      <c r="F25">
        <v>176.17499999999998</v>
      </c>
      <c r="I25" s="4">
        <f t="shared" si="0"/>
        <v>121.08818749999999</v>
      </c>
      <c r="J25" s="4">
        <f t="shared" si="12"/>
        <v>127.46124999999999</v>
      </c>
      <c r="K25" s="4">
        <f t="shared" si="2"/>
        <v>133.83431250000001</v>
      </c>
      <c r="U25" s="4" t="s">
        <v>122</v>
      </c>
      <c r="V25">
        <f>主角属性字段设计!F25</f>
        <v>408.33333333333337</v>
      </c>
      <c r="W25">
        <v>70</v>
      </c>
      <c r="X25">
        <v>71.887500000000003</v>
      </c>
      <c r="AA25" s="4">
        <f t="shared" si="3"/>
        <v>50.764194444444449</v>
      </c>
      <c r="AB25" s="4">
        <f t="shared" si="13"/>
        <v>55.178472222222226</v>
      </c>
      <c r="AC25" s="4">
        <f t="shared" si="5"/>
        <v>56.282041666666672</v>
      </c>
      <c r="AL25" s="4" t="s">
        <v>167</v>
      </c>
      <c r="AM25" s="4">
        <f t="shared" si="6"/>
        <v>862.16666666666674</v>
      </c>
      <c r="AN25" s="4">
        <f t="shared" si="7"/>
        <v>129</v>
      </c>
      <c r="AQ25" s="4">
        <f t="shared" si="8"/>
        <v>124.03125</v>
      </c>
      <c r="AS25" s="4">
        <f t="shared" si="9"/>
        <v>90.83756492248061</v>
      </c>
      <c r="AT25" s="4">
        <f t="shared" si="14"/>
        <v>96.635707364341087</v>
      </c>
      <c r="AU25" s="4">
        <f t="shared" si="11"/>
        <v>100.50113565891473</v>
      </c>
    </row>
    <row r="26" spans="3:47" ht="27">
      <c r="C26" s="3" t="s">
        <v>77</v>
      </c>
      <c r="D26">
        <v>1344</v>
      </c>
      <c r="E26">
        <v>192</v>
      </c>
      <c r="F26">
        <v>182.25</v>
      </c>
      <c r="I26" s="4">
        <f t="shared" si="0"/>
        <v>124.438125</v>
      </c>
      <c r="J26" s="4">
        <f t="shared" si="12"/>
        <v>130.98750000000001</v>
      </c>
      <c r="K26" s="4">
        <f t="shared" si="2"/>
        <v>137.53687500000001</v>
      </c>
      <c r="U26" s="4" t="s">
        <v>123</v>
      </c>
      <c r="V26">
        <f>主角属性字段设计!F26</f>
        <v>420</v>
      </c>
      <c r="W26">
        <v>72</v>
      </c>
      <c r="X26">
        <v>73.912499999999994</v>
      </c>
      <c r="AA26" s="4">
        <f t="shared" si="3"/>
        <v>52.204249999999995</v>
      </c>
      <c r="AB26" s="4">
        <f t="shared" si="13"/>
        <v>56.743749999999991</v>
      </c>
      <c r="AC26" s="4">
        <f t="shared" si="5"/>
        <v>57.878624999999992</v>
      </c>
      <c r="AL26" s="4" t="s">
        <v>168</v>
      </c>
      <c r="AM26" s="4">
        <f t="shared" si="6"/>
        <v>882</v>
      </c>
      <c r="AN26" s="4">
        <f t="shared" si="7"/>
        <v>132</v>
      </c>
      <c r="AQ26" s="4">
        <f t="shared" si="8"/>
        <v>128.08125000000001</v>
      </c>
      <c r="AS26" s="4">
        <f t="shared" si="9"/>
        <v>93.345525000000009</v>
      </c>
      <c r="AT26" s="4">
        <f t="shared" si="14"/>
        <v>99.303750000000008</v>
      </c>
      <c r="AU26" s="4">
        <f t="shared" si="11"/>
        <v>103.27590000000001</v>
      </c>
    </row>
    <row r="27" spans="3:47" ht="27">
      <c r="C27" s="3" t="s">
        <v>78</v>
      </c>
      <c r="D27">
        <v>1372</v>
      </c>
      <c r="E27">
        <v>196</v>
      </c>
      <c r="F27">
        <v>188.32499999999999</v>
      </c>
      <c r="I27" s="4">
        <f t="shared" si="0"/>
        <v>127.78806249999998</v>
      </c>
      <c r="J27" s="4">
        <f t="shared" si="12"/>
        <v>134.51374999999999</v>
      </c>
      <c r="K27" s="4">
        <f t="shared" si="2"/>
        <v>141.23943749999998</v>
      </c>
      <c r="U27" s="4" t="s">
        <v>124</v>
      </c>
      <c r="V27">
        <f>主角属性字段设计!F27</f>
        <v>431.66666666666674</v>
      </c>
      <c r="W27">
        <v>74</v>
      </c>
      <c r="X27">
        <v>75.9375</v>
      </c>
      <c r="AA27" s="4">
        <f t="shared" si="3"/>
        <v>53.644305555555562</v>
      </c>
      <c r="AB27" s="4">
        <f t="shared" si="13"/>
        <v>58.309027777777786</v>
      </c>
      <c r="AC27" s="4">
        <f t="shared" si="5"/>
        <v>59.475208333333342</v>
      </c>
      <c r="AL27" s="4" t="s">
        <v>169</v>
      </c>
      <c r="AM27" s="4">
        <f t="shared" si="6"/>
        <v>901.83333333333337</v>
      </c>
      <c r="AN27" s="4">
        <f t="shared" si="7"/>
        <v>135</v>
      </c>
      <c r="AQ27" s="4">
        <f t="shared" si="8"/>
        <v>132.13124999999999</v>
      </c>
      <c r="AS27" s="4">
        <f t="shared" si="9"/>
        <v>95.853288333333339</v>
      </c>
      <c r="AT27" s="4">
        <f t="shared" si="14"/>
        <v>101.97158333333334</v>
      </c>
      <c r="AU27" s="4">
        <f t="shared" si="11"/>
        <v>106.05044666666667</v>
      </c>
    </row>
    <row r="28" spans="3:47" ht="27">
      <c r="C28" s="3" t="s">
        <v>79</v>
      </c>
      <c r="D28">
        <v>1400</v>
      </c>
      <c r="E28">
        <v>200</v>
      </c>
      <c r="F28">
        <v>194.39999999999998</v>
      </c>
      <c r="I28" s="4">
        <f t="shared" si="0"/>
        <v>131.13799999999998</v>
      </c>
      <c r="J28" s="4">
        <f t="shared" si="12"/>
        <v>138.04</v>
      </c>
      <c r="K28" s="4">
        <f t="shared" si="2"/>
        <v>144.94200000000001</v>
      </c>
      <c r="U28" s="4" t="s">
        <v>125</v>
      </c>
      <c r="V28">
        <f>主角属性字段设计!F28</f>
        <v>443.33333333333337</v>
      </c>
      <c r="W28">
        <v>76</v>
      </c>
      <c r="X28">
        <v>77.962499999999991</v>
      </c>
      <c r="AA28" s="4">
        <f t="shared" si="3"/>
        <v>55.084361111111114</v>
      </c>
      <c r="AB28" s="4">
        <f t="shared" si="13"/>
        <v>59.874305555555559</v>
      </c>
      <c r="AC28" s="4">
        <f t="shared" si="5"/>
        <v>61.07179166666667</v>
      </c>
      <c r="AL28" s="4" t="s">
        <v>170</v>
      </c>
      <c r="AM28" s="4">
        <f t="shared" si="6"/>
        <v>921.66666666666674</v>
      </c>
      <c r="AN28" s="4">
        <f t="shared" si="7"/>
        <v>138</v>
      </c>
      <c r="AQ28" s="4">
        <f t="shared" si="8"/>
        <v>136.18124999999998</v>
      </c>
      <c r="AS28" s="4">
        <f t="shared" si="9"/>
        <v>98.360867753623197</v>
      </c>
      <c r="AT28" s="4">
        <f t="shared" si="14"/>
        <v>104.63922101449276</v>
      </c>
      <c r="AU28" s="4">
        <f t="shared" si="11"/>
        <v>108.82478985507248</v>
      </c>
    </row>
    <row r="29" spans="3:47" ht="27">
      <c r="C29" s="3" t="s">
        <v>80</v>
      </c>
      <c r="D29">
        <v>1428</v>
      </c>
      <c r="E29">
        <v>204</v>
      </c>
      <c r="F29">
        <v>200.47499999999999</v>
      </c>
      <c r="I29" s="4">
        <f t="shared" si="0"/>
        <v>134.48793749999999</v>
      </c>
      <c r="J29" s="4">
        <f t="shared" si="12"/>
        <v>141.56625</v>
      </c>
      <c r="K29" s="4">
        <f t="shared" si="2"/>
        <v>148.64456250000001</v>
      </c>
      <c r="U29" s="4" t="s">
        <v>126</v>
      </c>
      <c r="V29">
        <f>主角属性字段设计!F29</f>
        <v>455</v>
      </c>
      <c r="W29">
        <v>78</v>
      </c>
      <c r="X29">
        <v>79.987499999999997</v>
      </c>
      <c r="AA29" s="4">
        <f t="shared" si="3"/>
        <v>56.524416666666667</v>
      </c>
      <c r="AB29" s="4">
        <f t="shared" si="13"/>
        <v>61.439583333333331</v>
      </c>
      <c r="AC29" s="4">
        <f t="shared" si="5"/>
        <v>62.668374999999997</v>
      </c>
      <c r="AL29" s="4" t="s">
        <v>171</v>
      </c>
      <c r="AM29" s="4">
        <f t="shared" si="6"/>
        <v>941.5</v>
      </c>
      <c r="AN29" s="4">
        <f t="shared" si="7"/>
        <v>141</v>
      </c>
      <c r="AQ29" s="4">
        <f t="shared" si="8"/>
        <v>140.23124999999999</v>
      </c>
      <c r="AS29" s="4">
        <f t="shared" si="9"/>
        <v>100.868275</v>
      </c>
      <c r="AT29" s="4">
        <f t="shared" si="14"/>
        <v>107.30667553191489</v>
      </c>
      <c r="AU29" s="4">
        <f t="shared" si="11"/>
        <v>111.59894255319149</v>
      </c>
    </row>
    <row r="30" spans="3:47" s="8" customFormat="1" ht="27">
      <c r="C30" s="24" t="s">
        <v>81</v>
      </c>
      <c r="D30" s="8">
        <v>1456</v>
      </c>
      <c r="E30" s="8">
        <v>208</v>
      </c>
      <c r="F30" s="8">
        <v>206.54999999999998</v>
      </c>
      <c r="I30" s="4">
        <f t="shared" si="0"/>
        <v>137.837875</v>
      </c>
      <c r="J30" s="4">
        <f t="shared" si="12"/>
        <v>145.0925</v>
      </c>
      <c r="K30" s="4">
        <f t="shared" si="2"/>
        <v>152.34712500000001</v>
      </c>
      <c r="U30" s="8" t="s">
        <v>127</v>
      </c>
      <c r="V30" s="8">
        <f>主角属性字段设计!F30</f>
        <v>466.66666666666674</v>
      </c>
      <c r="W30" s="8">
        <v>80</v>
      </c>
      <c r="X30" s="8">
        <v>82.012500000000003</v>
      </c>
      <c r="AA30" s="4">
        <f t="shared" si="3"/>
        <v>57.964472222222241</v>
      </c>
      <c r="AB30" s="4">
        <f t="shared" si="13"/>
        <v>63.004861111111133</v>
      </c>
      <c r="AC30" s="4">
        <f t="shared" si="5"/>
        <v>64.264958333333354</v>
      </c>
      <c r="AL30" s="8" t="s">
        <v>172</v>
      </c>
      <c r="AM30" s="4">
        <f t="shared" si="6"/>
        <v>961.33333333333337</v>
      </c>
      <c r="AN30" s="4">
        <f t="shared" si="7"/>
        <v>144</v>
      </c>
      <c r="AQ30" s="4">
        <f t="shared" si="8"/>
        <v>144.28125</v>
      </c>
      <c r="AS30" s="4">
        <f t="shared" si="9"/>
        <v>103.37552083333334</v>
      </c>
      <c r="AT30" s="4">
        <f t="shared" si="14"/>
        <v>109.97395833333334</v>
      </c>
      <c r="AU30" s="4">
        <f t="shared" si="11"/>
        <v>114.37291666666668</v>
      </c>
    </row>
    <row r="31" spans="3:47" s="7" customFormat="1" ht="27">
      <c r="C31" s="23" t="s">
        <v>83</v>
      </c>
      <c r="D31" s="7">
        <v>2200</v>
      </c>
      <c r="E31" s="7">
        <v>330</v>
      </c>
      <c r="F31" s="7">
        <v>273.375</v>
      </c>
      <c r="I31" s="4">
        <f t="shared" si="0"/>
        <v>152.85499999999999</v>
      </c>
      <c r="J31" s="4">
        <f>D31/$C$55*(1+F31/E31)</f>
        <v>160.9</v>
      </c>
      <c r="K31" s="4">
        <f t="shared" si="2"/>
        <v>168.94500000000002</v>
      </c>
      <c r="U31" s="7" t="s">
        <v>128</v>
      </c>
      <c r="V31" s="7">
        <f>主角属性字段设计!F31</f>
        <v>802.66666666666663</v>
      </c>
      <c r="W31" s="7">
        <v>129</v>
      </c>
      <c r="X31" s="7">
        <v>121.875</v>
      </c>
      <c r="AA31" s="4">
        <f t="shared" si="3"/>
        <v>71.805999999999997</v>
      </c>
      <c r="AB31" s="4">
        <f>V31/$F$55*(1+X31/W31)</f>
        <v>78.05</v>
      </c>
      <c r="AC31" s="4">
        <f t="shared" si="5"/>
        <v>79.611000000000004</v>
      </c>
      <c r="AL31" s="7" t="s">
        <v>173</v>
      </c>
      <c r="AM31" s="4">
        <f t="shared" si="6"/>
        <v>1501.3333333333333</v>
      </c>
      <c r="AN31" s="4">
        <f t="shared" si="7"/>
        <v>229.5</v>
      </c>
      <c r="AQ31" s="4">
        <f t="shared" si="8"/>
        <v>197.625</v>
      </c>
      <c r="AS31" s="4">
        <f t="shared" si="9"/>
        <v>116.73330041152262</v>
      </c>
      <c r="AT31" s="4">
        <f>AM31/$K$55*(1+AQ31/AN31)</f>
        <v>124.1843621399177</v>
      </c>
      <c r="AU31" s="4">
        <f t="shared" si="11"/>
        <v>129.15173662551442</v>
      </c>
    </row>
    <row r="32" spans="3:47" ht="27">
      <c r="C32" s="3" t="s">
        <v>84</v>
      </c>
      <c r="D32">
        <v>2240</v>
      </c>
      <c r="E32">
        <v>336</v>
      </c>
      <c r="F32">
        <v>281.47499999999997</v>
      </c>
      <c r="I32" s="4">
        <f t="shared" si="0"/>
        <v>156.42699999999996</v>
      </c>
      <c r="J32" s="4">
        <f t="shared" ref="J32:J45" si="15">D32/$C$55*(1+F32/E32)</f>
        <v>164.65999999999997</v>
      </c>
      <c r="K32" s="4">
        <f t="shared" si="2"/>
        <v>172.89299999999997</v>
      </c>
      <c r="U32" s="4" t="s">
        <v>129</v>
      </c>
      <c r="V32">
        <f>主角属性字段设计!F32</f>
        <v>821.33333333333326</v>
      </c>
      <c r="W32">
        <v>132</v>
      </c>
      <c r="X32">
        <v>125</v>
      </c>
      <c r="AA32" s="4">
        <f t="shared" si="3"/>
        <v>73.559111111111108</v>
      </c>
      <c r="AB32" s="4">
        <f t="shared" ref="AB32:AB45" si="16">V32/$F$55*(1+X32/W32)</f>
        <v>79.955555555555549</v>
      </c>
      <c r="AC32" s="4">
        <f t="shared" si="5"/>
        <v>81.554666666666662</v>
      </c>
      <c r="AL32" s="4" t="s">
        <v>174</v>
      </c>
      <c r="AM32" s="4">
        <f t="shared" si="6"/>
        <v>1530.6666666666665</v>
      </c>
      <c r="AN32" s="4">
        <f t="shared" si="7"/>
        <v>234</v>
      </c>
      <c r="AQ32" s="4">
        <f t="shared" si="8"/>
        <v>203.23749999999998</v>
      </c>
      <c r="AS32" s="4">
        <f t="shared" si="9"/>
        <v>119.4888840772396</v>
      </c>
      <c r="AT32" s="4">
        <f t="shared" ref="AT32:AT45" si="17">AM32/$K$55*(1+AQ32/AN32)</f>
        <v>127.11583412472299</v>
      </c>
      <c r="AU32" s="4">
        <f t="shared" si="11"/>
        <v>132.20046748971191</v>
      </c>
    </row>
    <row r="33" spans="3:47" ht="27">
      <c r="C33" s="3" t="s">
        <v>85</v>
      </c>
      <c r="D33">
        <v>2280</v>
      </c>
      <c r="E33">
        <v>342</v>
      </c>
      <c r="F33">
        <v>289.57499999999999</v>
      </c>
      <c r="I33" s="4">
        <f t="shared" si="0"/>
        <v>159.999</v>
      </c>
      <c r="J33" s="4">
        <f t="shared" si="15"/>
        <v>168.42000000000002</v>
      </c>
      <c r="K33" s="4">
        <f t="shared" si="2"/>
        <v>176.84100000000004</v>
      </c>
      <c r="U33" s="4" t="s">
        <v>130</v>
      </c>
      <c r="V33">
        <f>主角属性字段设计!F33</f>
        <v>840</v>
      </c>
      <c r="W33">
        <v>135</v>
      </c>
      <c r="X33">
        <v>128.125</v>
      </c>
      <c r="AA33" s="4">
        <f t="shared" si="3"/>
        <v>75.312222222222218</v>
      </c>
      <c r="AB33" s="4">
        <f t="shared" si="16"/>
        <v>81.8611111111111</v>
      </c>
      <c r="AC33" s="4">
        <f t="shared" si="5"/>
        <v>83.498333333333321</v>
      </c>
      <c r="AL33" s="4" t="s">
        <v>175</v>
      </c>
      <c r="AM33" s="4">
        <f t="shared" si="6"/>
        <v>1560</v>
      </c>
      <c r="AN33" s="4">
        <f t="shared" si="7"/>
        <v>238.5</v>
      </c>
      <c r="AQ33" s="4">
        <f t="shared" si="8"/>
        <v>208.85</v>
      </c>
      <c r="AS33" s="4">
        <f t="shared" si="9"/>
        <v>122.24440531097135</v>
      </c>
      <c r="AT33" s="4">
        <f t="shared" si="17"/>
        <v>130.04723969252271</v>
      </c>
      <c r="AU33" s="4">
        <f t="shared" si="11"/>
        <v>135.24912928022363</v>
      </c>
    </row>
    <row r="34" spans="3:47" ht="27">
      <c r="C34" s="3" t="s">
        <v>86</v>
      </c>
      <c r="D34">
        <v>2320</v>
      </c>
      <c r="E34">
        <v>348</v>
      </c>
      <c r="F34">
        <v>297.67500000000001</v>
      </c>
      <c r="I34" s="4">
        <f t="shared" si="0"/>
        <v>163.571</v>
      </c>
      <c r="J34" s="4">
        <f t="shared" si="15"/>
        <v>172.18</v>
      </c>
      <c r="K34" s="4">
        <f t="shared" si="2"/>
        <v>180.78900000000002</v>
      </c>
      <c r="U34" s="4" t="s">
        <v>131</v>
      </c>
      <c r="V34">
        <f>主角属性字段设计!F34</f>
        <v>858.66666666666663</v>
      </c>
      <c r="W34">
        <v>138</v>
      </c>
      <c r="X34">
        <v>131.25</v>
      </c>
      <c r="AA34" s="4">
        <f t="shared" si="3"/>
        <v>77.065333333333342</v>
      </c>
      <c r="AB34" s="4">
        <f t="shared" si="16"/>
        <v>83.766666666666666</v>
      </c>
      <c r="AC34" s="4">
        <f t="shared" si="5"/>
        <v>85.442000000000007</v>
      </c>
      <c r="AL34" s="4" t="s">
        <v>176</v>
      </c>
      <c r="AM34" s="4">
        <f t="shared" si="6"/>
        <v>1589.3333333333333</v>
      </c>
      <c r="AN34" s="4">
        <f t="shared" si="7"/>
        <v>243</v>
      </c>
      <c r="AQ34" s="4">
        <f t="shared" si="8"/>
        <v>214.46250000000001</v>
      </c>
      <c r="AS34" s="4">
        <f t="shared" si="9"/>
        <v>124.99986758116138</v>
      </c>
      <c r="AT34" s="4">
        <f t="shared" si="17"/>
        <v>132.97858253315042</v>
      </c>
      <c r="AU34" s="4">
        <f t="shared" si="11"/>
        <v>138.29772583447644</v>
      </c>
    </row>
    <row r="35" spans="3:47" ht="27">
      <c r="C35" s="3" t="s">
        <v>87</v>
      </c>
      <c r="D35">
        <v>2360</v>
      </c>
      <c r="E35">
        <v>354</v>
      </c>
      <c r="F35">
        <v>305.77499999999998</v>
      </c>
      <c r="I35" s="4">
        <f t="shared" si="0"/>
        <v>167.143</v>
      </c>
      <c r="J35" s="4">
        <f t="shared" si="15"/>
        <v>175.94</v>
      </c>
      <c r="K35" s="4">
        <f t="shared" si="2"/>
        <v>184.73699999999999</v>
      </c>
      <c r="U35" s="4" t="s">
        <v>132</v>
      </c>
      <c r="V35">
        <f>主角属性字段设计!F35</f>
        <v>877.33333333333326</v>
      </c>
      <c r="W35">
        <v>141</v>
      </c>
      <c r="X35">
        <v>134.375</v>
      </c>
      <c r="AA35" s="4">
        <f t="shared" si="3"/>
        <v>78.818444444444424</v>
      </c>
      <c r="AB35" s="4">
        <f t="shared" si="16"/>
        <v>85.672222222222203</v>
      </c>
      <c r="AC35" s="4">
        <f t="shared" si="5"/>
        <v>87.385666666666651</v>
      </c>
      <c r="AL35" s="4" t="s">
        <v>177</v>
      </c>
      <c r="AM35" s="4">
        <f t="shared" si="6"/>
        <v>1618.6666666666665</v>
      </c>
      <c r="AN35" s="4">
        <f t="shared" si="7"/>
        <v>247.5</v>
      </c>
      <c r="AQ35" s="4">
        <f t="shared" si="8"/>
        <v>220.07499999999999</v>
      </c>
      <c r="AS35" s="4">
        <f t="shared" si="9"/>
        <v>127.75527410400299</v>
      </c>
      <c r="AT35" s="4">
        <f t="shared" si="17"/>
        <v>135.90986606808829</v>
      </c>
      <c r="AU35" s="4">
        <f t="shared" si="11"/>
        <v>141.34626071081183</v>
      </c>
    </row>
    <row r="36" spans="3:47" ht="27">
      <c r="C36" s="3" t="s">
        <v>88</v>
      </c>
      <c r="D36">
        <v>2400</v>
      </c>
      <c r="E36">
        <v>360</v>
      </c>
      <c r="F36">
        <v>313.875</v>
      </c>
      <c r="I36" s="4">
        <f t="shared" si="0"/>
        <v>170.71499999999997</v>
      </c>
      <c r="J36" s="4">
        <f t="shared" si="15"/>
        <v>179.7</v>
      </c>
      <c r="K36" s="4">
        <f t="shared" si="2"/>
        <v>188.685</v>
      </c>
      <c r="U36" s="4" t="s">
        <v>133</v>
      </c>
      <c r="V36">
        <f>主角属性字段设计!F36</f>
        <v>896</v>
      </c>
      <c r="W36">
        <v>144</v>
      </c>
      <c r="X36">
        <v>137.5</v>
      </c>
      <c r="AA36" s="4">
        <f t="shared" si="3"/>
        <v>80.571555555555548</v>
      </c>
      <c r="AB36" s="4">
        <f t="shared" si="16"/>
        <v>87.577777777777769</v>
      </c>
      <c r="AC36" s="4">
        <f t="shared" si="5"/>
        <v>89.329333333333324</v>
      </c>
      <c r="AL36" s="4" t="s">
        <v>178</v>
      </c>
      <c r="AM36" s="4">
        <f t="shared" si="6"/>
        <v>1648</v>
      </c>
      <c r="AN36" s="4">
        <f t="shared" si="7"/>
        <v>252</v>
      </c>
      <c r="AQ36" s="4">
        <f t="shared" si="8"/>
        <v>225.6875</v>
      </c>
      <c r="AS36" s="4">
        <f t="shared" si="9"/>
        <v>130.5106278659612</v>
      </c>
      <c r="AT36" s="4">
        <f t="shared" si="17"/>
        <v>138.8410934744268</v>
      </c>
      <c r="AU36" s="4">
        <f t="shared" si="11"/>
        <v>144.39473721340389</v>
      </c>
    </row>
    <row r="37" spans="3:47" ht="27">
      <c r="C37" s="3" t="s">
        <v>89</v>
      </c>
      <c r="D37">
        <v>2440</v>
      </c>
      <c r="E37">
        <v>366</v>
      </c>
      <c r="F37">
        <v>321.97499999999997</v>
      </c>
      <c r="I37" s="4">
        <f t="shared" si="0"/>
        <v>174.28700000000001</v>
      </c>
      <c r="J37" s="4">
        <f t="shared" si="15"/>
        <v>183.46</v>
      </c>
      <c r="K37" s="4">
        <f t="shared" si="2"/>
        <v>192.63300000000001</v>
      </c>
      <c r="U37" s="4" t="s">
        <v>134</v>
      </c>
      <c r="V37">
        <f>主角属性字段设计!F37</f>
        <v>914.66666666666663</v>
      </c>
      <c r="W37">
        <v>147</v>
      </c>
      <c r="X37">
        <v>140.625</v>
      </c>
      <c r="AA37" s="4">
        <f t="shared" si="3"/>
        <v>82.324666666666673</v>
      </c>
      <c r="AB37" s="4">
        <f t="shared" si="16"/>
        <v>89.483333333333334</v>
      </c>
      <c r="AC37" s="4">
        <f t="shared" si="5"/>
        <v>91.272999999999996</v>
      </c>
      <c r="AL37" s="4" t="s">
        <v>179</v>
      </c>
      <c r="AM37" s="4">
        <f t="shared" si="6"/>
        <v>1677.3333333333333</v>
      </c>
      <c r="AN37" s="4">
        <f t="shared" si="7"/>
        <v>256.5</v>
      </c>
      <c r="AQ37" s="4">
        <f t="shared" si="8"/>
        <v>231.29999999999998</v>
      </c>
      <c r="AS37" s="4">
        <f t="shared" si="9"/>
        <v>133.2659316439246</v>
      </c>
      <c r="AT37" s="4">
        <f t="shared" si="17"/>
        <v>141.77226770630278</v>
      </c>
      <c r="AU37" s="4">
        <f t="shared" si="11"/>
        <v>147.44315841455489</v>
      </c>
    </row>
    <row r="38" spans="3:47" ht="27">
      <c r="C38" s="3" t="s">
        <v>90</v>
      </c>
      <c r="D38">
        <v>2480</v>
      </c>
      <c r="E38">
        <v>372</v>
      </c>
      <c r="F38">
        <v>330.07499999999999</v>
      </c>
      <c r="I38" s="4">
        <f t="shared" si="0"/>
        <v>177.85899999999998</v>
      </c>
      <c r="J38" s="4">
        <f t="shared" si="15"/>
        <v>187.22</v>
      </c>
      <c r="K38" s="4">
        <f t="shared" si="2"/>
        <v>196.58100000000002</v>
      </c>
      <c r="U38" s="4" t="s">
        <v>135</v>
      </c>
      <c r="V38">
        <f>主角属性字段设计!F38</f>
        <v>933.33333333333326</v>
      </c>
      <c r="W38">
        <v>150</v>
      </c>
      <c r="X38">
        <v>143.75</v>
      </c>
      <c r="AA38" s="4">
        <f t="shared" si="3"/>
        <v>84.077777777777783</v>
      </c>
      <c r="AB38" s="4">
        <f t="shared" si="16"/>
        <v>91.388888888888886</v>
      </c>
      <c r="AC38" s="4">
        <f t="shared" si="5"/>
        <v>93.216666666666669</v>
      </c>
      <c r="AL38" s="4" t="s">
        <v>180</v>
      </c>
      <c r="AM38" s="4">
        <f t="shared" si="6"/>
        <v>1706.6666666666665</v>
      </c>
      <c r="AN38" s="4">
        <f t="shared" si="7"/>
        <v>261</v>
      </c>
      <c r="AQ38" s="4">
        <f t="shared" si="8"/>
        <v>236.91249999999999</v>
      </c>
      <c r="AS38" s="4">
        <f t="shared" si="9"/>
        <v>136.02118802327229</v>
      </c>
      <c r="AT38" s="4">
        <f t="shared" si="17"/>
        <v>144.70339151411946</v>
      </c>
      <c r="AU38" s="4">
        <f t="shared" si="11"/>
        <v>150.49152717468425</v>
      </c>
    </row>
    <row r="39" spans="3:47" ht="27">
      <c r="C39" s="3" t="s">
        <v>91</v>
      </c>
      <c r="D39">
        <v>2520</v>
      </c>
      <c r="E39">
        <v>378</v>
      </c>
      <c r="F39">
        <v>338.17500000000001</v>
      </c>
      <c r="I39" s="4">
        <f t="shared" si="0"/>
        <v>181.43100000000001</v>
      </c>
      <c r="J39" s="4">
        <f t="shared" si="15"/>
        <v>190.98000000000002</v>
      </c>
      <c r="K39" s="4">
        <f t="shared" si="2"/>
        <v>200.52900000000002</v>
      </c>
      <c r="U39" s="4" t="s">
        <v>136</v>
      </c>
      <c r="V39">
        <f>主角属性字段设计!F39</f>
        <v>952</v>
      </c>
      <c r="W39">
        <v>153</v>
      </c>
      <c r="X39">
        <v>146.875</v>
      </c>
      <c r="AA39" s="4">
        <f t="shared" si="3"/>
        <v>85.830888888888893</v>
      </c>
      <c r="AB39" s="4">
        <f t="shared" si="16"/>
        <v>93.294444444444451</v>
      </c>
      <c r="AC39" s="4">
        <f t="shared" si="5"/>
        <v>95.160333333333341</v>
      </c>
      <c r="AL39" s="4" t="s">
        <v>181</v>
      </c>
      <c r="AM39" s="4">
        <f t="shared" si="6"/>
        <v>1736</v>
      </c>
      <c r="AN39" s="4">
        <f t="shared" si="7"/>
        <v>265.5</v>
      </c>
      <c r="AQ39" s="4">
        <f t="shared" si="8"/>
        <v>242.52500000000001</v>
      </c>
      <c r="AS39" s="4">
        <f t="shared" si="9"/>
        <v>138.77639941410334</v>
      </c>
      <c r="AT39" s="4">
        <f t="shared" si="17"/>
        <v>147.63446746181208</v>
      </c>
      <c r="AU39" s="4">
        <f t="shared" si="11"/>
        <v>153.53984616028455</v>
      </c>
    </row>
    <row r="40" spans="3:47" ht="27">
      <c r="C40" s="3" t="s">
        <v>92</v>
      </c>
      <c r="D40">
        <v>2560</v>
      </c>
      <c r="E40">
        <v>384</v>
      </c>
      <c r="F40">
        <v>346.27499999999998</v>
      </c>
      <c r="I40" s="4">
        <f t="shared" si="0"/>
        <v>185.00299999999999</v>
      </c>
      <c r="J40" s="4">
        <f t="shared" si="15"/>
        <v>194.74</v>
      </c>
      <c r="K40" s="4">
        <f t="shared" si="2"/>
        <v>204.47700000000003</v>
      </c>
      <c r="U40" s="4" t="s">
        <v>137</v>
      </c>
      <c r="V40">
        <f>主角属性字段设计!F40</f>
        <v>970.66666666666663</v>
      </c>
      <c r="W40">
        <v>156</v>
      </c>
      <c r="X40">
        <v>150</v>
      </c>
      <c r="AA40" s="4">
        <f t="shared" si="3"/>
        <v>87.584000000000003</v>
      </c>
      <c r="AB40" s="4">
        <f t="shared" si="16"/>
        <v>95.2</v>
      </c>
      <c r="AC40" s="4">
        <f t="shared" si="5"/>
        <v>97.103999999999999</v>
      </c>
      <c r="AL40" s="4" t="s">
        <v>182</v>
      </c>
      <c r="AM40" s="4">
        <f t="shared" si="6"/>
        <v>1765.3333333333333</v>
      </c>
      <c r="AN40" s="4">
        <f t="shared" si="7"/>
        <v>270</v>
      </c>
      <c r="AQ40" s="4">
        <f t="shared" si="8"/>
        <v>248.13749999999999</v>
      </c>
      <c r="AS40" s="4">
        <f t="shared" si="9"/>
        <v>141.5315680658436</v>
      </c>
      <c r="AT40" s="4">
        <f t="shared" si="17"/>
        <v>150.56549794238683</v>
      </c>
      <c r="AU40" s="4">
        <f t="shared" si="11"/>
        <v>156.58811786008229</v>
      </c>
    </row>
    <row r="41" spans="3:47" ht="27">
      <c r="C41" s="3" t="s">
        <v>93</v>
      </c>
      <c r="D41">
        <v>2600</v>
      </c>
      <c r="E41">
        <v>390</v>
      </c>
      <c r="F41">
        <v>354.375</v>
      </c>
      <c r="I41" s="4">
        <f t="shared" si="0"/>
        <v>188.57499999999999</v>
      </c>
      <c r="J41" s="4">
        <f t="shared" si="15"/>
        <v>198.5</v>
      </c>
      <c r="K41" s="4">
        <f t="shared" si="2"/>
        <v>208.42500000000001</v>
      </c>
      <c r="U41" s="4" t="s">
        <v>138</v>
      </c>
      <c r="V41">
        <f>主角属性字段设计!F41</f>
        <v>989.33333333333326</v>
      </c>
      <c r="W41">
        <v>159</v>
      </c>
      <c r="X41">
        <v>153.125</v>
      </c>
      <c r="AA41" s="4">
        <f t="shared" si="3"/>
        <v>89.337111111111099</v>
      </c>
      <c r="AB41" s="4">
        <f t="shared" si="16"/>
        <v>97.10555555555554</v>
      </c>
      <c r="AC41" s="4">
        <f t="shared" si="5"/>
        <v>99.047666666666657</v>
      </c>
      <c r="AL41" s="4" t="s">
        <v>183</v>
      </c>
      <c r="AM41" s="4">
        <f t="shared" si="6"/>
        <v>1794.6666666666665</v>
      </c>
      <c r="AN41" s="4">
        <f t="shared" si="7"/>
        <v>274.5</v>
      </c>
      <c r="AQ41" s="4">
        <f t="shared" si="8"/>
        <v>253.75</v>
      </c>
      <c r="AS41" s="4">
        <f t="shared" si="9"/>
        <v>144.28669608041557</v>
      </c>
      <c r="AT41" s="4">
        <f t="shared" si="17"/>
        <v>153.49648519193147</v>
      </c>
      <c r="AU41" s="4">
        <f t="shared" si="11"/>
        <v>159.63634459960875</v>
      </c>
    </row>
    <row r="42" spans="3:47" ht="27">
      <c r="C42" s="3" t="s">
        <v>94</v>
      </c>
      <c r="D42">
        <v>2640</v>
      </c>
      <c r="E42">
        <v>396</v>
      </c>
      <c r="F42">
        <v>362.47499999999997</v>
      </c>
      <c r="I42" s="4">
        <f t="shared" si="0"/>
        <v>192.14699999999999</v>
      </c>
      <c r="J42" s="4">
        <f t="shared" si="15"/>
        <v>202.26</v>
      </c>
      <c r="K42" s="4">
        <f t="shared" si="2"/>
        <v>212.37299999999999</v>
      </c>
      <c r="U42" s="4" t="s">
        <v>139</v>
      </c>
      <c r="V42">
        <f>主角属性字段设计!F42</f>
        <v>1008</v>
      </c>
      <c r="W42">
        <v>162</v>
      </c>
      <c r="X42">
        <v>156.25</v>
      </c>
      <c r="AA42" s="4">
        <f t="shared" si="3"/>
        <v>91.090222222222224</v>
      </c>
      <c r="AB42" s="4">
        <f t="shared" si="16"/>
        <v>99.011111111111106</v>
      </c>
      <c r="AC42" s="4">
        <f t="shared" si="5"/>
        <v>100.99133333333333</v>
      </c>
      <c r="AL42" s="4" t="s">
        <v>184</v>
      </c>
      <c r="AM42" s="4">
        <f t="shared" si="6"/>
        <v>1824</v>
      </c>
      <c r="AN42" s="4">
        <f t="shared" si="7"/>
        <v>279</v>
      </c>
      <c r="AQ42" s="4">
        <f t="shared" si="8"/>
        <v>259.36249999999995</v>
      </c>
      <c r="AS42" s="4">
        <f t="shared" si="9"/>
        <v>147.04178542413376</v>
      </c>
      <c r="AT42" s="4">
        <f t="shared" si="17"/>
        <v>156.42743130226998</v>
      </c>
      <c r="AU42" s="4">
        <f t="shared" si="11"/>
        <v>162.68452855436078</v>
      </c>
    </row>
    <row r="43" spans="3:47" ht="27">
      <c r="C43" s="3" t="s">
        <v>95</v>
      </c>
      <c r="D43">
        <v>2680</v>
      </c>
      <c r="E43">
        <v>402</v>
      </c>
      <c r="F43">
        <v>370.57499999999999</v>
      </c>
      <c r="I43" s="4">
        <f t="shared" si="0"/>
        <v>195.71899999999997</v>
      </c>
      <c r="J43" s="4">
        <f t="shared" si="15"/>
        <v>206.01999999999998</v>
      </c>
      <c r="K43" s="4">
        <f t="shared" si="2"/>
        <v>216.321</v>
      </c>
      <c r="U43" s="4" t="s">
        <v>140</v>
      </c>
      <c r="V43">
        <f>主角属性字段设计!F43</f>
        <v>1026.6666666666665</v>
      </c>
      <c r="W43">
        <v>165</v>
      </c>
      <c r="X43">
        <v>159.375</v>
      </c>
      <c r="AA43" s="4">
        <f t="shared" si="3"/>
        <v>92.843333333333334</v>
      </c>
      <c r="AB43" s="4">
        <f t="shared" si="16"/>
        <v>100.91666666666666</v>
      </c>
      <c r="AC43" s="4">
        <f t="shared" si="5"/>
        <v>102.93499999999999</v>
      </c>
      <c r="AL43" s="4" t="s">
        <v>185</v>
      </c>
      <c r="AM43" s="4">
        <f t="shared" si="6"/>
        <v>1853.3333333333333</v>
      </c>
      <c r="AN43" s="4">
        <f t="shared" si="7"/>
        <v>283.5</v>
      </c>
      <c r="AQ43" s="4">
        <f t="shared" si="8"/>
        <v>264.97500000000002</v>
      </c>
      <c r="AS43" s="4">
        <f t="shared" si="9"/>
        <v>149.79683793846755</v>
      </c>
      <c r="AT43" s="4">
        <f t="shared" si="17"/>
        <v>159.35833823241231</v>
      </c>
      <c r="AU43" s="4">
        <f t="shared" si="11"/>
        <v>165.73267176170881</v>
      </c>
    </row>
    <row r="44" spans="3:47" ht="27">
      <c r="C44" s="3" t="s">
        <v>96</v>
      </c>
      <c r="D44">
        <v>2720</v>
      </c>
      <c r="E44">
        <v>408</v>
      </c>
      <c r="F44">
        <v>378.67500000000001</v>
      </c>
      <c r="I44" s="4">
        <f t="shared" si="0"/>
        <v>199.291</v>
      </c>
      <c r="J44" s="4">
        <f t="shared" si="15"/>
        <v>209.78</v>
      </c>
      <c r="K44" s="4">
        <f t="shared" si="2"/>
        <v>220.26900000000001</v>
      </c>
      <c r="U44" s="4" t="s">
        <v>141</v>
      </c>
      <c r="V44">
        <f>主角属性字段设计!F44</f>
        <v>1045.3333333333333</v>
      </c>
      <c r="W44">
        <v>168</v>
      </c>
      <c r="X44">
        <v>162.5</v>
      </c>
      <c r="AA44" s="4">
        <f t="shared" si="3"/>
        <v>94.59644444444443</v>
      </c>
      <c r="AB44" s="4">
        <f t="shared" si="16"/>
        <v>102.82222222222221</v>
      </c>
      <c r="AC44" s="4">
        <f t="shared" si="5"/>
        <v>104.87866666666666</v>
      </c>
      <c r="AL44" s="4" t="s">
        <v>186</v>
      </c>
      <c r="AM44" s="4">
        <f t="shared" si="6"/>
        <v>1882.6666666666665</v>
      </c>
      <c r="AN44" s="4">
        <f t="shared" si="7"/>
        <v>288</v>
      </c>
      <c r="AQ44" s="4">
        <f t="shared" si="8"/>
        <v>270.58749999999998</v>
      </c>
      <c r="AS44" s="4">
        <f t="shared" si="9"/>
        <v>152.55185534979424</v>
      </c>
      <c r="AT44" s="4">
        <f t="shared" si="17"/>
        <v>162.28920781893004</v>
      </c>
      <c r="AU44" s="4">
        <f t="shared" si="11"/>
        <v>168.78077613168725</v>
      </c>
    </row>
    <row r="45" spans="3:47" ht="27">
      <c r="C45" s="3" t="s">
        <v>97</v>
      </c>
      <c r="D45">
        <v>2760</v>
      </c>
      <c r="E45">
        <v>414</v>
      </c>
      <c r="F45">
        <v>386.77499999999998</v>
      </c>
      <c r="I45" s="4">
        <f t="shared" si="0"/>
        <v>202.863</v>
      </c>
      <c r="J45" s="4">
        <f t="shared" si="15"/>
        <v>213.54000000000002</v>
      </c>
      <c r="K45" s="4">
        <f t="shared" si="2"/>
        <v>224.21700000000004</v>
      </c>
      <c r="U45" s="4" t="s">
        <v>142</v>
      </c>
      <c r="V45">
        <f>主角属性字段设计!F45</f>
        <v>1064</v>
      </c>
      <c r="W45">
        <v>171</v>
      </c>
      <c r="X45">
        <v>165.625</v>
      </c>
      <c r="AA45" s="4">
        <f t="shared" si="3"/>
        <v>96.349555555555568</v>
      </c>
      <c r="AB45" s="4">
        <f t="shared" si="16"/>
        <v>104.72777777777779</v>
      </c>
      <c r="AC45" s="4">
        <f t="shared" si="5"/>
        <v>106.82233333333335</v>
      </c>
      <c r="AL45" s="4" t="s">
        <v>187</v>
      </c>
      <c r="AM45" s="4">
        <f t="shared" si="6"/>
        <v>1912</v>
      </c>
      <c r="AN45" s="4">
        <f t="shared" si="7"/>
        <v>292.5</v>
      </c>
      <c r="AQ45" s="4">
        <f t="shared" si="8"/>
        <v>276.2</v>
      </c>
      <c r="AS45" s="4">
        <f t="shared" si="9"/>
        <v>155.3068392782526</v>
      </c>
      <c r="AT45" s="4">
        <f t="shared" si="17"/>
        <v>165.22004178537512</v>
      </c>
      <c r="AU45" s="4">
        <f t="shared" si="11"/>
        <v>171.82884345679014</v>
      </c>
    </row>
    <row r="46" spans="3:47" s="7" customFormat="1" ht="27">
      <c r="C46" s="23" t="s">
        <v>98</v>
      </c>
      <c r="D46" s="7">
        <v>3888</v>
      </c>
      <c r="E46" s="7">
        <v>576</v>
      </c>
      <c r="F46" s="7">
        <v>720</v>
      </c>
      <c r="I46" s="4">
        <f t="shared" si="0"/>
        <v>277.02</v>
      </c>
      <c r="J46" s="4">
        <f>D46/$C$57*(1+F46/E46)</f>
        <v>291.59999999999997</v>
      </c>
      <c r="K46" s="4">
        <f t="shared" si="2"/>
        <v>306.17999999999995</v>
      </c>
      <c r="U46" s="7" t="s">
        <v>143</v>
      </c>
      <c r="V46" s="7">
        <f>主角属性字段设计!F46</f>
        <v>1620</v>
      </c>
      <c r="W46" s="7">
        <v>240</v>
      </c>
      <c r="X46" s="7">
        <v>268.5</v>
      </c>
      <c r="AA46" s="4">
        <f t="shared" si="3"/>
        <v>126.31139999999999</v>
      </c>
      <c r="AB46" s="4">
        <f>V46/$F$57*(1+X46/W46)</f>
        <v>137.29499999999999</v>
      </c>
      <c r="AC46" s="4">
        <f t="shared" si="5"/>
        <v>140.04089999999999</v>
      </c>
      <c r="AL46" s="7" t="s">
        <v>188</v>
      </c>
      <c r="AM46" s="4">
        <f t="shared" si="6"/>
        <v>2754</v>
      </c>
      <c r="AN46" s="4">
        <f t="shared" si="7"/>
        <v>408</v>
      </c>
      <c r="AQ46" s="4">
        <f t="shared" si="8"/>
        <v>494.25</v>
      </c>
      <c r="AS46" s="4">
        <f t="shared" si="9"/>
        <v>208.17368181818182</v>
      </c>
      <c r="AT46" s="4">
        <f>AM46/$K$57*(1+AQ46/AN46)</f>
        <v>221.46136363636364</v>
      </c>
      <c r="AU46" s="4">
        <f t="shared" si="11"/>
        <v>230.31981818181819</v>
      </c>
    </row>
    <row r="47" spans="3:47">
      <c r="C47" s="3"/>
    </row>
    <row r="48" spans="3:47">
      <c r="C48" s="3"/>
    </row>
    <row r="49" spans="1:34">
      <c r="B49" s="33" t="s">
        <v>197</v>
      </c>
      <c r="C49" s="33"/>
      <c r="D49" s="33"/>
      <c r="E49" s="33"/>
      <c r="F49" s="33"/>
      <c r="G49" s="33"/>
      <c r="H49" s="33"/>
      <c r="I49" s="33"/>
      <c r="J49" s="33"/>
      <c r="K49" s="33"/>
    </row>
    <row r="50" spans="1:34">
      <c r="B50" s="4" t="s">
        <v>198</v>
      </c>
      <c r="C50" s="15" t="s">
        <v>204</v>
      </c>
      <c r="E50" s="4" t="s">
        <v>199</v>
      </c>
      <c r="F50" s="15" t="s">
        <v>204</v>
      </c>
      <c r="J50" s="4" t="s">
        <v>200</v>
      </c>
      <c r="K50" s="15" t="s">
        <v>204</v>
      </c>
      <c r="M50" s="34" t="s">
        <v>208</v>
      </c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spans="1:34">
      <c r="A51" s="12"/>
      <c r="B51" s="21" t="s">
        <v>201</v>
      </c>
      <c r="C51" s="4">
        <v>15</v>
      </c>
      <c r="D51" s="12"/>
      <c r="E51" s="21" t="s">
        <v>201</v>
      </c>
      <c r="F51" s="4">
        <v>10</v>
      </c>
      <c r="G51" s="12"/>
      <c r="H51" s="12"/>
      <c r="I51" s="12"/>
      <c r="J51" s="21" t="s">
        <v>201</v>
      </c>
      <c r="K51" s="4">
        <v>12.5</v>
      </c>
      <c r="L51" s="12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12"/>
      <c r="AC51" s="12"/>
      <c r="AD51" s="12"/>
      <c r="AE51" s="12"/>
      <c r="AF51" s="12"/>
      <c r="AG51" s="12"/>
      <c r="AH51" s="12"/>
    </row>
    <row r="52" spans="1:34">
      <c r="A52" s="12"/>
      <c r="B52" s="12"/>
      <c r="C52" s="15" t="s">
        <v>204</v>
      </c>
      <c r="D52" s="12"/>
      <c r="E52" s="12"/>
      <c r="F52" s="15" t="s">
        <v>204</v>
      </c>
      <c r="G52" s="12"/>
      <c r="H52" s="12"/>
      <c r="I52" s="12"/>
      <c r="J52" s="12"/>
      <c r="K52" s="15" t="s">
        <v>204</v>
      </c>
      <c r="L52" s="12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12"/>
      <c r="AC52" s="12"/>
      <c r="AD52" s="12"/>
      <c r="AE52" s="12"/>
      <c r="AF52" s="12"/>
      <c r="AG52" s="12"/>
      <c r="AH52" s="12"/>
    </row>
    <row r="53" spans="1:34">
      <c r="B53" s="4" t="s">
        <v>202</v>
      </c>
      <c r="C53" s="5">
        <v>20</v>
      </c>
      <c r="E53" s="4" t="s">
        <v>202</v>
      </c>
      <c r="F53" s="5">
        <v>15</v>
      </c>
      <c r="J53" s="4" t="s">
        <v>202</v>
      </c>
      <c r="K53" s="5">
        <v>17.5</v>
      </c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1:34">
      <c r="C54" s="15" t="s">
        <v>204</v>
      </c>
      <c r="E54" s="4"/>
      <c r="F54" s="15" t="s">
        <v>204</v>
      </c>
      <c r="K54" s="15" t="s">
        <v>204</v>
      </c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spans="1:34">
      <c r="B55" s="4" t="s">
        <v>203</v>
      </c>
      <c r="C55" s="4">
        <v>25</v>
      </c>
      <c r="E55" s="4" t="s">
        <v>203</v>
      </c>
      <c r="F55" s="4">
        <v>20</v>
      </c>
      <c r="J55" s="4" t="s">
        <v>203</v>
      </c>
      <c r="K55" s="4">
        <v>22.5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1:34">
      <c r="C56" s="15" t="s">
        <v>204</v>
      </c>
      <c r="E56" s="4"/>
      <c r="F56" s="15" t="s">
        <v>204</v>
      </c>
      <c r="K56" s="15" t="s">
        <v>204</v>
      </c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spans="1:34">
      <c r="B57" s="22">
        <v>45</v>
      </c>
      <c r="C57" s="4">
        <v>30</v>
      </c>
      <c r="E57" s="22">
        <v>45</v>
      </c>
      <c r="F57" s="4">
        <v>25</v>
      </c>
      <c r="J57" s="22">
        <v>45</v>
      </c>
      <c r="K57" s="4">
        <v>27.5</v>
      </c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1:34">
      <c r="C58" s="4"/>
      <c r="F58" s="4"/>
    </row>
    <row r="59" spans="1:34">
      <c r="C59" s="4"/>
      <c r="F59" s="4"/>
    </row>
    <row r="60" spans="1:34">
      <c r="C60" s="4"/>
      <c r="F60" s="4"/>
    </row>
    <row r="61" spans="1:34">
      <c r="C61" s="4"/>
      <c r="F61" s="4"/>
    </row>
    <row r="62" spans="1:34">
      <c r="C62" s="4"/>
      <c r="F62" s="4"/>
    </row>
    <row r="63" spans="1:34">
      <c r="C63" s="4"/>
      <c r="F63" s="4"/>
    </row>
    <row r="64" spans="1:34">
      <c r="C64" s="4"/>
      <c r="F64" s="4"/>
    </row>
    <row r="65" spans="3:6">
      <c r="C65" s="4"/>
      <c r="F65" s="4"/>
    </row>
    <row r="66" spans="3:6">
      <c r="C66" s="4"/>
      <c r="F66" s="4"/>
    </row>
  </sheetData>
  <mergeCells count="2">
    <mergeCell ref="B49:K49"/>
    <mergeCell ref="M50:AA57"/>
  </mergeCells>
  <phoneticPr fontId="1" type="noConversion"/>
  <pageMargins left="0.7" right="0.7" top="0.75" bottom="0.75" header="0.3" footer="0.3"/>
  <pageSetup paperSize="9" orientation="portrait" r:id="rId1"/>
  <customProperties>
    <customPr name="DVSECTION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N831"/>
  <sheetViews>
    <sheetView topLeftCell="K1" zoomScale="80" zoomScaleNormal="80" workbookViewId="0">
      <selection activeCell="K50" sqref="K50"/>
    </sheetView>
  </sheetViews>
  <sheetFormatPr defaultRowHeight="13.5"/>
  <cols>
    <col min="2" max="2" width="45.75" customWidth="1"/>
    <col min="3" max="3" width="18.875" customWidth="1"/>
    <col min="6" max="6" width="28.375" customWidth="1"/>
    <col min="7" max="7" width="22.75" customWidth="1"/>
    <col min="9" max="9" width="10.625" hidden="1" customWidth="1"/>
    <col min="10" max="10" width="21.125" hidden="1" customWidth="1"/>
    <col min="11" max="12" width="21.125" style="4" customWidth="1"/>
    <col min="13" max="15" width="21.125" style="4" hidden="1" customWidth="1"/>
    <col min="16" max="16" width="13.75" customWidth="1"/>
    <col min="20" max="20" width="9.25" customWidth="1"/>
    <col min="22" max="23" width="9" style="4"/>
    <col min="24" max="24" width="14.625" customWidth="1"/>
    <col min="27" max="27" width="11" customWidth="1"/>
    <col min="28" max="28" width="24.25" customWidth="1"/>
  </cols>
  <sheetData>
    <row r="1" spans="1:33" ht="32.25" customHeight="1">
      <c r="A1" s="27" t="s">
        <v>209</v>
      </c>
      <c r="B1" s="27" t="s">
        <v>210</v>
      </c>
      <c r="C1" s="27" t="s">
        <v>211</v>
      </c>
      <c r="D1" s="27" t="s">
        <v>212</v>
      </c>
      <c r="E1" s="27" t="s">
        <v>213</v>
      </c>
      <c r="F1" s="27" t="s">
        <v>214</v>
      </c>
      <c r="G1" s="28" t="s">
        <v>215</v>
      </c>
      <c r="H1" s="27" t="s">
        <v>216</v>
      </c>
      <c r="I1" s="27" t="s">
        <v>13</v>
      </c>
      <c r="J1" s="27" t="s">
        <v>189</v>
      </c>
      <c r="K1" s="27" t="s">
        <v>1157</v>
      </c>
      <c r="L1" s="27" t="s">
        <v>1156</v>
      </c>
      <c r="M1" s="27" t="s">
        <v>1158</v>
      </c>
      <c r="N1" s="27" t="s">
        <v>1157</v>
      </c>
      <c r="O1" s="27" t="s">
        <v>1156</v>
      </c>
      <c r="P1" s="27" t="s">
        <v>219</v>
      </c>
      <c r="Q1" s="27" t="s">
        <v>220</v>
      </c>
      <c r="R1" s="27" t="s">
        <v>212</v>
      </c>
      <c r="S1" s="27" t="s">
        <v>221</v>
      </c>
      <c r="T1" s="27" t="s">
        <v>217</v>
      </c>
      <c r="U1" s="27" t="s">
        <v>218</v>
      </c>
      <c r="V1" s="27"/>
      <c r="W1" s="27"/>
      <c r="X1" s="37" t="s">
        <v>271</v>
      </c>
      <c r="Y1" s="37"/>
      <c r="Z1" s="37"/>
      <c r="AA1" s="37"/>
      <c r="AB1" s="37"/>
      <c r="AC1" s="37"/>
    </row>
    <row r="2" spans="1:33" ht="27">
      <c r="A2" s="12"/>
      <c r="B2" s="12" t="s">
        <v>272</v>
      </c>
      <c r="C2" s="12" t="s">
        <v>222</v>
      </c>
      <c r="D2" s="12" t="s">
        <v>223</v>
      </c>
      <c r="E2" s="12" t="s">
        <v>224</v>
      </c>
      <c r="F2" s="12" t="s">
        <v>225</v>
      </c>
      <c r="G2" s="5" t="s">
        <v>226</v>
      </c>
      <c r="H2" s="12">
        <f>M2*$X$8</f>
        <v>144</v>
      </c>
      <c r="I2" s="12">
        <f t="shared" ref="I2:J2" si="0">N2*$X$8</f>
        <v>16</v>
      </c>
      <c r="J2" s="12">
        <f t="shared" si="0"/>
        <v>12</v>
      </c>
      <c r="K2" s="12">
        <f>N2*$X$8</f>
        <v>16</v>
      </c>
      <c r="L2" s="12">
        <f>O2*$X$8</f>
        <v>12</v>
      </c>
      <c r="M2" s="12">
        <v>360</v>
      </c>
      <c r="N2" s="12">
        <v>40</v>
      </c>
      <c r="O2" s="12">
        <v>30</v>
      </c>
      <c r="P2" s="12"/>
      <c r="Q2" s="12"/>
      <c r="R2" s="12"/>
      <c r="S2" s="12"/>
      <c r="T2" s="12"/>
      <c r="U2" s="12"/>
      <c r="V2" s="12"/>
      <c r="W2" s="12"/>
      <c r="X2" s="37"/>
      <c r="Y2" s="37"/>
      <c r="Z2" s="37"/>
      <c r="AA2" s="37"/>
      <c r="AB2" s="37"/>
      <c r="AC2" s="37"/>
    </row>
    <row r="3" spans="1:33" ht="27">
      <c r="A3" s="12"/>
      <c r="B3" s="12" t="s">
        <v>273</v>
      </c>
      <c r="C3" s="12" t="s">
        <v>222</v>
      </c>
      <c r="D3" s="12" t="s">
        <v>223</v>
      </c>
      <c r="E3" s="12" t="s">
        <v>224</v>
      </c>
      <c r="F3" s="12" t="s">
        <v>225</v>
      </c>
      <c r="G3" s="5" t="s">
        <v>226</v>
      </c>
      <c r="H3" s="12">
        <f t="shared" ref="H3:H49" si="1">M3*$X$8</f>
        <v>165.60000000000002</v>
      </c>
      <c r="I3" s="12" t="s">
        <v>1150</v>
      </c>
      <c r="J3" s="12" t="s">
        <v>1150</v>
      </c>
      <c r="K3" s="12">
        <f>N3*$X$8</f>
        <v>18.400000000000002</v>
      </c>
      <c r="L3" s="12">
        <f t="shared" ref="L3:L49" si="2">O3*$X$8</f>
        <v>15.200000000000001</v>
      </c>
      <c r="M3" s="12">
        <v>414</v>
      </c>
      <c r="N3" s="12">
        <v>46</v>
      </c>
      <c r="O3" s="12">
        <v>38</v>
      </c>
      <c r="P3" s="12"/>
      <c r="Q3" s="12"/>
      <c r="R3" s="12"/>
      <c r="S3" s="12"/>
      <c r="T3" s="12"/>
      <c r="U3" s="12"/>
      <c r="V3" s="12"/>
      <c r="W3" s="12"/>
      <c r="X3" s="37"/>
      <c r="Y3" s="37"/>
      <c r="Z3" s="37"/>
      <c r="AA3" s="37"/>
      <c r="AB3" s="37"/>
      <c r="AC3" s="37"/>
    </row>
    <row r="4" spans="1:33" ht="27">
      <c r="A4" s="12"/>
      <c r="B4" s="12" t="s">
        <v>274</v>
      </c>
      <c r="C4" s="12" t="s">
        <v>222</v>
      </c>
      <c r="D4" s="12" t="s">
        <v>223</v>
      </c>
      <c r="E4" s="12" t="s">
        <v>224</v>
      </c>
      <c r="F4" s="12" t="s">
        <v>225</v>
      </c>
      <c r="G4" s="5" t="s">
        <v>226</v>
      </c>
      <c r="H4" s="12">
        <f t="shared" si="1"/>
        <v>172.8</v>
      </c>
      <c r="I4" s="12" t="s">
        <v>1150</v>
      </c>
      <c r="J4" s="12" t="s">
        <v>1150</v>
      </c>
      <c r="K4" s="12">
        <f t="shared" ref="K4:K49" si="3">N4*$X$8</f>
        <v>19.200000000000003</v>
      </c>
      <c r="L4" s="12">
        <f t="shared" si="2"/>
        <v>16.8</v>
      </c>
      <c r="M4" s="12">
        <v>432</v>
      </c>
      <c r="N4" s="12">
        <v>48</v>
      </c>
      <c r="O4" s="12">
        <v>42</v>
      </c>
      <c r="P4" s="12"/>
      <c r="Q4" s="12"/>
      <c r="R4" s="12"/>
      <c r="S4" s="12"/>
      <c r="T4" s="12"/>
      <c r="U4" s="12"/>
      <c r="V4" s="12"/>
      <c r="W4" s="12"/>
      <c r="X4" s="37"/>
      <c r="Y4" s="37"/>
      <c r="Z4" s="37"/>
      <c r="AA4" s="37"/>
      <c r="AB4" s="37"/>
      <c r="AC4" s="37"/>
    </row>
    <row r="5" spans="1:33" ht="27">
      <c r="A5" s="12"/>
      <c r="B5" s="12" t="s">
        <v>275</v>
      </c>
      <c r="C5" s="12" t="s">
        <v>222</v>
      </c>
      <c r="D5" s="12" t="s">
        <v>223</v>
      </c>
      <c r="E5" s="12" t="s">
        <v>224</v>
      </c>
      <c r="F5" s="12" t="s">
        <v>225</v>
      </c>
      <c r="G5" s="5" t="s">
        <v>226</v>
      </c>
      <c r="H5" s="12">
        <f t="shared" si="1"/>
        <v>180</v>
      </c>
      <c r="I5" s="12" t="s">
        <v>1150</v>
      </c>
      <c r="J5" s="12" t="s">
        <v>1150</v>
      </c>
      <c r="K5" s="12">
        <f t="shared" si="3"/>
        <v>20</v>
      </c>
      <c r="L5" s="12">
        <f t="shared" si="2"/>
        <v>18.400000000000002</v>
      </c>
      <c r="M5" s="12">
        <v>450</v>
      </c>
      <c r="N5" s="12">
        <v>50</v>
      </c>
      <c r="O5" s="12">
        <v>46</v>
      </c>
      <c r="P5" s="12"/>
      <c r="Q5" s="12"/>
      <c r="R5" s="12"/>
      <c r="S5" s="12"/>
      <c r="T5" s="12"/>
      <c r="U5" s="12"/>
      <c r="V5" s="12"/>
      <c r="W5" s="12"/>
      <c r="X5" s="37"/>
      <c r="Y5" s="37"/>
      <c r="Z5" s="37"/>
      <c r="AA5" s="37"/>
      <c r="AB5" s="37"/>
      <c r="AC5" s="37"/>
    </row>
    <row r="6" spans="1:33" ht="27">
      <c r="A6" s="12"/>
      <c r="B6" s="12" t="s">
        <v>276</v>
      </c>
      <c r="C6" s="12" t="s">
        <v>222</v>
      </c>
      <c r="D6" s="12" t="s">
        <v>223</v>
      </c>
      <c r="E6" s="12" t="s">
        <v>224</v>
      </c>
      <c r="F6" s="12" t="s">
        <v>225</v>
      </c>
      <c r="G6" s="5" t="s">
        <v>226</v>
      </c>
      <c r="H6" s="12">
        <f t="shared" si="1"/>
        <v>187.20000000000002</v>
      </c>
      <c r="I6" s="12" t="s">
        <v>1150</v>
      </c>
      <c r="J6" s="12" t="s">
        <v>1150</v>
      </c>
      <c r="K6" s="12">
        <f t="shared" si="3"/>
        <v>20.8</v>
      </c>
      <c r="L6" s="12">
        <f t="shared" si="2"/>
        <v>20</v>
      </c>
      <c r="M6" s="12">
        <v>468</v>
      </c>
      <c r="N6" s="12">
        <v>52</v>
      </c>
      <c r="O6" s="12">
        <v>50</v>
      </c>
      <c r="P6" s="12"/>
      <c r="Q6" s="12"/>
      <c r="R6" s="12"/>
      <c r="S6" s="12"/>
      <c r="T6" s="12"/>
      <c r="U6" s="12"/>
      <c r="V6" s="12"/>
      <c r="W6" s="12"/>
      <c r="X6" s="33" t="s">
        <v>1135</v>
      </c>
      <c r="Y6" s="33"/>
      <c r="Z6" s="33"/>
      <c r="AA6" s="33"/>
      <c r="AB6" s="33"/>
      <c r="AC6" s="33"/>
    </row>
    <row r="7" spans="1:33" ht="27">
      <c r="A7" s="12"/>
      <c r="B7" s="12" t="s">
        <v>277</v>
      </c>
      <c r="C7" s="12" t="s">
        <v>222</v>
      </c>
      <c r="D7" s="12" t="s">
        <v>223</v>
      </c>
      <c r="E7" s="12" t="s">
        <v>224</v>
      </c>
      <c r="F7" s="12" t="s">
        <v>225</v>
      </c>
      <c r="G7" s="5" t="s">
        <v>226</v>
      </c>
      <c r="H7" s="12">
        <f t="shared" si="1"/>
        <v>194.4</v>
      </c>
      <c r="I7" s="12" t="s">
        <v>1150</v>
      </c>
      <c r="J7" s="12" t="s">
        <v>1150</v>
      </c>
      <c r="K7" s="12">
        <f t="shared" si="3"/>
        <v>21.6</v>
      </c>
      <c r="L7" s="12">
        <f t="shared" si="2"/>
        <v>21.6</v>
      </c>
      <c r="M7" s="12">
        <v>486</v>
      </c>
      <c r="N7" s="12">
        <v>54</v>
      </c>
      <c r="O7" s="12">
        <v>54</v>
      </c>
      <c r="P7" s="12"/>
      <c r="Q7" s="12"/>
      <c r="R7" s="12"/>
      <c r="S7" s="12"/>
      <c r="T7" s="12"/>
      <c r="U7" s="12"/>
      <c r="V7" s="12"/>
      <c r="W7" s="12"/>
      <c r="X7" s="4" t="s">
        <v>1136</v>
      </c>
      <c r="Y7" s="4" t="s">
        <v>1137</v>
      </c>
      <c r="Z7" s="4" t="s">
        <v>1138</v>
      </c>
    </row>
    <row r="8" spans="1:33" ht="27">
      <c r="A8" s="12"/>
      <c r="B8" s="12" t="s">
        <v>278</v>
      </c>
      <c r="C8" s="12" t="s">
        <v>222</v>
      </c>
      <c r="D8" s="12" t="s">
        <v>223</v>
      </c>
      <c r="E8" s="12" t="s">
        <v>224</v>
      </c>
      <c r="F8" s="12" t="s">
        <v>225</v>
      </c>
      <c r="G8" s="5" t="s">
        <v>226</v>
      </c>
      <c r="H8" s="12">
        <f t="shared" si="1"/>
        <v>201.60000000000002</v>
      </c>
      <c r="I8" s="12" t="s">
        <v>1150</v>
      </c>
      <c r="J8" s="12" t="s">
        <v>1150</v>
      </c>
      <c r="K8" s="12">
        <f t="shared" si="3"/>
        <v>22.400000000000002</v>
      </c>
      <c r="L8" s="12">
        <f t="shared" si="2"/>
        <v>23.200000000000003</v>
      </c>
      <c r="M8" s="12">
        <v>504</v>
      </c>
      <c r="N8" s="12">
        <v>56</v>
      </c>
      <c r="O8" s="12">
        <v>58</v>
      </c>
      <c r="P8" s="12"/>
      <c r="Q8" s="12"/>
      <c r="R8" s="12"/>
      <c r="S8" s="12"/>
      <c r="T8" s="12"/>
      <c r="U8" s="12"/>
      <c r="V8" s="12"/>
      <c r="W8" s="12"/>
      <c r="X8" s="29">
        <v>0.4</v>
      </c>
      <c r="Y8" s="29">
        <v>0.6</v>
      </c>
      <c r="Z8" s="29">
        <v>0.8</v>
      </c>
    </row>
    <row r="9" spans="1:33" ht="27">
      <c r="A9" s="12"/>
      <c r="B9" s="12" t="s">
        <v>279</v>
      </c>
      <c r="C9" s="12" t="s">
        <v>222</v>
      </c>
      <c r="D9" s="12" t="s">
        <v>223</v>
      </c>
      <c r="E9" s="12" t="s">
        <v>224</v>
      </c>
      <c r="F9" s="12" t="s">
        <v>225</v>
      </c>
      <c r="G9" s="5" t="s">
        <v>226</v>
      </c>
      <c r="H9" s="12">
        <f t="shared" si="1"/>
        <v>208.8</v>
      </c>
      <c r="I9" s="12" t="s">
        <v>1150</v>
      </c>
      <c r="J9" s="12" t="s">
        <v>1150</v>
      </c>
      <c r="K9" s="12">
        <f t="shared" si="3"/>
        <v>23.200000000000003</v>
      </c>
      <c r="L9" s="12">
        <f t="shared" si="2"/>
        <v>24.8</v>
      </c>
      <c r="M9" s="12">
        <v>522</v>
      </c>
      <c r="N9" s="12">
        <v>58</v>
      </c>
      <c r="O9" s="12">
        <v>62</v>
      </c>
      <c r="P9" s="12"/>
      <c r="Q9" s="12"/>
      <c r="R9" s="12"/>
      <c r="S9" s="12"/>
      <c r="T9" s="12"/>
      <c r="U9" s="12"/>
      <c r="V9" s="12"/>
      <c r="W9" s="12"/>
      <c r="X9" s="4" t="s">
        <v>1139</v>
      </c>
      <c r="Y9" s="4" t="s">
        <v>1140</v>
      </c>
      <c r="Z9" s="4" t="s">
        <v>1141</v>
      </c>
    </row>
    <row r="10" spans="1:33" ht="27">
      <c r="A10" s="12"/>
      <c r="B10" s="12" t="s">
        <v>280</v>
      </c>
      <c r="C10" s="12" t="s">
        <v>222</v>
      </c>
      <c r="D10" s="12" t="s">
        <v>223</v>
      </c>
      <c r="E10" s="12" t="s">
        <v>224</v>
      </c>
      <c r="F10" s="12" t="s">
        <v>225</v>
      </c>
      <c r="G10" s="5" t="s">
        <v>226</v>
      </c>
      <c r="H10" s="12">
        <f t="shared" si="1"/>
        <v>216</v>
      </c>
      <c r="I10" s="12" t="s">
        <v>1150</v>
      </c>
      <c r="J10" s="12" t="s">
        <v>1150</v>
      </c>
      <c r="K10" s="12">
        <f>N10*$X$8</f>
        <v>24</v>
      </c>
      <c r="L10" s="12">
        <f t="shared" si="2"/>
        <v>26.400000000000002</v>
      </c>
      <c r="M10" s="12">
        <v>540</v>
      </c>
      <c r="N10" s="12">
        <v>60</v>
      </c>
      <c r="O10" s="12">
        <v>66</v>
      </c>
      <c r="P10" s="12"/>
      <c r="Q10" s="12"/>
      <c r="R10" s="12"/>
      <c r="S10" s="12"/>
      <c r="T10" s="12"/>
      <c r="U10" s="12"/>
      <c r="V10" s="12"/>
      <c r="W10" s="12"/>
      <c r="X10" s="29">
        <v>0.95</v>
      </c>
      <c r="Y10" s="29">
        <v>1.05</v>
      </c>
      <c r="Z10" s="29">
        <v>1.1499999999999999</v>
      </c>
    </row>
    <row r="11" spans="1:33" ht="27">
      <c r="A11" s="12"/>
      <c r="B11" s="12" t="s">
        <v>281</v>
      </c>
      <c r="C11" s="12" t="s">
        <v>222</v>
      </c>
      <c r="D11" s="12" t="s">
        <v>223</v>
      </c>
      <c r="E11" s="12" t="s">
        <v>224</v>
      </c>
      <c r="F11" s="12" t="s">
        <v>225</v>
      </c>
      <c r="G11" s="5" t="s">
        <v>226</v>
      </c>
      <c r="H11" s="12">
        <f t="shared" si="1"/>
        <v>223.20000000000002</v>
      </c>
      <c r="I11" s="12" t="s">
        <v>1150</v>
      </c>
      <c r="J11" s="12" t="s">
        <v>1150</v>
      </c>
      <c r="K11" s="12">
        <f>N11*$X$8</f>
        <v>24.8</v>
      </c>
      <c r="L11" s="12">
        <f t="shared" si="2"/>
        <v>28</v>
      </c>
      <c r="M11" s="12">
        <v>558</v>
      </c>
      <c r="N11" s="12">
        <v>62</v>
      </c>
      <c r="O11" s="12">
        <v>70</v>
      </c>
      <c r="P11" s="12"/>
      <c r="Q11" s="12"/>
      <c r="R11" s="12"/>
      <c r="S11" s="12"/>
      <c r="T11" s="12"/>
      <c r="U11" s="12"/>
      <c r="V11" s="12"/>
      <c r="W11" s="12"/>
      <c r="X11" s="4" t="s">
        <v>1147</v>
      </c>
      <c r="Y11" s="4" t="s">
        <v>1148</v>
      </c>
      <c r="Z11" s="4" t="s">
        <v>1149</v>
      </c>
    </row>
    <row r="12" spans="1:33" ht="27">
      <c r="A12" s="12"/>
      <c r="B12" s="12" t="s">
        <v>282</v>
      </c>
      <c r="C12" s="12" t="s">
        <v>222</v>
      </c>
      <c r="D12" s="12" t="s">
        <v>223</v>
      </c>
      <c r="E12" s="12" t="s">
        <v>224</v>
      </c>
      <c r="F12" s="12" t="s">
        <v>225</v>
      </c>
      <c r="G12" s="5" t="s">
        <v>226</v>
      </c>
      <c r="H12" s="12">
        <f t="shared" si="1"/>
        <v>230.4</v>
      </c>
      <c r="I12" s="12" t="s">
        <v>1150</v>
      </c>
      <c r="J12" s="12" t="s">
        <v>1150</v>
      </c>
      <c r="K12" s="12">
        <f t="shared" si="3"/>
        <v>25.6</v>
      </c>
      <c r="L12" s="12">
        <f t="shared" si="2"/>
        <v>29.6</v>
      </c>
      <c r="M12" s="12">
        <v>576</v>
      </c>
      <c r="N12" s="12">
        <v>64</v>
      </c>
      <c r="O12" s="12">
        <v>74</v>
      </c>
      <c r="P12" s="12"/>
      <c r="Q12" s="12"/>
      <c r="R12" s="12"/>
      <c r="S12" s="12"/>
      <c r="T12" s="12"/>
      <c r="U12" s="12"/>
      <c r="V12" s="12"/>
      <c r="W12" s="12"/>
      <c r="X12" s="29">
        <v>2</v>
      </c>
      <c r="Y12" s="29">
        <v>2.5</v>
      </c>
      <c r="Z12" s="29">
        <v>3</v>
      </c>
    </row>
    <row r="13" spans="1:33" ht="20.25" customHeight="1">
      <c r="A13" s="12"/>
      <c r="B13" s="12" t="s">
        <v>283</v>
      </c>
      <c r="C13" s="12" t="s">
        <v>222</v>
      </c>
      <c r="D13" s="12" t="s">
        <v>223</v>
      </c>
      <c r="E13" s="12" t="s">
        <v>224</v>
      </c>
      <c r="F13" s="12" t="s">
        <v>225</v>
      </c>
      <c r="G13" s="5" t="s">
        <v>226</v>
      </c>
      <c r="H13" s="12">
        <f t="shared" si="1"/>
        <v>237.60000000000002</v>
      </c>
      <c r="I13" s="12" t="s">
        <v>1150</v>
      </c>
      <c r="J13" s="12" t="s">
        <v>1150</v>
      </c>
      <c r="K13" s="12">
        <f t="shared" si="3"/>
        <v>26.400000000000002</v>
      </c>
      <c r="L13" s="12">
        <f t="shared" si="2"/>
        <v>31.200000000000003</v>
      </c>
      <c r="M13" s="12">
        <v>594</v>
      </c>
      <c r="N13" s="12">
        <v>66</v>
      </c>
      <c r="O13" s="12">
        <v>78</v>
      </c>
      <c r="P13" s="12"/>
      <c r="Q13" s="12"/>
      <c r="R13" s="12"/>
      <c r="S13" s="12"/>
      <c r="T13" s="12"/>
      <c r="U13" s="12"/>
      <c r="V13" s="12"/>
      <c r="W13" s="12"/>
    </row>
    <row r="14" spans="1:33" ht="68.25" customHeight="1">
      <c r="A14" s="12"/>
      <c r="B14" s="12" t="s">
        <v>284</v>
      </c>
      <c r="C14" s="12" t="s">
        <v>222</v>
      </c>
      <c r="D14" s="12" t="s">
        <v>223</v>
      </c>
      <c r="E14" s="12" t="s">
        <v>224</v>
      </c>
      <c r="F14" s="12" t="s">
        <v>225</v>
      </c>
      <c r="G14" s="5" t="s">
        <v>226</v>
      </c>
      <c r="H14" s="12">
        <f t="shared" si="1"/>
        <v>244.8</v>
      </c>
      <c r="I14" s="12" t="s">
        <v>1150</v>
      </c>
      <c r="J14" s="12" t="s">
        <v>1150</v>
      </c>
      <c r="K14" s="12">
        <f t="shared" si="3"/>
        <v>27.200000000000003</v>
      </c>
      <c r="L14" s="12">
        <f t="shared" si="2"/>
        <v>32.800000000000004</v>
      </c>
      <c r="M14" s="12">
        <v>612</v>
      </c>
      <c r="N14" s="12">
        <v>68</v>
      </c>
      <c r="O14" s="12">
        <v>82</v>
      </c>
      <c r="P14" s="12"/>
      <c r="Q14" s="12"/>
      <c r="R14" s="12"/>
      <c r="S14" s="12"/>
      <c r="T14" s="12"/>
      <c r="U14" s="12"/>
      <c r="V14" s="12"/>
      <c r="W14" s="12"/>
      <c r="X14" s="38" t="s">
        <v>1190</v>
      </c>
      <c r="Y14" s="33"/>
      <c r="Z14" s="33"/>
      <c r="AA14" s="33"/>
      <c r="AB14" s="33"/>
      <c r="AC14" s="33"/>
      <c r="AD14" s="33"/>
      <c r="AE14" s="33"/>
      <c r="AF14" s="33"/>
      <c r="AG14" s="33"/>
    </row>
    <row r="15" spans="1:33" ht="27">
      <c r="A15" s="12"/>
      <c r="B15" s="12" t="s">
        <v>285</v>
      </c>
      <c r="C15" s="12" t="s">
        <v>222</v>
      </c>
      <c r="D15" s="12" t="s">
        <v>223</v>
      </c>
      <c r="E15" s="12" t="s">
        <v>224</v>
      </c>
      <c r="F15" s="12" t="s">
        <v>225</v>
      </c>
      <c r="G15" s="5" t="s">
        <v>226</v>
      </c>
      <c r="H15" s="12">
        <f t="shared" si="1"/>
        <v>252</v>
      </c>
      <c r="I15" s="12" t="s">
        <v>1150</v>
      </c>
      <c r="J15" s="12" t="s">
        <v>1150</v>
      </c>
      <c r="K15" s="12">
        <f t="shared" si="3"/>
        <v>28</v>
      </c>
      <c r="L15" s="12">
        <f t="shared" si="2"/>
        <v>34.4</v>
      </c>
      <c r="M15" s="12">
        <v>630</v>
      </c>
      <c r="N15" s="12">
        <v>70</v>
      </c>
      <c r="O15" s="12">
        <v>86</v>
      </c>
      <c r="P15" s="12"/>
      <c r="Q15" s="12"/>
      <c r="R15" s="12"/>
      <c r="S15" s="12"/>
      <c r="T15" s="12"/>
      <c r="U15" s="12"/>
      <c r="V15" s="12"/>
      <c r="W15" s="12"/>
    </row>
    <row r="16" spans="1:33" ht="27">
      <c r="A16" s="12"/>
      <c r="B16" s="12" t="s">
        <v>286</v>
      </c>
      <c r="C16" s="12" t="s">
        <v>222</v>
      </c>
      <c r="D16" s="12" t="s">
        <v>223</v>
      </c>
      <c r="E16" s="12" t="s">
        <v>224</v>
      </c>
      <c r="F16" s="12" t="s">
        <v>225</v>
      </c>
      <c r="G16" s="5" t="s">
        <v>226</v>
      </c>
      <c r="H16" s="12">
        <f t="shared" si="1"/>
        <v>425.6</v>
      </c>
      <c r="I16" s="12" t="s">
        <v>1150</v>
      </c>
      <c r="J16" s="12" t="s">
        <v>1150</v>
      </c>
      <c r="K16" s="12">
        <f t="shared" si="3"/>
        <v>60.800000000000004</v>
      </c>
      <c r="L16" s="12">
        <f t="shared" si="2"/>
        <v>48.6</v>
      </c>
      <c r="M16" s="12">
        <v>1064</v>
      </c>
      <c r="N16" s="12">
        <v>152</v>
      </c>
      <c r="O16" s="12">
        <v>121.5</v>
      </c>
      <c r="P16" s="12"/>
      <c r="Q16" s="12"/>
      <c r="R16" s="12"/>
      <c r="S16" s="12"/>
      <c r="T16" s="12"/>
      <c r="U16" s="12"/>
      <c r="V16" s="12"/>
      <c r="W16" s="12"/>
    </row>
    <row r="17" spans="1:40" ht="27">
      <c r="A17" s="12"/>
      <c r="B17" s="12" t="s">
        <v>287</v>
      </c>
      <c r="C17" s="12" t="s">
        <v>222</v>
      </c>
      <c r="D17" s="12" t="s">
        <v>223</v>
      </c>
      <c r="E17" s="12" t="s">
        <v>224</v>
      </c>
      <c r="F17" s="12" t="s">
        <v>225</v>
      </c>
      <c r="G17" s="5" t="s">
        <v>226</v>
      </c>
      <c r="H17" s="12">
        <f t="shared" si="1"/>
        <v>436.8</v>
      </c>
      <c r="I17" s="12" t="s">
        <v>1150</v>
      </c>
      <c r="J17" s="12" t="s">
        <v>1150</v>
      </c>
      <c r="K17" s="12">
        <f t="shared" si="3"/>
        <v>62.400000000000006</v>
      </c>
      <c r="L17" s="12">
        <f t="shared" si="2"/>
        <v>51.03</v>
      </c>
      <c r="M17" s="12">
        <v>1092</v>
      </c>
      <c r="N17" s="12">
        <v>156</v>
      </c>
      <c r="O17" s="12">
        <v>127.57499999999999</v>
      </c>
      <c r="P17" s="12"/>
      <c r="Q17" s="12"/>
      <c r="R17" s="12"/>
      <c r="S17" s="12"/>
      <c r="T17" s="12"/>
      <c r="U17" s="12"/>
      <c r="V17" s="12"/>
      <c r="W17" s="12"/>
      <c r="X17" s="27" t="s">
        <v>210</v>
      </c>
      <c r="Y17" s="27" t="s">
        <v>211</v>
      </c>
      <c r="Z17" s="27" t="s">
        <v>212</v>
      </c>
      <c r="AA17" s="27" t="s">
        <v>213</v>
      </c>
      <c r="AB17" s="27" t="s">
        <v>214</v>
      </c>
      <c r="AC17" s="28" t="s">
        <v>215</v>
      </c>
      <c r="AD17" s="27" t="s">
        <v>216</v>
      </c>
      <c r="AE17" s="27" t="s">
        <v>13</v>
      </c>
      <c r="AF17" s="27" t="s">
        <v>12</v>
      </c>
      <c r="AG17" s="27" t="s">
        <v>219</v>
      </c>
      <c r="AH17" s="27" t="s">
        <v>220</v>
      </c>
      <c r="AI17" s="27" t="s">
        <v>212</v>
      </c>
      <c r="AJ17" s="27" t="s">
        <v>221</v>
      </c>
      <c r="AK17" s="28" t="s">
        <v>1159</v>
      </c>
      <c r="AL17" s="27" t="s">
        <v>1160</v>
      </c>
      <c r="AM17" s="27" t="s">
        <v>19</v>
      </c>
      <c r="AN17" s="27" t="s">
        <v>218</v>
      </c>
    </row>
    <row r="18" spans="1:40" ht="54">
      <c r="A18" s="12"/>
      <c r="B18" s="12" t="s">
        <v>288</v>
      </c>
      <c r="C18" s="12" t="s">
        <v>222</v>
      </c>
      <c r="D18" s="12" t="s">
        <v>223</v>
      </c>
      <c r="E18" s="12" t="s">
        <v>224</v>
      </c>
      <c r="F18" s="12" t="s">
        <v>225</v>
      </c>
      <c r="G18" s="5" t="s">
        <v>226</v>
      </c>
      <c r="H18" s="12">
        <f t="shared" si="1"/>
        <v>448</v>
      </c>
      <c r="I18" s="12" t="s">
        <v>1150</v>
      </c>
      <c r="J18" s="12" t="s">
        <v>1150</v>
      </c>
      <c r="K18" s="12">
        <f t="shared" si="3"/>
        <v>64</v>
      </c>
      <c r="L18" s="12">
        <f t="shared" si="2"/>
        <v>53.460000000000008</v>
      </c>
      <c r="M18" s="12">
        <v>1120</v>
      </c>
      <c r="N18" s="12">
        <v>160</v>
      </c>
      <c r="O18" s="12">
        <v>133.65</v>
      </c>
      <c r="P18" s="12"/>
      <c r="Q18" s="12"/>
      <c r="R18" s="12"/>
      <c r="S18" s="12"/>
      <c r="T18" s="12"/>
      <c r="U18" s="12"/>
      <c r="V18" s="12"/>
      <c r="W18" s="12"/>
      <c r="X18" s="12" t="s">
        <v>1161</v>
      </c>
      <c r="Y18" s="12" t="s">
        <v>222</v>
      </c>
      <c r="Z18" s="12" t="s">
        <v>223</v>
      </c>
      <c r="AA18" s="12" t="s">
        <v>224</v>
      </c>
      <c r="AB18" s="12" t="s">
        <v>225</v>
      </c>
      <c r="AC18" s="5" t="s">
        <v>226</v>
      </c>
      <c r="AD18" s="12" t="s">
        <v>1136</v>
      </c>
      <c r="AE18" s="12" t="s">
        <v>1182</v>
      </c>
      <c r="AF18" s="12" t="s">
        <v>1182</v>
      </c>
      <c r="AG18" s="12"/>
      <c r="AH18" s="12"/>
      <c r="AI18" s="12"/>
      <c r="AJ18" s="12"/>
      <c r="AK18" s="5"/>
      <c r="AL18" s="12"/>
      <c r="AM18" s="12"/>
      <c r="AN18" s="12"/>
    </row>
    <row r="19" spans="1:40" ht="54">
      <c r="B19" s="12" t="s">
        <v>289</v>
      </c>
      <c r="C19" s="12" t="s">
        <v>222</v>
      </c>
      <c r="D19" s="12" t="s">
        <v>223</v>
      </c>
      <c r="E19" s="12" t="s">
        <v>224</v>
      </c>
      <c r="F19" s="12" t="s">
        <v>225</v>
      </c>
      <c r="G19" s="5" t="s">
        <v>226</v>
      </c>
      <c r="H19" s="12">
        <f t="shared" si="1"/>
        <v>459.20000000000005</v>
      </c>
      <c r="I19" s="12" t="s">
        <v>1150</v>
      </c>
      <c r="J19" s="12" t="s">
        <v>1150</v>
      </c>
      <c r="K19" s="12">
        <f t="shared" si="3"/>
        <v>65.600000000000009</v>
      </c>
      <c r="L19" s="12">
        <f t="shared" si="2"/>
        <v>55.89</v>
      </c>
      <c r="M19" s="12">
        <v>1148</v>
      </c>
      <c r="N19" s="12">
        <v>164</v>
      </c>
      <c r="O19" s="12">
        <v>139.72499999999999</v>
      </c>
      <c r="P19" s="12"/>
      <c r="Q19" s="12"/>
      <c r="R19" s="12"/>
      <c r="S19" s="12"/>
      <c r="T19" s="12"/>
      <c r="U19" s="12"/>
      <c r="V19" s="12"/>
      <c r="W19" s="12"/>
      <c r="X19" s="12" t="s">
        <v>1162</v>
      </c>
      <c r="Y19" s="12" t="s">
        <v>227</v>
      </c>
      <c r="Z19" s="12" t="s">
        <v>228</v>
      </c>
      <c r="AA19" s="12" t="s">
        <v>224</v>
      </c>
      <c r="AB19" s="12" t="s">
        <v>225</v>
      </c>
      <c r="AC19" s="5" t="s">
        <v>229</v>
      </c>
      <c r="AD19" s="12" t="s">
        <v>230</v>
      </c>
      <c r="AE19" s="12" t="s">
        <v>1183</v>
      </c>
      <c r="AF19" s="12" t="s">
        <v>1184</v>
      </c>
      <c r="AG19" s="12"/>
      <c r="AH19" s="12"/>
      <c r="AI19" s="12"/>
      <c r="AJ19" s="12"/>
      <c r="AK19" s="5"/>
      <c r="AL19" s="12"/>
      <c r="AM19" s="12"/>
      <c r="AN19" s="12"/>
    </row>
    <row r="20" spans="1:40" ht="27">
      <c r="B20" s="12" t="s">
        <v>290</v>
      </c>
      <c r="C20" s="12" t="s">
        <v>222</v>
      </c>
      <c r="D20" s="12" t="s">
        <v>223</v>
      </c>
      <c r="E20" s="12" t="s">
        <v>224</v>
      </c>
      <c r="F20" s="12" t="s">
        <v>225</v>
      </c>
      <c r="G20" s="5" t="s">
        <v>226</v>
      </c>
      <c r="H20" s="12">
        <f t="shared" si="1"/>
        <v>470.40000000000003</v>
      </c>
      <c r="I20" s="12" t="s">
        <v>1150</v>
      </c>
      <c r="J20" s="12" t="s">
        <v>1150</v>
      </c>
      <c r="K20" s="12">
        <f t="shared" si="3"/>
        <v>67.2</v>
      </c>
      <c r="L20" s="12">
        <f t="shared" si="2"/>
        <v>58.319999999999993</v>
      </c>
      <c r="M20" s="12">
        <v>1176</v>
      </c>
      <c r="N20" s="12">
        <v>168</v>
      </c>
      <c r="O20" s="12">
        <v>145.79999999999998</v>
      </c>
      <c r="P20" s="12"/>
      <c r="Q20" s="12"/>
      <c r="R20" s="12"/>
      <c r="S20" s="12"/>
      <c r="T20" s="12"/>
      <c r="U20" s="12"/>
      <c r="V20" s="12"/>
      <c r="W20" s="12"/>
      <c r="X20" s="26" t="s">
        <v>1163</v>
      </c>
      <c r="Y20" s="12" t="s">
        <v>228</v>
      </c>
      <c r="Z20" s="12" t="s">
        <v>228</v>
      </c>
      <c r="AA20" s="12" t="s">
        <v>231</v>
      </c>
      <c r="AB20" s="12" t="s">
        <v>225</v>
      </c>
      <c r="AC20" s="5" t="s">
        <v>224</v>
      </c>
      <c r="AD20" s="12" t="s">
        <v>1136</v>
      </c>
      <c r="AE20" s="12" t="s">
        <v>1185</v>
      </c>
      <c r="AF20" s="12" t="s">
        <v>232</v>
      </c>
      <c r="AG20" s="12" t="s">
        <v>233</v>
      </c>
      <c r="AH20" s="12" t="s">
        <v>234</v>
      </c>
      <c r="AI20" s="12" t="s">
        <v>235</v>
      </c>
      <c r="AJ20" s="12">
        <v>48</v>
      </c>
      <c r="AK20" s="5"/>
      <c r="AL20" s="12"/>
      <c r="AM20" s="12" t="s">
        <v>1136</v>
      </c>
      <c r="AN20" s="12" t="s">
        <v>1136</v>
      </c>
    </row>
    <row r="21" spans="1:40" ht="54">
      <c r="B21" s="12" t="s">
        <v>291</v>
      </c>
      <c r="C21" s="12" t="s">
        <v>222</v>
      </c>
      <c r="D21" s="12" t="s">
        <v>223</v>
      </c>
      <c r="E21" s="12" t="s">
        <v>224</v>
      </c>
      <c r="F21" s="12" t="s">
        <v>225</v>
      </c>
      <c r="G21" s="5" t="s">
        <v>226</v>
      </c>
      <c r="H21" s="12">
        <f t="shared" si="1"/>
        <v>481.6</v>
      </c>
      <c r="I21" s="12" t="s">
        <v>1150</v>
      </c>
      <c r="J21" s="12" t="s">
        <v>1150</v>
      </c>
      <c r="K21" s="12">
        <f t="shared" si="3"/>
        <v>68.8</v>
      </c>
      <c r="L21" s="12">
        <f t="shared" si="2"/>
        <v>60.75</v>
      </c>
      <c r="M21" s="12">
        <v>1204</v>
      </c>
      <c r="N21" s="12">
        <v>172</v>
      </c>
      <c r="O21" s="12">
        <v>151.875</v>
      </c>
      <c r="P21" s="12"/>
      <c r="Q21" s="12"/>
      <c r="R21" s="12"/>
      <c r="S21" s="12"/>
      <c r="T21" s="12"/>
      <c r="U21" s="12"/>
      <c r="V21" s="12"/>
      <c r="W21" s="12"/>
      <c r="X21" s="12" t="s">
        <v>1164</v>
      </c>
      <c r="Y21" s="12" t="s">
        <v>228</v>
      </c>
      <c r="Z21" s="12" t="s">
        <v>228</v>
      </c>
      <c r="AA21" s="12" t="s">
        <v>236</v>
      </c>
      <c r="AB21" s="12" t="s">
        <v>225</v>
      </c>
      <c r="AC21" s="5" t="s">
        <v>237</v>
      </c>
      <c r="AD21" s="12" t="s">
        <v>1137</v>
      </c>
      <c r="AE21" s="12" t="s">
        <v>1186</v>
      </c>
      <c r="AF21" s="12" t="s">
        <v>238</v>
      </c>
      <c r="AG21" s="12" t="s">
        <v>233</v>
      </c>
      <c r="AH21" s="12" t="s">
        <v>234</v>
      </c>
      <c r="AI21" s="12" t="s">
        <v>235</v>
      </c>
      <c r="AJ21" s="12">
        <v>48</v>
      </c>
      <c r="AK21" s="5"/>
      <c r="AL21" s="12"/>
      <c r="AM21" s="12" t="s">
        <v>1137</v>
      </c>
      <c r="AN21" s="12" t="s">
        <v>1137</v>
      </c>
    </row>
    <row r="22" spans="1:40" ht="27">
      <c r="B22" s="12" t="s">
        <v>292</v>
      </c>
      <c r="C22" s="12" t="s">
        <v>222</v>
      </c>
      <c r="D22" s="12" t="s">
        <v>223</v>
      </c>
      <c r="E22" s="12" t="s">
        <v>224</v>
      </c>
      <c r="F22" s="12" t="s">
        <v>225</v>
      </c>
      <c r="G22" s="5" t="s">
        <v>226</v>
      </c>
      <c r="H22" s="12">
        <f t="shared" si="1"/>
        <v>492.8</v>
      </c>
      <c r="I22" s="12" t="s">
        <v>1150</v>
      </c>
      <c r="J22" s="12" t="s">
        <v>1150</v>
      </c>
      <c r="K22" s="12">
        <f t="shared" si="3"/>
        <v>70.400000000000006</v>
      </c>
      <c r="L22" s="12">
        <f t="shared" si="2"/>
        <v>63.18</v>
      </c>
      <c r="M22" s="12">
        <v>1232</v>
      </c>
      <c r="N22" s="12">
        <v>176</v>
      </c>
      <c r="O22" s="12">
        <v>157.94999999999999</v>
      </c>
      <c r="P22" s="12"/>
      <c r="Q22" s="12"/>
      <c r="R22" s="12"/>
      <c r="S22" s="12"/>
      <c r="T22" s="12"/>
      <c r="U22" s="12"/>
      <c r="V22" s="12"/>
      <c r="W22" s="12"/>
      <c r="X22" s="12" t="s">
        <v>1165</v>
      </c>
      <c r="Y22" s="12" t="s">
        <v>227</v>
      </c>
      <c r="Z22" s="12" t="s">
        <v>235</v>
      </c>
      <c r="AA22" s="12" t="s">
        <v>239</v>
      </c>
      <c r="AB22" s="12" t="s">
        <v>225</v>
      </c>
      <c r="AC22" s="5" t="s">
        <v>240</v>
      </c>
      <c r="AD22" s="12" t="s">
        <v>1138</v>
      </c>
      <c r="AE22" s="12" t="s">
        <v>1186</v>
      </c>
      <c r="AF22" s="12" t="s">
        <v>238</v>
      </c>
      <c r="AG22" s="12" t="s">
        <v>233</v>
      </c>
      <c r="AH22" s="12" t="s">
        <v>234</v>
      </c>
      <c r="AI22" s="12" t="s">
        <v>235</v>
      </c>
      <c r="AJ22" s="12">
        <v>48</v>
      </c>
      <c r="AK22" s="5"/>
      <c r="AL22" s="12"/>
      <c r="AM22" s="12" t="s">
        <v>1137</v>
      </c>
      <c r="AN22" s="12" t="s">
        <v>1137</v>
      </c>
    </row>
    <row r="23" spans="1:40" ht="27">
      <c r="B23" s="12" t="s">
        <v>293</v>
      </c>
      <c r="C23" s="12" t="s">
        <v>222</v>
      </c>
      <c r="D23" s="12" t="s">
        <v>223</v>
      </c>
      <c r="E23" s="12" t="s">
        <v>224</v>
      </c>
      <c r="F23" s="12" t="s">
        <v>225</v>
      </c>
      <c r="G23" s="5" t="s">
        <v>226</v>
      </c>
      <c r="H23" s="12">
        <f t="shared" si="1"/>
        <v>504</v>
      </c>
      <c r="I23" s="12" t="s">
        <v>1150</v>
      </c>
      <c r="J23" s="12" t="s">
        <v>1150</v>
      </c>
      <c r="K23" s="12">
        <f t="shared" si="3"/>
        <v>72</v>
      </c>
      <c r="L23" s="12">
        <f t="shared" si="2"/>
        <v>65.61</v>
      </c>
      <c r="M23" s="12">
        <v>1260</v>
      </c>
      <c r="N23" s="12">
        <v>180</v>
      </c>
      <c r="O23" s="12">
        <v>164.02500000000001</v>
      </c>
      <c r="P23" s="12"/>
      <c r="Q23" s="12"/>
      <c r="R23" s="12"/>
      <c r="S23" s="12"/>
      <c r="T23" s="12"/>
      <c r="U23" s="12"/>
      <c r="V23" s="12"/>
      <c r="W23" s="12"/>
      <c r="X23" s="26" t="s">
        <v>1166</v>
      </c>
      <c r="Y23" s="12" t="s">
        <v>228</v>
      </c>
      <c r="Z23" s="12" t="s">
        <v>228</v>
      </c>
      <c r="AA23" s="12" t="s">
        <v>241</v>
      </c>
      <c r="AB23" s="12" t="s">
        <v>242</v>
      </c>
      <c r="AC23" s="5" t="s">
        <v>224</v>
      </c>
      <c r="AD23" s="12" t="s">
        <v>228</v>
      </c>
      <c r="AE23" s="12" t="s">
        <v>1184</v>
      </c>
      <c r="AF23" s="12" t="s">
        <v>228</v>
      </c>
      <c r="AG23" s="12" t="s">
        <v>243</v>
      </c>
      <c r="AH23" s="12" t="s">
        <v>234</v>
      </c>
      <c r="AI23" s="12" t="s">
        <v>228</v>
      </c>
      <c r="AJ23" s="12">
        <v>48</v>
      </c>
      <c r="AK23" s="5"/>
      <c r="AL23" s="12"/>
      <c r="AM23" s="12" t="s">
        <v>228</v>
      </c>
      <c r="AN23" s="12" t="s">
        <v>228</v>
      </c>
    </row>
    <row r="24" spans="1:40" ht="27">
      <c r="B24" s="12" t="s">
        <v>294</v>
      </c>
      <c r="C24" s="12" t="s">
        <v>222</v>
      </c>
      <c r="D24" s="12" t="s">
        <v>223</v>
      </c>
      <c r="E24" s="12" t="s">
        <v>224</v>
      </c>
      <c r="F24" s="12" t="s">
        <v>225</v>
      </c>
      <c r="G24" s="5" t="s">
        <v>226</v>
      </c>
      <c r="H24" s="12">
        <f t="shared" si="1"/>
        <v>515.20000000000005</v>
      </c>
      <c r="I24" s="12" t="s">
        <v>1150</v>
      </c>
      <c r="J24" s="12" t="s">
        <v>1150</v>
      </c>
      <c r="K24" s="12">
        <f t="shared" si="3"/>
        <v>73.600000000000009</v>
      </c>
      <c r="L24" s="12">
        <f t="shared" si="2"/>
        <v>68.040000000000006</v>
      </c>
      <c r="M24" s="12">
        <v>1288</v>
      </c>
      <c r="N24" s="12">
        <v>184</v>
      </c>
      <c r="O24" s="12">
        <v>170.1</v>
      </c>
      <c r="P24" s="12"/>
      <c r="Q24" s="12"/>
      <c r="R24" s="12"/>
      <c r="S24" s="12"/>
      <c r="T24" s="12"/>
      <c r="U24" s="12"/>
      <c r="V24" s="12"/>
      <c r="W24" s="12"/>
      <c r="X24" s="12" t="s">
        <v>1167</v>
      </c>
      <c r="Y24" s="12" t="s">
        <v>228</v>
      </c>
      <c r="Z24" s="12" t="s">
        <v>228</v>
      </c>
      <c r="AA24" s="12" t="s">
        <v>244</v>
      </c>
      <c r="AB24" s="12" t="s">
        <v>242</v>
      </c>
      <c r="AC24" s="5" t="s">
        <v>224</v>
      </c>
      <c r="AD24" s="12" t="s">
        <v>245</v>
      </c>
      <c r="AE24" s="12" t="s">
        <v>1187</v>
      </c>
      <c r="AF24" s="12" t="s">
        <v>245</v>
      </c>
      <c r="AG24" s="12" t="s">
        <v>246</v>
      </c>
      <c r="AH24" s="12" t="s">
        <v>234</v>
      </c>
      <c r="AI24" s="12" t="s">
        <v>228</v>
      </c>
      <c r="AJ24" s="12">
        <v>48</v>
      </c>
      <c r="AK24" s="5"/>
      <c r="AL24" s="12"/>
      <c r="AM24" s="12" t="s">
        <v>245</v>
      </c>
      <c r="AN24" s="12" t="s">
        <v>245</v>
      </c>
    </row>
    <row r="25" spans="1:40" ht="27">
      <c r="B25" s="12" t="s">
        <v>295</v>
      </c>
      <c r="C25" s="12" t="s">
        <v>222</v>
      </c>
      <c r="D25" s="12" t="s">
        <v>223</v>
      </c>
      <c r="E25" s="12" t="s">
        <v>224</v>
      </c>
      <c r="F25" s="12" t="s">
        <v>225</v>
      </c>
      <c r="G25" s="5" t="s">
        <v>226</v>
      </c>
      <c r="H25" s="12">
        <f t="shared" si="1"/>
        <v>526.4</v>
      </c>
      <c r="I25" s="12" t="s">
        <v>1150</v>
      </c>
      <c r="J25" s="12" t="s">
        <v>1150</v>
      </c>
      <c r="K25" s="12">
        <f t="shared" si="3"/>
        <v>75.2</v>
      </c>
      <c r="L25" s="12">
        <f t="shared" si="2"/>
        <v>70.47</v>
      </c>
      <c r="M25" s="12">
        <v>1316</v>
      </c>
      <c r="N25" s="12">
        <v>188</v>
      </c>
      <c r="O25" s="12">
        <v>176.17499999999998</v>
      </c>
      <c r="P25" s="12"/>
      <c r="Q25" s="12"/>
      <c r="R25" s="12"/>
      <c r="S25" s="12"/>
      <c r="T25" s="12"/>
      <c r="U25" s="12"/>
      <c r="V25" s="12"/>
      <c r="W25" s="12"/>
      <c r="X25" s="12" t="s">
        <v>1168</v>
      </c>
      <c r="Y25" s="12" t="s">
        <v>228</v>
      </c>
      <c r="Z25" s="12" t="s">
        <v>228</v>
      </c>
      <c r="AA25" s="12" t="s">
        <v>247</v>
      </c>
      <c r="AB25" s="12" t="s">
        <v>242</v>
      </c>
      <c r="AC25" s="5" t="s">
        <v>240</v>
      </c>
      <c r="AD25" s="12" t="s">
        <v>1141</v>
      </c>
      <c r="AE25" s="12" t="s">
        <v>1186</v>
      </c>
      <c r="AF25" s="12" t="s">
        <v>245</v>
      </c>
      <c r="AG25" s="12" t="s">
        <v>243</v>
      </c>
      <c r="AH25" s="12" t="s">
        <v>234</v>
      </c>
      <c r="AI25" s="12" t="s">
        <v>228</v>
      </c>
      <c r="AJ25" s="12">
        <v>48</v>
      </c>
      <c r="AK25" s="5"/>
      <c r="AL25" s="12"/>
      <c r="AM25" s="12" t="s">
        <v>245</v>
      </c>
      <c r="AN25" s="12" t="s">
        <v>245</v>
      </c>
    </row>
    <row r="26" spans="1:40" ht="54">
      <c r="B26" s="12" t="s">
        <v>296</v>
      </c>
      <c r="C26" s="12" t="s">
        <v>222</v>
      </c>
      <c r="D26" s="12" t="s">
        <v>223</v>
      </c>
      <c r="E26" s="12" t="s">
        <v>224</v>
      </c>
      <c r="F26" s="12" t="s">
        <v>225</v>
      </c>
      <c r="G26" s="5" t="s">
        <v>226</v>
      </c>
      <c r="H26" s="12">
        <f t="shared" si="1"/>
        <v>537.6</v>
      </c>
      <c r="I26" s="12" t="s">
        <v>1150</v>
      </c>
      <c r="J26" s="12" t="s">
        <v>1150</v>
      </c>
      <c r="K26" s="12">
        <f t="shared" si="3"/>
        <v>76.800000000000011</v>
      </c>
      <c r="L26" s="12">
        <f t="shared" si="2"/>
        <v>72.900000000000006</v>
      </c>
      <c r="M26" s="12">
        <v>1344</v>
      </c>
      <c r="N26" s="12">
        <v>192</v>
      </c>
      <c r="O26" s="12">
        <v>182.25</v>
      </c>
      <c r="P26" s="12"/>
      <c r="Q26" s="12"/>
      <c r="R26" s="12"/>
      <c r="S26" s="12"/>
      <c r="T26" s="12"/>
      <c r="U26" s="12"/>
      <c r="V26" s="12"/>
      <c r="W26" s="12"/>
      <c r="X26" s="26" t="s">
        <v>1169</v>
      </c>
      <c r="Y26" s="12" t="s">
        <v>228</v>
      </c>
      <c r="Z26" s="12" t="s">
        <v>228</v>
      </c>
      <c r="AA26" s="12" t="s">
        <v>248</v>
      </c>
      <c r="AB26" s="12" t="s">
        <v>249</v>
      </c>
      <c r="AC26" s="5" t="s">
        <v>250</v>
      </c>
      <c r="AD26" s="12" t="s">
        <v>230</v>
      </c>
      <c r="AE26" s="12" t="s">
        <v>1188</v>
      </c>
      <c r="AF26" s="12" t="s">
        <v>230</v>
      </c>
      <c r="AG26" s="12" t="s">
        <v>251</v>
      </c>
      <c r="AH26" s="12" t="s">
        <v>234</v>
      </c>
      <c r="AI26" s="12" t="s">
        <v>235</v>
      </c>
      <c r="AJ26" s="12">
        <v>48</v>
      </c>
      <c r="AK26" s="5"/>
      <c r="AL26" s="12"/>
      <c r="AM26" s="12" t="s">
        <v>230</v>
      </c>
      <c r="AN26" s="12" t="s">
        <v>230</v>
      </c>
    </row>
    <row r="27" spans="1:40" ht="67.5">
      <c r="B27" s="12" t="s">
        <v>297</v>
      </c>
      <c r="C27" s="12" t="s">
        <v>222</v>
      </c>
      <c r="D27" s="12" t="s">
        <v>223</v>
      </c>
      <c r="E27" s="12" t="s">
        <v>224</v>
      </c>
      <c r="F27" s="12" t="s">
        <v>225</v>
      </c>
      <c r="G27" s="5" t="s">
        <v>226</v>
      </c>
      <c r="H27" s="12">
        <f t="shared" si="1"/>
        <v>548.80000000000007</v>
      </c>
      <c r="I27" s="12" t="s">
        <v>1150</v>
      </c>
      <c r="J27" s="12" t="s">
        <v>1150</v>
      </c>
      <c r="K27" s="12">
        <f t="shared" si="3"/>
        <v>78.400000000000006</v>
      </c>
      <c r="L27" s="12">
        <f t="shared" si="2"/>
        <v>75.33</v>
      </c>
      <c r="M27" s="12">
        <v>1372</v>
      </c>
      <c r="N27" s="12">
        <v>196</v>
      </c>
      <c r="O27" s="12">
        <v>188.32499999999999</v>
      </c>
      <c r="P27" s="12"/>
      <c r="Q27" s="12"/>
      <c r="R27" s="12"/>
      <c r="S27" s="12"/>
      <c r="T27" s="12"/>
      <c r="U27" s="12"/>
      <c r="V27" s="12"/>
      <c r="W27" s="12"/>
      <c r="X27" s="12" t="s">
        <v>1170</v>
      </c>
      <c r="Y27" s="12" t="s">
        <v>227</v>
      </c>
      <c r="Z27" s="12" t="s">
        <v>235</v>
      </c>
      <c r="AA27" s="12" t="s">
        <v>252</v>
      </c>
      <c r="AB27" s="12" t="s">
        <v>253</v>
      </c>
      <c r="AC27" s="5" t="s">
        <v>254</v>
      </c>
      <c r="AD27" s="12" t="s">
        <v>1181</v>
      </c>
      <c r="AE27" s="12" t="s">
        <v>1188</v>
      </c>
      <c r="AF27" s="12" t="s">
        <v>1181</v>
      </c>
      <c r="AG27" s="12"/>
      <c r="AH27" s="12"/>
      <c r="AI27" s="12"/>
      <c r="AJ27" s="12"/>
      <c r="AK27" s="5"/>
      <c r="AL27" s="12"/>
      <c r="AM27" s="12"/>
      <c r="AN27" s="12"/>
    </row>
    <row r="28" spans="1:40" ht="40.5">
      <c r="B28" s="12" t="s">
        <v>298</v>
      </c>
      <c r="C28" s="12" t="s">
        <v>222</v>
      </c>
      <c r="D28" s="12" t="s">
        <v>223</v>
      </c>
      <c r="E28" s="12" t="s">
        <v>224</v>
      </c>
      <c r="F28" s="12" t="s">
        <v>225</v>
      </c>
      <c r="G28" s="5" t="s">
        <v>226</v>
      </c>
      <c r="H28" s="12">
        <f t="shared" si="1"/>
        <v>560</v>
      </c>
      <c r="I28" s="12" t="s">
        <v>1150</v>
      </c>
      <c r="J28" s="12" t="s">
        <v>1150</v>
      </c>
      <c r="K28" s="12">
        <f t="shared" si="3"/>
        <v>80</v>
      </c>
      <c r="L28" s="12">
        <f t="shared" si="2"/>
        <v>77.759999999999991</v>
      </c>
      <c r="M28" s="12">
        <v>1400</v>
      </c>
      <c r="N28" s="12">
        <v>200</v>
      </c>
      <c r="O28" s="12">
        <v>194.39999999999998</v>
      </c>
      <c r="P28" s="12"/>
      <c r="Q28" s="12"/>
      <c r="R28" s="12"/>
      <c r="S28" s="12"/>
      <c r="T28" s="12"/>
      <c r="U28" s="12"/>
      <c r="V28" s="12"/>
      <c r="W28" s="12"/>
      <c r="X28" s="12" t="s">
        <v>1171</v>
      </c>
      <c r="Y28" s="12" t="s">
        <v>228</v>
      </c>
      <c r="Z28" s="12" t="s">
        <v>235</v>
      </c>
      <c r="AA28" s="12" t="s">
        <v>224</v>
      </c>
      <c r="AB28" s="12" t="s">
        <v>255</v>
      </c>
      <c r="AC28" s="5" t="s">
        <v>256</v>
      </c>
      <c r="AD28" s="12" t="s">
        <v>1141</v>
      </c>
      <c r="AE28" s="12" t="s">
        <v>1186</v>
      </c>
      <c r="AF28" s="12" t="s">
        <v>230</v>
      </c>
      <c r="AG28" s="12" t="s">
        <v>1142</v>
      </c>
      <c r="AH28" s="12" t="s">
        <v>234</v>
      </c>
      <c r="AI28" s="12" t="s">
        <v>223</v>
      </c>
      <c r="AJ28" s="12">
        <v>48</v>
      </c>
      <c r="AK28" s="5"/>
      <c r="AL28" s="12"/>
      <c r="AM28" s="12" t="s">
        <v>228</v>
      </c>
      <c r="AN28" s="12" t="s">
        <v>228</v>
      </c>
    </row>
    <row r="29" spans="1:40" ht="40.5">
      <c r="B29" s="12" t="s">
        <v>299</v>
      </c>
      <c r="C29" s="12" t="s">
        <v>222</v>
      </c>
      <c r="D29" s="12" t="s">
        <v>223</v>
      </c>
      <c r="E29" s="12" t="s">
        <v>224</v>
      </c>
      <c r="F29" s="12" t="s">
        <v>225</v>
      </c>
      <c r="G29" s="5" t="s">
        <v>226</v>
      </c>
      <c r="H29" s="12">
        <f t="shared" si="1"/>
        <v>571.20000000000005</v>
      </c>
      <c r="I29" s="12" t="s">
        <v>1150</v>
      </c>
      <c r="J29" s="12" t="s">
        <v>1150</v>
      </c>
      <c r="K29" s="12">
        <f t="shared" si="3"/>
        <v>81.600000000000009</v>
      </c>
      <c r="L29" s="12">
        <f t="shared" si="2"/>
        <v>80.19</v>
      </c>
      <c r="M29" s="12">
        <v>1428</v>
      </c>
      <c r="N29" s="12">
        <v>204</v>
      </c>
      <c r="O29" s="12">
        <v>200.47499999999999</v>
      </c>
      <c r="P29" s="12"/>
      <c r="Q29" s="12"/>
      <c r="R29" s="12"/>
      <c r="S29" s="12"/>
      <c r="T29" s="12"/>
      <c r="U29" s="12"/>
      <c r="V29" s="12"/>
      <c r="W29" s="12"/>
      <c r="X29" s="12" t="s">
        <v>1172</v>
      </c>
      <c r="Y29" s="12" t="s">
        <v>228</v>
      </c>
      <c r="Z29" s="12" t="s">
        <v>228</v>
      </c>
      <c r="AA29" s="12" t="s">
        <v>224</v>
      </c>
      <c r="AB29" s="12" t="s">
        <v>257</v>
      </c>
      <c r="AC29" s="5" t="s">
        <v>258</v>
      </c>
      <c r="AD29" s="12" t="s">
        <v>230</v>
      </c>
      <c r="AE29" s="12" t="s">
        <v>1188</v>
      </c>
      <c r="AF29" s="12" t="s">
        <v>224</v>
      </c>
      <c r="AG29" s="12" t="s">
        <v>1173</v>
      </c>
      <c r="AH29" s="12" t="s">
        <v>234</v>
      </c>
      <c r="AI29" s="12" t="s">
        <v>235</v>
      </c>
      <c r="AJ29" s="12">
        <v>48</v>
      </c>
      <c r="AK29" s="5"/>
      <c r="AL29" s="12"/>
      <c r="AM29" s="12" t="s">
        <v>230</v>
      </c>
      <c r="AN29" s="12" t="s">
        <v>230</v>
      </c>
    </row>
    <row r="30" spans="1:40" ht="40.5">
      <c r="B30" s="12" t="s">
        <v>300</v>
      </c>
      <c r="C30" s="12" t="s">
        <v>222</v>
      </c>
      <c r="D30" s="12" t="s">
        <v>223</v>
      </c>
      <c r="E30" s="12" t="s">
        <v>224</v>
      </c>
      <c r="F30" s="12" t="s">
        <v>225</v>
      </c>
      <c r="G30" s="5" t="s">
        <v>226</v>
      </c>
      <c r="H30" s="12">
        <f t="shared" si="1"/>
        <v>582.4</v>
      </c>
      <c r="I30" s="12" t="s">
        <v>1150</v>
      </c>
      <c r="J30" s="12" t="s">
        <v>1150</v>
      </c>
      <c r="K30" s="12">
        <f t="shared" si="3"/>
        <v>83.2</v>
      </c>
      <c r="L30" s="12">
        <f t="shared" si="2"/>
        <v>82.62</v>
      </c>
      <c r="M30" s="12">
        <v>1456</v>
      </c>
      <c r="N30" s="12">
        <v>208</v>
      </c>
      <c r="O30" s="12">
        <v>206.54999999999998</v>
      </c>
      <c r="P30" s="12"/>
      <c r="Q30" s="12"/>
      <c r="R30" s="12"/>
      <c r="S30" s="12"/>
      <c r="T30" s="12"/>
      <c r="U30" s="12"/>
      <c r="V30" s="12"/>
      <c r="W30" s="12"/>
      <c r="X30" s="12" t="s">
        <v>1174</v>
      </c>
      <c r="Y30" s="12" t="s">
        <v>228</v>
      </c>
      <c r="Z30" s="12" t="s">
        <v>259</v>
      </c>
      <c r="AA30" s="12" t="s">
        <v>224</v>
      </c>
      <c r="AB30" s="12" t="s">
        <v>260</v>
      </c>
      <c r="AC30" s="5" t="s">
        <v>1175</v>
      </c>
      <c r="AD30" s="12" t="s">
        <v>232</v>
      </c>
      <c r="AE30" s="12" t="s">
        <v>1185</v>
      </c>
      <c r="AF30" s="12" t="s">
        <v>238</v>
      </c>
      <c r="AG30" s="12" t="s">
        <v>261</v>
      </c>
      <c r="AH30" s="12" t="s">
        <v>234</v>
      </c>
      <c r="AI30" s="12" t="s">
        <v>228</v>
      </c>
      <c r="AJ30" s="12">
        <v>48</v>
      </c>
      <c r="AK30" s="5"/>
      <c r="AL30" s="12"/>
      <c r="AM30" s="12" t="s">
        <v>228</v>
      </c>
      <c r="AN30" s="12" t="s">
        <v>228</v>
      </c>
    </row>
    <row r="31" spans="1:40" ht="40.5">
      <c r="B31" s="12" t="s">
        <v>301</v>
      </c>
      <c r="C31" s="12" t="s">
        <v>222</v>
      </c>
      <c r="D31" s="12" t="s">
        <v>223</v>
      </c>
      <c r="E31" s="12" t="s">
        <v>224</v>
      </c>
      <c r="F31" s="12" t="s">
        <v>225</v>
      </c>
      <c r="G31" s="5" t="s">
        <v>226</v>
      </c>
      <c r="H31" s="12">
        <f t="shared" si="1"/>
        <v>880</v>
      </c>
      <c r="I31" s="12" t="s">
        <v>1150</v>
      </c>
      <c r="J31" s="12" t="s">
        <v>1150</v>
      </c>
      <c r="K31" s="12">
        <f t="shared" si="3"/>
        <v>132</v>
      </c>
      <c r="L31" s="12">
        <f t="shared" si="2"/>
        <v>109.35000000000001</v>
      </c>
      <c r="M31" s="12">
        <v>2200</v>
      </c>
      <c r="N31" s="12">
        <v>330</v>
      </c>
      <c r="O31" s="12">
        <v>273.375</v>
      </c>
      <c r="P31" s="12"/>
      <c r="Q31" s="12"/>
      <c r="R31" s="12"/>
      <c r="S31" s="12"/>
      <c r="T31" s="12"/>
      <c r="U31" s="12"/>
      <c r="V31" s="12"/>
      <c r="W31" s="12"/>
      <c r="X31" s="12" t="s">
        <v>1176</v>
      </c>
      <c r="Y31" s="12" t="s">
        <v>228</v>
      </c>
      <c r="Z31" s="12" t="s">
        <v>262</v>
      </c>
      <c r="AA31" s="12" t="s">
        <v>224</v>
      </c>
      <c r="AB31" s="12" t="s">
        <v>263</v>
      </c>
      <c r="AC31" s="5" t="s">
        <v>264</v>
      </c>
      <c r="AD31" s="12" t="s">
        <v>232</v>
      </c>
      <c r="AE31" s="12" t="s">
        <v>1183</v>
      </c>
      <c r="AF31" s="12" t="s">
        <v>228</v>
      </c>
      <c r="AG31" s="12" t="s">
        <v>261</v>
      </c>
      <c r="AH31" s="12"/>
      <c r="AI31" s="12"/>
      <c r="AJ31" s="12">
        <v>48</v>
      </c>
      <c r="AK31" s="5"/>
      <c r="AL31" s="12"/>
      <c r="AM31" s="12" t="s">
        <v>228</v>
      </c>
      <c r="AN31" s="12" t="s">
        <v>228</v>
      </c>
    </row>
    <row r="32" spans="1:40" ht="67.5">
      <c r="B32" s="12" t="s">
        <v>302</v>
      </c>
      <c r="C32" s="12" t="s">
        <v>222</v>
      </c>
      <c r="D32" s="12" t="s">
        <v>223</v>
      </c>
      <c r="E32" s="12" t="s">
        <v>224</v>
      </c>
      <c r="F32" s="12" t="s">
        <v>225</v>
      </c>
      <c r="G32" s="5" t="s">
        <v>226</v>
      </c>
      <c r="H32" s="12">
        <f t="shared" si="1"/>
        <v>896</v>
      </c>
      <c r="I32" s="12" t="s">
        <v>1150</v>
      </c>
      <c r="J32" s="12" t="s">
        <v>1150</v>
      </c>
      <c r="K32" s="12">
        <f t="shared" si="3"/>
        <v>134.4</v>
      </c>
      <c r="L32" s="12">
        <f t="shared" si="2"/>
        <v>112.58999999999999</v>
      </c>
      <c r="M32" s="12">
        <v>2240</v>
      </c>
      <c r="N32" s="12">
        <v>336</v>
      </c>
      <c r="O32" s="12">
        <v>281.47499999999997</v>
      </c>
      <c r="P32" s="12"/>
      <c r="Q32" s="12"/>
      <c r="R32" s="12"/>
      <c r="S32" s="12"/>
      <c r="T32" s="12"/>
      <c r="U32" s="12"/>
      <c r="V32" s="12"/>
      <c r="W32" s="12"/>
      <c r="X32" s="26" t="s">
        <v>1177</v>
      </c>
      <c r="Y32" s="12" t="s">
        <v>228</v>
      </c>
      <c r="Z32" s="12" t="s">
        <v>228</v>
      </c>
      <c r="AA32" s="12" t="s">
        <v>265</v>
      </c>
      <c r="AB32" s="12" t="s">
        <v>266</v>
      </c>
      <c r="AC32" s="5" t="s">
        <v>1178</v>
      </c>
      <c r="AD32" s="12" t="s">
        <v>232</v>
      </c>
      <c r="AE32" s="12" t="s">
        <v>1186</v>
      </c>
      <c r="AF32" s="12" t="s">
        <v>267</v>
      </c>
      <c r="AG32" s="12" t="s">
        <v>1142</v>
      </c>
      <c r="AH32" s="12" t="s">
        <v>234</v>
      </c>
      <c r="AI32" s="12" t="s">
        <v>228</v>
      </c>
      <c r="AJ32" s="12">
        <v>48</v>
      </c>
      <c r="AK32" s="5"/>
      <c r="AL32" s="12"/>
      <c r="AM32" s="12" t="s">
        <v>230</v>
      </c>
      <c r="AN32" s="12" t="s">
        <v>230</v>
      </c>
    </row>
    <row r="33" spans="2:40" ht="27">
      <c r="B33" s="12" t="s">
        <v>303</v>
      </c>
      <c r="C33" s="12" t="s">
        <v>222</v>
      </c>
      <c r="D33" s="12" t="s">
        <v>223</v>
      </c>
      <c r="E33" s="12" t="s">
        <v>224</v>
      </c>
      <c r="F33" s="12" t="s">
        <v>225</v>
      </c>
      <c r="G33" s="5" t="s">
        <v>226</v>
      </c>
      <c r="H33" s="12">
        <f t="shared" si="1"/>
        <v>912</v>
      </c>
      <c r="I33" s="12" t="s">
        <v>1150</v>
      </c>
      <c r="J33" s="12" t="s">
        <v>1150</v>
      </c>
      <c r="K33" s="12">
        <f t="shared" si="3"/>
        <v>136.80000000000001</v>
      </c>
      <c r="L33" s="12">
        <f t="shared" si="2"/>
        <v>115.83</v>
      </c>
      <c r="M33" s="12">
        <v>2280</v>
      </c>
      <c r="N33" s="12">
        <v>342</v>
      </c>
      <c r="O33" s="12">
        <v>289.57499999999999</v>
      </c>
      <c r="P33" s="12"/>
      <c r="Q33" s="12"/>
      <c r="R33" s="12"/>
      <c r="S33" s="12"/>
      <c r="T33" s="12"/>
      <c r="U33" s="12"/>
      <c r="V33" s="12"/>
      <c r="W33" s="12"/>
      <c r="X33" s="12" t="s">
        <v>1179</v>
      </c>
      <c r="Y33" s="12" t="s">
        <v>228</v>
      </c>
      <c r="Z33" s="12" t="s">
        <v>228</v>
      </c>
      <c r="AA33" s="12" t="s">
        <v>268</v>
      </c>
      <c r="AB33" s="12"/>
      <c r="AC33" s="5"/>
      <c r="AD33" s="12" t="s">
        <v>1182</v>
      </c>
      <c r="AE33" s="12" t="s">
        <v>1183</v>
      </c>
      <c r="AF33" s="12" t="s">
        <v>1188</v>
      </c>
      <c r="AG33" s="12"/>
      <c r="AH33" s="12"/>
      <c r="AI33" s="12"/>
      <c r="AJ33" s="12"/>
      <c r="AK33" s="12"/>
      <c r="AL33" s="12"/>
      <c r="AM33" s="12" t="s">
        <v>1183</v>
      </c>
      <c r="AN33" s="12" t="s">
        <v>1181</v>
      </c>
    </row>
    <row r="34" spans="2:40" ht="81">
      <c r="B34" s="12" t="s">
        <v>304</v>
      </c>
      <c r="C34" s="12" t="s">
        <v>222</v>
      </c>
      <c r="D34" s="12" t="s">
        <v>223</v>
      </c>
      <c r="E34" s="12" t="s">
        <v>224</v>
      </c>
      <c r="F34" s="12" t="s">
        <v>225</v>
      </c>
      <c r="G34" s="5" t="s">
        <v>226</v>
      </c>
      <c r="H34" s="12">
        <f t="shared" si="1"/>
        <v>928</v>
      </c>
      <c r="I34" s="12" t="s">
        <v>1150</v>
      </c>
      <c r="J34" s="12" t="s">
        <v>1150</v>
      </c>
      <c r="K34" s="12">
        <f t="shared" si="3"/>
        <v>139.20000000000002</v>
      </c>
      <c r="L34" s="12">
        <f t="shared" si="2"/>
        <v>119.07000000000001</v>
      </c>
      <c r="M34" s="12">
        <v>2320</v>
      </c>
      <c r="N34" s="12">
        <v>348</v>
      </c>
      <c r="O34" s="12">
        <v>297.67500000000001</v>
      </c>
      <c r="P34" s="12"/>
      <c r="Q34" s="12"/>
      <c r="R34" s="12"/>
      <c r="S34" s="12"/>
      <c r="T34" s="12"/>
      <c r="U34" s="12"/>
      <c r="V34" s="12"/>
      <c r="W34" s="12"/>
      <c r="X34" s="12" t="s">
        <v>1180</v>
      </c>
      <c r="Y34" s="12" t="s">
        <v>228</v>
      </c>
      <c r="Z34" s="12" t="s">
        <v>235</v>
      </c>
      <c r="AA34" s="12" t="s">
        <v>269</v>
      </c>
      <c r="AB34" s="12" t="s">
        <v>270</v>
      </c>
      <c r="AC34" s="5" t="s">
        <v>1144</v>
      </c>
      <c r="AD34" s="12" t="s">
        <v>228</v>
      </c>
      <c r="AE34" s="12" t="s">
        <v>1183</v>
      </c>
      <c r="AF34" s="12" t="s">
        <v>1145</v>
      </c>
      <c r="AG34" s="12" t="s">
        <v>1142</v>
      </c>
      <c r="AH34" s="12" t="s">
        <v>234</v>
      </c>
      <c r="AI34" s="12" t="s">
        <v>235</v>
      </c>
      <c r="AJ34" s="12">
        <v>48</v>
      </c>
      <c r="AK34" s="12"/>
      <c r="AL34" s="12"/>
      <c r="AM34" s="12" t="s">
        <v>230</v>
      </c>
      <c r="AN34" s="12" t="s">
        <v>230</v>
      </c>
    </row>
    <row r="35" spans="2:40" ht="27">
      <c r="B35" s="12" t="s">
        <v>305</v>
      </c>
      <c r="C35" s="12" t="s">
        <v>222</v>
      </c>
      <c r="D35" s="12" t="s">
        <v>223</v>
      </c>
      <c r="E35" s="12" t="s">
        <v>224</v>
      </c>
      <c r="F35" s="12" t="s">
        <v>225</v>
      </c>
      <c r="G35" s="5" t="s">
        <v>226</v>
      </c>
      <c r="H35" s="12">
        <f t="shared" si="1"/>
        <v>944</v>
      </c>
      <c r="I35" s="12" t="s">
        <v>1150</v>
      </c>
      <c r="J35" s="12" t="s">
        <v>1150</v>
      </c>
      <c r="K35" s="12">
        <f t="shared" si="3"/>
        <v>141.6</v>
      </c>
      <c r="L35" s="12">
        <f t="shared" si="2"/>
        <v>122.31</v>
      </c>
      <c r="M35" s="12">
        <v>2360</v>
      </c>
      <c r="N35" s="12">
        <v>354</v>
      </c>
      <c r="O35" s="12">
        <v>305.77499999999998</v>
      </c>
      <c r="P35" s="12"/>
      <c r="Q35" s="12"/>
      <c r="R35" s="12"/>
      <c r="S35" s="12"/>
      <c r="T35" s="12"/>
      <c r="U35" s="12"/>
      <c r="V35" s="12"/>
      <c r="W35" s="12"/>
    </row>
    <row r="36" spans="2:40" ht="27">
      <c r="B36" s="12" t="s">
        <v>306</v>
      </c>
      <c r="C36" s="12" t="s">
        <v>222</v>
      </c>
      <c r="D36" s="12" t="s">
        <v>223</v>
      </c>
      <c r="E36" s="12" t="s">
        <v>224</v>
      </c>
      <c r="F36" s="12" t="s">
        <v>225</v>
      </c>
      <c r="G36" s="5" t="s">
        <v>226</v>
      </c>
      <c r="H36" s="12">
        <f t="shared" si="1"/>
        <v>960</v>
      </c>
      <c r="I36" s="12" t="s">
        <v>1150</v>
      </c>
      <c r="J36" s="12" t="s">
        <v>1150</v>
      </c>
      <c r="K36" s="12">
        <f t="shared" si="3"/>
        <v>144</v>
      </c>
      <c r="L36" s="12">
        <f t="shared" si="2"/>
        <v>125.55000000000001</v>
      </c>
      <c r="M36" s="12">
        <v>2400</v>
      </c>
      <c r="N36" s="12">
        <v>360</v>
      </c>
      <c r="O36" s="12">
        <v>313.875</v>
      </c>
      <c r="P36" s="12"/>
      <c r="Q36" s="12"/>
      <c r="R36" s="12"/>
      <c r="S36" s="12"/>
      <c r="T36" s="12"/>
      <c r="U36" s="12"/>
      <c r="V36" s="12"/>
      <c r="W36" s="12"/>
    </row>
    <row r="37" spans="2:40" ht="27">
      <c r="B37" s="12" t="s">
        <v>307</v>
      </c>
      <c r="C37" s="12" t="s">
        <v>222</v>
      </c>
      <c r="D37" s="12" t="s">
        <v>223</v>
      </c>
      <c r="E37" s="12" t="s">
        <v>224</v>
      </c>
      <c r="F37" s="12" t="s">
        <v>225</v>
      </c>
      <c r="G37" s="5" t="s">
        <v>226</v>
      </c>
      <c r="H37" s="12">
        <f t="shared" si="1"/>
        <v>976</v>
      </c>
      <c r="I37" s="12" t="s">
        <v>1150</v>
      </c>
      <c r="J37" s="12" t="s">
        <v>1150</v>
      </c>
      <c r="K37" s="12">
        <f t="shared" si="3"/>
        <v>146.4</v>
      </c>
      <c r="L37" s="12">
        <f t="shared" si="2"/>
        <v>128.79</v>
      </c>
      <c r="M37" s="12">
        <v>2440</v>
      </c>
      <c r="N37" s="12">
        <v>366</v>
      </c>
      <c r="O37" s="12">
        <v>321.97499999999997</v>
      </c>
      <c r="P37" s="12"/>
      <c r="Q37" s="12"/>
      <c r="R37" s="12"/>
      <c r="S37" s="12"/>
      <c r="T37" s="12"/>
      <c r="U37" s="12"/>
      <c r="V37" s="12"/>
      <c r="W37" s="12"/>
    </row>
    <row r="38" spans="2:40" ht="27">
      <c r="B38" s="12" t="s">
        <v>308</v>
      </c>
      <c r="C38" s="12" t="s">
        <v>222</v>
      </c>
      <c r="D38" s="12" t="s">
        <v>223</v>
      </c>
      <c r="E38" s="12" t="s">
        <v>224</v>
      </c>
      <c r="F38" s="12" t="s">
        <v>225</v>
      </c>
      <c r="G38" s="5" t="s">
        <v>226</v>
      </c>
      <c r="H38" s="12">
        <f t="shared" si="1"/>
        <v>992</v>
      </c>
      <c r="I38" s="12" t="s">
        <v>1150</v>
      </c>
      <c r="J38" s="12" t="s">
        <v>1150</v>
      </c>
      <c r="K38" s="12">
        <f t="shared" si="3"/>
        <v>148.80000000000001</v>
      </c>
      <c r="L38" s="12">
        <f t="shared" si="2"/>
        <v>132.03</v>
      </c>
      <c r="M38" s="12">
        <v>2480</v>
      </c>
      <c r="N38" s="12">
        <v>372</v>
      </c>
      <c r="O38" s="12">
        <v>330.07499999999999</v>
      </c>
      <c r="P38" s="12"/>
      <c r="Q38" s="12"/>
      <c r="R38" s="12"/>
      <c r="S38" s="12"/>
      <c r="T38" s="12"/>
      <c r="U38" s="12"/>
      <c r="V38" s="12"/>
      <c r="W38" s="12"/>
    </row>
    <row r="39" spans="2:40" ht="27">
      <c r="B39" s="12" t="s">
        <v>309</v>
      </c>
      <c r="C39" s="12" t="s">
        <v>222</v>
      </c>
      <c r="D39" s="12" t="s">
        <v>223</v>
      </c>
      <c r="E39" s="12" t="s">
        <v>224</v>
      </c>
      <c r="F39" s="12" t="s">
        <v>225</v>
      </c>
      <c r="G39" s="5" t="s">
        <v>226</v>
      </c>
      <c r="H39" s="12">
        <f t="shared" si="1"/>
        <v>1008</v>
      </c>
      <c r="I39" s="12" t="s">
        <v>1150</v>
      </c>
      <c r="J39" s="12" t="s">
        <v>1150</v>
      </c>
      <c r="K39" s="12">
        <f t="shared" si="3"/>
        <v>151.20000000000002</v>
      </c>
      <c r="L39" s="12">
        <f t="shared" si="2"/>
        <v>135.27000000000001</v>
      </c>
      <c r="M39" s="12">
        <v>2520</v>
      </c>
      <c r="N39" s="12">
        <v>378</v>
      </c>
      <c r="O39" s="12">
        <v>338.17500000000001</v>
      </c>
      <c r="P39" s="12"/>
      <c r="Q39" s="12"/>
      <c r="R39" s="12"/>
      <c r="S39" s="12"/>
      <c r="T39" s="12"/>
      <c r="U39" s="12"/>
      <c r="V39" s="12"/>
      <c r="W39" s="12"/>
    </row>
    <row r="40" spans="2:40" ht="27">
      <c r="B40" s="12" t="s">
        <v>310</v>
      </c>
      <c r="C40" s="12" t="s">
        <v>222</v>
      </c>
      <c r="D40" s="12" t="s">
        <v>223</v>
      </c>
      <c r="E40" s="12" t="s">
        <v>224</v>
      </c>
      <c r="F40" s="12" t="s">
        <v>225</v>
      </c>
      <c r="G40" s="5" t="s">
        <v>226</v>
      </c>
      <c r="H40" s="12">
        <f t="shared" si="1"/>
        <v>1024</v>
      </c>
      <c r="I40" s="12" t="s">
        <v>1150</v>
      </c>
      <c r="J40" s="12" t="s">
        <v>1150</v>
      </c>
      <c r="K40" s="12">
        <f t="shared" si="3"/>
        <v>153.60000000000002</v>
      </c>
      <c r="L40" s="12">
        <f t="shared" si="2"/>
        <v>138.51</v>
      </c>
      <c r="M40" s="12">
        <v>2560</v>
      </c>
      <c r="N40" s="12">
        <v>384</v>
      </c>
      <c r="O40" s="12">
        <v>346.27499999999998</v>
      </c>
      <c r="P40" s="12"/>
      <c r="Q40" s="12"/>
      <c r="R40" s="12"/>
      <c r="S40" s="12"/>
      <c r="T40" s="12"/>
      <c r="U40" s="12"/>
      <c r="V40" s="12"/>
      <c r="W40" s="12"/>
    </row>
    <row r="41" spans="2:40" ht="27">
      <c r="B41" s="12" t="s">
        <v>311</v>
      </c>
      <c r="C41" s="12" t="s">
        <v>222</v>
      </c>
      <c r="D41" s="12" t="s">
        <v>223</v>
      </c>
      <c r="E41" s="12" t="s">
        <v>224</v>
      </c>
      <c r="F41" s="12" t="s">
        <v>225</v>
      </c>
      <c r="G41" s="5" t="s">
        <v>226</v>
      </c>
      <c r="H41" s="12">
        <f t="shared" si="1"/>
        <v>1040</v>
      </c>
      <c r="I41" s="12" t="s">
        <v>1150</v>
      </c>
      <c r="J41" s="12" t="s">
        <v>1150</v>
      </c>
      <c r="K41" s="12">
        <f t="shared" si="3"/>
        <v>156</v>
      </c>
      <c r="L41" s="12">
        <f t="shared" si="2"/>
        <v>141.75</v>
      </c>
      <c r="M41" s="12">
        <v>2600</v>
      </c>
      <c r="N41" s="12">
        <v>390</v>
      </c>
      <c r="O41" s="12">
        <v>354.375</v>
      </c>
      <c r="P41" s="12"/>
      <c r="Q41" s="12"/>
      <c r="R41" s="12"/>
      <c r="S41" s="12"/>
      <c r="T41" s="12"/>
      <c r="U41" s="12"/>
      <c r="V41" s="12"/>
      <c r="W41" s="12"/>
    </row>
    <row r="42" spans="2:40" ht="27">
      <c r="B42" s="12" t="s">
        <v>312</v>
      </c>
      <c r="C42" s="12" t="s">
        <v>222</v>
      </c>
      <c r="D42" s="12" t="s">
        <v>223</v>
      </c>
      <c r="E42" s="12" t="s">
        <v>224</v>
      </c>
      <c r="F42" s="12" t="s">
        <v>225</v>
      </c>
      <c r="G42" s="5" t="s">
        <v>226</v>
      </c>
      <c r="H42" s="12">
        <f t="shared" si="1"/>
        <v>1056</v>
      </c>
      <c r="I42" s="12" t="s">
        <v>1150</v>
      </c>
      <c r="J42" s="12" t="s">
        <v>1150</v>
      </c>
      <c r="K42" s="12">
        <f t="shared" si="3"/>
        <v>158.4</v>
      </c>
      <c r="L42" s="12">
        <f t="shared" si="2"/>
        <v>144.98999999999998</v>
      </c>
      <c r="M42" s="12">
        <v>2640</v>
      </c>
      <c r="N42" s="12">
        <v>396</v>
      </c>
      <c r="O42" s="12">
        <v>362.47499999999997</v>
      </c>
      <c r="P42" s="12"/>
      <c r="Q42" s="12"/>
      <c r="R42" s="12"/>
      <c r="S42" s="12"/>
      <c r="T42" s="12"/>
      <c r="U42" s="12"/>
      <c r="V42" s="12"/>
      <c r="W42" s="12"/>
    </row>
    <row r="43" spans="2:40" ht="27">
      <c r="B43" s="12" t="s">
        <v>313</v>
      </c>
      <c r="C43" s="12" t="s">
        <v>222</v>
      </c>
      <c r="D43" s="12" t="s">
        <v>223</v>
      </c>
      <c r="E43" s="12" t="s">
        <v>224</v>
      </c>
      <c r="F43" s="12" t="s">
        <v>225</v>
      </c>
      <c r="G43" s="5" t="s">
        <v>226</v>
      </c>
      <c r="H43" s="12">
        <f t="shared" si="1"/>
        <v>1072</v>
      </c>
      <c r="I43" s="12" t="s">
        <v>1150</v>
      </c>
      <c r="J43" s="12" t="s">
        <v>1150</v>
      </c>
      <c r="K43" s="12">
        <f t="shared" si="3"/>
        <v>160.80000000000001</v>
      </c>
      <c r="L43" s="12">
        <f t="shared" si="2"/>
        <v>148.22999999999999</v>
      </c>
      <c r="M43" s="12">
        <v>2680</v>
      </c>
      <c r="N43" s="12">
        <v>402</v>
      </c>
      <c r="O43" s="12">
        <v>370.57499999999999</v>
      </c>
      <c r="P43" s="12"/>
      <c r="Q43" s="12"/>
      <c r="R43" s="12"/>
      <c r="S43" s="12"/>
      <c r="T43" s="12"/>
      <c r="U43" s="12"/>
      <c r="V43" s="12"/>
      <c r="W43" s="12"/>
    </row>
    <row r="44" spans="2:40" ht="27">
      <c r="B44" s="12" t="s">
        <v>314</v>
      </c>
      <c r="C44" s="12" t="s">
        <v>222</v>
      </c>
      <c r="D44" s="12" t="s">
        <v>223</v>
      </c>
      <c r="E44" s="12" t="s">
        <v>224</v>
      </c>
      <c r="F44" s="12" t="s">
        <v>225</v>
      </c>
      <c r="G44" s="5" t="s">
        <v>226</v>
      </c>
      <c r="H44" s="12">
        <f t="shared" si="1"/>
        <v>1088</v>
      </c>
      <c r="I44" s="12" t="s">
        <v>1150</v>
      </c>
      <c r="J44" s="12" t="s">
        <v>1150</v>
      </c>
      <c r="K44" s="12">
        <f t="shared" si="3"/>
        <v>163.20000000000002</v>
      </c>
      <c r="L44" s="12">
        <f t="shared" si="2"/>
        <v>151.47</v>
      </c>
      <c r="M44" s="12">
        <v>2720</v>
      </c>
      <c r="N44" s="12">
        <v>408</v>
      </c>
      <c r="O44" s="12">
        <v>378.67500000000001</v>
      </c>
      <c r="P44" s="12"/>
      <c r="Q44" s="12"/>
      <c r="R44" s="12"/>
      <c r="S44" s="12"/>
      <c r="T44" s="12"/>
      <c r="U44" s="12"/>
      <c r="V44" s="12"/>
      <c r="W44" s="12"/>
    </row>
    <row r="45" spans="2:40" ht="27">
      <c r="B45" s="12" t="s">
        <v>315</v>
      </c>
      <c r="C45" s="12" t="s">
        <v>222</v>
      </c>
      <c r="D45" s="12" t="s">
        <v>223</v>
      </c>
      <c r="E45" s="12" t="s">
        <v>224</v>
      </c>
      <c r="F45" s="12" t="s">
        <v>225</v>
      </c>
      <c r="G45" s="5" t="s">
        <v>226</v>
      </c>
      <c r="H45" s="12">
        <f t="shared" si="1"/>
        <v>1104</v>
      </c>
      <c r="I45" s="12" t="s">
        <v>1150</v>
      </c>
      <c r="J45" s="12" t="s">
        <v>1150</v>
      </c>
      <c r="K45" s="12">
        <f t="shared" si="3"/>
        <v>165.60000000000002</v>
      </c>
      <c r="L45" s="12">
        <f t="shared" si="2"/>
        <v>154.71</v>
      </c>
      <c r="M45" s="12">
        <v>2760</v>
      </c>
      <c r="N45" s="12">
        <v>414</v>
      </c>
      <c r="O45" s="12">
        <v>386.77499999999998</v>
      </c>
      <c r="P45" s="12"/>
      <c r="Q45" s="12"/>
      <c r="R45" s="12"/>
      <c r="S45" s="12"/>
      <c r="T45" s="12"/>
      <c r="U45" s="12"/>
      <c r="V45" s="12"/>
      <c r="W45" s="12"/>
    </row>
    <row r="46" spans="2:40" ht="27">
      <c r="B46" s="12" t="s">
        <v>316</v>
      </c>
      <c r="C46" s="12" t="s">
        <v>222</v>
      </c>
      <c r="D46" s="12" t="s">
        <v>223</v>
      </c>
      <c r="E46" s="12" t="s">
        <v>224</v>
      </c>
      <c r="F46" s="12" t="s">
        <v>225</v>
      </c>
      <c r="G46" s="5" t="s">
        <v>226</v>
      </c>
      <c r="H46" s="12">
        <f t="shared" si="1"/>
        <v>1555.2</v>
      </c>
      <c r="I46" s="12" t="s">
        <v>1150</v>
      </c>
      <c r="J46" s="12" t="s">
        <v>1150</v>
      </c>
      <c r="K46" s="12">
        <f t="shared" si="3"/>
        <v>230.4</v>
      </c>
      <c r="L46" s="12">
        <f t="shared" si="2"/>
        <v>288</v>
      </c>
      <c r="M46" s="12">
        <v>3888</v>
      </c>
      <c r="N46" s="12">
        <v>576</v>
      </c>
      <c r="O46" s="12">
        <v>720</v>
      </c>
      <c r="P46" s="12"/>
      <c r="Q46" s="12"/>
      <c r="R46" s="12"/>
      <c r="S46" s="12"/>
      <c r="T46" s="12"/>
      <c r="U46" s="12"/>
      <c r="V46" s="12"/>
      <c r="W46" s="12"/>
    </row>
    <row r="47" spans="2:40" ht="27">
      <c r="B47" s="12" t="s">
        <v>317</v>
      </c>
      <c r="C47" s="12" t="s">
        <v>222</v>
      </c>
      <c r="D47" s="12" t="s">
        <v>223</v>
      </c>
      <c r="E47" s="12" t="s">
        <v>224</v>
      </c>
      <c r="F47" s="12" t="s">
        <v>225</v>
      </c>
      <c r="G47" s="5" t="s">
        <v>226</v>
      </c>
      <c r="H47" s="12">
        <f t="shared" si="1"/>
        <v>0</v>
      </c>
      <c r="I47" s="12" t="s">
        <v>1150</v>
      </c>
      <c r="J47" s="12" t="s">
        <v>1150</v>
      </c>
      <c r="K47" s="12">
        <f t="shared" si="3"/>
        <v>0</v>
      </c>
      <c r="L47" s="12">
        <f t="shared" si="2"/>
        <v>0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40" ht="27">
      <c r="B48" s="12" t="s">
        <v>318</v>
      </c>
      <c r="C48" s="12" t="s">
        <v>222</v>
      </c>
      <c r="D48" s="12" t="s">
        <v>223</v>
      </c>
      <c r="E48" s="12" t="s">
        <v>224</v>
      </c>
      <c r="F48" s="12" t="s">
        <v>225</v>
      </c>
      <c r="G48" s="5" t="s">
        <v>226</v>
      </c>
      <c r="H48" s="12">
        <f t="shared" si="1"/>
        <v>0</v>
      </c>
      <c r="I48" s="12" t="s">
        <v>1150</v>
      </c>
      <c r="J48" s="12" t="s">
        <v>1150</v>
      </c>
      <c r="K48" s="12">
        <f t="shared" si="3"/>
        <v>0</v>
      </c>
      <c r="L48" s="12">
        <f t="shared" si="2"/>
        <v>0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2:23" ht="27">
      <c r="B49" s="12" t="s">
        <v>319</v>
      </c>
      <c r="C49" s="12" t="s">
        <v>222</v>
      </c>
      <c r="D49" s="12" t="s">
        <v>223</v>
      </c>
      <c r="E49" s="12" t="s">
        <v>224</v>
      </c>
      <c r="F49" s="12" t="s">
        <v>225</v>
      </c>
      <c r="G49" s="5" t="s">
        <v>226</v>
      </c>
      <c r="H49" s="12">
        <f t="shared" si="1"/>
        <v>0</v>
      </c>
      <c r="I49" s="12" t="s">
        <v>1150</v>
      </c>
      <c r="J49" s="12" t="s">
        <v>1150</v>
      </c>
      <c r="K49" s="12">
        <f t="shared" si="3"/>
        <v>0</v>
      </c>
      <c r="L49" s="12">
        <f t="shared" si="2"/>
        <v>0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2:23" ht="27">
      <c r="B50" s="12" t="s">
        <v>320</v>
      </c>
      <c r="C50" s="12" t="s">
        <v>227</v>
      </c>
      <c r="D50" s="12" t="s">
        <v>228</v>
      </c>
      <c r="E50" s="12" t="s">
        <v>224</v>
      </c>
      <c r="F50" s="12" t="s">
        <v>225</v>
      </c>
      <c r="G50" s="5" t="s">
        <v>229</v>
      </c>
      <c r="H50" s="12">
        <f>M50*$X$12</f>
        <v>720</v>
      </c>
      <c r="I50" s="12" t="s">
        <v>1139</v>
      </c>
      <c r="J50" s="12" t="s">
        <v>1140</v>
      </c>
      <c r="K50" s="12">
        <f>N50*$X$10</f>
        <v>38</v>
      </c>
      <c r="L50" s="12">
        <f>O50*$Y$10</f>
        <v>31.5</v>
      </c>
      <c r="M50" s="12">
        <v>360</v>
      </c>
      <c r="N50" s="12">
        <v>40</v>
      </c>
      <c r="O50" s="12">
        <v>30</v>
      </c>
      <c r="P50" s="12"/>
      <c r="Q50" s="12"/>
      <c r="R50" s="12"/>
      <c r="S50" s="12"/>
      <c r="T50" s="12"/>
      <c r="U50" s="12"/>
      <c r="V50" s="12"/>
      <c r="W50" s="12"/>
    </row>
    <row r="51" spans="2:23" ht="27">
      <c r="B51" s="12" t="s">
        <v>321</v>
      </c>
      <c r="C51" s="12" t="s">
        <v>227</v>
      </c>
      <c r="D51" s="12" t="s">
        <v>228</v>
      </c>
      <c r="E51" s="12" t="s">
        <v>224</v>
      </c>
      <c r="F51" s="12" t="s">
        <v>225</v>
      </c>
      <c r="G51" s="5" t="s">
        <v>229</v>
      </c>
      <c r="H51" s="12">
        <f t="shared" ref="H51:H97" si="4">M51*$X$12</f>
        <v>828</v>
      </c>
      <c r="I51" s="12" t="s">
        <v>1139</v>
      </c>
      <c r="J51" s="12" t="s">
        <v>1140</v>
      </c>
      <c r="K51" s="12">
        <f t="shared" ref="K51:K97" si="5">N51*$X$10</f>
        <v>43.699999999999996</v>
      </c>
      <c r="L51" s="12">
        <f t="shared" ref="L51:L97" si="6">O51*$Y$10</f>
        <v>39.9</v>
      </c>
      <c r="M51" s="12">
        <v>414</v>
      </c>
      <c r="N51" s="12">
        <v>46</v>
      </c>
      <c r="O51" s="12">
        <v>38</v>
      </c>
      <c r="P51" s="12"/>
      <c r="Q51" s="12"/>
      <c r="R51" s="12"/>
      <c r="S51" s="12"/>
      <c r="T51" s="12"/>
      <c r="U51" s="12"/>
      <c r="V51" s="12"/>
      <c r="W51" s="12"/>
    </row>
    <row r="52" spans="2:23" ht="27">
      <c r="B52" s="12" t="s">
        <v>322</v>
      </c>
      <c r="C52" s="12" t="s">
        <v>227</v>
      </c>
      <c r="D52" s="12" t="s">
        <v>228</v>
      </c>
      <c r="E52" s="12" t="s">
        <v>224</v>
      </c>
      <c r="F52" s="12" t="s">
        <v>225</v>
      </c>
      <c r="G52" s="5" t="s">
        <v>229</v>
      </c>
      <c r="H52" s="12">
        <f t="shared" si="4"/>
        <v>864</v>
      </c>
      <c r="I52" s="12" t="s">
        <v>1139</v>
      </c>
      <c r="J52" s="12" t="s">
        <v>1140</v>
      </c>
      <c r="K52" s="12">
        <f t="shared" si="5"/>
        <v>45.599999999999994</v>
      </c>
      <c r="L52" s="12">
        <f t="shared" si="6"/>
        <v>44.1</v>
      </c>
      <c r="M52" s="12">
        <v>432</v>
      </c>
      <c r="N52" s="12">
        <v>48</v>
      </c>
      <c r="O52" s="12">
        <v>42</v>
      </c>
      <c r="P52" s="12"/>
      <c r="Q52" s="12"/>
      <c r="R52" s="12"/>
      <c r="S52" s="12"/>
      <c r="T52" s="12"/>
      <c r="U52" s="12"/>
      <c r="V52" s="12"/>
      <c r="W52" s="12"/>
    </row>
    <row r="53" spans="2:23" ht="27">
      <c r="B53" s="12" t="s">
        <v>323</v>
      </c>
      <c r="C53" s="12" t="s">
        <v>227</v>
      </c>
      <c r="D53" s="12" t="s">
        <v>228</v>
      </c>
      <c r="E53" s="12" t="s">
        <v>224</v>
      </c>
      <c r="F53" s="12" t="s">
        <v>225</v>
      </c>
      <c r="G53" s="5" t="s">
        <v>229</v>
      </c>
      <c r="H53" s="12">
        <f t="shared" si="4"/>
        <v>900</v>
      </c>
      <c r="I53" s="12" t="s">
        <v>1139</v>
      </c>
      <c r="J53" s="12" t="s">
        <v>1140</v>
      </c>
      <c r="K53" s="12">
        <f t="shared" si="5"/>
        <v>47.5</v>
      </c>
      <c r="L53" s="12">
        <f t="shared" si="6"/>
        <v>48.300000000000004</v>
      </c>
      <c r="M53" s="12">
        <v>450</v>
      </c>
      <c r="N53" s="12">
        <v>50</v>
      </c>
      <c r="O53" s="12">
        <v>46</v>
      </c>
      <c r="P53" s="12"/>
      <c r="Q53" s="12"/>
      <c r="R53" s="12"/>
      <c r="S53" s="12"/>
      <c r="T53" s="12"/>
      <c r="U53" s="12"/>
      <c r="V53" s="12"/>
      <c r="W53" s="12"/>
    </row>
    <row r="54" spans="2:23" ht="27">
      <c r="B54" s="12" t="s">
        <v>324</v>
      </c>
      <c r="C54" s="12" t="s">
        <v>227</v>
      </c>
      <c r="D54" s="12" t="s">
        <v>228</v>
      </c>
      <c r="E54" s="12" t="s">
        <v>224</v>
      </c>
      <c r="F54" s="12" t="s">
        <v>225</v>
      </c>
      <c r="G54" s="5" t="s">
        <v>229</v>
      </c>
      <c r="H54" s="12">
        <f t="shared" si="4"/>
        <v>936</v>
      </c>
      <c r="I54" s="12" t="s">
        <v>1139</v>
      </c>
      <c r="J54" s="12" t="s">
        <v>1140</v>
      </c>
      <c r="K54" s="12">
        <f t="shared" si="5"/>
        <v>49.4</v>
      </c>
      <c r="L54" s="12">
        <f t="shared" si="6"/>
        <v>52.5</v>
      </c>
      <c r="M54" s="12">
        <v>468</v>
      </c>
      <c r="N54" s="12">
        <v>52</v>
      </c>
      <c r="O54" s="12">
        <v>50</v>
      </c>
      <c r="P54" s="12"/>
      <c r="Q54" s="12"/>
      <c r="R54" s="12"/>
      <c r="S54" s="12"/>
      <c r="T54" s="12"/>
      <c r="U54" s="12"/>
      <c r="V54" s="12"/>
      <c r="W54" s="12"/>
    </row>
    <row r="55" spans="2:23" ht="27">
      <c r="B55" s="12" t="s">
        <v>325</v>
      </c>
      <c r="C55" s="12" t="s">
        <v>227</v>
      </c>
      <c r="D55" s="12" t="s">
        <v>228</v>
      </c>
      <c r="E55" s="12" t="s">
        <v>224</v>
      </c>
      <c r="F55" s="12" t="s">
        <v>225</v>
      </c>
      <c r="G55" s="5" t="s">
        <v>229</v>
      </c>
      <c r="H55" s="12">
        <f t="shared" si="4"/>
        <v>972</v>
      </c>
      <c r="I55" s="12" t="s">
        <v>1139</v>
      </c>
      <c r="J55" s="12" t="s">
        <v>1140</v>
      </c>
      <c r="K55" s="12">
        <f t="shared" si="5"/>
        <v>51.3</v>
      </c>
      <c r="L55" s="12">
        <f t="shared" si="6"/>
        <v>56.7</v>
      </c>
      <c r="M55" s="12">
        <v>486</v>
      </c>
      <c r="N55" s="12">
        <v>54</v>
      </c>
      <c r="O55" s="12">
        <v>54</v>
      </c>
      <c r="P55" s="12"/>
      <c r="Q55" s="12"/>
      <c r="R55" s="12"/>
      <c r="S55" s="12"/>
      <c r="T55" s="12"/>
      <c r="U55" s="12"/>
      <c r="V55" s="12"/>
      <c r="W55" s="12"/>
    </row>
    <row r="56" spans="2:23" ht="27">
      <c r="B56" s="12" t="s">
        <v>326</v>
      </c>
      <c r="C56" s="12" t="s">
        <v>227</v>
      </c>
      <c r="D56" s="12" t="s">
        <v>228</v>
      </c>
      <c r="E56" s="12" t="s">
        <v>224</v>
      </c>
      <c r="F56" s="12" t="s">
        <v>225</v>
      </c>
      <c r="G56" s="5" t="s">
        <v>229</v>
      </c>
      <c r="H56" s="12">
        <f t="shared" si="4"/>
        <v>1008</v>
      </c>
      <c r="I56" s="12" t="s">
        <v>1139</v>
      </c>
      <c r="J56" s="12" t="s">
        <v>1140</v>
      </c>
      <c r="K56" s="12">
        <f t="shared" si="5"/>
        <v>53.199999999999996</v>
      </c>
      <c r="L56" s="12">
        <f t="shared" si="6"/>
        <v>60.900000000000006</v>
      </c>
      <c r="M56" s="12">
        <v>504</v>
      </c>
      <c r="N56" s="12">
        <v>56</v>
      </c>
      <c r="O56" s="12">
        <v>58</v>
      </c>
      <c r="P56" s="12"/>
      <c r="Q56" s="12"/>
      <c r="R56" s="12"/>
      <c r="S56" s="12"/>
      <c r="T56" s="12"/>
      <c r="U56" s="12"/>
      <c r="V56" s="12"/>
      <c r="W56" s="12"/>
    </row>
    <row r="57" spans="2:23" ht="27">
      <c r="B57" s="12" t="s">
        <v>327</v>
      </c>
      <c r="C57" s="12" t="s">
        <v>227</v>
      </c>
      <c r="D57" s="12" t="s">
        <v>228</v>
      </c>
      <c r="E57" s="12" t="s">
        <v>224</v>
      </c>
      <c r="F57" s="12" t="s">
        <v>225</v>
      </c>
      <c r="G57" s="5" t="s">
        <v>229</v>
      </c>
      <c r="H57" s="12">
        <f t="shared" si="4"/>
        <v>1044</v>
      </c>
      <c r="I57" s="12" t="s">
        <v>1139</v>
      </c>
      <c r="J57" s="12" t="s">
        <v>1140</v>
      </c>
      <c r="K57" s="12">
        <f t="shared" si="5"/>
        <v>55.099999999999994</v>
      </c>
      <c r="L57" s="12">
        <f t="shared" si="6"/>
        <v>65.100000000000009</v>
      </c>
      <c r="M57" s="12">
        <v>522</v>
      </c>
      <c r="N57" s="12">
        <v>58</v>
      </c>
      <c r="O57" s="12">
        <v>62</v>
      </c>
      <c r="P57" s="12"/>
      <c r="Q57" s="12"/>
      <c r="R57" s="12"/>
      <c r="S57" s="12"/>
      <c r="T57" s="12"/>
      <c r="U57" s="12"/>
      <c r="V57" s="12"/>
      <c r="W57" s="12"/>
    </row>
    <row r="58" spans="2:23" ht="27">
      <c r="B58" s="12" t="s">
        <v>328</v>
      </c>
      <c r="C58" s="12" t="s">
        <v>227</v>
      </c>
      <c r="D58" s="12" t="s">
        <v>228</v>
      </c>
      <c r="E58" s="12" t="s">
        <v>224</v>
      </c>
      <c r="F58" s="12" t="s">
        <v>225</v>
      </c>
      <c r="G58" s="5" t="s">
        <v>229</v>
      </c>
      <c r="H58" s="12">
        <f t="shared" si="4"/>
        <v>1080</v>
      </c>
      <c r="I58" s="12" t="s">
        <v>1139</v>
      </c>
      <c r="J58" s="12" t="s">
        <v>1140</v>
      </c>
      <c r="K58" s="12">
        <f t="shared" si="5"/>
        <v>57</v>
      </c>
      <c r="L58" s="12">
        <f t="shared" si="6"/>
        <v>69.3</v>
      </c>
      <c r="M58" s="12">
        <v>540</v>
      </c>
      <c r="N58" s="12">
        <v>60</v>
      </c>
      <c r="O58" s="12">
        <v>66</v>
      </c>
      <c r="P58" s="12"/>
      <c r="Q58" s="12"/>
      <c r="R58" s="12"/>
      <c r="S58" s="12"/>
      <c r="T58" s="12"/>
      <c r="U58" s="12"/>
      <c r="V58" s="12"/>
      <c r="W58" s="12"/>
    </row>
    <row r="59" spans="2:23" ht="27">
      <c r="B59" s="12" t="s">
        <v>329</v>
      </c>
      <c r="C59" s="12" t="s">
        <v>227</v>
      </c>
      <c r="D59" s="12" t="s">
        <v>228</v>
      </c>
      <c r="E59" s="12" t="s">
        <v>224</v>
      </c>
      <c r="F59" s="12" t="s">
        <v>225</v>
      </c>
      <c r="G59" s="5" t="s">
        <v>229</v>
      </c>
      <c r="H59" s="12">
        <f t="shared" si="4"/>
        <v>1116</v>
      </c>
      <c r="I59" s="12" t="s">
        <v>1139</v>
      </c>
      <c r="J59" s="12" t="s">
        <v>1140</v>
      </c>
      <c r="K59" s="12">
        <f t="shared" si="5"/>
        <v>58.9</v>
      </c>
      <c r="L59" s="12">
        <f t="shared" si="6"/>
        <v>73.5</v>
      </c>
      <c r="M59" s="12">
        <v>558</v>
      </c>
      <c r="N59" s="12">
        <v>62</v>
      </c>
      <c r="O59" s="12">
        <v>70</v>
      </c>
      <c r="P59" s="12"/>
      <c r="Q59" s="12"/>
      <c r="R59" s="12"/>
      <c r="S59" s="12"/>
      <c r="T59" s="12"/>
      <c r="U59" s="12"/>
      <c r="V59" s="12"/>
      <c r="W59" s="12"/>
    </row>
    <row r="60" spans="2:23" ht="27">
      <c r="B60" s="12" t="s">
        <v>330</v>
      </c>
      <c r="C60" s="12" t="s">
        <v>227</v>
      </c>
      <c r="D60" s="12" t="s">
        <v>228</v>
      </c>
      <c r="E60" s="12" t="s">
        <v>224</v>
      </c>
      <c r="F60" s="12" t="s">
        <v>225</v>
      </c>
      <c r="G60" s="5" t="s">
        <v>229</v>
      </c>
      <c r="H60" s="12">
        <f t="shared" si="4"/>
        <v>1152</v>
      </c>
      <c r="I60" s="12" t="s">
        <v>1139</v>
      </c>
      <c r="J60" s="12" t="s">
        <v>1140</v>
      </c>
      <c r="K60" s="12">
        <f t="shared" si="5"/>
        <v>60.8</v>
      </c>
      <c r="L60" s="12">
        <f t="shared" si="6"/>
        <v>77.7</v>
      </c>
      <c r="M60" s="12">
        <v>576</v>
      </c>
      <c r="N60" s="12">
        <v>64</v>
      </c>
      <c r="O60" s="12">
        <v>74</v>
      </c>
      <c r="P60" s="12"/>
      <c r="Q60" s="12"/>
      <c r="R60" s="12"/>
      <c r="S60" s="12"/>
      <c r="T60" s="12"/>
      <c r="U60" s="12"/>
      <c r="V60" s="12"/>
      <c r="W60" s="12"/>
    </row>
    <row r="61" spans="2:23" ht="27">
      <c r="B61" s="12" t="s">
        <v>331</v>
      </c>
      <c r="C61" s="12" t="s">
        <v>227</v>
      </c>
      <c r="D61" s="12" t="s">
        <v>228</v>
      </c>
      <c r="E61" s="12" t="s">
        <v>224</v>
      </c>
      <c r="F61" s="12" t="s">
        <v>225</v>
      </c>
      <c r="G61" s="5" t="s">
        <v>229</v>
      </c>
      <c r="H61" s="12">
        <f t="shared" si="4"/>
        <v>1188</v>
      </c>
      <c r="I61" s="12" t="s">
        <v>1139</v>
      </c>
      <c r="J61" s="12" t="s">
        <v>1140</v>
      </c>
      <c r="K61" s="12">
        <f t="shared" si="5"/>
        <v>62.699999999999996</v>
      </c>
      <c r="L61" s="12">
        <f t="shared" si="6"/>
        <v>81.900000000000006</v>
      </c>
      <c r="M61" s="12">
        <v>594</v>
      </c>
      <c r="N61" s="12">
        <v>66</v>
      </c>
      <c r="O61" s="12">
        <v>78</v>
      </c>
      <c r="P61" s="12"/>
      <c r="Q61" s="12"/>
      <c r="R61" s="12"/>
      <c r="S61" s="12"/>
      <c r="T61" s="12"/>
      <c r="U61" s="12"/>
      <c r="V61" s="12"/>
      <c r="W61" s="12"/>
    </row>
    <row r="62" spans="2:23" ht="27">
      <c r="B62" s="12" t="s">
        <v>332</v>
      </c>
      <c r="C62" s="12" t="s">
        <v>227</v>
      </c>
      <c r="D62" s="12" t="s">
        <v>228</v>
      </c>
      <c r="E62" s="12" t="s">
        <v>224</v>
      </c>
      <c r="F62" s="12" t="s">
        <v>225</v>
      </c>
      <c r="G62" s="5" t="s">
        <v>229</v>
      </c>
      <c r="H62" s="12">
        <f t="shared" si="4"/>
        <v>1224</v>
      </c>
      <c r="I62" s="12" t="s">
        <v>1139</v>
      </c>
      <c r="J62" s="12" t="s">
        <v>1140</v>
      </c>
      <c r="K62" s="12">
        <f t="shared" si="5"/>
        <v>64.599999999999994</v>
      </c>
      <c r="L62" s="12">
        <f t="shared" si="6"/>
        <v>86.100000000000009</v>
      </c>
      <c r="M62" s="12">
        <v>612</v>
      </c>
      <c r="N62" s="12">
        <v>68</v>
      </c>
      <c r="O62" s="12">
        <v>82</v>
      </c>
      <c r="P62" s="12"/>
      <c r="Q62" s="12"/>
      <c r="R62" s="12"/>
      <c r="S62" s="12"/>
      <c r="T62" s="12"/>
      <c r="U62" s="12"/>
      <c r="V62" s="12"/>
      <c r="W62" s="12"/>
    </row>
    <row r="63" spans="2:23" ht="27">
      <c r="B63" s="12" t="s">
        <v>333</v>
      </c>
      <c r="C63" s="12" t="s">
        <v>227</v>
      </c>
      <c r="D63" s="12" t="s">
        <v>228</v>
      </c>
      <c r="E63" s="12" t="s">
        <v>224</v>
      </c>
      <c r="F63" s="12" t="s">
        <v>225</v>
      </c>
      <c r="G63" s="5" t="s">
        <v>229</v>
      </c>
      <c r="H63" s="12">
        <f t="shared" si="4"/>
        <v>1260</v>
      </c>
      <c r="I63" s="12" t="s">
        <v>1139</v>
      </c>
      <c r="J63" s="12" t="s">
        <v>1140</v>
      </c>
      <c r="K63" s="12">
        <f t="shared" si="5"/>
        <v>66.5</v>
      </c>
      <c r="L63" s="12">
        <f t="shared" si="6"/>
        <v>90.3</v>
      </c>
      <c r="M63" s="12">
        <v>630</v>
      </c>
      <c r="N63" s="12">
        <v>70</v>
      </c>
      <c r="O63" s="12">
        <v>86</v>
      </c>
      <c r="P63" s="12"/>
      <c r="Q63" s="12"/>
      <c r="R63" s="12"/>
      <c r="S63" s="12"/>
      <c r="T63" s="12"/>
      <c r="U63" s="12"/>
      <c r="V63" s="12"/>
      <c r="W63" s="12"/>
    </row>
    <row r="64" spans="2:23" ht="27">
      <c r="B64" s="12" t="s">
        <v>334</v>
      </c>
      <c r="C64" s="12" t="s">
        <v>227</v>
      </c>
      <c r="D64" s="12" t="s">
        <v>228</v>
      </c>
      <c r="E64" s="12" t="s">
        <v>224</v>
      </c>
      <c r="F64" s="12" t="s">
        <v>225</v>
      </c>
      <c r="G64" s="5" t="s">
        <v>229</v>
      </c>
      <c r="H64" s="12">
        <f t="shared" si="4"/>
        <v>2128</v>
      </c>
      <c r="I64" s="12" t="s">
        <v>1139</v>
      </c>
      <c r="J64" s="12" t="s">
        <v>1140</v>
      </c>
      <c r="K64" s="12">
        <f t="shared" si="5"/>
        <v>144.4</v>
      </c>
      <c r="L64" s="12">
        <f t="shared" si="6"/>
        <v>127.575</v>
      </c>
      <c r="M64" s="12">
        <v>1064</v>
      </c>
      <c r="N64" s="12">
        <v>152</v>
      </c>
      <c r="O64" s="12">
        <v>121.5</v>
      </c>
      <c r="P64" s="12"/>
      <c r="Q64" s="12"/>
      <c r="R64" s="12"/>
      <c r="S64" s="12"/>
      <c r="T64" s="12"/>
      <c r="U64" s="12"/>
      <c r="V64" s="12"/>
      <c r="W64" s="12"/>
    </row>
    <row r="65" spans="2:23" ht="27">
      <c r="B65" s="12" t="s">
        <v>335</v>
      </c>
      <c r="C65" s="12" t="s">
        <v>227</v>
      </c>
      <c r="D65" s="12" t="s">
        <v>228</v>
      </c>
      <c r="E65" s="12" t="s">
        <v>224</v>
      </c>
      <c r="F65" s="12" t="s">
        <v>225</v>
      </c>
      <c r="G65" s="5" t="s">
        <v>229</v>
      </c>
      <c r="H65" s="12">
        <f t="shared" si="4"/>
        <v>2184</v>
      </c>
      <c r="I65" s="12" t="s">
        <v>1139</v>
      </c>
      <c r="J65" s="12" t="s">
        <v>1140</v>
      </c>
      <c r="K65" s="12">
        <f t="shared" si="5"/>
        <v>148.19999999999999</v>
      </c>
      <c r="L65" s="12">
        <f t="shared" si="6"/>
        <v>133.95374999999999</v>
      </c>
      <c r="M65" s="12">
        <v>1092</v>
      </c>
      <c r="N65" s="12">
        <v>156</v>
      </c>
      <c r="O65" s="12">
        <v>127.57499999999999</v>
      </c>
      <c r="P65" s="12"/>
      <c r="Q65" s="12"/>
      <c r="R65" s="12"/>
      <c r="S65" s="12"/>
      <c r="T65" s="12"/>
      <c r="U65" s="12"/>
      <c r="V65" s="12"/>
      <c r="W65" s="12"/>
    </row>
    <row r="66" spans="2:23" ht="27">
      <c r="B66" s="12" t="s">
        <v>336</v>
      </c>
      <c r="C66" s="12" t="s">
        <v>227</v>
      </c>
      <c r="D66" s="12" t="s">
        <v>228</v>
      </c>
      <c r="E66" s="12" t="s">
        <v>224</v>
      </c>
      <c r="F66" s="12" t="s">
        <v>225</v>
      </c>
      <c r="G66" s="5" t="s">
        <v>229</v>
      </c>
      <c r="H66" s="12">
        <f t="shared" si="4"/>
        <v>2240</v>
      </c>
      <c r="I66" s="12" t="s">
        <v>1139</v>
      </c>
      <c r="J66" s="12" t="s">
        <v>1140</v>
      </c>
      <c r="K66" s="12">
        <f t="shared" si="5"/>
        <v>152</v>
      </c>
      <c r="L66" s="12">
        <f t="shared" si="6"/>
        <v>140.33250000000001</v>
      </c>
      <c r="M66" s="12">
        <v>1120</v>
      </c>
      <c r="N66" s="12">
        <v>160</v>
      </c>
      <c r="O66" s="12">
        <v>133.65</v>
      </c>
      <c r="P66" s="12"/>
      <c r="Q66" s="12"/>
      <c r="R66" s="12"/>
      <c r="S66" s="12"/>
      <c r="T66" s="12"/>
      <c r="U66" s="12"/>
      <c r="V66" s="12"/>
      <c r="W66" s="12"/>
    </row>
    <row r="67" spans="2:23" ht="27">
      <c r="B67" s="12" t="s">
        <v>337</v>
      </c>
      <c r="C67" s="12" t="s">
        <v>227</v>
      </c>
      <c r="D67" s="12" t="s">
        <v>228</v>
      </c>
      <c r="E67" s="12" t="s">
        <v>224</v>
      </c>
      <c r="F67" s="12" t="s">
        <v>225</v>
      </c>
      <c r="G67" s="5" t="s">
        <v>229</v>
      </c>
      <c r="H67" s="12">
        <f t="shared" si="4"/>
        <v>2296</v>
      </c>
      <c r="I67" s="12" t="s">
        <v>1139</v>
      </c>
      <c r="J67" s="12" t="s">
        <v>1140</v>
      </c>
      <c r="K67" s="12">
        <f t="shared" si="5"/>
        <v>155.79999999999998</v>
      </c>
      <c r="L67" s="12">
        <f t="shared" si="6"/>
        <v>146.71125000000001</v>
      </c>
      <c r="M67" s="12">
        <v>1148</v>
      </c>
      <c r="N67" s="12">
        <v>164</v>
      </c>
      <c r="O67" s="12">
        <v>139.72499999999999</v>
      </c>
      <c r="P67" s="12"/>
      <c r="Q67" s="12"/>
      <c r="R67" s="12"/>
      <c r="S67" s="12"/>
      <c r="T67" s="12"/>
      <c r="U67" s="12"/>
      <c r="V67" s="12"/>
      <c r="W67" s="12"/>
    </row>
    <row r="68" spans="2:23" ht="27">
      <c r="B68" s="12" t="s">
        <v>338</v>
      </c>
      <c r="C68" s="12" t="s">
        <v>227</v>
      </c>
      <c r="D68" s="12" t="s">
        <v>228</v>
      </c>
      <c r="E68" s="12" t="s">
        <v>224</v>
      </c>
      <c r="F68" s="12" t="s">
        <v>225</v>
      </c>
      <c r="G68" s="5" t="s">
        <v>229</v>
      </c>
      <c r="H68" s="12">
        <f t="shared" si="4"/>
        <v>2352</v>
      </c>
      <c r="I68" s="12" t="s">
        <v>1139</v>
      </c>
      <c r="J68" s="12" t="s">
        <v>1140</v>
      </c>
      <c r="K68" s="12">
        <f t="shared" si="5"/>
        <v>159.6</v>
      </c>
      <c r="L68" s="12">
        <f t="shared" si="6"/>
        <v>153.08999999999997</v>
      </c>
      <c r="M68" s="12">
        <v>1176</v>
      </c>
      <c r="N68" s="12">
        <v>168</v>
      </c>
      <c r="O68" s="12">
        <v>145.79999999999998</v>
      </c>
      <c r="P68" s="12"/>
      <c r="Q68" s="12"/>
      <c r="R68" s="12"/>
      <c r="S68" s="12"/>
      <c r="T68" s="12"/>
      <c r="U68" s="12"/>
      <c r="V68" s="12"/>
      <c r="W68" s="12"/>
    </row>
    <row r="69" spans="2:23" ht="27">
      <c r="B69" s="12" t="s">
        <v>339</v>
      </c>
      <c r="C69" s="12" t="s">
        <v>227</v>
      </c>
      <c r="D69" s="12" t="s">
        <v>228</v>
      </c>
      <c r="E69" s="12" t="s">
        <v>224</v>
      </c>
      <c r="F69" s="12" t="s">
        <v>225</v>
      </c>
      <c r="G69" s="5" t="s">
        <v>229</v>
      </c>
      <c r="H69" s="12">
        <f t="shared" si="4"/>
        <v>2408</v>
      </c>
      <c r="I69" s="12" t="s">
        <v>1139</v>
      </c>
      <c r="J69" s="12" t="s">
        <v>1140</v>
      </c>
      <c r="K69" s="12">
        <f t="shared" si="5"/>
        <v>163.4</v>
      </c>
      <c r="L69" s="12">
        <f t="shared" si="6"/>
        <v>159.46875</v>
      </c>
      <c r="M69" s="12">
        <v>1204</v>
      </c>
      <c r="N69" s="12">
        <v>172</v>
      </c>
      <c r="O69" s="12">
        <v>151.875</v>
      </c>
      <c r="P69" s="12"/>
      <c r="Q69" s="12"/>
      <c r="R69" s="12"/>
      <c r="S69" s="12"/>
      <c r="T69" s="12"/>
      <c r="U69" s="12"/>
      <c r="V69" s="12"/>
      <c r="W69" s="12"/>
    </row>
    <row r="70" spans="2:23" ht="27">
      <c r="B70" s="12" t="s">
        <v>340</v>
      </c>
      <c r="C70" s="12" t="s">
        <v>227</v>
      </c>
      <c r="D70" s="12" t="s">
        <v>228</v>
      </c>
      <c r="E70" s="12" t="s">
        <v>224</v>
      </c>
      <c r="F70" s="12" t="s">
        <v>225</v>
      </c>
      <c r="G70" s="5" t="s">
        <v>229</v>
      </c>
      <c r="H70" s="12">
        <f t="shared" si="4"/>
        <v>2464</v>
      </c>
      <c r="I70" s="12" t="s">
        <v>1139</v>
      </c>
      <c r="J70" s="12" t="s">
        <v>1140</v>
      </c>
      <c r="K70" s="12">
        <f t="shared" si="5"/>
        <v>167.2</v>
      </c>
      <c r="L70" s="12">
        <f t="shared" si="6"/>
        <v>165.8475</v>
      </c>
      <c r="M70" s="12">
        <v>1232</v>
      </c>
      <c r="N70" s="12">
        <v>176</v>
      </c>
      <c r="O70" s="12">
        <v>157.94999999999999</v>
      </c>
      <c r="P70" s="12"/>
      <c r="Q70" s="12"/>
      <c r="R70" s="12"/>
      <c r="S70" s="12"/>
      <c r="T70" s="12"/>
      <c r="U70" s="12"/>
      <c r="V70" s="12"/>
      <c r="W70" s="12"/>
    </row>
    <row r="71" spans="2:23" ht="27">
      <c r="B71" s="12" t="s">
        <v>341</v>
      </c>
      <c r="C71" s="12" t="s">
        <v>227</v>
      </c>
      <c r="D71" s="12" t="s">
        <v>228</v>
      </c>
      <c r="E71" s="12" t="s">
        <v>224</v>
      </c>
      <c r="F71" s="12" t="s">
        <v>225</v>
      </c>
      <c r="G71" s="5" t="s">
        <v>229</v>
      </c>
      <c r="H71" s="12">
        <f t="shared" si="4"/>
        <v>2520</v>
      </c>
      <c r="I71" s="12" t="s">
        <v>1139</v>
      </c>
      <c r="J71" s="12" t="s">
        <v>1140</v>
      </c>
      <c r="K71" s="12">
        <f t="shared" si="5"/>
        <v>171</v>
      </c>
      <c r="L71" s="12">
        <f t="shared" si="6"/>
        <v>172.22625000000002</v>
      </c>
      <c r="M71" s="12">
        <v>1260</v>
      </c>
      <c r="N71" s="12">
        <v>180</v>
      </c>
      <c r="O71" s="12">
        <v>164.02500000000001</v>
      </c>
      <c r="P71" s="12"/>
      <c r="Q71" s="12"/>
      <c r="R71" s="12"/>
      <c r="S71" s="12"/>
      <c r="T71" s="12"/>
      <c r="U71" s="12"/>
      <c r="V71" s="12"/>
      <c r="W71" s="12"/>
    </row>
    <row r="72" spans="2:23" ht="27">
      <c r="B72" s="12" t="s">
        <v>342</v>
      </c>
      <c r="C72" s="12" t="s">
        <v>227</v>
      </c>
      <c r="D72" s="12" t="s">
        <v>228</v>
      </c>
      <c r="E72" s="12" t="s">
        <v>224</v>
      </c>
      <c r="F72" s="12" t="s">
        <v>225</v>
      </c>
      <c r="G72" s="5" t="s">
        <v>229</v>
      </c>
      <c r="H72" s="12">
        <f t="shared" si="4"/>
        <v>2576</v>
      </c>
      <c r="I72" s="12" t="s">
        <v>1139</v>
      </c>
      <c r="J72" s="12" t="s">
        <v>1140</v>
      </c>
      <c r="K72" s="12">
        <f t="shared" si="5"/>
        <v>174.79999999999998</v>
      </c>
      <c r="L72" s="12">
        <f t="shared" si="6"/>
        <v>178.60499999999999</v>
      </c>
      <c r="M72" s="12">
        <v>1288</v>
      </c>
      <c r="N72" s="12">
        <v>184</v>
      </c>
      <c r="O72" s="12">
        <v>170.1</v>
      </c>
      <c r="P72" s="12"/>
      <c r="Q72" s="12"/>
      <c r="R72" s="12"/>
      <c r="S72" s="12"/>
      <c r="T72" s="12"/>
      <c r="U72" s="12"/>
      <c r="V72" s="12"/>
      <c r="W72" s="12"/>
    </row>
    <row r="73" spans="2:23" ht="27">
      <c r="B73" s="12" t="s">
        <v>343</v>
      </c>
      <c r="C73" s="12" t="s">
        <v>227</v>
      </c>
      <c r="D73" s="12" t="s">
        <v>228</v>
      </c>
      <c r="E73" s="12" t="s">
        <v>224</v>
      </c>
      <c r="F73" s="12" t="s">
        <v>225</v>
      </c>
      <c r="G73" s="5" t="s">
        <v>229</v>
      </c>
      <c r="H73" s="12">
        <f t="shared" si="4"/>
        <v>2632</v>
      </c>
      <c r="I73" s="12" t="s">
        <v>1139</v>
      </c>
      <c r="J73" s="12" t="s">
        <v>1140</v>
      </c>
      <c r="K73" s="12">
        <f t="shared" si="5"/>
        <v>178.6</v>
      </c>
      <c r="L73" s="12">
        <f t="shared" si="6"/>
        <v>184.98374999999999</v>
      </c>
      <c r="M73" s="12">
        <v>1316</v>
      </c>
      <c r="N73" s="12">
        <v>188</v>
      </c>
      <c r="O73" s="12">
        <v>176.17499999999998</v>
      </c>
      <c r="P73" s="12"/>
      <c r="Q73" s="12"/>
      <c r="R73" s="12"/>
      <c r="S73" s="12"/>
      <c r="T73" s="12"/>
      <c r="U73" s="12"/>
      <c r="V73" s="12"/>
      <c r="W73" s="12"/>
    </row>
    <row r="74" spans="2:23" ht="27">
      <c r="B74" s="12" t="s">
        <v>344</v>
      </c>
      <c r="C74" s="12" t="s">
        <v>227</v>
      </c>
      <c r="D74" s="12" t="s">
        <v>228</v>
      </c>
      <c r="E74" s="12" t="s">
        <v>224</v>
      </c>
      <c r="F74" s="12" t="s">
        <v>225</v>
      </c>
      <c r="G74" s="5" t="s">
        <v>229</v>
      </c>
      <c r="H74" s="12">
        <f t="shared" si="4"/>
        <v>2688</v>
      </c>
      <c r="I74" s="12" t="s">
        <v>1139</v>
      </c>
      <c r="J74" s="12" t="s">
        <v>1140</v>
      </c>
      <c r="K74" s="12">
        <f t="shared" si="5"/>
        <v>182.39999999999998</v>
      </c>
      <c r="L74" s="12">
        <f t="shared" si="6"/>
        <v>191.36250000000001</v>
      </c>
      <c r="M74" s="12">
        <v>1344</v>
      </c>
      <c r="N74" s="12">
        <v>192</v>
      </c>
      <c r="O74" s="12">
        <v>182.25</v>
      </c>
      <c r="P74" s="12"/>
      <c r="Q74" s="12"/>
      <c r="R74" s="12"/>
      <c r="S74" s="12"/>
      <c r="T74" s="12"/>
      <c r="U74" s="12"/>
      <c r="V74" s="12"/>
      <c r="W74" s="12"/>
    </row>
    <row r="75" spans="2:23" ht="27">
      <c r="B75" s="12" t="s">
        <v>345</v>
      </c>
      <c r="C75" s="12" t="s">
        <v>227</v>
      </c>
      <c r="D75" s="12" t="s">
        <v>228</v>
      </c>
      <c r="E75" s="12" t="s">
        <v>224</v>
      </c>
      <c r="F75" s="12" t="s">
        <v>225</v>
      </c>
      <c r="G75" s="5" t="s">
        <v>229</v>
      </c>
      <c r="H75" s="12">
        <f t="shared" si="4"/>
        <v>2744</v>
      </c>
      <c r="I75" s="12" t="s">
        <v>1139</v>
      </c>
      <c r="J75" s="12" t="s">
        <v>1140</v>
      </c>
      <c r="K75" s="12">
        <f t="shared" si="5"/>
        <v>186.2</v>
      </c>
      <c r="L75" s="12">
        <f t="shared" si="6"/>
        <v>197.74125000000001</v>
      </c>
      <c r="M75" s="12">
        <v>1372</v>
      </c>
      <c r="N75" s="12">
        <v>196</v>
      </c>
      <c r="O75" s="12">
        <v>188.32499999999999</v>
      </c>
      <c r="P75" s="12"/>
      <c r="Q75" s="12"/>
      <c r="R75" s="12"/>
      <c r="S75" s="12"/>
      <c r="T75" s="12"/>
      <c r="U75" s="12"/>
      <c r="V75" s="12"/>
      <c r="W75" s="12"/>
    </row>
    <row r="76" spans="2:23" ht="27">
      <c r="B76" s="12" t="s">
        <v>346</v>
      </c>
      <c r="C76" s="12" t="s">
        <v>227</v>
      </c>
      <c r="D76" s="12" t="s">
        <v>228</v>
      </c>
      <c r="E76" s="12" t="s">
        <v>224</v>
      </c>
      <c r="F76" s="12" t="s">
        <v>225</v>
      </c>
      <c r="G76" s="5" t="s">
        <v>229</v>
      </c>
      <c r="H76" s="12">
        <f t="shared" si="4"/>
        <v>2800</v>
      </c>
      <c r="I76" s="12" t="s">
        <v>1139</v>
      </c>
      <c r="J76" s="12" t="s">
        <v>1140</v>
      </c>
      <c r="K76" s="12">
        <f t="shared" si="5"/>
        <v>190</v>
      </c>
      <c r="L76" s="12">
        <f t="shared" si="6"/>
        <v>204.11999999999998</v>
      </c>
      <c r="M76" s="12">
        <v>1400</v>
      </c>
      <c r="N76" s="12">
        <v>200</v>
      </c>
      <c r="O76" s="12">
        <v>194.39999999999998</v>
      </c>
      <c r="P76" s="12"/>
      <c r="Q76" s="12"/>
      <c r="R76" s="12"/>
      <c r="S76" s="12"/>
      <c r="T76" s="12"/>
      <c r="U76" s="12"/>
      <c r="V76" s="12"/>
      <c r="W76" s="12"/>
    </row>
    <row r="77" spans="2:23" ht="27">
      <c r="B77" s="12" t="s">
        <v>347</v>
      </c>
      <c r="C77" s="12" t="s">
        <v>227</v>
      </c>
      <c r="D77" s="12" t="s">
        <v>228</v>
      </c>
      <c r="E77" s="12" t="s">
        <v>224</v>
      </c>
      <c r="F77" s="12" t="s">
        <v>225</v>
      </c>
      <c r="G77" s="5" t="s">
        <v>229</v>
      </c>
      <c r="H77" s="12">
        <f t="shared" si="4"/>
        <v>2856</v>
      </c>
      <c r="I77" s="12" t="s">
        <v>1139</v>
      </c>
      <c r="J77" s="12" t="s">
        <v>1140</v>
      </c>
      <c r="K77" s="12">
        <f t="shared" si="5"/>
        <v>193.79999999999998</v>
      </c>
      <c r="L77" s="12">
        <f t="shared" si="6"/>
        <v>210.49875</v>
      </c>
      <c r="M77" s="12">
        <v>1428</v>
      </c>
      <c r="N77" s="12">
        <v>204</v>
      </c>
      <c r="O77" s="12">
        <v>200.47499999999999</v>
      </c>
      <c r="P77" s="12"/>
      <c r="Q77" s="12"/>
      <c r="R77" s="12"/>
      <c r="S77" s="12"/>
      <c r="T77" s="12"/>
      <c r="U77" s="12"/>
      <c r="V77" s="12"/>
      <c r="W77" s="12"/>
    </row>
    <row r="78" spans="2:23" ht="27">
      <c r="B78" s="12" t="s">
        <v>348</v>
      </c>
      <c r="C78" s="12" t="s">
        <v>227</v>
      </c>
      <c r="D78" s="12" t="s">
        <v>228</v>
      </c>
      <c r="E78" s="12" t="s">
        <v>224</v>
      </c>
      <c r="F78" s="12" t="s">
        <v>225</v>
      </c>
      <c r="G78" s="5" t="s">
        <v>229</v>
      </c>
      <c r="H78" s="12">
        <f t="shared" si="4"/>
        <v>2912</v>
      </c>
      <c r="I78" s="12" t="s">
        <v>1139</v>
      </c>
      <c r="J78" s="12" t="s">
        <v>1140</v>
      </c>
      <c r="K78" s="12">
        <f t="shared" si="5"/>
        <v>197.6</v>
      </c>
      <c r="L78" s="12">
        <f t="shared" si="6"/>
        <v>216.8775</v>
      </c>
      <c r="M78" s="12">
        <v>1456</v>
      </c>
      <c r="N78" s="12">
        <v>208</v>
      </c>
      <c r="O78" s="12">
        <v>206.54999999999998</v>
      </c>
      <c r="P78" s="12"/>
      <c r="Q78" s="12"/>
      <c r="R78" s="12"/>
      <c r="S78" s="12"/>
      <c r="T78" s="12"/>
      <c r="U78" s="12"/>
      <c r="V78" s="12"/>
      <c r="W78" s="12"/>
    </row>
    <row r="79" spans="2:23" ht="27">
      <c r="B79" s="12" t="s">
        <v>349</v>
      </c>
      <c r="C79" s="12" t="s">
        <v>227</v>
      </c>
      <c r="D79" s="12" t="s">
        <v>228</v>
      </c>
      <c r="E79" s="12" t="s">
        <v>224</v>
      </c>
      <c r="F79" s="12" t="s">
        <v>225</v>
      </c>
      <c r="G79" s="5" t="s">
        <v>229</v>
      </c>
      <c r="H79" s="12">
        <f t="shared" si="4"/>
        <v>4400</v>
      </c>
      <c r="I79" s="12" t="s">
        <v>1139</v>
      </c>
      <c r="J79" s="12" t="s">
        <v>1140</v>
      </c>
      <c r="K79" s="12">
        <f t="shared" si="5"/>
        <v>313.5</v>
      </c>
      <c r="L79" s="12">
        <f t="shared" si="6"/>
        <v>287.04374999999999</v>
      </c>
      <c r="M79" s="12">
        <v>2200</v>
      </c>
      <c r="N79" s="12">
        <v>330</v>
      </c>
      <c r="O79" s="12">
        <v>273.375</v>
      </c>
      <c r="P79" s="12"/>
      <c r="Q79" s="12"/>
      <c r="R79" s="12"/>
      <c r="S79" s="12"/>
      <c r="T79" s="12"/>
      <c r="U79" s="12"/>
      <c r="V79" s="12"/>
      <c r="W79" s="12"/>
    </row>
    <row r="80" spans="2:23" ht="27">
      <c r="B80" s="12" t="s">
        <v>350</v>
      </c>
      <c r="C80" s="12" t="s">
        <v>227</v>
      </c>
      <c r="D80" s="12" t="s">
        <v>228</v>
      </c>
      <c r="E80" s="12" t="s">
        <v>224</v>
      </c>
      <c r="F80" s="12" t="s">
        <v>225</v>
      </c>
      <c r="G80" s="5" t="s">
        <v>229</v>
      </c>
      <c r="H80" s="12">
        <f t="shared" si="4"/>
        <v>4480</v>
      </c>
      <c r="I80" s="12" t="s">
        <v>1139</v>
      </c>
      <c r="J80" s="12" t="s">
        <v>1140</v>
      </c>
      <c r="K80" s="12">
        <f t="shared" si="5"/>
        <v>319.2</v>
      </c>
      <c r="L80" s="12">
        <f t="shared" si="6"/>
        <v>295.54874999999998</v>
      </c>
      <c r="M80" s="12">
        <v>2240</v>
      </c>
      <c r="N80" s="12">
        <v>336</v>
      </c>
      <c r="O80" s="12">
        <v>281.47499999999997</v>
      </c>
      <c r="P80" s="12"/>
      <c r="Q80" s="12"/>
      <c r="R80" s="12"/>
      <c r="S80" s="12"/>
      <c r="T80" s="12"/>
      <c r="U80" s="12"/>
      <c r="V80" s="12"/>
      <c r="W80" s="12"/>
    </row>
    <row r="81" spans="2:23" ht="27">
      <c r="B81" s="12" t="s">
        <v>351</v>
      </c>
      <c r="C81" s="12" t="s">
        <v>227</v>
      </c>
      <c r="D81" s="12" t="s">
        <v>228</v>
      </c>
      <c r="E81" s="12" t="s">
        <v>224</v>
      </c>
      <c r="F81" s="12" t="s">
        <v>225</v>
      </c>
      <c r="G81" s="5" t="s">
        <v>229</v>
      </c>
      <c r="H81" s="12">
        <f t="shared" si="4"/>
        <v>4560</v>
      </c>
      <c r="I81" s="12" t="s">
        <v>1139</v>
      </c>
      <c r="J81" s="12" t="s">
        <v>1140</v>
      </c>
      <c r="K81" s="12">
        <f t="shared" si="5"/>
        <v>324.89999999999998</v>
      </c>
      <c r="L81" s="12">
        <f t="shared" si="6"/>
        <v>304.05374999999998</v>
      </c>
      <c r="M81" s="12">
        <v>2280</v>
      </c>
      <c r="N81" s="12">
        <v>342</v>
      </c>
      <c r="O81" s="12">
        <v>289.57499999999999</v>
      </c>
      <c r="P81" s="12"/>
      <c r="Q81" s="12"/>
      <c r="R81" s="12"/>
      <c r="S81" s="12"/>
      <c r="T81" s="12"/>
      <c r="U81" s="12"/>
      <c r="V81" s="12"/>
      <c r="W81" s="12"/>
    </row>
    <row r="82" spans="2:23" ht="27">
      <c r="B82" s="12" t="s">
        <v>352</v>
      </c>
      <c r="C82" s="12" t="s">
        <v>227</v>
      </c>
      <c r="D82" s="12" t="s">
        <v>228</v>
      </c>
      <c r="E82" s="12" t="s">
        <v>224</v>
      </c>
      <c r="F82" s="12" t="s">
        <v>225</v>
      </c>
      <c r="G82" s="5" t="s">
        <v>229</v>
      </c>
      <c r="H82" s="12">
        <f t="shared" si="4"/>
        <v>4640</v>
      </c>
      <c r="I82" s="12" t="s">
        <v>1139</v>
      </c>
      <c r="J82" s="12" t="s">
        <v>1140</v>
      </c>
      <c r="K82" s="12">
        <f t="shared" si="5"/>
        <v>330.59999999999997</v>
      </c>
      <c r="L82" s="12">
        <f t="shared" si="6"/>
        <v>312.55875000000003</v>
      </c>
      <c r="M82" s="12">
        <v>2320</v>
      </c>
      <c r="N82" s="12">
        <v>348</v>
      </c>
      <c r="O82" s="12">
        <v>297.67500000000001</v>
      </c>
      <c r="P82" s="12"/>
      <c r="Q82" s="12"/>
      <c r="R82" s="12"/>
      <c r="S82" s="12"/>
      <c r="T82" s="12"/>
      <c r="U82" s="12"/>
      <c r="V82" s="12"/>
      <c r="W82" s="12"/>
    </row>
    <row r="83" spans="2:23" ht="27">
      <c r="B83" s="12" t="s">
        <v>353</v>
      </c>
      <c r="C83" s="12" t="s">
        <v>227</v>
      </c>
      <c r="D83" s="12" t="s">
        <v>228</v>
      </c>
      <c r="E83" s="12" t="s">
        <v>224</v>
      </c>
      <c r="F83" s="12" t="s">
        <v>225</v>
      </c>
      <c r="G83" s="5" t="s">
        <v>229</v>
      </c>
      <c r="H83" s="12">
        <f t="shared" si="4"/>
        <v>4720</v>
      </c>
      <c r="I83" s="12" t="s">
        <v>1139</v>
      </c>
      <c r="J83" s="12" t="s">
        <v>1140</v>
      </c>
      <c r="K83" s="12">
        <f t="shared" si="5"/>
        <v>336.3</v>
      </c>
      <c r="L83" s="12">
        <f t="shared" si="6"/>
        <v>321.06374999999997</v>
      </c>
      <c r="M83" s="12">
        <v>2360</v>
      </c>
      <c r="N83" s="12">
        <v>354</v>
      </c>
      <c r="O83" s="12">
        <v>305.77499999999998</v>
      </c>
      <c r="P83" s="12"/>
      <c r="Q83" s="12"/>
      <c r="R83" s="12"/>
      <c r="S83" s="12"/>
      <c r="T83" s="12"/>
      <c r="U83" s="12"/>
      <c r="V83" s="12"/>
      <c r="W83" s="12"/>
    </row>
    <row r="84" spans="2:23" ht="27">
      <c r="B84" s="12" t="s">
        <v>354</v>
      </c>
      <c r="C84" s="12" t="s">
        <v>227</v>
      </c>
      <c r="D84" s="12" t="s">
        <v>228</v>
      </c>
      <c r="E84" s="12" t="s">
        <v>224</v>
      </c>
      <c r="F84" s="12" t="s">
        <v>225</v>
      </c>
      <c r="G84" s="5" t="s">
        <v>229</v>
      </c>
      <c r="H84" s="12">
        <f t="shared" si="4"/>
        <v>4800</v>
      </c>
      <c r="I84" s="12" t="s">
        <v>1139</v>
      </c>
      <c r="J84" s="12" t="s">
        <v>1140</v>
      </c>
      <c r="K84" s="12">
        <f t="shared" si="5"/>
        <v>342</v>
      </c>
      <c r="L84" s="12">
        <f t="shared" si="6"/>
        <v>329.56875000000002</v>
      </c>
      <c r="M84" s="12">
        <v>2400</v>
      </c>
      <c r="N84" s="12">
        <v>360</v>
      </c>
      <c r="O84" s="12">
        <v>313.875</v>
      </c>
      <c r="P84" s="12"/>
      <c r="Q84" s="12"/>
      <c r="R84" s="12"/>
      <c r="S84" s="12"/>
      <c r="T84" s="12"/>
      <c r="U84" s="12"/>
      <c r="V84" s="12"/>
      <c r="W84" s="12"/>
    </row>
    <row r="85" spans="2:23" ht="27">
      <c r="B85" s="12" t="s">
        <v>355</v>
      </c>
      <c r="C85" s="12" t="s">
        <v>227</v>
      </c>
      <c r="D85" s="12" t="s">
        <v>228</v>
      </c>
      <c r="E85" s="12" t="s">
        <v>224</v>
      </c>
      <c r="F85" s="12" t="s">
        <v>225</v>
      </c>
      <c r="G85" s="5" t="s">
        <v>229</v>
      </c>
      <c r="H85" s="12">
        <f t="shared" si="4"/>
        <v>4880</v>
      </c>
      <c r="I85" s="12" t="s">
        <v>1139</v>
      </c>
      <c r="J85" s="12" t="s">
        <v>1140</v>
      </c>
      <c r="K85" s="12">
        <f t="shared" si="5"/>
        <v>347.7</v>
      </c>
      <c r="L85" s="12">
        <f t="shared" si="6"/>
        <v>338.07374999999996</v>
      </c>
      <c r="M85" s="12">
        <v>2440</v>
      </c>
      <c r="N85" s="12">
        <v>366</v>
      </c>
      <c r="O85" s="12">
        <v>321.97499999999997</v>
      </c>
      <c r="P85" s="12"/>
      <c r="Q85" s="12"/>
      <c r="R85" s="12"/>
      <c r="S85" s="12"/>
      <c r="T85" s="12"/>
      <c r="U85" s="12"/>
      <c r="V85" s="12"/>
      <c r="W85" s="12"/>
    </row>
    <row r="86" spans="2:23" ht="27">
      <c r="B86" s="12" t="s">
        <v>356</v>
      </c>
      <c r="C86" s="12" t="s">
        <v>227</v>
      </c>
      <c r="D86" s="12" t="s">
        <v>228</v>
      </c>
      <c r="E86" s="12" t="s">
        <v>224</v>
      </c>
      <c r="F86" s="12" t="s">
        <v>225</v>
      </c>
      <c r="G86" s="5" t="s">
        <v>229</v>
      </c>
      <c r="H86" s="12">
        <f t="shared" si="4"/>
        <v>4960</v>
      </c>
      <c r="I86" s="12" t="s">
        <v>1139</v>
      </c>
      <c r="J86" s="12" t="s">
        <v>1140</v>
      </c>
      <c r="K86" s="12">
        <f t="shared" si="5"/>
        <v>353.4</v>
      </c>
      <c r="L86" s="12">
        <f t="shared" si="6"/>
        <v>346.57875000000001</v>
      </c>
      <c r="M86" s="12">
        <v>2480</v>
      </c>
      <c r="N86" s="12">
        <v>372</v>
      </c>
      <c r="O86" s="12">
        <v>330.07499999999999</v>
      </c>
      <c r="P86" s="12"/>
      <c r="Q86" s="12"/>
      <c r="R86" s="12"/>
      <c r="S86" s="12"/>
      <c r="T86" s="12"/>
      <c r="U86" s="12"/>
      <c r="V86" s="12"/>
      <c r="W86" s="12"/>
    </row>
    <row r="87" spans="2:23" ht="27">
      <c r="B87" s="12" t="s">
        <v>357</v>
      </c>
      <c r="C87" s="12" t="s">
        <v>227</v>
      </c>
      <c r="D87" s="12" t="s">
        <v>228</v>
      </c>
      <c r="E87" s="12" t="s">
        <v>224</v>
      </c>
      <c r="F87" s="12" t="s">
        <v>225</v>
      </c>
      <c r="G87" s="5" t="s">
        <v>229</v>
      </c>
      <c r="H87" s="12">
        <f t="shared" si="4"/>
        <v>5040</v>
      </c>
      <c r="I87" s="12" t="s">
        <v>1139</v>
      </c>
      <c r="J87" s="12" t="s">
        <v>1140</v>
      </c>
      <c r="K87" s="12">
        <f t="shared" si="5"/>
        <v>359.09999999999997</v>
      </c>
      <c r="L87" s="12">
        <f t="shared" si="6"/>
        <v>355.08375000000001</v>
      </c>
      <c r="M87" s="12">
        <v>2520</v>
      </c>
      <c r="N87" s="12">
        <v>378</v>
      </c>
      <c r="O87" s="12">
        <v>338.17500000000001</v>
      </c>
      <c r="P87" s="12"/>
      <c r="Q87" s="12"/>
      <c r="R87" s="12"/>
      <c r="S87" s="12"/>
      <c r="T87" s="12"/>
      <c r="U87" s="12"/>
      <c r="V87" s="12"/>
      <c r="W87" s="12"/>
    </row>
    <row r="88" spans="2:23" ht="27">
      <c r="B88" s="12" t="s">
        <v>358</v>
      </c>
      <c r="C88" s="12" t="s">
        <v>227</v>
      </c>
      <c r="D88" s="12" t="s">
        <v>228</v>
      </c>
      <c r="E88" s="12" t="s">
        <v>224</v>
      </c>
      <c r="F88" s="12" t="s">
        <v>225</v>
      </c>
      <c r="G88" s="5" t="s">
        <v>229</v>
      </c>
      <c r="H88" s="12">
        <f t="shared" si="4"/>
        <v>5120</v>
      </c>
      <c r="I88" s="12" t="s">
        <v>1139</v>
      </c>
      <c r="J88" s="12" t="s">
        <v>1140</v>
      </c>
      <c r="K88" s="12">
        <f t="shared" si="5"/>
        <v>364.79999999999995</v>
      </c>
      <c r="L88" s="12">
        <f t="shared" si="6"/>
        <v>363.58875</v>
      </c>
      <c r="M88" s="12">
        <v>2560</v>
      </c>
      <c r="N88" s="12">
        <v>384</v>
      </c>
      <c r="O88" s="12">
        <v>346.27499999999998</v>
      </c>
      <c r="P88" s="12"/>
      <c r="Q88" s="12"/>
      <c r="R88" s="12"/>
      <c r="S88" s="12"/>
      <c r="T88" s="12"/>
      <c r="U88" s="12"/>
      <c r="V88" s="12"/>
      <c r="W88" s="12"/>
    </row>
    <row r="89" spans="2:23" ht="27">
      <c r="B89" s="12" t="s">
        <v>359</v>
      </c>
      <c r="C89" s="12" t="s">
        <v>227</v>
      </c>
      <c r="D89" s="12" t="s">
        <v>228</v>
      </c>
      <c r="E89" s="12" t="s">
        <v>224</v>
      </c>
      <c r="F89" s="12" t="s">
        <v>225</v>
      </c>
      <c r="G89" s="5" t="s">
        <v>229</v>
      </c>
      <c r="H89" s="12">
        <f t="shared" si="4"/>
        <v>5200</v>
      </c>
      <c r="I89" s="12" t="s">
        <v>1139</v>
      </c>
      <c r="J89" s="12" t="s">
        <v>1140</v>
      </c>
      <c r="K89" s="12">
        <f t="shared" si="5"/>
        <v>370.5</v>
      </c>
      <c r="L89" s="12">
        <f t="shared" si="6"/>
        <v>372.09375</v>
      </c>
      <c r="M89" s="12">
        <v>2600</v>
      </c>
      <c r="N89" s="12">
        <v>390</v>
      </c>
      <c r="O89" s="12">
        <v>354.375</v>
      </c>
      <c r="P89" s="12"/>
      <c r="Q89" s="12"/>
      <c r="R89" s="12"/>
      <c r="S89" s="12"/>
      <c r="T89" s="12"/>
      <c r="U89" s="12"/>
      <c r="V89" s="12"/>
      <c r="W89" s="12"/>
    </row>
    <row r="90" spans="2:23" ht="27">
      <c r="B90" s="12" t="s">
        <v>360</v>
      </c>
      <c r="C90" s="12" t="s">
        <v>227</v>
      </c>
      <c r="D90" s="12" t="s">
        <v>228</v>
      </c>
      <c r="E90" s="12" t="s">
        <v>224</v>
      </c>
      <c r="F90" s="12" t="s">
        <v>225</v>
      </c>
      <c r="G90" s="5" t="s">
        <v>229</v>
      </c>
      <c r="H90" s="12">
        <f t="shared" si="4"/>
        <v>5280</v>
      </c>
      <c r="I90" s="12" t="s">
        <v>1139</v>
      </c>
      <c r="J90" s="12" t="s">
        <v>1140</v>
      </c>
      <c r="K90" s="12">
        <f t="shared" si="5"/>
        <v>376.2</v>
      </c>
      <c r="L90" s="12">
        <f t="shared" si="6"/>
        <v>380.59875</v>
      </c>
      <c r="M90" s="12">
        <v>2640</v>
      </c>
      <c r="N90" s="12">
        <v>396</v>
      </c>
      <c r="O90" s="12">
        <v>362.47499999999997</v>
      </c>
      <c r="P90" s="12"/>
      <c r="Q90" s="12"/>
      <c r="R90" s="12"/>
      <c r="S90" s="12"/>
      <c r="T90" s="12"/>
      <c r="U90" s="12"/>
      <c r="V90" s="12"/>
      <c r="W90" s="12"/>
    </row>
    <row r="91" spans="2:23" ht="27">
      <c r="B91" s="12" t="s">
        <v>361</v>
      </c>
      <c r="C91" s="12" t="s">
        <v>227</v>
      </c>
      <c r="D91" s="12" t="s">
        <v>228</v>
      </c>
      <c r="E91" s="12" t="s">
        <v>224</v>
      </c>
      <c r="F91" s="12" t="s">
        <v>225</v>
      </c>
      <c r="G91" s="5" t="s">
        <v>229</v>
      </c>
      <c r="H91" s="12">
        <f t="shared" si="4"/>
        <v>5360</v>
      </c>
      <c r="I91" s="12" t="s">
        <v>1139</v>
      </c>
      <c r="J91" s="12" t="s">
        <v>1140</v>
      </c>
      <c r="K91" s="12">
        <f t="shared" si="5"/>
        <v>381.9</v>
      </c>
      <c r="L91" s="12">
        <f t="shared" si="6"/>
        <v>389.10374999999999</v>
      </c>
      <c r="M91" s="12">
        <v>2680</v>
      </c>
      <c r="N91" s="12">
        <v>402</v>
      </c>
      <c r="O91" s="12">
        <v>370.57499999999999</v>
      </c>
      <c r="P91" s="12"/>
      <c r="Q91" s="12"/>
      <c r="R91" s="12"/>
      <c r="S91" s="12"/>
      <c r="T91" s="12"/>
      <c r="U91" s="12"/>
      <c r="V91" s="12"/>
      <c r="W91" s="12"/>
    </row>
    <row r="92" spans="2:23" ht="27">
      <c r="B92" s="12" t="s">
        <v>362</v>
      </c>
      <c r="C92" s="12" t="s">
        <v>227</v>
      </c>
      <c r="D92" s="12" t="s">
        <v>228</v>
      </c>
      <c r="E92" s="12" t="s">
        <v>224</v>
      </c>
      <c r="F92" s="12" t="s">
        <v>225</v>
      </c>
      <c r="G92" s="5" t="s">
        <v>229</v>
      </c>
      <c r="H92" s="12">
        <f t="shared" si="4"/>
        <v>5440</v>
      </c>
      <c r="I92" s="12" t="s">
        <v>1139</v>
      </c>
      <c r="J92" s="12" t="s">
        <v>1140</v>
      </c>
      <c r="K92" s="12">
        <f t="shared" si="5"/>
        <v>387.59999999999997</v>
      </c>
      <c r="L92" s="12">
        <f t="shared" si="6"/>
        <v>397.60875000000004</v>
      </c>
      <c r="M92" s="12">
        <v>2720</v>
      </c>
      <c r="N92" s="12">
        <v>408</v>
      </c>
      <c r="O92" s="12">
        <v>378.67500000000001</v>
      </c>
      <c r="P92" s="12"/>
      <c r="Q92" s="12"/>
      <c r="R92" s="12"/>
      <c r="S92" s="12"/>
      <c r="T92" s="12"/>
      <c r="U92" s="12"/>
      <c r="V92" s="12"/>
      <c r="W92" s="12"/>
    </row>
    <row r="93" spans="2:23" ht="27">
      <c r="B93" s="12" t="s">
        <v>363</v>
      </c>
      <c r="C93" s="12" t="s">
        <v>227</v>
      </c>
      <c r="D93" s="12" t="s">
        <v>228</v>
      </c>
      <c r="E93" s="12" t="s">
        <v>224</v>
      </c>
      <c r="F93" s="12" t="s">
        <v>225</v>
      </c>
      <c r="G93" s="5" t="s">
        <v>229</v>
      </c>
      <c r="H93" s="12">
        <f t="shared" si="4"/>
        <v>5520</v>
      </c>
      <c r="I93" s="12" t="s">
        <v>1139</v>
      </c>
      <c r="J93" s="12" t="s">
        <v>1140</v>
      </c>
      <c r="K93" s="12">
        <f t="shared" si="5"/>
        <v>393.29999999999995</v>
      </c>
      <c r="L93" s="12">
        <f t="shared" si="6"/>
        <v>406.11374999999998</v>
      </c>
      <c r="M93" s="12">
        <v>2760</v>
      </c>
      <c r="N93" s="12">
        <v>414</v>
      </c>
      <c r="O93" s="12">
        <v>386.77499999999998</v>
      </c>
      <c r="P93" s="12"/>
      <c r="Q93" s="12"/>
      <c r="R93" s="12"/>
      <c r="S93" s="12"/>
      <c r="T93" s="12"/>
      <c r="U93" s="12"/>
      <c r="V93" s="12"/>
      <c r="W93" s="12"/>
    </row>
    <row r="94" spans="2:23" ht="27">
      <c r="B94" s="12" t="s">
        <v>364</v>
      </c>
      <c r="C94" s="12" t="s">
        <v>227</v>
      </c>
      <c r="D94" s="12" t="s">
        <v>228</v>
      </c>
      <c r="E94" s="12" t="s">
        <v>224</v>
      </c>
      <c r="F94" s="12" t="s">
        <v>225</v>
      </c>
      <c r="G94" s="5" t="s">
        <v>229</v>
      </c>
      <c r="H94" s="12">
        <f t="shared" si="4"/>
        <v>7776</v>
      </c>
      <c r="I94" s="12" t="s">
        <v>1139</v>
      </c>
      <c r="J94" s="12" t="s">
        <v>1140</v>
      </c>
      <c r="K94" s="12">
        <f t="shared" si="5"/>
        <v>547.19999999999993</v>
      </c>
      <c r="L94" s="12">
        <f t="shared" si="6"/>
        <v>756</v>
      </c>
      <c r="M94" s="12">
        <v>3888</v>
      </c>
      <c r="N94" s="12">
        <v>576</v>
      </c>
      <c r="O94" s="12">
        <v>720</v>
      </c>
      <c r="P94" s="12"/>
      <c r="Q94" s="12"/>
      <c r="R94" s="12"/>
      <c r="S94" s="12"/>
      <c r="T94" s="12"/>
      <c r="U94" s="12"/>
      <c r="V94" s="12"/>
      <c r="W94" s="12"/>
    </row>
    <row r="95" spans="2:23" ht="27">
      <c r="B95" s="12" t="s">
        <v>365</v>
      </c>
      <c r="C95" s="12" t="s">
        <v>227</v>
      </c>
      <c r="D95" s="12" t="s">
        <v>228</v>
      </c>
      <c r="E95" s="12" t="s">
        <v>224</v>
      </c>
      <c r="F95" s="12" t="s">
        <v>225</v>
      </c>
      <c r="G95" s="5" t="s">
        <v>229</v>
      </c>
      <c r="H95" s="12">
        <f t="shared" si="4"/>
        <v>0</v>
      </c>
      <c r="I95" s="12" t="s">
        <v>1139</v>
      </c>
      <c r="J95" s="12" t="s">
        <v>1140</v>
      </c>
      <c r="K95" s="12">
        <f t="shared" si="5"/>
        <v>0</v>
      </c>
      <c r="L95" s="12">
        <f t="shared" si="6"/>
        <v>0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2:23" ht="27">
      <c r="B96" s="12" t="s">
        <v>366</v>
      </c>
      <c r="C96" s="12" t="s">
        <v>227</v>
      </c>
      <c r="D96" s="12" t="s">
        <v>228</v>
      </c>
      <c r="E96" s="12" t="s">
        <v>224</v>
      </c>
      <c r="F96" s="12" t="s">
        <v>225</v>
      </c>
      <c r="G96" s="5" t="s">
        <v>229</v>
      </c>
      <c r="H96" s="12">
        <f t="shared" si="4"/>
        <v>0</v>
      </c>
      <c r="I96" s="12" t="s">
        <v>1139</v>
      </c>
      <c r="J96" s="12" t="s">
        <v>1140</v>
      </c>
      <c r="K96" s="12">
        <f t="shared" si="5"/>
        <v>0</v>
      </c>
      <c r="L96" s="12">
        <f t="shared" si="6"/>
        <v>0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2:23" ht="27">
      <c r="B97" s="12" t="s">
        <v>367</v>
      </c>
      <c r="C97" s="12" t="s">
        <v>227</v>
      </c>
      <c r="D97" s="12" t="s">
        <v>228</v>
      </c>
      <c r="E97" s="12" t="s">
        <v>224</v>
      </c>
      <c r="F97" s="12" t="s">
        <v>225</v>
      </c>
      <c r="G97" s="5" t="s">
        <v>229</v>
      </c>
      <c r="H97" s="12">
        <f t="shared" si="4"/>
        <v>0</v>
      </c>
      <c r="I97" s="12" t="s">
        <v>1139</v>
      </c>
      <c r="J97" s="12" t="s">
        <v>1140</v>
      </c>
      <c r="K97" s="12">
        <f t="shared" si="5"/>
        <v>0</v>
      </c>
      <c r="L97" s="12">
        <f t="shared" si="6"/>
        <v>0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2:23">
      <c r="B98" s="12"/>
      <c r="C98" s="12"/>
      <c r="D98" s="12"/>
      <c r="E98" s="12"/>
      <c r="F98" s="12"/>
      <c r="G98" s="5"/>
      <c r="H98" s="12"/>
      <c r="I98" s="12"/>
      <c r="J98" s="12"/>
      <c r="K98" s="12" t="str">
        <f t="shared" ref="K98" si="7">"防"&amp;I98</f>
        <v>防</v>
      </c>
      <c r="L98" s="12" t="str">
        <f t="shared" ref="L98" si="8">"攻"&amp;J98</f>
        <v>攻</v>
      </c>
      <c r="P98" s="12"/>
      <c r="Q98" s="12"/>
      <c r="R98" s="12"/>
      <c r="S98" s="12"/>
      <c r="T98" s="12"/>
      <c r="U98" s="12"/>
      <c r="V98" s="12"/>
      <c r="W98" s="12"/>
    </row>
    <row r="99" spans="2:23">
      <c r="B99" s="26" t="s">
        <v>368</v>
      </c>
      <c r="C99" s="12" t="s">
        <v>228</v>
      </c>
      <c r="D99" s="12" t="s">
        <v>228</v>
      </c>
      <c r="E99" s="12" t="s">
        <v>231</v>
      </c>
      <c r="F99" s="12" t="s">
        <v>225</v>
      </c>
      <c r="G99" s="5" t="s">
        <v>224</v>
      </c>
      <c r="H99" s="12">
        <f>M99*$X$8</f>
        <v>144</v>
      </c>
      <c r="I99" s="12" t="s">
        <v>1154</v>
      </c>
      <c r="J99" s="12" t="s">
        <v>232</v>
      </c>
      <c r="K99" s="12">
        <f>N99*$Z$8</f>
        <v>32</v>
      </c>
      <c r="L99" s="12">
        <f>O99*$X$8</f>
        <v>12</v>
      </c>
      <c r="M99" s="12">
        <v>360</v>
      </c>
      <c r="N99" s="12">
        <v>40</v>
      </c>
      <c r="O99" s="12">
        <v>30</v>
      </c>
      <c r="P99" s="12" t="s">
        <v>233</v>
      </c>
      <c r="Q99" s="12" t="s">
        <v>234</v>
      </c>
      <c r="R99" s="12" t="s">
        <v>235</v>
      </c>
      <c r="S99" s="12"/>
      <c r="T99" s="12" t="s">
        <v>1136</v>
      </c>
      <c r="U99" s="12" t="s">
        <v>1136</v>
      </c>
      <c r="V99" s="12"/>
      <c r="W99" s="12"/>
    </row>
    <row r="100" spans="2:23">
      <c r="B100" s="26" t="s">
        <v>369</v>
      </c>
      <c r="C100" s="12" t="s">
        <v>228</v>
      </c>
      <c r="D100" s="12" t="s">
        <v>228</v>
      </c>
      <c r="E100" s="12" t="s">
        <v>231</v>
      </c>
      <c r="F100" s="12" t="s">
        <v>225</v>
      </c>
      <c r="G100" s="5" t="s">
        <v>224</v>
      </c>
      <c r="H100" s="12">
        <f t="shared" ref="H100:H146" si="9">M100*$X$8</f>
        <v>165.60000000000002</v>
      </c>
      <c r="I100" s="12" t="s">
        <v>1154</v>
      </c>
      <c r="J100" s="12" t="s">
        <v>232</v>
      </c>
      <c r="K100" s="12">
        <f t="shared" ref="K100:K146" si="10">N100*$Z$8</f>
        <v>36.800000000000004</v>
      </c>
      <c r="L100" s="12">
        <f t="shared" ref="L100:L146" si="11">O100*$X$8</f>
        <v>15.200000000000001</v>
      </c>
      <c r="M100" s="12">
        <v>414</v>
      </c>
      <c r="N100" s="12">
        <v>46</v>
      </c>
      <c r="O100" s="12">
        <v>38</v>
      </c>
      <c r="P100" s="12" t="s">
        <v>233</v>
      </c>
      <c r="Q100" s="12" t="s">
        <v>234</v>
      </c>
      <c r="R100" s="12" t="s">
        <v>235</v>
      </c>
      <c r="S100" s="12"/>
      <c r="T100" s="12" t="s">
        <v>1136</v>
      </c>
      <c r="U100" s="12" t="s">
        <v>1136</v>
      </c>
      <c r="V100" s="12"/>
      <c r="W100" s="12"/>
    </row>
    <row r="101" spans="2:23">
      <c r="B101" s="26" t="s">
        <v>370</v>
      </c>
      <c r="C101" s="12" t="s">
        <v>228</v>
      </c>
      <c r="D101" s="12" t="s">
        <v>228</v>
      </c>
      <c r="E101" s="12" t="s">
        <v>231</v>
      </c>
      <c r="F101" s="12" t="s">
        <v>225</v>
      </c>
      <c r="G101" s="5" t="s">
        <v>224</v>
      </c>
      <c r="H101" s="12">
        <f t="shared" si="9"/>
        <v>172.8</v>
      </c>
      <c r="I101" s="12" t="s">
        <v>1154</v>
      </c>
      <c r="J101" s="12" t="s">
        <v>232</v>
      </c>
      <c r="K101" s="12">
        <f t="shared" si="10"/>
        <v>38.400000000000006</v>
      </c>
      <c r="L101" s="12">
        <f t="shared" si="11"/>
        <v>16.8</v>
      </c>
      <c r="M101" s="12">
        <v>432</v>
      </c>
      <c r="N101" s="12">
        <v>48</v>
      </c>
      <c r="O101" s="12">
        <v>42</v>
      </c>
      <c r="P101" s="12" t="s">
        <v>233</v>
      </c>
      <c r="Q101" s="12" t="s">
        <v>234</v>
      </c>
      <c r="R101" s="12" t="s">
        <v>235</v>
      </c>
      <c r="S101" s="12"/>
      <c r="T101" s="12" t="s">
        <v>1136</v>
      </c>
      <c r="U101" s="12" t="s">
        <v>1136</v>
      </c>
      <c r="V101" s="12"/>
      <c r="W101" s="12"/>
    </row>
    <row r="102" spans="2:23">
      <c r="B102" s="26" t="s">
        <v>371</v>
      </c>
      <c r="C102" s="12" t="s">
        <v>228</v>
      </c>
      <c r="D102" s="12" t="s">
        <v>228</v>
      </c>
      <c r="E102" s="12" t="s">
        <v>231</v>
      </c>
      <c r="F102" s="12" t="s">
        <v>225</v>
      </c>
      <c r="G102" s="5" t="s">
        <v>224</v>
      </c>
      <c r="H102" s="12">
        <f t="shared" si="9"/>
        <v>180</v>
      </c>
      <c r="I102" s="12" t="s">
        <v>1154</v>
      </c>
      <c r="J102" s="12" t="s">
        <v>232</v>
      </c>
      <c r="K102" s="12">
        <f t="shared" si="10"/>
        <v>40</v>
      </c>
      <c r="L102" s="12">
        <f t="shared" si="11"/>
        <v>18.400000000000002</v>
      </c>
      <c r="M102" s="12">
        <v>450</v>
      </c>
      <c r="N102" s="12">
        <v>50</v>
      </c>
      <c r="O102" s="12">
        <v>46</v>
      </c>
      <c r="P102" s="12" t="s">
        <v>233</v>
      </c>
      <c r="Q102" s="12" t="s">
        <v>234</v>
      </c>
      <c r="R102" s="12" t="s">
        <v>235</v>
      </c>
      <c r="S102" s="12"/>
      <c r="T102" s="12" t="s">
        <v>1136</v>
      </c>
      <c r="U102" s="12" t="s">
        <v>1136</v>
      </c>
      <c r="V102" s="12"/>
      <c r="W102" s="12"/>
    </row>
    <row r="103" spans="2:23">
      <c r="B103" s="26" t="s">
        <v>372</v>
      </c>
      <c r="C103" s="12" t="s">
        <v>228</v>
      </c>
      <c r="D103" s="12" t="s">
        <v>228</v>
      </c>
      <c r="E103" s="12" t="s">
        <v>231</v>
      </c>
      <c r="F103" s="12" t="s">
        <v>225</v>
      </c>
      <c r="G103" s="5" t="s">
        <v>224</v>
      </c>
      <c r="H103" s="12">
        <f t="shared" si="9"/>
        <v>187.20000000000002</v>
      </c>
      <c r="I103" s="12" t="s">
        <v>1154</v>
      </c>
      <c r="J103" s="12" t="s">
        <v>232</v>
      </c>
      <c r="K103" s="12">
        <f t="shared" si="10"/>
        <v>41.6</v>
      </c>
      <c r="L103" s="12">
        <f t="shared" si="11"/>
        <v>20</v>
      </c>
      <c r="M103" s="12">
        <v>468</v>
      </c>
      <c r="N103" s="12">
        <v>52</v>
      </c>
      <c r="O103" s="12">
        <v>50</v>
      </c>
      <c r="P103" s="12" t="s">
        <v>233</v>
      </c>
      <c r="Q103" s="12" t="s">
        <v>234</v>
      </c>
      <c r="R103" s="12" t="s">
        <v>235</v>
      </c>
      <c r="S103" s="12"/>
      <c r="T103" s="12" t="s">
        <v>1136</v>
      </c>
      <c r="U103" s="12" t="s">
        <v>1136</v>
      </c>
      <c r="V103" s="12"/>
      <c r="W103" s="12"/>
    </row>
    <row r="104" spans="2:23">
      <c r="B104" s="26" t="s">
        <v>373</v>
      </c>
      <c r="C104" s="12" t="s">
        <v>228</v>
      </c>
      <c r="D104" s="12" t="s">
        <v>228</v>
      </c>
      <c r="E104" s="12" t="s">
        <v>231</v>
      </c>
      <c r="F104" s="12" t="s">
        <v>225</v>
      </c>
      <c r="G104" s="5" t="s">
        <v>224</v>
      </c>
      <c r="H104" s="12">
        <f t="shared" si="9"/>
        <v>194.4</v>
      </c>
      <c r="I104" s="12" t="s">
        <v>1154</v>
      </c>
      <c r="J104" s="12" t="s">
        <v>232</v>
      </c>
      <c r="K104" s="12">
        <f t="shared" si="10"/>
        <v>43.2</v>
      </c>
      <c r="L104" s="12">
        <f t="shared" si="11"/>
        <v>21.6</v>
      </c>
      <c r="M104" s="12">
        <v>486</v>
      </c>
      <c r="N104" s="12">
        <v>54</v>
      </c>
      <c r="O104" s="12">
        <v>54</v>
      </c>
      <c r="P104" s="12" t="s">
        <v>233</v>
      </c>
      <c r="Q104" s="12" t="s">
        <v>234</v>
      </c>
      <c r="R104" s="12" t="s">
        <v>235</v>
      </c>
      <c r="S104" s="12"/>
      <c r="T104" s="12" t="s">
        <v>1136</v>
      </c>
      <c r="U104" s="12" t="s">
        <v>1136</v>
      </c>
      <c r="V104" s="12"/>
      <c r="W104" s="12"/>
    </row>
    <row r="105" spans="2:23">
      <c r="B105" s="26" t="s">
        <v>374</v>
      </c>
      <c r="C105" s="12" t="s">
        <v>228</v>
      </c>
      <c r="D105" s="12" t="s">
        <v>228</v>
      </c>
      <c r="E105" s="12" t="s">
        <v>231</v>
      </c>
      <c r="F105" s="12" t="s">
        <v>225</v>
      </c>
      <c r="G105" s="5" t="s">
        <v>224</v>
      </c>
      <c r="H105" s="12">
        <f t="shared" si="9"/>
        <v>201.60000000000002</v>
      </c>
      <c r="I105" s="12" t="s">
        <v>1154</v>
      </c>
      <c r="J105" s="12" t="s">
        <v>232</v>
      </c>
      <c r="K105" s="12">
        <f t="shared" si="10"/>
        <v>44.800000000000004</v>
      </c>
      <c r="L105" s="12">
        <f t="shared" si="11"/>
        <v>23.200000000000003</v>
      </c>
      <c r="M105" s="12">
        <v>504</v>
      </c>
      <c r="N105" s="12">
        <v>56</v>
      </c>
      <c r="O105" s="12">
        <v>58</v>
      </c>
      <c r="P105" s="12" t="s">
        <v>233</v>
      </c>
      <c r="Q105" s="12" t="s">
        <v>234</v>
      </c>
      <c r="R105" s="12" t="s">
        <v>235</v>
      </c>
      <c r="S105" s="12"/>
      <c r="T105" s="12" t="s">
        <v>1136</v>
      </c>
      <c r="U105" s="12" t="s">
        <v>1136</v>
      </c>
      <c r="V105" s="12"/>
      <c r="W105" s="12"/>
    </row>
    <row r="106" spans="2:23">
      <c r="B106" s="26" t="s">
        <v>375</v>
      </c>
      <c r="C106" s="12" t="s">
        <v>228</v>
      </c>
      <c r="D106" s="12" t="s">
        <v>228</v>
      </c>
      <c r="E106" s="12" t="s">
        <v>231</v>
      </c>
      <c r="F106" s="12" t="s">
        <v>225</v>
      </c>
      <c r="G106" s="5" t="s">
        <v>224</v>
      </c>
      <c r="H106" s="12">
        <f t="shared" si="9"/>
        <v>208.8</v>
      </c>
      <c r="I106" s="12" t="s">
        <v>1154</v>
      </c>
      <c r="J106" s="12" t="s">
        <v>232</v>
      </c>
      <c r="K106" s="12">
        <f t="shared" si="10"/>
        <v>46.400000000000006</v>
      </c>
      <c r="L106" s="12">
        <f t="shared" si="11"/>
        <v>24.8</v>
      </c>
      <c r="M106" s="12">
        <v>522</v>
      </c>
      <c r="N106" s="12">
        <v>58</v>
      </c>
      <c r="O106" s="12">
        <v>62</v>
      </c>
      <c r="P106" s="12" t="s">
        <v>233</v>
      </c>
      <c r="Q106" s="12" t="s">
        <v>234</v>
      </c>
      <c r="R106" s="12" t="s">
        <v>235</v>
      </c>
      <c r="S106" s="12"/>
      <c r="T106" s="12" t="s">
        <v>1136</v>
      </c>
      <c r="U106" s="12" t="s">
        <v>1136</v>
      </c>
      <c r="V106" s="12"/>
      <c r="W106" s="12"/>
    </row>
    <row r="107" spans="2:23">
      <c r="B107" s="26" t="s">
        <v>376</v>
      </c>
      <c r="C107" s="12" t="s">
        <v>228</v>
      </c>
      <c r="D107" s="12" t="s">
        <v>228</v>
      </c>
      <c r="E107" s="12" t="s">
        <v>231</v>
      </c>
      <c r="F107" s="12" t="s">
        <v>225</v>
      </c>
      <c r="G107" s="5" t="s">
        <v>224</v>
      </c>
      <c r="H107" s="12">
        <f t="shared" si="9"/>
        <v>216</v>
      </c>
      <c r="I107" s="12" t="s">
        <v>1154</v>
      </c>
      <c r="J107" s="12" t="s">
        <v>232</v>
      </c>
      <c r="K107" s="12">
        <f t="shared" si="10"/>
        <v>48</v>
      </c>
      <c r="L107" s="12">
        <f t="shared" si="11"/>
        <v>26.400000000000002</v>
      </c>
      <c r="M107" s="12">
        <v>540</v>
      </c>
      <c r="N107" s="12">
        <v>60</v>
      </c>
      <c r="O107" s="12">
        <v>66</v>
      </c>
      <c r="P107" s="12" t="s">
        <v>233</v>
      </c>
      <c r="Q107" s="12" t="s">
        <v>234</v>
      </c>
      <c r="R107" s="12" t="s">
        <v>235</v>
      </c>
      <c r="S107" s="12"/>
      <c r="T107" s="12" t="s">
        <v>1136</v>
      </c>
      <c r="U107" s="12" t="s">
        <v>1136</v>
      </c>
      <c r="V107" s="12"/>
      <c r="W107" s="12"/>
    </row>
    <row r="108" spans="2:23">
      <c r="B108" s="26" t="s">
        <v>377</v>
      </c>
      <c r="C108" s="12" t="s">
        <v>228</v>
      </c>
      <c r="D108" s="12" t="s">
        <v>228</v>
      </c>
      <c r="E108" s="12" t="s">
        <v>231</v>
      </c>
      <c r="F108" s="12" t="s">
        <v>225</v>
      </c>
      <c r="G108" s="5" t="s">
        <v>224</v>
      </c>
      <c r="H108" s="12">
        <f t="shared" si="9"/>
        <v>223.20000000000002</v>
      </c>
      <c r="I108" s="12" t="s">
        <v>1154</v>
      </c>
      <c r="J108" s="12" t="s">
        <v>232</v>
      </c>
      <c r="K108" s="12">
        <f t="shared" si="10"/>
        <v>49.6</v>
      </c>
      <c r="L108" s="12">
        <f t="shared" si="11"/>
        <v>28</v>
      </c>
      <c r="M108" s="12">
        <v>558</v>
      </c>
      <c r="N108" s="12">
        <v>62</v>
      </c>
      <c r="O108" s="12">
        <v>70</v>
      </c>
      <c r="P108" s="12" t="s">
        <v>233</v>
      </c>
      <c r="Q108" s="12" t="s">
        <v>234</v>
      </c>
      <c r="R108" s="12" t="s">
        <v>235</v>
      </c>
      <c r="S108" s="12"/>
      <c r="T108" s="12" t="s">
        <v>1136</v>
      </c>
      <c r="U108" s="12" t="s">
        <v>1136</v>
      </c>
      <c r="V108" s="12"/>
      <c r="W108" s="12"/>
    </row>
    <row r="109" spans="2:23">
      <c r="B109" s="26" t="s">
        <v>378</v>
      </c>
      <c r="C109" s="12" t="s">
        <v>228</v>
      </c>
      <c r="D109" s="12" t="s">
        <v>228</v>
      </c>
      <c r="E109" s="12" t="s">
        <v>231</v>
      </c>
      <c r="F109" s="12" t="s">
        <v>225</v>
      </c>
      <c r="G109" s="5" t="s">
        <v>224</v>
      </c>
      <c r="H109" s="12">
        <f t="shared" si="9"/>
        <v>230.4</v>
      </c>
      <c r="I109" s="12" t="s">
        <v>1154</v>
      </c>
      <c r="J109" s="12" t="s">
        <v>232</v>
      </c>
      <c r="K109" s="12">
        <f t="shared" si="10"/>
        <v>51.2</v>
      </c>
      <c r="L109" s="12">
        <f t="shared" si="11"/>
        <v>29.6</v>
      </c>
      <c r="M109" s="12">
        <v>576</v>
      </c>
      <c r="N109" s="12">
        <v>64</v>
      </c>
      <c r="O109" s="12">
        <v>74</v>
      </c>
      <c r="P109" s="12" t="s">
        <v>233</v>
      </c>
      <c r="Q109" s="12" t="s">
        <v>234</v>
      </c>
      <c r="R109" s="12" t="s">
        <v>235</v>
      </c>
      <c r="S109" s="12"/>
      <c r="T109" s="12" t="s">
        <v>1136</v>
      </c>
      <c r="U109" s="12" t="s">
        <v>1136</v>
      </c>
      <c r="V109" s="12"/>
      <c r="W109" s="12"/>
    </row>
    <row r="110" spans="2:23">
      <c r="B110" s="26" t="s">
        <v>379</v>
      </c>
      <c r="C110" s="12" t="s">
        <v>228</v>
      </c>
      <c r="D110" s="12" t="s">
        <v>228</v>
      </c>
      <c r="E110" s="12" t="s">
        <v>231</v>
      </c>
      <c r="F110" s="12" t="s">
        <v>225</v>
      </c>
      <c r="G110" s="5" t="s">
        <v>224</v>
      </c>
      <c r="H110" s="12">
        <f t="shared" si="9"/>
        <v>237.60000000000002</v>
      </c>
      <c r="I110" s="12" t="s">
        <v>1154</v>
      </c>
      <c r="J110" s="12" t="s">
        <v>232</v>
      </c>
      <c r="K110" s="12">
        <f t="shared" si="10"/>
        <v>52.800000000000004</v>
      </c>
      <c r="L110" s="12">
        <f t="shared" si="11"/>
        <v>31.200000000000003</v>
      </c>
      <c r="M110" s="12">
        <v>594</v>
      </c>
      <c r="N110" s="12">
        <v>66</v>
      </c>
      <c r="O110" s="12">
        <v>78</v>
      </c>
      <c r="P110" s="12" t="s">
        <v>233</v>
      </c>
      <c r="Q110" s="12" t="s">
        <v>234</v>
      </c>
      <c r="R110" s="12" t="s">
        <v>235</v>
      </c>
      <c r="S110" s="12"/>
      <c r="T110" s="12" t="s">
        <v>1136</v>
      </c>
      <c r="U110" s="12" t="s">
        <v>1136</v>
      </c>
      <c r="V110" s="12"/>
      <c r="W110" s="12"/>
    </row>
    <row r="111" spans="2:23">
      <c r="B111" s="26" t="s">
        <v>380</v>
      </c>
      <c r="C111" s="12" t="s">
        <v>228</v>
      </c>
      <c r="D111" s="12" t="s">
        <v>228</v>
      </c>
      <c r="E111" s="12" t="s">
        <v>231</v>
      </c>
      <c r="F111" s="12" t="s">
        <v>225</v>
      </c>
      <c r="G111" s="5" t="s">
        <v>224</v>
      </c>
      <c r="H111" s="12">
        <f t="shared" si="9"/>
        <v>244.8</v>
      </c>
      <c r="I111" s="12" t="s">
        <v>1154</v>
      </c>
      <c r="J111" s="12" t="s">
        <v>232</v>
      </c>
      <c r="K111" s="12">
        <f t="shared" si="10"/>
        <v>54.400000000000006</v>
      </c>
      <c r="L111" s="12">
        <f t="shared" si="11"/>
        <v>32.800000000000004</v>
      </c>
      <c r="M111" s="12">
        <v>612</v>
      </c>
      <c r="N111" s="12">
        <v>68</v>
      </c>
      <c r="O111" s="12">
        <v>82</v>
      </c>
      <c r="P111" s="12" t="s">
        <v>233</v>
      </c>
      <c r="Q111" s="12" t="s">
        <v>234</v>
      </c>
      <c r="R111" s="12" t="s">
        <v>235</v>
      </c>
      <c r="S111" s="12"/>
      <c r="T111" s="12" t="s">
        <v>1136</v>
      </c>
      <c r="U111" s="12" t="s">
        <v>1136</v>
      </c>
      <c r="V111" s="12"/>
      <c r="W111" s="12"/>
    </row>
    <row r="112" spans="2:23">
      <c r="B112" s="26" t="s">
        <v>381</v>
      </c>
      <c r="C112" s="12" t="s">
        <v>228</v>
      </c>
      <c r="D112" s="12" t="s">
        <v>228</v>
      </c>
      <c r="E112" s="12" t="s">
        <v>231</v>
      </c>
      <c r="F112" s="12" t="s">
        <v>225</v>
      </c>
      <c r="G112" s="5" t="s">
        <v>224</v>
      </c>
      <c r="H112" s="12">
        <f t="shared" si="9"/>
        <v>252</v>
      </c>
      <c r="I112" s="12" t="s">
        <v>1154</v>
      </c>
      <c r="J112" s="12" t="s">
        <v>232</v>
      </c>
      <c r="K112" s="12">
        <f t="shared" si="10"/>
        <v>56</v>
      </c>
      <c r="L112" s="12">
        <f t="shared" si="11"/>
        <v>34.4</v>
      </c>
      <c r="M112" s="12">
        <v>630</v>
      </c>
      <c r="N112" s="12">
        <v>70</v>
      </c>
      <c r="O112" s="12">
        <v>86</v>
      </c>
      <c r="P112" s="12" t="s">
        <v>233</v>
      </c>
      <c r="Q112" s="12" t="s">
        <v>234</v>
      </c>
      <c r="R112" s="12" t="s">
        <v>235</v>
      </c>
      <c r="S112" s="12"/>
      <c r="T112" s="12" t="s">
        <v>1136</v>
      </c>
      <c r="U112" s="12" t="s">
        <v>1136</v>
      </c>
      <c r="V112" s="12"/>
      <c r="W112" s="12"/>
    </row>
    <row r="113" spans="2:23">
      <c r="B113" s="26" t="s">
        <v>382</v>
      </c>
      <c r="C113" s="12" t="s">
        <v>228</v>
      </c>
      <c r="D113" s="12" t="s">
        <v>228</v>
      </c>
      <c r="E113" s="12" t="s">
        <v>231</v>
      </c>
      <c r="F113" s="12" t="s">
        <v>225</v>
      </c>
      <c r="G113" s="5" t="s">
        <v>224</v>
      </c>
      <c r="H113" s="12">
        <f t="shared" si="9"/>
        <v>425.6</v>
      </c>
      <c r="I113" s="12" t="s">
        <v>1154</v>
      </c>
      <c r="J113" s="12" t="s">
        <v>232</v>
      </c>
      <c r="K113" s="12">
        <f t="shared" si="10"/>
        <v>121.60000000000001</v>
      </c>
      <c r="L113" s="12">
        <f t="shared" si="11"/>
        <v>48.6</v>
      </c>
      <c r="M113" s="12">
        <v>1064</v>
      </c>
      <c r="N113" s="12">
        <v>152</v>
      </c>
      <c r="O113" s="12">
        <v>121.5</v>
      </c>
      <c r="P113" s="12" t="s">
        <v>233</v>
      </c>
      <c r="Q113" s="12" t="s">
        <v>234</v>
      </c>
      <c r="R113" s="12" t="s">
        <v>235</v>
      </c>
      <c r="S113" s="12"/>
      <c r="T113" s="12" t="s">
        <v>1136</v>
      </c>
      <c r="U113" s="12" t="s">
        <v>1136</v>
      </c>
      <c r="V113" s="12"/>
      <c r="W113" s="12"/>
    </row>
    <row r="114" spans="2:23">
      <c r="B114" s="26" t="s">
        <v>383</v>
      </c>
      <c r="C114" s="12" t="s">
        <v>228</v>
      </c>
      <c r="D114" s="12" t="s">
        <v>228</v>
      </c>
      <c r="E114" s="12" t="s">
        <v>231</v>
      </c>
      <c r="F114" s="12" t="s">
        <v>225</v>
      </c>
      <c r="G114" s="5" t="s">
        <v>224</v>
      </c>
      <c r="H114" s="12">
        <f t="shared" si="9"/>
        <v>436.8</v>
      </c>
      <c r="I114" s="12" t="s">
        <v>1154</v>
      </c>
      <c r="J114" s="12" t="s">
        <v>232</v>
      </c>
      <c r="K114" s="12">
        <f t="shared" si="10"/>
        <v>124.80000000000001</v>
      </c>
      <c r="L114" s="12">
        <f t="shared" si="11"/>
        <v>51.03</v>
      </c>
      <c r="M114" s="12">
        <v>1092</v>
      </c>
      <c r="N114" s="12">
        <v>156</v>
      </c>
      <c r="O114" s="12">
        <v>127.57499999999999</v>
      </c>
      <c r="P114" s="12" t="s">
        <v>233</v>
      </c>
      <c r="Q114" s="12" t="s">
        <v>234</v>
      </c>
      <c r="R114" s="12" t="s">
        <v>235</v>
      </c>
      <c r="S114" s="12"/>
      <c r="T114" s="12" t="s">
        <v>1136</v>
      </c>
      <c r="U114" s="12" t="s">
        <v>1136</v>
      </c>
      <c r="V114" s="12"/>
      <c r="W114" s="12"/>
    </row>
    <row r="115" spans="2:23">
      <c r="B115" s="26" t="s">
        <v>384</v>
      </c>
      <c r="C115" s="12" t="s">
        <v>228</v>
      </c>
      <c r="D115" s="12" t="s">
        <v>228</v>
      </c>
      <c r="E115" s="12" t="s">
        <v>231</v>
      </c>
      <c r="F115" s="12" t="s">
        <v>225</v>
      </c>
      <c r="G115" s="5" t="s">
        <v>224</v>
      </c>
      <c r="H115" s="12">
        <f t="shared" si="9"/>
        <v>448</v>
      </c>
      <c r="I115" s="12" t="s">
        <v>1154</v>
      </c>
      <c r="J115" s="12" t="s">
        <v>232</v>
      </c>
      <c r="K115" s="12">
        <f t="shared" si="10"/>
        <v>128</v>
      </c>
      <c r="L115" s="12">
        <f t="shared" si="11"/>
        <v>53.460000000000008</v>
      </c>
      <c r="M115" s="12">
        <v>1120</v>
      </c>
      <c r="N115" s="12">
        <v>160</v>
      </c>
      <c r="O115" s="12">
        <v>133.65</v>
      </c>
      <c r="P115" s="12" t="s">
        <v>233</v>
      </c>
      <c r="Q115" s="12" t="s">
        <v>234</v>
      </c>
      <c r="R115" s="12" t="s">
        <v>235</v>
      </c>
      <c r="S115" s="12"/>
      <c r="T115" s="12" t="s">
        <v>1136</v>
      </c>
      <c r="U115" s="12" t="s">
        <v>1136</v>
      </c>
      <c r="V115" s="12"/>
      <c r="W115" s="12"/>
    </row>
    <row r="116" spans="2:23">
      <c r="B116" s="26" t="s">
        <v>385</v>
      </c>
      <c r="C116" s="12" t="s">
        <v>228</v>
      </c>
      <c r="D116" s="12" t="s">
        <v>228</v>
      </c>
      <c r="E116" s="12" t="s">
        <v>231</v>
      </c>
      <c r="F116" s="12" t="s">
        <v>225</v>
      </c>
      <c r="G116" s="5" t="s">
        <v>224</v>
      </c>
      <c r="H116" s="12">
        <f t="shared" si="9"/>
        <v>459.20000000000005</v>
      </c>
      <c r="I116" s="12" t="s">
        <v>1154</v>
      </c>
      <c r="J116" s="12" t="s">
        <v>232</v>
      </c>
      <c r="K116" s="12">
        <f t="shared" si="10"/>
        <v>131.20000000000002</v>
      </c>
      <c r="L116" s="12">
        <f t="shared" si="11"/>
        <v>55.89</v>
      </c>
      <c r="M116" s="12">
        <v>1148</v>
      </c>
      <c r="N116" s="12">
        <v>164</v>
      </c>
      <c r="O116" s="12">
        <v>139.72499999999999</v>
      </c>
      <c r="P116" s="12" t="s">
        <v>233</v>
      </c>
      <c r="Q116" s="12" t="s">
        <v>234</v>
      </c>
      <c r="R116" s="12" t="s">
        <v>235</v>
      </c>
      <c r="S116" s="12"/>
      <c r="T116" s="12" t="s">
        <v>1136</v>
      </c>
      <c r="U116" s="12" t="s">
        <v>1136</v>
      </c>
      <c r="V116" s="12"/>
      <c r="W116" s="12"/>
    </row>
    <row r="117" spans="2:23">
      <c r="B117" s="26" t="s">
        <v>386</v>
      </c>
      <c r="C117" s="12" t="s">
        <v>228</v>
      </c>
      <c r="D117" s="12" t="s">
        <v>228</v>
      </c>
      <c r="E117" s="12" t="s">
        <v>231</v>
      </c>
      <c r="F117" s="12" t="s">
        <v>225</v>
      </c>
      <c r="G117" s="5" t="s">
        <v>224</v>
      </c>
      <c r="H117" s="12">
        <f t="shared" si="9"/>
        <v>470.40000000000003</v>
      </c>
      <c r="I117" s="12" t="s">
        <v>1154</v>
      </c>
      <c r="J117" s="12" t="s">
        <v>232</v>
      </c>
      <c r="K117" s="12">
        <f t="shared" si="10"/>
        <v>134.4</v>
      </c>
      <c r="L117" s="12">
        <f t="shared" si="11"/>
        <v>58.319999999999993</v>
      </c>
      <c r="M117" s="12">
        <v>1176</v>
      </c>
      <c r="N117" s="12">
        <v>168</v>
      </c>
      <c r="O117" s="12">
        <v>145.79999999999998</v>
      </c>
      <c r="P117" s="12" t="s">
        <v>233</v>
      </c>
      <c r="Q117" s="12" t="s">
        <v>234</v>
      </c>
      <c r="R117" s="12" t="s">
        <v>235</v>
      </c>
      <c r="S117" s="12"/>
      <c r="T117" s="12" t="s">
        <v>1136</v>
      </c>
      <c r="U117" s="12" t="s">
        <v>1136</v>
      </c>
      <c r="V117" s="12"/>
      <c r="W117" s="12"/>
    </row>
    <row r="118" spans="2:23">
      <c r="B118" s="26" t="s">
        <v>387</v>
      </c>
      <c r="C118" s="12" t="s">
        <v>228</v>
      </c>
      <c r="D118" s="12" t="s">
        <v>228</v>
      </c>
      <c r="E118" s="12" t="s">
        <v>231</v>
      </c>
      <c r="F118" s="12" t="s">
        <v>225</v>
      </c>
      <c r="G118" s="5" t="s">
        <v>224</v>
      </c>
      <c r="H118" s="12">
        <f t="shared" si="9"/>
        <v>481.6</v>
      </c>
      <c r="I118" s="12" t="s">
        <v>1154</v>
      </c>
      <c r="J118" s="12" t="s">
        <v>232</v>
      </c>
      <c r="K118" s="12">
        <f t="shared" si="10"/>
        <v>137.6</v>
      </c>
      <c r="L118" s="12">
        <f t="shared" si="11"/>
        <v>60.75</v>
      </c>
      <c r="M118" s="12">
        <v>1204</v>
      </c>
      <c r="N118" s="12">
        <v>172</v>
      </c>
      <c r="O118" s="12">
        <v>151.875</v>
      </c>
      <c r="P118" s="12" t="s">
        <v>233</v>
      </c>
      <c r="Q118" s="12" t="s">
        <v>234</v>
      </c>
      <c r="R118" s="12" t="s">
        <v>235</v>
      </c>
      <c r="S118" s="12"/>
      <c r="T118" s="12" t="s">
        <v>1136</v>
      </c>
      <c r="U118" s="12" t="s">
        <v>1136</v>
      </c>
      <c r="V118" s="12"/>
      <c r="W118" s="12"/>
    </row>
    <row r="119" spans="2:23">
      <c r="B119" s="26" t="s">
        <v>388</v>
      </c>
      <c r="C119" s="12" t="s">
        <v>228</v>
      </c>
      <c r="D119" s="12" t="s">
        <v>228</v>
      </c>
      <c r="E119" s="12" t="s">
        <v>231</v>
      </c>
      <c r="F119" s="12" t="s">
        <v>225</v>
      </c>
      <c r="G119" s="5" t="s">
        <v>224</v>
      </c>
      <c r="H119" s="12">
        <f t="shared" si="9"/>
        <v>492.8</v>
      </c>
      <c r="I119" s="12" t="s">
        <v>1154</v>
      </c>
      <c r="J119" s="12" t="s">
        <v>232</v>
      </c>
      <c r="K119" s="12">
        <f t="shared" si="10"/>
        <v>140.80000000000001</v>
      </c>
      <c r="L119" s="12">
        <f t="shared" si="11"/>
        <v>63.18</v>
      </c>
      <c r="M119" s="12">
        <v>1232</v>
      </c>
      <c r="N119" s="12">
        <v>176</v>
      </c>
      <c r="O119" s="12">
        <v>157.94999999999999</v>
      </c>
      <c r="P119" s="12" t="s">
        <v>233</v>
      </c>
      <c r="Q119" s="12" t="s">
        <v>234</v>
      </c>
      <c r="R119" s="12" t="s">
        <v>235</v>
      </c>
      <c r="S119" s="12"/>
      <c r="T119" s="12" t="s">
        <v>1136</v>
      </c>
      <c r="U119" s="12" t="s">
        <v>1136</v>
      </c>
      <c r="V119" s="12"/>
      <c r="W119" s="12"/>
    </row>
    <row r="120" spans="2:23">
      <c r="B120" s="26" t="s">
        <v>389</v>
      </c>
      <c r="C120" s="12" t="s">
        <v>228</v>
      </c>
      <c r="D120" s="12" t="s">
        <v>228</v>
      </c>
      <c r="E120" s="12" t="s">
        <v>231</v>
      </c>
      <c r="F120" s="12" t="s">
        <v>225</v>
      </c>
      <c r="G120" s="5" t="s">
        <v>224</v>
      </c>
      <c r="H120" s="12">
        <f t="shared" si="9"/>
        <v>504</v>
      </c>
      <c r="I120" s="12" t="s">
        <v>1154</v>
      </c>
      <c r="J120" s="12" t="s">
        <v>232</v>
      </c>
      <c r="K120" s="12">
        <f t="shared" si="10"/>
        <v>144</v>
      </c>
      <c r="L120" s="12">
        <f t="shared" si="11"/>
        <v>65.61</v>
      </c>
      <c r="M120" s="12">
        <v>1260</v>
      </c>
      <c r="N120" s="12">
        <v>180</v>
      </c>
      <c r="O120" s="12">
        <v>164.02500000000001</v>
      </c>
      <c r="P120" s="12" t="s">
        <v>233</v>
      </c>
      <c r="Q120" s="12" t="s">
        <v>234</v>
      </c>
      <c r="R120" s="12" t="s">
        <v>235</v>
      </c>
      <c r="S120" s="12"/>
      <c r="T120" s="12" t="s">
        <v>1136</v>
      </c>
      <c r="U120" s="12" t="s">
        <v>1136</v>
      </c>
      <c r="V120" s="12"/>
      <c r="W120" s="12"/>
    </row>
    <row r="121" spans="2:23">
      <c r="B121" s="26" t="s">
        <v>390</v>
      </c>
      <c r="C121" s="12" t="s">
        <v>228</v>
      </c>
      <c r="D121" s="12" t="s">
        <v>228</v>
      </c>
      <c r="E121" s="12" t="s">
        <v>231</v>
      </c>
      <c r="F121" s="12" t="s">
        <v>225</v>
      </c>
      <c r="G121" s="5" t="s">
        <v>224</v>
      </c>
      <c r="H121" s="12">
        <f t="shared" si="9"/>
        <v>515.20000000000005</v>
      </c>
      <c r="I121" s="12" t="s">
        <v>1154</v>
      </c>
      <c r="J121" s="12" t="s">
        <v>232</v>
      </c>
      <c r="K121" s="12">
        <f t="shared" si="10"/>
        <v>147.20000000000002</v>
      </c>
      <c r="L121" s="12">
        <f t="shared" si="11"/>
        <v>68.040000000000006</v>
      </c>
      <c r="M121" s="12">
        <v>1288</v>
      </c>
      <c r="N121" s="12">
        <v>184</v>
      </c>
      <c r="O121" s="12">
        <v>170.1</v>
      </c>
      <c r="P121" s="12" t="s">
        <v>233</v>
      </c>
      <c r="Q121" s="12" t="s">
        <v>234</v>
      </c>
      <c r="R121" s="12" t="s">
        <v>235</v>
      </c>
      <c r="S121" s="12"/>
      <c r="T121" s="12" t="s">
        <v>1136</v>
      </c>
      <c r="U121" s="12" t="s">
        <v>1136</v>
      </c>
      <c r="V121" s="12"/>
      <c r="W121" s="12"/>
    </row>
    <row r="122" spans="2:23">
      <c r="B122" s="26" t="s">
        <v>391</v>
      </c>
      <c r="C122" s="12" t="s">
        <v>228</v>
      </c>
      <c r="D122" s="12" t="s">
        <v>228</v>
      </c>
      <c r="E122" s="12" t="s">
        <v>231</v>
      </c>
      <c r="F122" s="12" t="s">
        <v>225</v>
      </c>
      <c r="G122" s="5" t="s">
        <v>224</v>
      </c>
      <c r="H122" s="12">
        <f t="shared" si="9"/>
        <v>526.4</v>
      </c>
      <c r="I122" s="12" t="s">
        <v>1154</v>
      </c>
      <c r="J122" s="12" t="s">
        <v>232</v>
      </c>
      <c r="K122" s="12">
        <f t="shared" si="10"/>
        <v>150.4</v>
      </c>
      <c r="L122" s="12">
        <f t="shared" si="11"/>
        <v>70.47</v>
      </c>
      <c r="M122" s="12">
        <v>1316</v>
      </c>
      <c r="N122" s="12">
        <v>188</v>
      </c>
      <c r="O122" s="12">
        <v>176.17499999999998</v>
      </c>
      <c r="P122" s="12" t="s">
        <v>233</v>
      </c>
      <c r="Q122" s="12" t="s">
        <v>234</v>
      </c>
      <c r="R122" s="12" t="s">
        <v>235</v>
      </c>
      <c r="S122" s="12"/>
      <c r="T122" s="12" t="s">
        <v>1136</v>
      </c>
      <c r="U122" s="12" t="s">
        <v>1136</v>
      </c>
      <c r="V122" s="12"/>
      <c r="W122" s="12"/>
    </row>
    <row r="123" spans="2:23">
      <c r="B123" s="26" t="s">
        <v>392</v>
      </c>
      <c r="C123" s="12" t="s">
        <v>228</v>
      </c>
      <c r="D123" s="12" t="s">
        <v>228</v>
      </c>
      <c r="E123" s="12" t="s">
        <v>231</v>
      </c>
      <c r="F123" s="12" t="s">
        <v>225</v>
      </c>
      <c r="G123" s="5" t="s">
        <v>224</v>
      </c>
      <c r="H123" s="12">
        <f t="shared" si="9"/>
        <v>537.6</v>
      </c>
      <c r="I123" s="12" t="s">
        <v>1154</v>
      </c>
      <c r="J123" s="12" t="s">
        <v>232</v>
      </c>
      <c r="K123" s="12">
        <f t="shared" si="10"/>
        <v>153.60000000000002</v>
      </c>
      <c r="L123" s="12">
        <f t="shared" si="11"/>
        <v>72.900000000000006</v>
      </c>
      <c r="M123" s="12">
        <v>1344</v>
      </c>
      <c r="N123" s="12">
        <v>192</v>
      </c>
      <c r="O123" s="12">
        <v>182.25</v>
      </c>
      <c r="P123" s="12" t="s">
        <v>233</v>
      </c>
      <c r="Q123" s="12" t="s">
        <v>234</v>
      </c>
      <c r="R123" s="12" t="s">
        <v>235</v>
      </c>
      <c r="S123" s="12"/>
      <c r="T123" s="12" t="s">
        <v>1136</v>
      </c>
      <c r="U123" s="12" t="s">
        <v>1136</v>
      </c>
      <c r="V123" s="12"/>
      <c r="W123" s="12"/>
    </row>
    <row r="124" spans="2:23">
      <c r="B124" s="26" t="s">
        <v>393</v>
      </c>
      <c r="C124" s="12" t="s">
        <v>228</v>
      </c>
      <c r="D124" s="12" t="s">
        <v>228</v>
      </c>
      <c r="E124" s="12" t="s">
        <v>231</v>
      </c>
      <c r="F124" s="12" t="s">
        <v>225</v>
      </c>
      <c r="G124" s="5" t="s">
        <v>224</v>
      </c>
      <c r="H124" s="12">
        <f t="shared" si="9"/>
        <v>548.80000000000007</v>
      </c>
      <c r="I124" s="12" t="s">
        <v>1154</v>
      </c>
      <c r="J124" s="12" t="s">
        <v>232</v>
      </c>
      <c r="K124" s="12">
        <f t="shared" si="10"/>
        <v>156.80000000000001</v>
      </c>
      <c r="L124" s="12">
        <f t="shared" si="11"/>
        <v>75.33</v>
      </c>
      <c r="M124" s="12">
        <v>1372</v>
      </c>
      <c r="N124" s="12">
        <v>196</v>
      </c>
      <c r="O124" s="12">
        <v>188.32499999999999</v>
      </c>
      <c r="P124" s="12" t="s">
        <v>233</v>
      </c>
      <c r="Q124" s="12" t="s">
        <v>234</v>
      </c>
      <c r="R124" s="12" t="s">
        <v>235</v>
      </c>
      <c r="S124" s="12"/>
      <c r="T124" s="12" t="s">
        <v>1136</v>
      </c>
      <c r="U124" s="12" t="s">
        <v>1136</v>
      </c>
      <c r="V124" s="12"/>
      <c r="W124" s="12"/>
    </row>
    <row r="125" spans="2:23">
      <c r="B125" s="26" t="s">
        <v>394</v>
      </c>
      <c r="C125" s="12" t="s">
        <v>228</v>
      </c>
      <c r="D125" s="12" t="s">
        <v>228</v>
      </c>
      <c r="E125" s="12" t="s">
        <v>231</v>
      </c>
      <c r="F125" s="12" t="s">
        <v>225</v>
      </c>
      <c r="G125" s="5" t="s">
        <v>224</v>
      </c>
      <c r="H125" s="12">
        <f t="shared" si="9"/>
        <v>560</v>
      </c>
      <c r="I125" s="12" t="s">
        <v>1154</v>
      </c>
      <c r="J125" s="12" t="s">
        <v>232</v>
      </c>
      <c r="K125" s="12">
        <f t="shared" si="10"/>
        <v>160</v>
      </c>
      <c r="L125" s="12">
        <f t="shared" si="11"/>
        <v>77.759999999999991</v>
      </c>
      <c r="M125" s="12">
        <v>1400</v>
      </c>
      <c r="N125" s="12">
        <v>200</v>
      </c>
      <c r="O125" s="12">
        <v>194.39999999999998</v>
      </c>
      <c r="P125" s="12" t="s">
        <v>233</v>
      </c>
      <c r="Q125" s="12" t="s">
        <v>234</v>
      </c>
      <c r="R125" s="12" t="s">
        <v>235</v>
      </c>
      <c r="S125" s="12"/>
      <c r="T125" s="12" t="s">
        <v>1136</v>
      </c>
      <c r="U125" s="12" t="s">
        <v>1136</v>
      </c>
      <c r="V125" s="12"/>
      <c r="W125" s="12"/>
    </row>
    <row r="126" spans="2:23">
      <c r="B126" s="26" t="s">
        <v>395</v>
      </c>
      <c r="C126" s="12" t="s">
        <v>228</v>
      </c>
      <c r="D126" s="12" t="s">
        <v>228</v>
      </c>
      <c r="E126" s="12" t="s">
        <v>231</v>
      </c>
      <c r="F126" s="12" t="s">
        <v>225</v>
      </c>
      <c r="G126" s="5" t="s">
        <v>224</v>
      </c>
      <c r="H126" s="12">
        <f t="shared" si="9"/>
        <v>571.20000000000005</v>
      </c>
      <c r="I126" s="12" t="s">
        <v>1154</v>
      </c>
      <c r="J126" s="12" t="s">
        <v>232</v>
      </c>
      <c r="K126" s="12">
        <f t="shared" si="10"/>
        <v>163.20000000000002</v>
      </c>
      <c r="L126" s="12">
        <f t="shared" si="11"/>
        <v>80.19</v>
      </c>
      <c r="M126" s="12">
        <v>1428</v>
      </c>
      <c r="N126" s="12">
        <v>204</v>
      </c>
      <c r="O126" s="12">
        <v>200.47499999999999</v>
      </c>
      <c r="P126" s="12" t="s">
        <v>233</v>
      </c>
      <c r="Q126" s="12" t="s">
        <v>234</v>
      </c>
      <c r="R126" s="12" t="s">
        <v>235</v>
      </c>
      <c r="S126" s="12"/>
      <c r="T126" s="12" t="s">
        <v>1136</v>
      </c>
      <c r="U126" s="12" t="s">
        <v>1136</v>
      </c>
      <c r="V126" s="12"/>
      <c r="W126" s="12"/>
    </row>
    <row r="127" spans="2:23">
      <c r="B127" s="26" t="s">
        <v>396</v>
      </c>
      <c r="C127" s="12" t="s">
        <v>228</v>
      </c>
      <c r="D127" s="12" t="s">
        <v>228</v>
      </c>
      <c r="E127" s="12" t="s">
        <v>231</v>
      </c>
      <c r="F127" s="12" t="s">
        <v>225</v>
      </c>
      <c r="G127" s="5" t="s">
        <v>224</v>
      </c>
      <c r="H127" s="12">
        <f t="shared" si="9"/>
        <v>582.4</v>
      </c>
      <c r="I127" s="12" t="s">
        <v>1154</v>
      </c>
      <c r="J127" s="12" t="s">
        <v>232</v>
      </c>
      <c r="K127" s="12">
        <f t="shared" si="10"/>
        <v>166.4</v>
      </c>
      <c r="L127" s="12">
        <f t="shared" si="11"/>
        <v>82.62</v>
      </c>
      <c r="M127" s="12">
        <v>1456</v>
      </c>
      <c r="N127" s="12">
        <v>208</v>
      </c>
      <c r="O127" s="12">
        <v>206.54999999999998</v>
      </c>
      <c r="P127" s="12" t="s">
        <v>233</v>
      </c>
      <c r="Q127" s="12" t="s">
        <v>234</v>
      </c>
      <c r="R127" s="12" t="s">
        <v>235</v>
      </c>
      <c r="S127" s="12"/>
      <c r="T127" s="12" t="s">
        <v>1136</v>
      </c>
      <c r="U127" s="12" t="s">
        <v>1136</v>
      </c>
      <c r="V127" s="12"/>
      <c r="W127" s="12"/>
    </row>
    <row r="128" spans="2:23">
      <c r="B128" s="26" t="s">
        <v>397</v>
      </c>
      <c r="C128" s="12" t="s">
        <v>228</v>
      </c>
      <c r="D128" s="12" t="s">
        <v>228</v>
      </c>
      <c r="E128" s="12" t="s">
        <v>231</v>
      </c>
      <c r="F128" s="12" t="s">
        <v>225</v>
      </c>
      <c r="G128" s="5" t="s">
        <v>224</v>
      </c>
      <c r="H128" s="12">
        <f t="shared" si="9"/>
        <v>880</v>
      </c>
      <c r="I128" s="12" t="s">
        <v>1154</v>
      </c>
      <c r="J128" s="12" t="s">
        <v>232</v>
      </c>
      <c r="K128" s="12">
        <f t="shared" si="10"/>
        <v>264</v>
      </c>
      <c r="L128" s="12">
        <f t="shared" si="11"/>
        <v>109.35000000000001</v>
      </c>
      <c r="M128" s="12">
        <v>2200</v>
      </c>
      <c r="N128" s="12">
        <v>330</v>
      </c>
      <c r="O128" s="12">
        <v>273.375</v>
      </c>
      <c r="P128" s="12" t="s">
        <v>233</v>
      </c>
      <c r="Q128" s="12" t="s">
        <v>234</v>
      </c>
      <c r="R128" s="12" t="s">
        <v>235</v>
      </c>
      <c r="S128" s="12"/>
      <c r="T128" s="12" t="s">
        <v>1136</v>
      </c>
      <c r="U128" s="12" t="s">
        <v>1136</v>
      </c>
      <c r="V128" s="12"/>
      <c r="W128" s="12"/>
    </row>
    <row r="129" spans="2:23">
      <c r="B129" s="26" t="s">
        <v>398</v>
      </c>
      <c r="C129" s="12" t="s">
        <v>228</v>
      </c>
      <c r="D129" s="12" t="s">
        <v>228</v>
      </c>
      <c r="E129" s="12" t="s">
        <v>231</v>
      </c>
      <c r="F129" s="12" t="s">
        <v>225</v>
      </c>
      <c r="G129" s="5" t="s">
        <v>224</v>
      </c>
      <c r="H129" s="12">
        <f t="shared" si="9"/>
        <v>896</v>
      </c>
      <c r="I129" s="12" t="s">
        <v>1154</v>
      </c>
      <c r="J129" s="12" t="s">
        <v>232</v>
      </c>
      <c r="K129" s="12">
        <f t="shared" si="10"/>
        <v>268.8</v>
      </c>
      <c r="L129" s="12">
        <f t="shared" si="11"/>
        <v>112.58999999999999</v>
      </c>
      <c r="M129" s="12">
        <v>2240</v>
      </c>
      <c r="N129" s="12">
        <v>336</v>
      </c>
      <c r="O129" s="12">
        <v>281.47499999999997</v>
      </c>
      <c r="P129" s="12" t="s">
        <v>233</v>
      </c>
      <c r="Q129" s="12" t="s">
        <v>234</v>
      </c>
      <c r="R129" s="12" t="s">
        <v>235</v>
      </c>
      <c r="S129" s="12"/>
      <c r="T129" s="12" t="s">
        <v>1136</v>
      </c>
      <c r="U129" s="12" t="s">
        <v>1136</v>
      </c>
      <c r="V129" s="12"/>
      <c r="W129" s="12"/>
    </row>
    <row r="130" spans="2:23">
      <c r="B130" s="26" t="s">
        <v>399</v>
      </c>
      <c r="C130" s="12" t="s">
        <v>228</v>
      </c>
      <c r="D130" s="12" t="s">
        <v>228</v>
      </c>
      <c r="E130" s="12" t="s">
        <v>231</v>
      </c>
      <c r="F130" s="12" t="s">
        <v>225</v>
      </c>
      <c r="G130" s="5" t="s">
        <v>224</v>
      </c>
      <c r="H130" s="12">
        <f t="shared" si="9"/>
        <v>912</v>
      </c>
      <c r="I130" s="12" t="s">
        <v>1154</v>
      </c>
      <c r="J130" s="12" t="s">
        <v>232</v>
      </c>
      <c r="K130" s="12">
        <f t="shared" si="10"/>
        <v>273.60000000000002</v>
      </c>
      <c r="L130" s="12">
        <f t="shared" si="11"/>
        <v>115.83</v>
      </c>
      <c r="M130" s="12">
        <v>2280</v>
      </c>
      <c r="N130" s="12">
        <v>342</v>
      </c>
      <c r="O130" s="12">
        <v>289.57499999999999</v>
      </c>
      <c r="P130" s="12" t="s">
        <v>233</v>
      </c>
      <c r="Q130" s="12" t="s">
        <v>234</v>
      </c>
      <c r="R130" s="12" t="s">
        <v>235</v>
      </c>
      <c r="S130" s="12"/>
      <c r="T130" s="12" t="s">
        <v>1136</v>
      </c>
      <c r="U130" s="12" t="s">
        <v>1136</v>
      </c>
      <c r="V130" s="12"/>
      <c r="W130" s="12"/>
    </row>
    <row r="131" spans="2:23">
      <c r="B131" s="26" t="s">
        <v>400</v>
      </c>
      <c r="C131" s="12" t="s">
        <v>228</v>
      </c>
      <c r="D131" s="12" t="s">
        <v>228</v>
      </c>
      <c r="E131" s="12" t="s">
        <v>231</v>
      </c>
      <c r="F131" s="12" t="s">
        <v>225</v>
      </c>
      <c r="G131" s="5" t="s">
        <v>224</v>
      </c>
      <c r="H131" s="12">
        <f t="shared" si="9"/>
        <v>928</v>
      </c>
      <c r="I131" s="12" t="s">
        <v>1154</v>
      </c>
      <c r="J131" s="12" t="s">
        <v>232</v>
      </c>
      <c r="K131" s="12">
        <f t="shared" si="10"/>
        <v>278.40000000000003</v>
      </c>
      <c r="L131" s="12">
        <f t="shared" si="11"/>
        <v>119.07000000000001</v>
      </c>
      <c r="M131" s="12">
        <v>2320</v>
      </c>
      <c r="N131" s="12">
        <v>348</v>
      </c>
      <c r="O131" s="12">
        <v>297.67500000000001</v>
      </c>
      <c r="P131" s="12" t="s">
        <v>233</v>
      </c>
      <c r="Q131" s="12" t="s">
        <v>234</v>
      </c>
      <c r="R131" s="12" t="s">
        <v>235</v>
      </c>
      <c r="S131" s="12"/>
      <c r="T131" s="12" t="s">
        <v>1136</v>
      </c>
      <c r="U131" s="12" t="s">
        <v>1136</v>
      </c>
      <c r="V131" s="12"/>
      <c r="W131" s="12"/>
    </row>
    <row r="132" spans="2:23">
      <c r="B132" s="26" t="s">
        <v>401</v>
      </c>
      <c r="C132" s="12" t="s">
        <v>228</v>
      </c>
      <c r="D132" s="12" t="s">
        <v>228</v>
      </c>
      <c r="E132" s="12" t="s">
        <v>231</v>
      </c>
      <c r="F132" s="12" t="s">
        <v>225</v>
      </c>
      <c r="G132" s="5" t="s">
        <v>224</v>
      </c>
      <c r="H132" s="12">
        <f t="shared" si="9"/>
        <v>944</v>
      </c>
      <c r="I132" s="12" t="s">
        <v>1154</v>
      </c>
      <c r="J132" s="12" t="s">
        <v>232</v>
      </c>
      <c r="K132" s="12">
        <f t="shared" si="10"/>
        <v>283.2</v>
      </c>
      <c r="L132" s="12">
        <f t="shared" si="11"/>
        <v>122.31</v>
      </c>
      <c r="M132" s="12">
        <v>2360</v>
      </c>
      <c r="N132" s="12">
        <v>354</v>
      </c>
      <c r="O132" s="12">
        <v>305.77499999999998</v>
      </c>
      <c r="P132" s="12" t="s">
        <v>233</v>
      </c>
      <c r="Q132" s="12" t="s">
        <v>234</v>
      </c>
      <c r="R132" s="12" t="s">
        <v>235</v>
      </c>
      <c r="S132" s="12"/>
      <c r="T132" s="12" t="s">
        <v>1136</v>
      </c>
      <c r="U132" s="12" t="s">
        <v>1136</v>
      </c>
      <c r="V132" s="12"/>
      <c r="W132" s="12"/>
    </row>
    <row r="133" spans="2:23">
      <c r="B133" s="26" t="s">
        <v>402</v>
      </c>
      <c r="C133" s="12" t="s">
        <v>228</v>
      </c>
      <c r="D133" s="12" t="s">
        <v>228</v>
      </c>
      <c r="E133" s="12" t="s">
        <v>231</v>
      </c>
      <c r="F133" s="12" t="s">
        <v>225</v>
      </c>
      <c r="G133" s="5" t="s">
        <v>224</v>
      </c>
      <c r="H133" s="12">
        <f t="shared" si="9"/>
        <v>960</v>
      </c>
      <c r="I133" s="12" t="s">
        <v>1154</v>
      </c>
      <c r="J133" s="12" t="s">
        <v>232</v>
      </c>
      <c r="K133" s="12">
        <f t="shared" si="10"/>
        <v>288</v>
      </c>
      <c r="L133" s="12">
        <f t="shared" si="11"/>
        <v>125.55000000000001</v>
      </c>
      <c r="M133" s="12">
        <v>2400</v>
      </c>
      <c r="N133" s="12">
        <v>360</v>
      </c>
      <c r="O133" s="12">
        <v>313.875</v>
      </c>
      <c r="P133" s="12" t="s">
        <v>233</v>
      </c>
      <c r="Q133" s="12" t="s">
        <v>234</v>
      </c>
      <c r="R133" s="12" t="s">
        <v>235</v>
      </c>
      <c r="S133" s="12"/>
      <c r="T133" s="12" t="s">
        <v>1136</v>
      </c>
      <c r="U133" s="12" t="s">
        <v>1136</v>
      </c>
      <c r="V133" s="12"/>
      <c r="W133" s="12"/>
    </row>
    <row r="134" spans="2:23">
      <c r="B134" s="26" t="s">
        <v>403</v>
      </c>
      <c r="C134" s="12" t="s">
        <v>228</v>
      </c>
      <c r="D134" s="12" t="s">
        <v>228</v>
      </c>
      <c r="E134" s="12" t="s">
        <v>231</v>
      </c>
      <c r="F134" s="12" t="s">
        <v>225</v>
      </c>
      <c r="G134" s="5" t="s">
        <v>224</v>
      </c>
      <c r="H134" s="12">
        <f t="shared" si="9"/>
        <v>976</v>
      </c>
      <c r="I134" s="12" t="s">
        <v>1154</v>
      </c>
      <c r="J134" s="12" t="s">
        <v>232</v>
      </c>
      <c r="K134" s="12">
        <f t="shared" si="10"/>
        <v>292.8</v>
      </c>
      <c r="L134" s="12">
        <f t="shared" si="11"/>
        <v>128.79</v>
      </c>
      <c r="M134" s="12">
        <v>2440</v>
      </c>
      <c r="N134" s="12">
        <v>366</v>
      </c>
      <c r="O134" s="12">
        <v>321.97499999999997</v>
      </c>
      <c r="P134" s="12" t="s">
        <v>233</v>
      </c>
      <c r="Q134" s="12" t="s">
        <v>234</v>
      </c>
      <c r="R134" s="12" t="s">
        <v>235</v>
      </c>
      <c r="S134" s="12"/>
      <c r="T134" s="12" t="s">
        <v>1136</v>
      </c>
      <c r="U134" s="12" t="s">
        <v>1136</v>
      </c>
      <c r="V134" s="12"/>
      <c r="W134" s="12"/>
    </row>
    <row r="135" spans="2:23">
      <c r="B135" s="26" t="s">
        <v>404</v>
      </c>
      <c r="C135" s="12" t="s">
        <v>228</v>
      </c>
      <c r="D135" s="12" t="s">
        <v>228</v>
      </c>
      <c r="E135" s="12" t="s">
        <v>231</v>
      </c>
      <c r="F135" s="12" t="s">
        <v>225</v>
      </c>
      <c r="G135" s="5" t="s">
        <v>224</v>
      </c>
      <c r="H135" s="12">
        <f t="shared" si="9"/>
        <v>992</v>
      </c>
      <c r="I135" s="12" t="s">
        <v>1154</v>
      </c>
      <c r="J135" s="12" t="s">
        <v>232</v>
      </c>
      <c r="K135" s="12">
        <f t="shared" si="10"/>
        <v>297.60000000000002</v>
      </c>
      <c r="L135" s="12">
        <f t="shared" si="11"/>
        <v>132.03</v>
      </c>
      <c r="M135" s="12">
        <v>2480</v>
      </c>
      <c r="N135" s="12">
        <v>372</v>
      </c>
      <c r="O135" s="12">
        <v>330.07499999999999</v>
      </c>
      <c r="P135" s="12" t="s">
        <v>233</v>
      </c>
      <c r="Q135" s="12" t="s">
        <v>234</v>
      </c>
      <c r="R135" s="12" t="s">
        <v>235</v>
      </c>
      <c r="S135" s="12"/>
      <c r="T135" s="12" t="s">
        <v>1136</v>
      </c>
      <c r="U135" s="12" t="s">
        <v>1136</v>
      </c>
      <c r="V135" s="12"/>
      <c r="W135" s="12"/>
    </row>
    <row r="136" spans="2:23">
      <c r="B136" s="26" t="s">
        <v>405</v>
      </c>
      <c r="C136" s="12" t="s">
        <v>228</v>
      </c>
      <c r="D136" s="12" t="s">
        <v>228</v>
      </c>
      <c r="E136" s="12" t="s">
        <v>231</v>
      </c>
      <c r="F136" s="12" t="s">
        <v>225</v>
      </c>
      <c r="G136" s="5" t="s">
        <v>224</v>
      </c>
      <c r="H136" s="12">
        <f t="shared" si="9"/>
        <v>1008</v>
      </c>
      <c r="I136" s="12" t="s">
        <v>1154</v>
      </c>
      <c r="J136" s="12" t="s">
        <v>232</v>
      </c>
      <c r="K136" s="12">
        <f t="shared" si="10"/>
        <v>302.40000000000003</v>
      </c>
      <c r="L136" s="12">
        <f t="shared" si="11"/>
        <v>135.27000000000001</v>
      </c>
      <c r="M136" s="12">
        <v>2520</v>
      </c>
      <c r="N136" s="12">
        <v>378</v>
      </c>
      <c r="O136" s="12">
        <v>338.17500000000001</v>
      </c>
      <c r="P136" s="12" t="s">
        <v>233</v>
      </c>
      <c r="Q136" s="12" t="s">
        <v>234</v>
      </c>
      <c r="R136" s="12" t="s">
        <v>235</v>
      </c>
      <c r="S136" s="12"/>
      <c r="T136" s="12" t="s">
        <v>1136</v>
      </c>
      <c r="U136" s="12" t="s">
        <v>1136</v>
      </c>
      <c r="V136" s="12"/>
      <c r="W136" s="12"/>
    </row>
    <row r="137" spans="2:23">
      <c r="B137" s="26" t="s">
        <v>406</v>
      </c>
      <c r="C137" s="12" t="s">
        <v>228</v>
      </c>
      <c r="D137" s="12" t="s">
        <v>228</v>
      </c>
      <c r="E137" s="12" t="s">
        <v>231</v>
      </c>
      <c r="F137" s="12" t="s">
        <v>225</v>
      </c>
      <c r="G137" s="5" t="s">
        <v>224</v>
      </c>
      <c r="H137" s="12">
        <f t="shared" si="9"/>
        <v>1024</v>
      </c>
      <c r="I137" s="12" t="s">
        <v>1154</v>
      </c>
      <c r="J137" s="12" t="s">
        <v>232</v>
      </c>
      <c r="K137" s="12">
        <f t="shared" si="10"/>
        <v>307.20000000000005</v>
      </c>
      <c r="L137" s="12">
        <f t="shared" si="11"/>
        <v>138.51</v>
      </c>
      <c r="M137" s="12">
        <v>2560</v>
      </c>
      <c r="N137" s="12">
        <v>384</v>
      </c>
      <c r="O137" s="12">
        <v>346.27499999999998</v>
      </c>
      <c r="P137" s="12" t="s">
        <v>233</v>
      </c>
      <c r="Q137" s="12" t="s">
        <v>234</v>
      </c>
      <c r="R137" s="12" t="s">
        <v>235</v>
      </c>
      <c r="S137" s="12"/>
      <c r="T137" s="12" t="s">
        <v>1136</v>
      </c>
      <c r="U137" s="12" t="s">
        <v>1136</v>
      </c>
      <c r="V137" s="12"/>
      <c r="W137" s="12"/>
    </row>
    <row r="138" spans="2:23">
      <c r="B138" s="26" t="s">
        <v>407</v>
      </c>
      <c r="C138" s="12" t="s">
        <v>228</v>
      </c>
      <c r="D138" s="12" t="s">
        <v>228</v>
      </c>
      <c r="E138" s="12" t="s">
        <v>231</v>
      </c>
      <c r="F138" s="12" t="s">
        <v>225</v>
      </c>
      <c r="G138" s="5" t="s">
        <v>224</v>
      </c>
      <c r="H138" s="12">
        <f t="shared" si="9"/>
        <v>1040</v>
      </c>
      <c r="I138" s="12" t="s">
        <v>1154</v>
      </c>
      <c r="J138" s="12" t="s">
        <v>232</v>
      </c>
      <c r="K138" s="12">
        <f t="shared" si="10"/>
        <v>312</v>
      </c>
      <c r="L138" s="12">
        <f t="shared" si="11"/>
        <v>141.75</v>
      </c>
      <c r="M138" s="12">
        <v>2600</v>
      </c>
      <c r="N138" s="12">
        <v>390</v>
      </c>
      <c r="O138" s="12">
        <v>354.375</v>
      </c>
      <c r="P138" s="12" t="s">
        <v>233</v>
      </c>
      <c r="Q138" s="12" t="s">
        <v>234</v>
      </c>
      <c r="R138" s="12" t="s">
        <v>235</v>
      </c>
      <c r="S138" s="12"/>
      <c r="T138" s="12" t="s">
        <v>1136</v>
      </c>
      <c r="U138" s="12" t="s">
        <v>1136</v>
      </c>
      <c r="V138" s="12"/>
      <c r="W138" s="12"/>
    </row>
    <row r="139" spans="2:23">
      <c r="B139" s="26" t="s">
        <v>408</v>
      </c>
      <c r="C139" s="12" t="s">
        <v>228</v>
      </c>
      <c r="D139" s="12" t="s">
        <v>228</v>
      </c>
      <c r="E139" s="12" t="s">
        <v>231</v>
      </c>
      <c r="F139" s="12" t="s">
        <v>225</v>
      </c>
      <c r="G139" s="5" t="s">
        <v>224</v>
      </c>
      <c r="H139" s="12">
        <f t="shared" si="9"/>
        <v>1056</v>
      </c>
      <c r="I139" s="12" t="s">
        <v>1154</v>
      </c>
      <c r="J139" s="12" t="s">
        <v>232</v>
      </c>
      <c r="K139" s="12">
        <f t="shared" si="10"/>
        <v>316.8</v>
      </c>
      <c r="L139" s="12">
        <f t="shared" si="11"/>
        <v>144.98999999999998</v>
      </c>
      <c r="M139" s="12">
        <v>2640</v>
      </c>
      <c r="N139" s="12">
        <v>396</v>
      </c>
      <c r="O139" s="12">
        <v>362.47499999999997</v>
      </c>
      <c r="P139" s="12" t="s">
        <v>233</v>
      </c>
      <c r="Q139" s="12" t="s">
        <v>234</v>
      </c>
      <c r="R139" s="12" t="s">
        <v>235</v>
      </c>
      <c r="S139" s="12"/>
      <c r="T139" s="12" t="s">
        <v>1136</v>
      </c>
      <c r="U139" s="12" t="s">
        <v>1136</v>
      </c>
      <c r="V139" s="12"/>
      <c r="W139" s="12"/>
    </row>
    <row r="140" spans="2:23">
      <c r="B140" s="26" t="s">
        <v>409</v>
      </c>
      <c r="C140" s="12" t="s">
        <v>228</v>
      </c>
      <c r="D140" s="12" t="s">
        <v>228</v>
      </c>
      <c r="E140" s="12" t="s">
        <v>231</v>
      </c>
      <c r="F140" s="12" t="s">
        <v>225</v>
      </c>
      <c r="G140" s="5" t="s">
        <v>224</v>
      </c>
      <c r="H140" s="12">
        <f t="shared" si="9"/>
        <v>1072</v>
      </c>
      <c r="I140" s="12" t="s">
        <v>1154</v>
      </c>
      <c r="J140" s="12" t="s">
        <v>232</v>
      </c>
      <c r="K140" s="12">
        <f t="shared" si="10"/>
        <v>321.60000000000002</v>
      </c>
      <c r="L140" s="12">
        <f t="shared" si="11"/>
        <v>148.22999999999999</v>
      </c>
      <c r="M140" s="12">
        <v>2680</v>
      </c>
      <c r="N140" s="12">
        <v>402</v>
      </c>
      <c r="O140" s="12">
        <v>370.57499999999999</v>
      </c>
      <c r="P140" s="12" t="s">
        <v>233</v>
      </c>
      <c r="Q140" s="12" t="s">
        <v>234</v>
      </c>
      <c r="R140" s="12" t="s">
        <v>235</v>
      </c>
      <c r="S140" s="12"/>
      <c r="T140" s="12" t="s">
        <v>1136</v>
      </c>
      <c r="U140" s="12" t="s">
        <v>1136</v>
      </c>
      <c r="V140" s="12"/>
      <c r="W140" s="12"/>
    </row>
    <row r="141" spans="2:23">
      <c r="B141" s="26" t="s">
        <v>410</v>
      </c>
      <c r="C141" s="12" t="s">
        <v>228</v>
      </c>
      <c r="D141" s="12" t="s">
        <v>228</v>
      </c>
      <c r="E141" s="12" t="s">
        <v>231</v>
      </c>
      <c r="F141" s="12" t="s">
        <v>225</v>
      </c>
      <c r="G141" s="5" t="s">
        <v>224</v>
      </c>
      <c r="H141" s="12">
        <f t="shared" si="9"/>
        <v>1088</v>
      </c>
      <c r="I141" s="12" t="s">
        <v>1154</v>
      </c>
      <c r="J141" s="12" t="s">
        <v>232</v>
      </c>
      <c r="K141" s="12">
        <f t="shared" si="10"/>
        <v>326.40000000000003</v>
      </c>
      <c r="L141" s="12">
        <f t="shared" si="11"/>
        <v>151.47</v>
      </c>
      <c r="M141" s="12">
        <v>2720</v>
      </c>
      <c r="N141" s="12">
        <v>408</v>
      </c>
      <c r="O141" s="12">
        <v>378.67500000000001</v>
      </c>
      <c r="P141" s="12" t="s">
        <v>233</v>
      </c>
      <c r="Q141" s="12" t="s">
        <v>234</v>
      </c>
      <c r="R141" s="12" t="s">
        <v>235</v>
      </c>
      <c r="S141" s="12"/>
      <c r="T141" s="12" t="s">
        <v>1136</v>
      </c>
      <c r="U141" s="12" t="s">
        <v>1136</v>
      </c>
      <c r="V141" s="12"/>
      <c r="W141" s="12"/>
    </row>
    <row r="142" spans="2:23">
      <c r="B142" s="26" t="s">
        <v>411</v>
      </c>
      <c r="C142" s="12" t="s">
        <v>228</v>
      </c>
      <c r="D142" s="12" t="s">
        <v>228</v>
      </c>
      <c r="E142" s="12" t="s">
        <v>231</v>
      </c>
      <c r="F142" s="12" t="s">
        <v>225</v>
      </c>
      <c r="G142" s="5" t="s">
        <v>224</v>
      </c>
      <c r="H142" s="12">
        <f t="shared" si="9"/>
        <v>1104</v>
      </c>
      <c r="I142" s="12" t="s">
        <v>1154</v>
      </c>
      <c r="J142" s="12" t="s">
        <v>232</v>
      </c>
      <c r="K142" s="12">
        <f t="shared" si="10"/>
        <v>331.20000000000005</v>
      </c>
      <c r="L142" s="12">
        <f t="shared" si="11"/>
        <v>154.71</v>
      </c>
      <c r="M142" s="12">
        <v>2760</v>
      </c>
      <c r="N142" s="12">
        <v>414</v>
      </c>
      <c r="O142" s="12">
        <v>386.77499999999998</v>
      </c>
      <c r="P142" s="12" t="s">
        <v>233</v>
      </c>
      <c r="Q142" s="12" t="s">
        <v>234</v>
      </c>
      <c r="R142" s="12" t="s">
        <v>235</v>
      </c>
      <c r="S142" s="12"/>
      <c r="T142" s="12" t="s">
        <v>1136</v>
      </c>
      <c r="U142" s="12" t="s">
        <v>1136</v>
      </c>
      <c r="V142" s="12"/>
      <c r="W142" s="12"/>
    </row>
    <row r="143" spans="2:23">
      <c r="B143" s="26" t="s">
        <v>412</v>
      </c>
      <c r="C143" s="12" t="s">
        <v>228</v>
      </c>
      <c r="D143" s="12" t="s">
        <v>228</v>
      </c>
      <c r="E143" s="12" t="s">
        <v>231</v>
      </c>
      <c r="F143" s="12" t="s">
        <v>225</v>
      </c>
      <c r="G143" s="5" t="s">
        <v>224</v>
      </c>
      <c r="H143" s="12">
        <f t="shared" si="9"/>
        <v>1555.2</v>
      </c>
      <c r="I143" s="12" t="s">
        <v>1154</v>
      </c>
      <c r="J143" s="12" t="s">
        <v>232</v>
      </c>
      <c r="K143" s="12">
        <f t="shared" si="10"/>
        <v>460.8</v>
      </c>
      <c r="L143" s="12">
        <f t="shared" si="11"/>
        <v>288</v>
      </c>
      <c r="M143" s="12">
        <v>3888</v>
      </c>
      <c r="N143" s="12">
        <v>576</v>
      </c>
      <c r="O143" s="12">
        <v>720</v>
      </c>
      <c r="P143" s="12" t="s">
        <v>233</v>
      </c>
      <c r="Q143" s="12" t="s">
        <v>234</v>
      </c>
      <c r="R143" s="12" t="s">
        <v>235</v>
      </c>
      <c r="S143" s="12"/>
      <c r="T143" s="12" t="s">
        <v>1136</v>
      </c>
      <c r="U143" s="12" t="s">
        <v>1136</v>
      </c>
      <c r="V143" s="12"/>
      <c r="W143" s="12"/>
    </row>
    <row r="144" spans="2:23">
      <c r="B144" s="26" t="s">
        <v>413</v>
      </c>
      <c r="C144" s="12" t="s">
        <v>228</v>
      </c>
      <c r="D144" s="12" t="s">
        <v>228</v>
      </c>
      <c r="E144" s="12" t="s">
        <v>231</v>
      </c>
      <c r="F144" s="12" t="s">
        <v>225</v>
      </c>
      <c r="G144" s="5" t="s">
        <v>224</v>
      </c>
      <c r="H144" s="12">
        <f t="shared" si="9"/>
        <v>0</v>
      </c>
      <c r="I144" s="12" t="s">
        <v>1154</v>
      </c>
      <c r="J144" s="12" t="s">
        <v>232</v>
      </c>
      <c r="K144" s="12">
        <f t="shared" si="10"/>
        <v>0</v>
      </c>
      <c r="L144" s="12">
        <f t="shared" si="11"/>
        <v>0</v>
      </c>
      <c r="M144" s="12"/>
      <c r="N144" s="12"/>
      <c r="O144" s="12"/>
      <c r="P144" s="12" t="s">
        <v>233</v>
      </c>
      <c r="Q144" s="12" t="s">
        <v>234</v>
      </c>
      <c r="R144" s="12" t="s">
        <v>235</v>
      </c>
      <c r="S144" s="12"/>
      <c r="T144" s="12" t="s">
        <v>1136</v>
      </c>
      <c r="U144" s="12" t="s">
        <v>1136</v>
      </c>
      <c r="V144" s="12"/>
      <c r="W144" s="12"/>
    </row>
    <row r="145" spans="2:23">
      <c r="B145" s="26" t="s">
        <v>414</v>
      </c>
      <c r="C145" s="12" t="s">
        <v>228</v>
      </c>
      <c r="D145" s="12" t="s">
        <v>228</v>
      </c>
      <c r="E145" s="12" t="s">
        <v>231</v>
      </c>
      <c r="F145" s="12" t="s">
        <v>225</v>
      </c>
      <c r="G145" s="5" t="s">
        <v>224</v>
      </c>
      <c r="H145" s="12">
        <f t="shared" si="9"/>
        <v>0</v>
      </c>
      <c r="I145" s="12" t="s">
        <v>1154</v>
      </c>
      <c r="J145" s="12" t="s">
        <v>232</v>
      </c>
      <c r="K145" s="12">
        <f t="shared" si="10"/>
        <v>0</v>
      </c>
      <c r="L145" s="12">
        <f t="shared" si="11"/>
        <v>0</v>
      </c>
      <c r="M145" s="12"/>
      <c r="N145" s="12"/>
      <c r="O145" s="12"/>
      <c r="P145" s="12" t="s">
        <v>233</v>
      </c>
      <c r="Q145" s="12" t="s">
        <v>234</v>
      </c>
      <c r="R145" s="12" t="s">
        <v>235</v>
      </c>
      <c r="S145" s="12"/>
      <c r="T145" s="12" t="s">
        <v>1136</v>
      </c>
      <c r="U145" s="12" t="s">
        <v>1136</v>
      </c>
      <c r="V145" s="12"/>
      <c r="W145" s="12"/>
    </row>
    <row r="146" spans="2:23">
      <c r="B146" s="26" t="s">
        <v>415</v>
      </c>
      <c r="C146" s="12" t="s">
        <v>228</v>
      </c>
      <c r="D146" s="12" t="s">
        <v>228</v>
      </c>
      <c r="E146" s="12" t="s">
        <v>231</v>
      </c>
      <c r="F146" s="12" t="s">
        <v>225</v>
      </c>
      <c r="G146" s="5" t="s">
        <v>224</v>
      </c>
      <c r="H146" s="12">
        <f t="shared" si="9"/>
        <v>0</v>
      </c>
      <c r="I146" s="12" t="s">
        <v>1154</v>
      </c>
      <c r="J146" s="12" t="s">
        <v>232</v>
      </c>
      <c r="K146" s="12">
        <f t="shared" si="10"/>
        <v>0</v>
      </c>
      <c r="L146" s="12">
        <f t="shared" si="11"/>
        <v>0</v>
      </c>
      <c r="M146" s="12"/>
      <c r="N146" s="12"/>
      <c r="O146" s="12"/>
      <c r="P146" s="12" t="s">
        <v>233</v>
      </c>
      <c r="Q146" s="12" t="s">
        <v>234</v>
      </c>
      <c r="R146" s="12" t="s">
        <v>235</v>
      </c>
      <c r="S146" s="12"/>
      <c r="T146" s="12" t="s">
        <v>1136</v>
      </c>
      <c r="U146" s="12" t="s">
        <v>1136</v>
      </c>
      <c r="V146" s="12"/>
      <c r="W146" s="12"/>
    </row>
    <row r="147" spans="2:23">
      <c r="B147" s="26"/>
      <c r="C147" s="12"/>
      <c r="D147" s="12"/>
      <c r="E147" s="12"/>
      <c r="F147" s="12"/>
      <c r="G147" s="5"/>
      <c r="H147" s="12"/>
      <c r="I147" s="12"/>
      <c r="J147" s="12"/>
      <c r="K147" s="12" t="str">
        <f t="shared" ref="K147" si="12">"防"&amp;I147</f>
        <v>防</v>
      </c>
      <c r="L147" s="12" t="str">
        <f t="shared" ref="L147" si="13">"攻"&amp;J147</f>
        <v>攻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2:23" ht="27">
      <c r="B148" s="12" t="s">
        <v>416</v>
      </c>
      <c r="C148" s="12" t="s">
        <v>228</v>
      </c>
      <c r="D148" s="12" t="s">
        <v>228</v>
      </c>
      <c r="E148" s="12" t="s">
        <v>236</v>
      </c>
      <c r="F148" s="12" t="s">
        <v>225</v>
      </c>
      <c r="G148" s="5" t="s">
        <v>237</v>
      </c>
      <c r="H148" s="12">
        <f>M148*$Y$8</f>
        <v>216</v>
      </c>
      <c r="I148" s="12" t="s">
        <v>1151</v>
      </c>
      <c r="J148" s="12" t="s">
        <v>238</v>
      </c>
      <c r="K148" s="12">
        <f>N148*$Y$8</f>
        <v>24</v>
      </c>
      <c r="L148" s="12">
        <f>O148*$Y$8</f>
        <v>18</v>
      </c>
      <c r="M148" s="12">
        <v>360</v>
      </c>
      <c r="N148" s="12">
        <v>40</v>
      </c>
      <c r="O148" s="12">
        <v>30</v>
      </c>
      <c r="P148" s="12" t="s">
        <v>233</v>
      </c>
      <c r="Q148" s="12" t="s">
        <v>234</v>
      </c>
      <c r="R148" s="12" t="s">
        <v>235</v>
      </c>
      <c r="S148" s="12"/>
      <c r="T148" s="12" t="s">
        <v>1137</v>
      </c>
      <c r="U148" s="12" t="s">
        <v>1137</v>
      </c>
      <c r="V148" s="12"/>
      <c r="W148" s="12"/>
    </row>
    <row r="149" spans="2:23" ht="27">
      <c r="B149" s="12" t="s">
        <v>417</v>
      </c>
      <c r="C149" s="12" t="s">
        <v>228</v>
      </c>
      <c r="D149" s="12" t="s">
        <v>228</v>
      </c>
      <c r="E149" s="12" t="s">
        <v>236</v>
      </c>
      <c r="F149" s="12" t="s">
        <v>225</v>
      </c>
      <c r="G149" s="5" t="s">
        <v>237</v>
      </c>
      <c r="H149" s="12">
        <f t="shared" ref="H149:H194" si="14">M149*$Y$8</f>
        <v>248.39999999999998</v>
      </c>
      <c r="I149" s="12" t="s">
        <v>1151</v>
      </c>
      <c r="J149" s="12" t="s">
        <v>238</v>
      </c>
      <c r="K149" s="12">
        <f t="shared" ref="K149:K195" si="15">N149*$Y$8</f>
        <v>27.599999999999998</v>
      </c>
      <c r="L149" s="12">
        <f t="shared" ref="L149:L195" si="16">O149*$Y$8</f>
        <v>22.8</v>
      </c>
      <c r="M149" s="12">
        <v>414</v>
      </c>
      <c r="N149" s="12">
        <v>46</v>
      </c>
      <c r="O149" s="12">
        <v>38</v>
      </c>
      <c r="P149" s="12" t="s">
        <v>233</v>
      </c>
      <c r="Q149" s="12" t="s">
        <v>234</v>
      </c>
      <c r="R149" s="12" t="s">
        <v>235</v>
      </c>
      <c r="S149" s="12"/>
      <c r="T149" s="12" t="s">
        <v>1137</v>
      </c>
      <c r="U149" s="12" t="s">
        <v>1137</v>
      </c>
      <c r="V149" s="12"/>
      <c r="W149" s="12"/>
    </row>
    <row r="150" spans="2:23" ht="27">
      <c r="B150" s="12" t="s">
        <v>418</v>
      </c>
      <c r="C150" s="12" t="s">
        <v>228</v>
      </c>
      <c r="D150" s="12" t="s">
        <v>228</v>
      </c>
      <c r="E150" s="12" t="s">
        <v>236</v>
      </c>
      <c r="F150" s="12" t="s">
        <v>225</v>
      </c>
      <c r="G150" s="5" t="s">
        <v>237</v>
      </c>
      <c r="H150" s="12">
        <f t="shared" si="14"/>
        <v>259.2</v>
      </c>
      <c r="I150" s="12" t="s">
        <v>1151</v>
      </c>
      <c r="J150" s="12" t="s">
        <v>238</v>
      </c>
      <c r="K150" s="12">
        <f t="shared" si="15"/>
        <v>28.799999999999997</v>
      </c>
      <c r="L150" s="12">
        <f t="shared" si="16"/>
        <v>25.2</v>
      </c>
      <c r="M150" s="12">
        <v>432</v>
      </c>
      <c r="N150" s="12">
        <v>48</v>
      </c>
      <c r="O150" s="12">
        <v>42</v>
      </c>
      <c r="P150" s="12" t="s">
        <v>233</v>
      </c>
      <c r="Q150" s="12" t="s">
        <v>234</v>
      </c>
      <c r="R150" s="12" t="s">
        <v>235</v>
      </c>
      <c r="S150" s="12"/>
      <c r="T150" s="12" t="s">
        <v>1137</v>
      </c>
      <c r="U150" s="12" t="s">
        <v>1137</v>
      </c>
      <c r="V150" s="12"/>
      <c r="W150" s="12"/>
    </row>
    <row r="151" spans="2:23" ht="27">
      <c r="B151" s="12" t="s">
        <v>419</v>
      </c>
      <c r="C151" s="12" t="s">
        <v>228</v>
      </c>
      <c r="D151" s="12" t="s">
        <v>228</v>
      </c>
      <c r="E151" s="12" t="s">
        <v>236</v>
      </c>
      <c r="F151" s="12" t="s">
        <v>225</v>
      </c>
      <c r="G151" s="5" t="s">
        <v>237</v>
      </c>
      <c r="H151" s="12">
        <f t="shared" si="14"/>
        <v>270</v>
      </c>
      <c r="I151" s="12" t="s">
        <v>1151</v>
      </c>
      <c r="J151" s="12" t="s">
        <v>238</v>
      </c>
      <c r="K151" s="12">
        <f t="shared" si="15"/>
        <v>30</v>
      </c>
      <c r="L151" s="12">
        <f t="shared" si="16"/>
        <v>27.599999999999998</v>
      </c>
      <c r="M151" s="12">
        <v>450</v>
      </c>
      <c r="N151" s="12">
        <v>50</v>
      </c>
      <c r="O151" s="12">
        <v>46</v>
      </c>
      <c r="P151" s="12" t="s">
        <v>233</v>
      </c>
      <c r="Q151" s="12" t="s">
        <v>234</v>
      </c>
      <c r="R151" s="12" t="s">
        <v>235</v>
      </c>
      <c r="S151" s="12"/>
      <c r="T151" s="12" t="s">
        <v>1137</v>
      </c>
      <c r="U151" s="12" t="s">
        <v>1137</v>
      </c>
      <c r="V151" s="12"/>
      <c r="W151" s="12"/>
    </row>
    <row r="152" spans="2:23" ht="27">
      <c r="B152" s="12" t="s">
        <v>420</v>
      </c>
      <c r="C152" s="12" t="s">
        <v>228</v>
      </c>
      <c r="D152" s="12" t="s">
        <v>228</v>
      </c>
      <c r="E152" s="12" t="s">
        <v>236</v>
      </c>
      <c r="F152" s="12" t="s">
        <v>225</v>
      </c>
      <c r="G152" s="5" t="s">
        <v>237</v>
      </c>
      <c r="H152" s="12">
        <f t="shared" si="14"/>
        <v>280.8</v>
      </c>
      <c r="I152" s="12" t="s">
        <v>1151</v>
      </c>
      <c r="J152" s="12" t="s">
        <v>238</v>
      </c>
      <c r="K152" s="12">
        <f t="shared" si="15"/>
        <v>31.2</v>
      </c>
      <c r="L152" s="12">
        <f t="shared" si="16"/>
        <v>30</v>
      </c>
      <c r="M152" s="12">
        <v>468</v>
      </c>
      <c r="N152" s="12">
        <v>52</v>
      </c>
      <c r="O152" s="12">
        <v>50</v>
      </c>
      <c r="P152" s="12" t="s">
        <v>233</v>
      </c>
      <c r="Q152" s="12" t="s">
        <v>234</v>
      </c>
      <c r="R152" s="12" t="s">
        <v>235</v>
      </c>
      <c r="S152" s="12"/>
      <c r="T152" s="12" t="s">
        <v>1137</v>
      </c>
      <c r="U152" s="12" t="s">
        <v>1137</v>
      </c>
      <c r="V152" s="12"/>
      <c r="W152" s="12"/>
    </row>
    <row r="153" spans="2:23" ht="27">
      <c r="B153" s="12" t="s">
        <v>421</v>
      </c>
      <c r="C153" s="12" t="s">
        <v>228</v>
      </c>
      <c r="D153" s="12" t="s">
        <v>228</v>
      </c>
      <c r="E153" s="12" t="s">
        <v>236</v>
      </c>
      <c r="F153" s="12" t="s">
        <v>225</v>
      </c>
      <c r="G153" s="5" t="s">
        <v>237</v>
      </c>
      <c r="H153" s="12">
        <f t="shared" si="14"/>
        <v>291.59999999999997</v>
      </c>
      <c r="I153" s="12" t="s">
        <v>1151</v>
      </c>
      <c r="J153" s="12" t="s">
        <v>238</v>
      </c>
      <c r="K153" s="12">
        <f t="shared" si="15"/>
        <v>32.4</v>
      </c>
      <c r="L153" s="12">
        <f t="shared" si="16"/>
        <v>32.4</v>
      </c>
      <c r="M153" s="12">
        <v>486</v>
      </c>
      <c r="N153" s="12">
        <v>54</v>
      </c>
      <c r="O153" s="12">
        <v>54</v>
      </c>
      <c r="P153" s="12" t="s">
        <v>233</v>
      </c>
      <c r="Q153" s="12" t="s">
        <v>234</v>
      </c>
      <c r="R153" s="12" t="s">
        <v>235</v>
      </c>
      <c r="S153" s="12"/>
      <c r="T153" s="12" t="s">
        <v>1137</v>
      </c>
      <c r="U153" s="12" t="s">
        <v>1137</v>
      </c>
      <c r="V153" s="12"/>
      <c r="W153" s="12"/>
    </row>
    <row r="154" spans="2:23" ht="27">
      <c r="B154" s="12" t="s">
        <v>422</v>
      </c>
      <c r="C154" s="12" t="s">
        <v>228</v>
      </c>
      <c r="D154" s="12" t="s">
        <v>228</v>
      </c>
      <c r="E154" s="12" t="s">
        <v>236</v>
      </c>
      <c r="F154" s="12" t="s">
        <v>225</v>
      </c>
      <c r="G154" s="5" t="s">
        <v>237</v>
      </c>
      <c r="H154" s="12">
        <f t="shared" si="14"/>
        <v>302.39999999999998</v>
      </c>
      <c r="I154" s="12" t="s">
        <v>1151</v>
      </c>
      <c r="J154" s="12" t="s">
        <v>238</v>
      </c>
      <c r="K154" s="12">
        <f t="shared" si="15"/>
        <v>33.6</v>
      </c>
      <c r="L154" s="12">
        <f t="shared" si="16"/>
        <v>34.799999999999997</v>
      </c>
      <c r="M154" s="12">
        <v>504</v>
      </c>
      <c r="N154" s="12">
        <v>56</v>
      </c>
      <c r="O154" s="12">
        <v>58</v>
      </c>
      <c r="P154" s="12" t="s">
        <v>233</v>
      </c>
      <c r="Q154" s="12" t="s">
        <v>234</v>
      </c>
      <c r="R154" s="12" t="s">
        <v>235</v>
      </c>
      <c r="S154" s="12"/>
      <c r="T154" s="12" t="s">
        <v>1137</v>
      </c>
      <c r="U154" s="12" t="s">
        <v>1137</v>
      </c>
      <c r="V154" s="12"/>
      <c r="W154" s="12"/>
    </row>
    <row r="155" spans="2:23" ht="27">
      <c r="B155" s="12" t="s">
        <v>423</v>
      </c>
      <c r="C155" s="12" t="s">
        <v>228</v>
      </c>
      <c r="D155" s="12" t="s">
        <v>228</v>
      </c>
      <c r="E155" s="12" t="s">
        <v>236</v>
      </c>
      <c r="F155" s="12" t="s">
        <v>225</v>
      </c>
      <c r="G155" s="5" t="s">
        <v>237</v>
      </c>
      <c r="H155" s="12">
        <f t="shared" si="14"/>
        <v>313.2</v>
      </c>
      <c r="I155" s="12" t="s">
        <v>1151</v>
      </c>
      <c r="J155" s="12" t="s">
        <v>238</v>
      </c>
      <c r="K155" s="12">
        <f t="shared" si="15"/>
        <v>34.799999999999997</v>
      </c>
      <c r="L155" s="12">
        <f t="shared" si="16"/>
        <v>37.199999999999996</v>
      </c>
      <c r="M155" s="12">
        <v>522</v>
      </c>
      <c r="N155" s="12">
        <v>58</v>
      </c>
      <c r="O155" s="12">
        <v>62</v>
      </c>
      <c r="P155" s="12" t="s">
        <v>233</v>
      </c>
      <c r="Q155" s="12" t="s">
        <v>234</v>
      </c>
      <c r="R155" s="12" t="s">
        <v>235</v>
      </c>
      <c r="S155" s="12"/>
      <c r="T155" s="12" t="s">
        <v>1137</v>
      </c>
      <c r="U155" s="12" t="s">
        <v>1137</v>
      </c>
      <c r="V155" s="12"/>
      <c r="W155" s="12"/>
    </row>
    <row r="156" spans="2:23" ht="27">
      <c r="B156" s="12" t="s">
        <v>424</v>
      </c>
      <c r="C156" s="12" t="s">
        <v>228</v>
      </c>
      <c r="D156" s="12" t="s">
        <v>228</v>
      </c>
      <c r="E156" s="12" t="s">
        <v>236</v>
      </c>
      <c r="F156" s="12" t="s">
        <v>225</v>
      </c>
      <c r="G156" s="5" t="s">
        <v>237</v>
      </c>
      <c r="H156" s="12">
        <f t="shared" si="14"/>
        <v>324</v>
      </c>
      <c r="I156" s="12" t="s">
        <v>1151</v>
      </c>
      <c r="J156" s="12" t="s">
        <v>238</v>
      </c>
      <c r="K156" s="12">
        <f t="shared" si="15"/>
        <v>36</v>
      </c>
      <c r="L156" s="12">
        <f t="shared" si="16"/>
        <v>39.6</v>
      </c>
      <c r="M156" s="12">
        <v>540</v>
      </c>
      <c r="N156" s="12">
        <v>60</v>
      </c>
      <c r="O156" s="12">
        <v>66</v>
      </c>
      <c r="P156" s="12" t="s">
        <v>233</v>
      </c>
      <c r="Q156" s="12" t="s">
        <v>234</v>
      </c>
      <c r="R156" s="12" t="s">
        <v>235</v>
      </c>
      <c r="S156" s="12"/>
      <c r="T156" s="12" t="s">
        <v>1137</v>
      </c>
      <c r="U156" s="12" t="s">
        <v>1137</v>
      </c>
      <c r="V156" s="12"/>
      <c r="W156" s="12"/>
    </row>
    <row r="157" spans="2:23" ht="27">
      <c r="B157" s="12" t="s">
        <v>425</v>
      </c>
      <c r="C157" s="12" t="s">
        <v>228</v>
      </c>
      <c r="D157" s="12" t="s">
        <v>228</v>
      </c>
      <c r="E157" s="12" t="s">
        <v>236</v>
      </c>
      <c r="F157" s="12" t="s">
        <v>225</v>
      </c>
      <c r="G157" s="5" t="s">
        <v>237</v>
      </c>
      <c r="H157" s="12">
        <f t="shared" si="14"/>
        <v>334.8</v>
      </c>
      <c r="I157" s="12" t="s">
        <v>1151</v>
      </c>
      <c r="J157" s="12" t="s">
        <v>238</v>
      </c>
      <c r="K157" s="12">
        <f t="shared" si="15"/>
        <v>37.199999999999996</v>
      </c>
      <c r="L157" s="12">
        <f t="shared" si="16"/>
        <v>42</v>
      </c>
      <c r="M157" s="12">
        <v>558</v>
      </c>
      <c r="N157" s="12">
        <v>62</v>
      </c>
      <c r="O157" s="12">
        <v>70</v>
      </c>
      <c r="P157" s="12" t="s">
        <v>233</v>
      </c>
      <c r="Q157" s="12" t="s">
        <v>234</v>
      </c>
      <c r="R157" s="12" t="s">
        <v>235</v>
      </c>
      <c r="S157" s="12"/>
      <c r="T157" s="12" t="s">
        <v>1137</v>
      </c>
      <c r="U157" s="12" t="s">
        <v>1137</v>
      </c>
      <c r="V157" s="12"/>
      <c r="W157" s="12"/>
    </row>
    <row r="158" spans="2:23" ht="27">
      <c r="B158" s="12" t="s">
        <v>426</v>
      </c>
      <c r="C158" s="12" t="s">
        <v>228</v>
      </c>
      <c r="D158" s="12" t="s">
        <v>228</v>
      </c>
      <c r="E158" s="12" t="s">
        <v>236</v>
      </c>
      <c r="F158" s="12" t="s">
        <v>225</v>
      </c>
      <c r="G158" s="5" t="s">
        <v>237</v>
      </c>
      <c r="H158" s="12">
        <f t="shared" si="14"/>
        <v>345.59999999999997</v>
      </c>
      <c r="I158" s="12" t="s">
        <v>1151</v>
      </c>
      <c r="J158" s="12" t="s">
        <v>238</v>
      </c>
      <c r="K158" s="12">
        <f t="shared" si="15"/>
        <v>38.4</v>
      </c>
      <c r="L158" s="12">
        <f t="shared" si="16"/>
        <v>44.4</v>
      </c>
      <c r="M158" s="12">
        <v>576</v>
      </c>
      <c r="N158" s="12">
        <v>64</v>
      </c>
      <c r="O158" s="12">
        <v>74</v>
      </c>
      <c r="P158" s="12" t="s">
        <v>233</v>
      </c>
      <c r="Q158" s="12" t="s">
        <v>234</v>
      </c>
      <c r="R158" s="12" t="s">
        <v>235</v>
      </c>
      <c r="S158" s="12"/>
      <c r="T158" s="12" t="s">
        <v>1137</v>
      </c>
      <c r="U158" s="12" t="s">
        <v>1137</v>
      </c>
      <c r="V158" s="12"/>
      <c r="W158" s="12"/>
    </row>
    <row r="159" spans="2:23" ht="27">
      <c r="B159" s="12" t="s">
        <v>427</v>
      </c>
      <c r="C159" s="12" t="s">
        <v>228</v>
      </c>
      <c r="D159" s="12" t="s">
        <v>228</v>
      </c>
      <c r="E159" s="12" t="s">
        <v>236</v>
      </c>
      <c r="F159" s="12" t="s">
        <v>225</v>
      </c>
      <c r="G159" s="5" t="s">
        <v>237</v>
      </c>
      <c r="H159" s="12">
        <f t="shared" si="14"/>
        <v>356.4</v>
      </c>
      <c r="I159" s="12" t="s">
        <v>1151</v>
      </c>
      <c r="J159" s="12" t="s">
        <v>238</v>
      </c>
      <c r="K159" s="12">
        <f t="shared" si="15"/>
        <v>39.6</v>
      </c>
      <c r="L159" s="12">
        <f t="shared" si="16"/>
        <v>46.8</v>
      </c>
      <c r="M159" s="12">
        <v>594</v>
      </c>
      <c r="N159" s="12">
        <v>66</v>
      </c>
      <c r="O159" s="12">
        <v>78</v>
      </c>
      <c r="P159" s="12" t="s">
        <v>233</v>
      </c>
      <c r="Q159" s="12" t="s">
        <v>234</v>
      </c>
      <c r="R159" s="12" t="s">
        <v>235</v>
      </c>
      <c r="S159" s="12"/>
      <c r="T159" s="12" t="s">
        <v>1137</v>
      </c>
      <c r="U159" s="12" t="s">
        <v>1137</v>
      </c>
      <c r="V159" s="12"/>
      <c r="W159" s="12"/>
    </row>
    <row r="160" spans="2:23" ht="27">
      <c r="B160" s="12" t="s">
        <v>428</v>
      </c>
      <c r="C160" s="12" t="s">
        <v>228</v>
      </c>
      <c r="D160" s="12" t="s">
        <v>228</v>
      </c>
      <c r="E160" s="12" t="s">
        <v>236</v>
      </c>
      <c r="F160" s="12" t="s">
        <v>225</v>
      </c>
      <c r="G160" s="5" t="s">
        <v>237</v>
      </c>
      <c r="H160" s="12">
        <f t="shared" si="14"/>
        <v>367.2</v>
      </c>
      <c r="I160" s="12" t="s">
        <v>1151</v>
      </c>
      <c r="J160" s="12" t="s">
        <v>238</v>
      </c>
      <c r="K160" s="12">
        <f t="shared" si="15"/>
        <v>40.799999999999997</v>
      </c>
      <c r="L160" s="12">
        <f t="shared" si="16"/>
        <v>49.199999999999996</v>
      </c>
      <c r="M160" s="12">
        <v>612</v>
      </c>
      <c r="N160" s="12">
        <v>68</v>
      </c>
      <c r="O160" s="12">
        <v>82</v>
      </c>
      <c r="P160" s="12" t="s">
        <v>233</v>
      </c>
      <c r="Q160" s="12" t="s">
        <v>234</v>
      </c>
      <c r="R160" s="12" t="s">
        <v>235</v>
      </c>
      <c r="S160" s="12"/>
      <c r="T160" s="12" t="s">
        <v>1137</v>
      </c>
      <c r="U160" s="12" t="s">
        <v>1137</v>
      </c>
      <c r="V160" s="12"/>
      <c r="W160" s="12"/>
    </row>
    <row r="161" spans="2:23" ht="27">
      <c r="B161" s="12" t="s">
        <v>429</v>
      </c>
      <c r="C161" s="12" t="s">
        <v>228</v>
      </c>
      <c r="D161" s="12" t="s">
        <v>228</v>
      </c>
      <c r="E161" s="12" t="s">
        <v>236</v>
      </c>
      <c r="F161" s="12" t="s">
        <v>225</v>
      </c>
      <c r="G161" s="5" t="s">
        <v>237</v>
      </c>
      <c r="H161" s="12">
        <f t="shared" si="14"/>
        <v>378</v>
      </c>
      <c r="I161" s="12" t="s">
        <v>1151</v>
      </c>
      <c r="J161" s="12" t="s">
        <v>238</v>
      </c>
      <c r="K161" s="12">
        <f t="shared" si="15"/>
        <v>42</v>
      </c>
      <c r="L161" s="12">
        <f t="shared" si="16"/>
        <v>51.6</v>
      </c>
      <c r="M161" s="12">
        <v>630</v>
      </c>
      <c r="N161" s="12">
        <v>70</v>
      </c>
      <c r="O161" s="12">
        <v>86</v>
      </c>
      <c r="P161" s="12" t="s">
        <v>233</v>
      </c>
      <c r="Q161" s="12" t="s">
        <v>234</v>
      </c>
      <c r="R161" s="12" t="s">
        <v>235</v>
      </c>
      <c r="S161" s="12"/>
      <c r="T161" s="12" t="s">
        <v>1137</v>
      </c>
      <c r="U161" s="12" t="s">
        <v>1137</v>
      </c>
      <c r="V161" s="12"/>
      <c r="W161" s="12"/>
    </row>
    <row r="162" spans="2:23" ht="27">
      <c r="B162" s="12" t="s">
        <v>430</v>
      </c>
      <c r="C162" s="12" t="s">
        <v>228</v>
      </c>
      <c r="D162" s="12" t="s">
        <v>228</v>
      </c>
      <c r="E162" s="12" t="s">
        <v>236</v>
      </c>
      <c r="F162" s="12" t="s">
        <v>225</v>
      </c>
      <c r="G162" s="5" t="s">
        <v>237</v>
      </c>
      <c r="H162" s="12">
        <f t="shared" si="14"/>
        <v>638.4</v>
      </c>
      <c r="I162" s="12" t="s">
        <v>1151</v>
      </c>
      <c r="J162" s="12" t="s">
        <v>238</v>
      </c>
      <c r="K162" s="12">
        <f t="shared" si="15"/>
        <v>91.2</v>
      </c>
      <c r="L162" s="12">
        <f t="shared" si="16"/>
        <v>72.899999999999991</v>
      </c>
      <c r="M162" s="12">
        <v>1064</v>
      </c>
      <c r="N162" s="12">
        <v>152</v>
      </c>
      <c r="O162" s="12">
        <v>121.5</v>
      </c>
      <c r="P162" s="12" t="s">
        <v>233</v>
      </c>
      <c r="Q162" s="12" t="s">
        <v>234</v>
      </c>
      <c r="R162" s="12" t="s">
        <v>235</v>
      </c>
      <c r="S162" s="12"/>
      <c r="T162" s="12" t="s">
        <v>1137</v>
      </c>
      <c r="U162" s="12" t="s">
        <v>1137</v>
      </c>
      <c r="V162" s="12"/>
      <c r="W162" s="12"/>
    </row>
    <row r="163" spans="2:23" ht="27">
      <c r="B163" s="12" t="s">
        <v>431</v>
      </c>
      <c r="C163" s="12" t="s">
        <v>228</v>
      </c>
      <c r="D163" s="12" t="s">
        <v>228</v>
      </c>
      <c r="E163" s="12" t="s">
        <v>236</v>
      </c>
      <c r="F163" s="12" t="s">
        <v>225</v>
      </c>
      <c r="G163" s="5" t="s">
        <v>237</v>
      </c>
      <c r="H163" s="12">
        <f t="shared" si="14"/>
        <v>655.19999999999993</v>
      </c>
      <c r="I163" s="12" t="s">
        <v>1151</v>
      </c>
      <c r="J163" s="12" t="s">
        <v>238</v>
      </c>
      <c r="K163" s="12">
        <f t="shared" si="15"/>
        <v>93.6</v>
      </c>
      <c r="L163" s="12">
        <f t="shared" si="16"/>
        <v>76.544999999999987</v>
      </c>
      <c r="M163" s="12">
        <v>1092</v>
      </c>
      <c r="N163" s="12">
        <v>156</v>
      </c>
      <c r="O163" s="12">
        <v>127.57499999999999</v>
      </c>
      <c r="P163" s="12" t="s">
        <v>233</v>
      </c>
      <c r="Q163" s="12" t="s">
        <v>234</v>
      </c>
      <c r="R163" s="12" t="s">
        <v>235</v>
      </c>
      <c r="S163" s="12"/>
      <c r="T163" s="12" t="s">
        <v>1137</v>
      </c>
      <c r="U163" s="12" t="s">
        <v>1137</v>
      </c>
      <c r="V163" s="12"/>
      <c r="W163" s="12"/>
    </row>
    <row r="164" spans="2:23" ht="27">
      <c r="B164" s="12" t="s">
        <v>432</v>
      </c>
      <c r="C164" s="12" t="s">
        <v>228</v>
      </c>
      <c r="D164" s="12" t="s">
        <v>228</v>
      </c>
      <c r="E164" s="12" t="s">
        <v>236</v>
      </c>
      <c r="F164" s="12" t="s">
        <v>225</v>
      </c>
      <c r="G164" s="5" t="s">
        <v>237</v>
      </c>
      <c r="H164" s="12">
        <f t="shared" si="14"/>
        <v>672</v>
      </c>
      <c r="I164" s="12" t="s">
        <v>1151</v>
      </c>
      <c r="J164" s="12" t="s">
        <v>238</v>
      </c>
      <c r="K164" s="12">
        <f t="shared" si="15"/>
        <v>96</v>
      </c>
      <c r="L164" s="12">
        <f t="shared" si="16"/>
        <v>80.19</v>
      </c>
      <c r="M164" s="12">
        <v>1120</v>
      </c>
      <c r="N164" s="12">
        <v>160</v>
      </c>
      <c r="O164" s="12">
        <v>133.65</v>
      </c>
      <c r="P164" s="12" t="s">
        <v>233</v>
      </c>
      <c r="Q164" s="12" t="s">
        <v>234</v>
      </c>
      <c r="R164" s="12" t="s">
        <v>235</v>
      </c>
      <c r="S164" s="12"/>
      <c r="T164" s="12" t="s">
        <v>1137</v>
      </c>
      <c r="U164" s="12" t="s">
        <v>1137</v>
      </c>
      <c r="V164" s="12"/>
      <c r="W164" s="12"/>
    </row>
    <row r="165" spans="2:23" ht="27">
      <c r="B165" s="12" t="s">
        <v>433</v>
      </c>
      <c r="C165" s="12" t="s">
        <v>228</v>
      </c>
      <c r="D165" s="12" t="s">
        <v>228</v>
      </c>
      <c r="E165" s="12" t="s">
        <v>236</v>
      </c>
      <c r="F165" s="12" t="s">
        <v>225</v>
      </c>
      <c r="G165" s="5" t="s">
        <v>237</v>
      </c>
      <c r="H165" s="12">
        <f t="shared" si="14"/>
        <v>688.8</v>
      </c>
      <c r="I165" s="12" t="s">
        <v>1151</v>
      </c>
      <c r="J165" s="12" t="s">
        <v>238</v>
      </c>
      <c r="K165" s="12">
        <f t="shared" si="15"/>
        <v>98.399999999999991</v>
      </c>
      <c r="L165" s="12">
        <f t="shared" si="16"/>
        <v>83.834999999999994</v>
      </c>
      <c r="M165" s="12">
        <v>1148</v>
      </c>
      <c r="N165" s="12">
        <v>164</v>
      </c>
      <c r="O165" s="12">
        <v>139.72499999999999</v>
      </c>
      <c r="P165" s="12" t="s">
        <v>233</v>
      </c>
      <c r="Q165" s="12" t="s">
        <v>234</v>
      </c>
      <c r="R165" s="12" t="s">
        <v>235</v>
      </c>
      <c r="S165" s="12"/>
      <c r="T165" s="12" t="s">
        <v>1137</v>
      </c>
      <c r="U165" s="12" t="s">
        <v>1137</v>
      </c>
      <c r="V165" s="12"/>
      <c r="W165" s="12"/>
    </row>
    <row r="166" spans="2:23" ht="27">
      <c r="B166" s="12" t="s">
        <v>434</v>
      </c>
      <c r="C166" s="12" t="s">
        <v>228</v>
      </c>
      <c r="D166" s="12" t="s">
        <v>228</v>
      </c>
      <c r="E166" s="12" t="s">
        <v>236</v>
      </c>
      <c r="F166" s="12" t="s">
        <v>225</v>
      </c>
      <c r="G166" s="5" t="s">
        <v>237</v>
      </c>
      <c r="H166" s="12">
        <f t="shared" si="14"/>
        <v>705.6</v>
      </c>
      <c r="I166" s="12" t="s">
        <v>1151</v>
      </c>
      <c r="J166" s="12" t="s">
        <v>238</v>
      </c>
      <c r="K166" s="12">
        <f t="shared" si="15"/>
        <v>100.8</v>
      </c>
      <c r="L166" s="12">
        <f t="shared" si="16"/>
        <v>87.47999999999999</v>
      </c>
      <c r="M166" s="12">
        <v>1176</v>
      </c>
      <c r="N166" s="12">
        <v>168</v>
      </c>
      <c r="O166" s="12">
        <v>145.79999999999998</v>
      </c>
      <c r="P166" s="12" t="s">
        <v>233</v>
      </c>
      <c r="Q166" s="12" t="s">
        <v>234</v>
      </c>
      <c r="R166" s="12" t="s">
        <v>235</v>
      </c>
      <c r="T166" s="12" t="s">
        <v>1137</v>
      </c>
      <c r="U166" s="12" t="s">
        <v>1137</v>
      </c>
      <c r="V166" s="12"/>
      <c r="W166" s="12"/>
    </row>
    <row r="167" spans="2:23" ht="27">
      <c r="B167" s="12" t="s">
        <v>435</v>
      </c>
      <c r="C167" s="12" t="s">
        <v>228</v>
      </c>
      <c r="D167" s="12" t="s">
        <v>228</v>
      </c>
      <c r="E167" s="12" t="s">
        <v>236</v>
      </c>
      <c r="F167" s="12" t="s">
        <v>225</v>
      </c>
      <c r="G167" s="5" t="s">
        <v>237</v>
      </c>
      <c r="H167" s="12">
        <f t="shared" si="14"/>
        <v>722.4</v>
      </c>
      <c r="I167" s="12" t="s">
        <v>1151</v>
      </c>
      <c r="J167" s="12" t="s">
        <v>238</v>
      </c>
      <c r="K167" s="12">
        <f t="shared" si="15"/>
        <v>103.2</v>
      </c>
      <c r="L167" s="12">
        <f t="shared" si="16"/>
        <v>91.125</v>
      </c>
      <c r="M167" s="12">
        <v>1204</v>
      </c>
      <c r="N167" s="12">
        <v>172</v>
      </c>
      <c r="O167" s="12">
        <v>151.875</v>
      </c>
      <c r="P167" s="12" t="s">
        <v>233</v>
      </c>
      <c r="Q167" s="12" t="s">
        <v>234</v>
      </c>
      <c r="R167" s="12" t="s">
        <v>235</v>
      </c>
      <c r="T167" s="12" t="s">
        <v>1137</v>
      </c>
      <c r="U167" s="12" t="s">
        <v>1137</v>
      </c>
      <c r="V167" s="12"/>
      <c r="W167" s="12"/>
    </row>
    <row r="168" spans="2:23" ht="27">
      <c r="B168" s="12" t="s">
        <v>436</v>
      </c>
      <c r="C168" s="12" t="s">
        <v>228</v>
      </c>
      <c r="D168" s="12" t="s">
        <v>228</v>
      </c>
      <c r="E168" s="12" t="s">
        <v>236</v>
      </c>
      <c r="F168" s="12" t="s">
        <v>225</v>
      </c>
      <c r="G168" s="5" t="s">
        <v>237</v>
      </c>
      <c r="H168" s="12">
        <f t="shared" si="14"/>
        <v>739.19999999999993</v>
      </c>
      <c r="I168" s="12" t="s">
        <v>1151</v>
      </c>
      <c r="J168" s="12" t="s">
        <v>238</v>
      </c>
      <c r="K168" s="12">
        <f t="shared" si="15"/>
        <v>105.6</v>
      </c>
      <c r="L168" s="12">
        <f t="shared" si="16"/>
        <v>94.77</v>
      </c>
      <c r="M168" s="12">
        <v>1232</v>
      </c>
      <c r="N168" s="12">
        <v>176</v>
      </c>
      <c r="O168" s="12">
        <v>157.94999999999999</v>
      </c>
      <c r="P168" s="12" t="s">
        <v>233</v>
      </c>
      <c r="Q168" s="12" t="s">
        <v>234</v>
      </c>
      <c r="R168" s="12" t="s">
        <v>235</v>
      </c>
      <c r="T168" s="12" t="s">
        <v>1137</v>
      </c>
      <c r="U168" s="12" t="s">
        <v>1137</v>
      </c>
      <c r="V168" s="12"/>
      <c r="W168" s="12"/>
    </row>
    <row r="169" spans="2:23" ht="27">
      <c r="B169" s="12" t="s">
        <v>437</v>
      </c>
      <c r="C169" s="12" t="s">
        <v>228</v>
      </c>
      <c r="D169" s="12" t="s">
        <v>228</v>
      </c>
      <c r="E169" s="12" t="s">
        <v>236</v>
      </c>
      <c r="F169" s="12" t="s">
        <v>225</v>
      </c>
      <c r="G169" s="5" t="s">
        <v>237</v>
      </c>
      <c r="H169" s="12">
        <f t="shared" si="14"/>
        <v>756</v>
      </c>
      <c r="I169" s="12" t="s">
        <v>1151</v>
      </c>
      <c r="J169" s="12" t="s">
        <v>238</v>
      </c>
      <c r="K169" s="12">
        <f t="shared" si="15"/>
        <v>108</v>
      </c>
      <c r="L169" s="12">
        <f t="shared" si="16"/>
        <v>98.415000000000006</v>
      </c>
      <c r="M169" s="12">
        <v>1260</v>
      </c>
      <c r="N169" s="12">
        <v>180</v>
      </c>
      <c r="O169" s="12">
        <v>164.02500000000001</v>
      </c>
      <c r="P169" s="12" t="s">
        <v>233</v>
      </c>
      <c r="Q169" s="12" t="s">
        <v>234</v>
      </c>
      <c r="R169" s="12" t="s">
        <v>235</v>
      </c>
      <c r="T169" s="12" t="s">
        <v>1137</v>
      </c>
      <c r="U169" s="12" t="s">
        <v>1137</v>
      </c>
      <c r="V169" s="12"/>
      <c r="W169" s="12"/>
    </row>
    <row r="170" spans="2:23" ht="27">
      <c r="B170" s="12" t="s">
        <v>438</v>
      </c>
      <c r="C170" s="12" t="s">
        <v>228</v>
      </c>
      <c r="D170" s="12" t="s">
        <v>228</v>
      </c>
      <c r="E170" s="12" t="s">
        <v>236</v>
      </c>
      <c r="F170" s="12" t="s">
        <v>225</v>
      </c>
      <c r="G170" s="5" t="s">
        <v>237</v>
      </c>
      <c r="H170" s="12">
        <f t="shared" si="14"/>
        <v>772.8</v>
      </c>
      <c r="I170" s="12" t="s">
        <v>1151</v>
      </c>
      <c r="J170" s="12" t="s">
        <v>238</v>
      </c>
      <c r="K170" s="12">
        <f t="shared" si="15"/>
        <v>110.39999999999999</v>
      </c>
      <c r="L170" s="12">
        <f t="shared" si="16"/>
        <v>102.05999999999999</v>
      </c>
      <c r="M170" s="12">
        <v>1288</v>
      </c>
      <c r="N170" s="12">
        <v>184</v>
      </c>
      <c r="O170" s="12">
        <v>170.1</v>
      </c>
      <c r="P170" s="12" t="s">
        <v>233</v>
      </c>
      <c r="Q170" s="12" t="s">
        <v>234</v>
      </c>
      <c r="R170" s="12" t="s">
        <v>235</v>
      </c>
      <c r="T170" s="12" t="s">
        <v>1137</v>
      </c>
      <c r="U170" s="12" t="s">
        <v>1137</v>
      </c>
      <c r="V170" s="12"/>
      <c r="W170" s="12"/>
    </row>
    <row r="171" spans="2:23" ht="27">
      <c r="B171" s="12" t="s">
        <v>439</v>
      </c>
      <c r="C171" s="12" t="s">
        <v>228</v>
      </c>
      <c r="D171" s="12" t="s">
        <v>228</v>
      </c>
      <c r="E171" s="12" t="s">
        <v>236</v>
      </c>
      <c r="F171" s="12" t="s">
        <v>225</v>
      </c>
      <c r="G171" s="5" t="s">
        <v>237</v>
      </c>
      <c r="H171" s="12">
        <f t="shared" si="14"/>
        <v>789.6</v>
      </c>
      <c r="I171" s="12" t="s">
        <v>1151</v>
      </c>
      <c r="J171" s="12" t="s">
        <v>238</v>
      </c>
      <c r="K171" s="12">
        <f t="shared" si="15"/>
        <v>112.8</v>
      </c>
      <c r="L171" s="12">
        <f t="shared" si="16"/>
        <v>105.70499999999998</v>
      </c>
      <c r="M171" s="12">
        <v>1316</v>
      </c>
      <c r="N171" s="12">
        <v>188</v>
      </c>
      <c r="O171" s="12">
        <v>176.17499999999998</v>
      </c>
      <c r="P171" s="12" t="s">
        <v>233</v>
      </c>
      <c r="Q171" s="12" t="s">
        <v>234</v>
      </c>
      <c r="R171" s="12" t="s">
        <v>235</v>
      </c>
      <c r="T171" s="12" t="s">
        <v>1137</v>
      </c>
      <c r="U171" s="12" t="s">
        <v>1137</v>
      </c>
      <c r="V171" s="12"/>
      <c r="W171" s="12"/>
    </row>
    <row r="172" spans="2:23" ht="27">
      <c r="B172" s="12" t="s">
        <v>440</v>
      </c>
      <c r="C172" s="12" t="s">
        <v>228</v>
      </c>
      <c r="D172" s="12" t="s">
        <v>228</v>
      </c>
      <c r="E172" s="12" t="s">
        <v>236</v>
      </c>
      <c r="F172" s="12" t="s">
        <v>225</v>
      </c>
      <c r="G172" s="5" t="s">
        <v>237</v>
      </c>
      <c r="H172" s="12">
        <f t="shared" si="14"/>
        <v>806.4</v>
      </c>
      <c r="I172" s="12" t="s">
        <v>1151</v>
      </c>
      <c r="J172" s="12" t="s">
        <v>238</v>
      </c>
      <c r="K172" s="12">
        <f t="shared" si="15"/>
        <v>115.19999999999999</v>
      </c>
      <c r="L172" s="12">
        <f t="shared" si="16"/>
        <v>109.35</v>
      </c>
      <c r="M172" s="12">
        <v>1344</v>
      </c>
      <c r="N172" s="12">
        <v>192</v>
      </c>
      <c r="O172" s="12">
        <v>182.25</v>
      </c>
      <c r="P172" s="12" t="s">
        <v>233</v>
      </c>
      <c r="Q172" s="12" t="s">
        <v>234</v>
      </c>
      <c r="R172" s="12" t="s">
        <v>235</v>
      </c>
      <c r="T172" s="12" t="s">
        <v>1137</v>
      </c>
      <c r="U172" s="12" t="s">
        <v>1137</v>
      </c>
      <c r="V172" s="12"/>
      <c r="W172" s="12"/>
    </row>
    <row r="173" spans="2:23" ht="27">
      <c r="B173" s="12" t="s">
        <v>441</v>
      </c>
      <c r="C173" s="12" t="s">
        <v>228</v>
      </c>
      <c r="D173" s="12" t="s">
        <v>228</v>
      </c>
      <c r="E173" s="12" t="s">
        <v>236</v>
      </c>
      <c r="F173" s="12" t="s">
        <v>225</v>
      </c>
      <c r="G173" s="5" t="s">
        <v>237</v>
      </c>
      <c r="H173" s="12">
        <f t="shared" si="14"/>
        <v>823.19999999999993</v>
      </c>
      <c r="I173" s="12" t="s">
        <v>1151</v>
      </c>
      <c r="J173" s="12" t="s">
        <v>238</v>
      </c>
      <c r="K173" s="12">
        <f t="shared" si="15"/>
        <v>117.6</v>
      </c>
      <c r="L173" s="12">
        <f t="shared" si="16"/>
        <v>112.99499999999999</v>
      </c>
      <c r="M173" s="12">
        <v>1372</v>
      </c>
      <c r="N173" s="12">
        <v>196</v>
      </c>
      <c r="O173" s="12">
        <v>188.32499999999999</v>
      </c>
      <c r="P173" s="12" t="s">
        <v>233</v>
      </c>
      <c r="Q173" s="12" t="s">
        <v>234</v>
      </c>
      <c r="R173" s="12" t="s">
        <v>235</v>
      </c>
      <c r="T173" s="12" t="s">
        <v>1137</v>
      </c>
      <c r="U173" s="12" t="s">
        <v>1137</v>
      </c>
      <c r="V173" s="12"/>
      <c r="W173" s="12"/>
    </row>
    <row r="174" spans="2:23" ht="27">
      <c r="B174" s="12" t="s">
        <v>442</v>
      </c>
      <c r="C174" s="12" t="s">
        <v>228</v>
      </c>
      <c r="D174" s="12" t="s">
        <v>228</v>
      </c>
      <c r="E174" s="12" t="s">
        <v>236</v>
      </c>
      <c r="F174" s="12" t="s">
        <v>225</v>
      </c>
      <c r="G174" s="5" t="s">
        <v>237</v>
      </c>
      <c r="H174" s="12">
        <f t="shared" si="14"/>
        <v>840</v>
      </c>
      <c r="I174" s="12" t="s">
        <v>1151</v>
      </c>
      <c r="J174" s="12" t="s">
        <v>238</v>
      </c>
      <c r="K174" s="12">
        <f t="shared" si="15"/>
        <v>120</v>
      </c>
      <c r="L174" s="12">
        <f t="shared" si="16"/>
        <v>116.63999999999999</v>
      </c>
      <c r="M174" s="12">
        <v>1400</v>
      </c>
      <c r="N174" s="12">
        <v>200</v>
      </c>
      <c r="O174" s="12">
        <v>194.39999999999998</v>
      </c>
      <c r="P174" s="12" t="s">
        <v>233</v>
      </c>
      <c r="Q174" s="12" t="s">
        <v>234</v>
      </c>
      <c r="R174" s="12" t="s">
        <v>235</v>
      </c>
      <c r="T174" s="12" t="s">
        <v>1137</v>
      </c>
      <c r="U174" s="12" t="s">
        <v>1137</v>
      </c>
      <c r="V174" s="12"/>
      <c r="W174" s="12"/>
    </row>
    <row r="175" spans="2:23" ht="27">
      <c r="B175" s="12" t="s">
        <v>443</v>
      </c>
      <c r="C175" s="12" t="s">
        <v>228</v>
      </c>
      <c r="D175" s="12" t="s">
        <v>228</v>
      </c>
      <c r="E175" s="12" t="s">
        <v>236</v>
      </c>
      <c r="F175" s="12" t="s">
        <v>225</v>
      </c>
      <c r="G175" s="5" t="s">
        <v>237</v>
      </c>
      <c r="H175" s="12">
        <f t="shared" si="14"/>
        <v>856.8</v>
      </c>
      <c r="I175" s="12" t="s">
        <v>1151</v>
      </c>
      <c r="J175" s="12" t="s">
        <v>238</v>
      </c>
      <c r="K175" s="12">
        <f t="shared" si="15"/>
        <v>122.39999999999999</v>
      </c>
      <c r="L175" s="12">
        <f t="shared" si="16"/>
        <v>120.285</v>
      </c>
      <c r="M175" s="12">
        <v>1428</v>
      </c>
      <c r="N175" s="12">
        <v>204</v>
      </c>
      <c r="O175" s="12">
        <v>200.47499999999999</v>
      </c>
      <c r="P175" s="12" t="s">
        <v>233</v>
      </c>
      <c r="Q175" s="12" t="s">
        <v>234</v>
      </c>
      <c r="R175" s="12" t="s">
        <v>235</v>
      </c>
      <c r="T175" s="12" t="s">
        <v>1137</v>
      </c>
      <c r="U175" s="12" t="s">
        <v>1137</v>
      </c>
      <c r="V175" s="12"/>
      <c r="W175" s="12"/>
    </row>
    <row r="176" spans="2:23" ht="27">
      <c r="B176" s="12" t="s">
        <v>444</v>
      </c>
      <c r="C176" s="12" t="s">
        <v>228</v>
      </c>
      <c r="D176" s="12" t="s">
        <v>228</v>
      </c>
      <c r="E176" s="12" t="s">
        <v>236</v>
      </c>
      <c r="F176" s="12" t="s">
        <v>225</v>
      </c>
      <c r="G176" s="5" t="s">
        <v>237</v>
      </c>
      <c r="H176" s="12">
        <f t="shared" si="14"/>
        <v>873.6</v>
      </c>
      <c r="I176" s="12" t="s">
        <v>1151</v>
      </c>
      <c r="J176" s="12" t="s">
        <v>238</v>
      </c>
      <c r="K176" s="12">
        <f t="shared" si="15"/>
        <v>124.8</v>
      </c>
      <c r="L176" s="12">
        <f t="shared" si="16"/>
        <v>123.92999999999998</v>
      </c>
      <c r="M176" s="12">
        <v>1456</v>
      </c>
      <c r="N176" s="12">
        <v>208</v>
      </c>
      <c r="O176" s="12">
        <v>206.54999999999998</v>
      </c>
      <c r="P176" s="12" t="s">
        <v>233</v>
      </c>
      <c r="Q176" s="12" t="s">
        <v>234</v>
      </c>
      <c r="R176" s="12" t="s">
        <v>235</v>
      </c>
      <c r="T176" s="12" t="s">
        <v>1137</v>
      </c>
      <c r="U176" s="12" t="s">
        <v>1137</v>
      </c>
      <c r="V176" s="12"/>
      <c r="W176" s="12"/>
    </row>
    <row r="177" spans="2:23" ht="27">
      <c r="B177" s="12" t="s">
        <v>445</v>
      </c>
      <c r="C177" s="12" t="s">
        <v>228</v>
      </c>
      <c r="D177" s="12" t="s">
        <v>228</v>
      </c>
      <c r="E177" s="12" t="s">
        <v>236</v>
      </c>
      <c r="F177" s="12" t="s">
        <v>225</v>
      </c>
      <c r="G177" s="5" t="s">
        <v>237</v>
      </c>
      <c r="H177" s="12">
        <f t="shared" si="14"/>
        <v>1320</v>
      </c>
      <c r="I177" s="12" t="s">
        <v>1151</v>
      </c>
      <c r="J177" s="12" t="s">
        <v>238</v>
      </c>
      <c r="K177" s="12">
        <f t="shared" si="15"/>
        <v>198</v>
      </c>
      <c r="L177" s="12">
        <f t="shared" si="16"/>
        <v>164.02500000000001</v>
      </c>
      <c r="M177" s="12">
        <v>2200</v>
      </c>
      <c r="N177" s="12">
        <v>330</v>
      </c>
      <c r="O177" s="12">
        <v>273.375</v>
      </c>
      <c r="P177" s="12" t="s">
        <v>233</v>
      </c>
      <c r="Q177" s="12" t="s">
        <v>234</v>
      </c>
      <c r="R177" s="12" t="s">
        <v>235</v>
      </c>
      <c r="T177" s="12" t="s">
        <v>1137</v>
      </c>
      <c r="U177" s="12" t="s">
        <v>1137</v>
      </c>
      <c r="V177" s="12"/>
      <c r="W177" s="12"/>
    </row>
    <row r="178" spans="2:23" ht="27">
      <c r="B178" s="12" t="s">
        <v>446</v>
      </c>
      <c r="C178" s="12" t="s">
        <v>228</v>
      </c>
      <c r="D178" s="12" t="s">
        <v>228</v>
      </c>
      <c r="E178" s="12" t="s">
        <v>236</v>
      </c>
      <c r="F178" s="12" t="s">
        <v>225</v>
      </c>
      <c r="G178" s="5" t="s">
        <v>237</v>
      </c>
      <c r="H178" s="12">
        <f t="shared" si="14"/>
        <v>1344</v>
      </c>
      <c r="I178" s="12" t="s">
        <v>1151</v>
      </c>
      <c r="J178" s="12" t="s">
        <v>238</v>
      </c>
      <c r="K178" s="12">
        <f t="shared" si="15"/>
        <v>201.6</v>
      </c>
      <c r="L178" s="12">
        <f t="shared" si="16"/>
        <v>168.88499999999996</v>
      </c>
      <c r="M178" s="12">
        <v>2240</v>
      </c>
      <c r="N178" s="12">
        <v>336</v>
      </c>
      <c r="O178" s="12">
        <v>281.47499999999997</v>
      </c>
      <c r="P178" s="12" t="s">
        <v>233</v>
      </c>
      <c r="Q178" s="12" t="s">
        <v>234</v>
      </c>
      <c r="R178" s="12" t="s">
        <v>235</v>
      </c>
      <c r="T178" s="12" t="s">
        <v>1137</v>
      </c>
      <c r="U178" s="12" t="s">
        <v>1137</v>
      </c>
      <c r="V178" s="12"/>
      <c r="W178" s="12"/>
    </row>
    <row r="179" spans="2:23" ht="27">
      <c r="B179" s="12" t="s">
        <v>447</v>
      </c>
      <c r="C179" s="12" t="s">
        <v>228</v>
      </c>
      <c r="D179" s="12" t="s">
        <v>228</v>
      </c>
      <c r="E179" s="12" t="s">
        <v>236</v>
      </c>
      <c r="F179" s="12" t="s">
        <v>225</v>
      </c>
      <c r="G179" s="5" t="s">
        <v>237</v>
      </c>
      <c r="H179" s="12">
        <f t="shared" si="14"/>
        <v>1368</v>
      </c>
      <c r="I179" s="12" t="s">
        <v>1151</v>
      </c>
      <c r="J179" s="12" t="s">
        <v>238</v>
      </c>
      <c r="K179" s="12">
        <f t="shared" si="15"/>
        <v>205.2</v>
      </c>
      <c r="L179" s="12">
        <f t="shared" si="16"/>
        <v>173.74499999999998</v>
      </c>
      <c r="M179" s="12">
        <v>2280</v>
      </c>
      <c r="N179" s="12">
        <v>342</v>
      </c>
      <c r="O179" s="12">
        <v>289.57499999999999</v>
      </c>
      <c r="P179" s="12" t="s">
        <v>233</v>
      </c>
      <c r="Q179" s="12" t="s">
        <v>234</v>
      </c>
      <c r="R179" s="12" t="s">
        <v>235</v>
      </c>
      <c r="T179" s="12" t="s">
        <v>1137</v>
      </c>
      <c r="U179" s="12" t="s">
        <v>1137</v>
      </c>
      <c r="V179" s="12"/>
      <c r="W179" s="12"/>
    </row>
    <row r="180" spans="2:23" ht="27">
      <c r="B180" s="12" t="s">
        <v>448</v>
      </c>
      <c r="C180" s="12" t="s">
        <v>228</v>
      </c>
      <c r="D180" s="12" t="s">
        <v>228</v>
      </c>
      <c r="E180" s="12" t="s">
        <v>236</v>
      </c>
      <c r="F180" s="12" t="s">
        <v>225</v>
      </c>
      <c r="G180" s="5" t="s">
        <v>237</v>
      </c>
      <c r="H180" s="12">
        <f t="shared" si="14"/>
        <v>1392</v>
      </c>
      <c r="I180" s="12" t="s">
        <v>1151</v>
      </c>
      <c r="J180" s="12" t="s">
        <v>238</v>
      </c>
      <c r="K180" s="12">
        <f t="shared" si="15"/>
        <v>208.79999999999998</v>
      </c>
      <c r="L180" s="12">
        <f t="shared" si="16"/>
        <v>178.60499999999999</v>
      </c>
      <c r="M180" s="12">
        <v>2320</v>
      </c>
      <c r="N180" s="12">
        <v>348</v>
      </c>
      <c r="O180" s="12">
        <v>297.67500000000001</v>
      </c>
      <c r="P180" s="12" t="s">
        <v>233</v>
      </c>
      <c r="Q180" s="12" t="s">
        <v>234</v>
      </c>
      <c r="R180" s="12" t="s">
        <v>235</v>
      </c>
      <c r="T180" s="12" t="s">
        <v>1137</v>
      </c>
      <c r="U180" s="12" t="s">
        <v>1137</v>
      </c>
      <c r="V180" s="12"/>
      <c r="W180" s="12"/>
    </row>
    <row r="181" spans="2:23" ht="27">
      <c r="B181" s="12" t="s">
        <v>449</v>
      </c>
      <c r="C181" s="12" t="s">
        <v>228</v>
      </c>
      <c r="D181" s="12" t="s">
        <v>228</v>
      </c>
      <c r="E181" s="12" t="s">
        <v>236</v>
      </c>
      <c r="F181" s="12" t="s">
        <v>225</v>
      </c>
      <c r="G181" s="5" t="s">
        <v>237</v>
      </c>
      <c r="H181" s="12">
        <f t="shared" si="14"/>
        <v>1416</v>
      </c>
      <c r="I181" s="12" t="s">
        <v>1151</v>
      </c>
      <c r="J181" s="12" t="s">
        <v>238</v>
      </c>
      <c r="K181" s="12">
        <f t="shared" si="15"/>
        <v>212.4</v>
      </c>
      <c r="L181" s="12">
        <f t="shared" si="16"/>
        <v>183.46499999999997</v>
      </c>
      <c r="M181" s="12">
        <v>2360</v>
      </c>
      <c r="N181" s="12">
        <v>354</v>
      </c>
      <c r="O181" s="12">
        <v>305.77499999999998</v>
      </c>
      <c r="P181" s="12" t="s">
        <v>233</v>
      </c>
      <c r="Q181" s="12" t="s">
        <v>234</v>
      </c>
      <c r="R181" s="12" t="s">
        <v>235</v>
      </c>
      <c r="T181" s="12" t="s">
        <v>1137</v>
      </c>
      <c r="U181" s="12" t="s">
        <v>1137</v>
      </c>
      <c r="V181" s="12"/>
      <c r="W181" s="12"/>
    </row>
    <row r="182" spans="2:23" ht="27">
      <c r="B182" s="12" t="s">
        <v>450</v>
      </c>
      <c r="C182" s="12" t="s">
        <v>228</v>
      </c>
      <c r="D182" s="12" t="s">
        <v>228</v>
      </c>
      <c r="E182" s="12" t="s">
        <v>236</v>
      </c>
      <c r="F182" s="12" t="s">
        <v>225</v>
      </c>
      <c r="G182" s="5" t="s">
        <v>237</v>
      </c>
      <c r="H182" s="12">
        <f t="shared" si="14"/>
        <v>1440</v>
      </c>
      <c r="I182" s="12" t="s">
        <v>1151</v>
      </c>
      <c r="J182" s="12" t="s">
        <v>238</v>
      </c>
      <c r="K182" s="12">
        <f t="shared" si="15"/>
        <v>216</v>
      </c>
      <c r="L182" s="12">
        <f t="shared" si="16"/>
        <v>188.32499999999999</v>
      </c>
      <c r="M182" s="12">
        <v>2400</v>
      </c>
      <c r="N182" s="12">
        <v>360</v>
      </c>
      <c r="O182" s="12">
        <v>313.875</v>
      </c>
      <c r="P182" s="12" t="s">
        <v>233</v>
      </c>
      <c r="Q182" s="12" t="s">
        <v>234</v>
      </c>
      <c r="R182" s="12" t="s">
        <v>235</v>
      </c>
      <c r="T182" s="12" t="s">
        <v>1137</v>
      </c>
      <c r="U182" s="12" t="s">
        <v>1137</v>
      </c>
      <c r="V182" s="12"/>
      <c r="W182" s="12"/>
    </row>
    <row r="183" spans="2:23" ht="27">
      <c r="B183" s="12" t="s">
        <v>451</v>
      </c>
      <c r="C183" s="12" t="s">
        <v>228</v>
      </c>
      <c r="D183" s="12" t="s">
        <v>228</v>
      </c>
      <c r="E183" s="12" t="s">
        <v>236</v>
      </c>
      <c r="F183" s="12" t="s">
        <v>225</v>
      </c>
      <c r="G183" s="5" t="s">
        <v>237</v>
      </c>
      <c r="H183" s="12">
        <f t="shared" si="14"/>
        <v>1464</v>
      </c>
      <c r="I183" s="12" t="s">
        <v>1151</v>
      </c>
      <c r="J183" s="12" t="s">
        <v>238</v>
      </c>
      <c r="K183" s="12">
        <f t="shared" si="15"/>
        <v>219.6</v>
      </c>
      <c r="L183" s="12">
        <f t="shared" si="16"/>
        <v>193.18499999999997</v>
      </c>
      <c r="M183" s="12">
        <v>2440</v>
      </c>
      <c r="N183" s="12">
        <v>366</v>
      </c>
      <c r="O183" s="12">
        <v>321.97499999999997</v>
      </c>
      <c r="P183" s="12" t="s">
        <v>233</v>
      </c>
      <c r="Q183" s="12" t="s">
        <v>234</v>
      </c>
      <c r="R183" s="12" t="s">
        <v>235</v>
      </c>
      <c r="T183" s="12" t="s">
        <v>1137</v>
      </c>
      <c r="U183" s="12" t="s">
        <v>1137</v>
      </c>
      <c r="V183" s="12"/>
      <c r="W183" s="12"/>
    </row>
    <row r="184" spans="2:23" ht="27">
      <c r="B184" s="12" t="s">
        <v>452</v>
      </c>
      <c r="C184" s="12" t="s">
        <v>228</v>
      </c>
      <c r="D184" s="12" t="s">
        <v>228</v>
      </c>
      <c r="E184" s="12" t="s">
        <v>236</v>
      </c>
      <c r="F184" s="12" t="s">
        <v>225</v>
      </c>
      <c r="G184" s="5" t="s">
        <v>237</v>
      </c>
      <c r="H184" s="12">
        <f t="shared" si="14"/>
        <v>1488</v>
      </c>
      <c r="I184" s="12" t="s">
        <v>1151</v>
      </c>
      <c r="J184" s="12" t="s">
        <v>238</v>
      </c>
      <c r="K184" s="12">
        <f t="shared" si="15"/>
        <v>223.2</v>
      </c>
      <c r="L184" s="12">
        <f t="shared" si="16"/>
        <v>198.04499999999999</v>
      </c>
      <c r="M184" s="12">
        <v>2480</v>
      </c>
      <c r="N184" s="12">
        <v>372</v>
      </c>
      <c r="O184" s="12">
        <v>330.07499999999999</v>
      </c>
      <c r="P184" s="12" t="s">
        <v>233</v>
      </c>
      <c r="Q184" s="12" t="s">
        <v>234</v>
      </c>
      <c r="R184" s="12" t="s">
        <v>235</v>
      </c>
      <c r="T184" s="12" t="s">
        <v>1137</v>
      </c>
      <c r="U184" s="12" t="s">
        <v>1137</v>
      </c>
      <c r="V184" s="12"/>
      <c r="W184" s="12"/>
    </row>
    <row r="185" spans="2:23" ht="27">
      <c r="B185" s="12" t="s">
        <v>453</v>
      </c>
      <c r="C185" s="12" t="s">
        <v>228</v>
      </c>
      <c r="D185" s="12" t="s">
        <v>228</v>
      </c>
      <c r="E185" s="12" t="s">
        <v>236</v>
      </c>
      <c r="F185" s="12" t="s">
        <v>225</v>
      </c>
      <c r="G185" s="5" t="s">
        <v>237</v>
      </c>
      <c r="H185" s="12">
        <f t="shared" si="14"/>
        <v>1512</v>
      </c>
      <c r="I185" s="12" t="s">
        <v>1151</v>
      </c>
      <c r="J185" s="12" t="s">
        <v>238</v>
      </c>
      <c r="K185" s="12">
        <f t="shared" si="15"/>
        <v>226.79999999999998</v>
      </c>
      <c r="L185" s="12">
        <f t="shared" si="16"/>
        <v>202.905</v>
      </c>
      <c r="M185" s="12">
        <v>2520</v>
      </c>
      <c r="N185" s="12">
        <v>378</v>
      </c>
      <c r="O185" s="12">
        <v>338.17500000000001</v>
      </c>
      <c r="P185" s="12" t="s">
        <v>233</v>
      </c>
      <c r="Q185" s="12" t="s">
        <v>234</v>
      </c>
      <c r="R185" s="12" t="s">
        <v>235</v>
      </c>
      <c r="T185" s="12" t="s">
        <v>1137</v>
      </c>
      <c r="U185" s="12" t="s">
        <v>1137</v>
      </c>
      <c r="V185" s="12"/>
      <c r="W185" s="12"/>
    </row>
    <row r="186" spans="2:23" ht="27">
      <c r="B186" s="12" t="s">
        <v>454</v>
      </c>
      <c r="C186" s="12" t="s">
        <v>228</v>
      </c>
      <c r="D186" s="12" t="s">
        <v>228</v>
      </c>
      <c r="E186" s="12" t="s">
        <v>236</v>
      </c>
      <c r="F186" s="12" t="s">
        <v>225</v>
      </c>
      <c r="G186" s="5" t="s">
        <v>237</v>
      </c>
      <c r="H186" s="12">
        <f t="shared" si="14"/>
        <v>1536</v>
      </c>
      <c r="I186" s="12" t="s">
        <v>1151</v>
      </c>
      <c r="J186" s="12" t="s">
        <v>238</v>
      </c>
      <c r="K186" s="12">
        <f t="shared" si="15"/>
        <v>230.39999999999998</v>
      </c>
      <c r="L186" s="12">
        <f t="shared" si="16"/>
        <v>207.76499999999999</v>
      </c>
      <c r="M186" s="12">
        <v>2560</v>
      </c>
      <c r="N186" s="12">
        <v>384</v>
      </c>
      <c r="O186" s="12">
        <v>346.27499999999998</v>
      </c>
      <c r="P186" s="12" t="s">
        <v>233</v>
      </c>
      <c r="Q186" s="12" t="s">
        <v>234</v>
      </c>
      <c r="R186" s="12" t="s">
        <v>235</v>
      </c>
      <c r="T186" s="12" t="s">
        <v>1137</v>
      </c>
      <c r="U186" s="12" t="s">
        <v>1137</v>
      </c>
      <c r="V186" s="12"/>
      <c r="W186" s="12"/>
    </row>
    <row r="187" spans="2:23" ht="27">
      <c r="B187" s="12" t="s">
        <v>455</v>
      </c>
      <c r="C187" s="12" t="s">
        <v>228</v>
      </c>
      <c r="D187" s="12" t="s">
        <v>228</v>
      </c>
      <c r="E187" s="12" t="s">
        <v>236</v>
      </c>
      <c r="F187" s="12" t="s">
        <v>225</v>
      </c>
      <c r="G187" s="5" t="s">
        <v>237</v>
      </c>
      <c r="H187" s="12">
        <f t="shared" si="14"/>
        <v>1560</v>
      </c>
      <c r="I187" s="12" t="s">
        <v>1151</v>
      </c>
      <c r="J187" s="12" t="s">
        <v>238</v>
      </c>
      <c r="K187" s="12">
        <f t="shared" si="15"/>
        <v>234</v>
      </c>
      <c r="L187" s="12">
        <f t="shared" si="16"/>
        <v>212.625</v>
      </c>
      <c r="M187" s="12">
        <v>2600</v>
      </c>
      <c r="N187" s="12">
        <v>390</v>
      </c>
      <c r="O187" s="12">
        <v>354.375</v>
      </c>
      <c r="P187" s="12" t="s">
        <v>233</v>
      </c>
      <c r="Q187" s="12" t="s">
        <v>234</v>
      </c>
      <c r="R187" s="12" t="s">
        <v>235</v>
      </c>
      <c r="T187" s="12" t="s">
        <v>1137</v>
      </c>
      <c r="U187" s="12" t="s">
        <v>1137</v>
      </c>
      <c r="V187" s="12"/>
      <c r="W187" s="12"/>
    </row>
    <row r="188" spans="2:23" ht="27">
      <c r="B188" s="12" t="s">
        <v>456</v>
      </c>
      <c r="C188" s="12" t="s">
        <v>228</v>
      </c>
      <c r="D188" s="12" t="s">
        <v>228</v>
      </c>
      <c r="E188" s="12" t="s">
        <v>236</v>
      </c>
      <c r="F188" s="12" t="s">
        <v>225</v>
      </c>
      <c r="G188" s="5" t="s">
        <v>237</v>
      </c>
      <c r="H188" s="12">
        <f t="shared" si="14"/>
        <v>1584</v>
      </c>
      <c r="I188" s="12" t="s">
        <v>1151</v>
      </c>
      <c r="J188" s="12" t="s">
        <v>238</v>
      </c>
      <c r="K188" s="12">
        <f t="shared" si="15"/>
        <v>237.6</v>
      </c>
      <c r="L188" s="12">
        <f t="shared" si="16"/>
        <v>217.48499999999999</v>
      </c>
      <c r="M188" s="12">
        <v>2640</v>
      </c>
      <c r="N188" s="12">
        <v>396</v>
      </c>
      <c r="O188" s="12">
        <v>362.47499999999997</v>
      </c>
      <c r="P188" s="12" t="s">
        <v>233</v>
      </c>
      <c r="Q188" s="12" t="s">
        <v>234</v>
      </c>
      <c r="R188" s="12" t="s">
        <v>235</v>
      </c>
      <c r="T188" s="12" t="s">
        <v>1137</v>
      </c>
      <c r="U188" s="12" t="s">
        <v>1137</v>
      </c>
      <c r="V188" s="12"/>
      <c r="W188" s="12"/>
    </row>
    <row r="189" spans="2:23" ht="27">
      <c r="B189" s="12" t="s">
        <v>457</v>
      </c>
      <c r="C189" s="12" t="s">
        <v>228</v>
      </c>
      <c r="D189" s="12" t="s">
        <v>228</v>
      </c>
      <c r="E189" s="12" t="s">
        <v>236</v>
      </c>
      <c r="F189" s="12" t="s">
        <v>225</v>
      </c>
      <c r="G189" s="5" t="s">
        <v>237</v>
      </c>
      <c r="H189" s="12">
        <f t="shared" si="14"/>
        <v>1608</v>
      </c>
      <c r="I189" s="12" t="s">
        <v>1151</v>
      </c>
      <c r="J189" s="12" t="s">
        <v>238</v>
      </c>
      <c r="K189" s="12">
        <f t="shared" si="15"/>
        <v>241.2</v>
      </c>
      <c r="L189" s="12">
        <f t="shared" si="16"/>
        <v>222.345</v>
      </c>
      <c r="M189" s="12">
        <v>2680</v>
      </c>
      <c r="N189" s="12">
        <v>402</v>
      </c>
      <c r="O189" s="12">
        <v>370.57499999999999</v>
      </c>
      <c r="P189" s="12" t="s">
        <v>233</v>
      </c>
      <c r="Q189" s="12" t="s">
        <v>234</v>
      </c>
      <c r="R189" s="12" t="s">
        <v>235</v>
      </c>
      <c r="T189" s="12" t="s">
        <v>1137</v>
      </c>
      <c r="U189" s="12" t="s">
        <v>1137</v>
      </c>
      <c r="V189" s="12"/>
      <c r="W189" s="12"/>
    </row>
    <row r="190" spans="2:23" ht="27">
      <c r="B190" s="12" t="s">
        <v>458</v>
      </c>
      <c r="C190" s="12" t="s">
        <v>228</v>
      </c>
      <c r="D190" s="12" t="s">
        <v>228</v>
      </c>
      <c r="E190" s="12" t="s">
        <v>236</v>
      </c>
      <c r="F190" s="12" t="s">
        <v>225</v>
      </c>
      <c r="G190" s="5" t="s">
        <v>237</v>
      </c>
      <c r="H190" s="12">
        <f t="shared" si="14"/>
        <v>1632</v>
      </c>
      <c r="I190" s="12" t="s">
        <v>1151</v>
      </c>
      <c r="J190" s="12" t="s">
        <v>238</v>
      </c>
      <c r="K190" s="12">
        <f t="shared" si="15"/>
        <v>244.79999999999998</v>
      </c>
      <c r="L190" s="12">
        <f t="shared" si="16"/>
        <v>227.20500000000001</v>
      </c>
      <c r="M190" s="12">
        <v>2720</v>
      </c>
      <c r="N190" s="12">
        <v>408</v>
      </c>
      <c r="O190" s="12">
        <v>378.67500000000001</v>
      </c>
      <c r="P190" s="12" t="s">
        <v>233</v>
      </c>
      <c r="Q190" s="12" t="s">
        <v>234</v>
      </c>
      <c r="R190" s="12" t="s">
        <v>235</v>
      </c>
      <c r="T190" s="12" t="s">
        <v>1137</v>
      </c>
      <c r="U190" s="12" t="s">
        <v>1137</v>
      </c>
      <c r="V190" s="12"/>
      <c r="W190" s="12"/>
    </row>
    <row r="191" spans="2:23" ht="27">
      <c r="B191" s="12" t="s">
        <v>459</v>
      </c>
      <c r="C191" s="12" t="s">
        <v>228</v>
      </c>
      <c r="D191" s="12" t="s">
        <v>228</v>
      </c>
      <c r="E191" s="12" t="s">
        <v>236</v>
      </c>
      <c r="F191" s="12" t="s">
        <v>225</v>
      </c>
      <c r="G191" s="5" t="s">
        <v>237</v>
      </c>
      <c r="H191" s="12">
        <f t="shared" si="14"/>
        <v>1656</v>
      </c>
      <c r="I191" s="12" t="s">
        <v>1151</v>
      </c>
      <c r="J191" s="12" t="s">
        <v>238</v>
      </c>
      <c r="K191" s="12">
        <f t="shared" si="15"/>
        <v>248.39999999999998</v>
      </c>
      <c r="L191" s="12">
        <f t="shared" si="16"/>
        <v>232.06499999999997</v>
      </c>
      <c r="M191" s="12">
        <v>2760</v>
      </c>
      <c r="N191" s="12">
        <v>414</v>
      </c>
      <c r="O191" s="12">
        <v>386.77499999999998</v>
      </c>
      <c r="P191" s="12" t="s">
        <v>233</v>
      </c>
      <c r="Q191" s="12" t="s">
        <v>234</v>
      </c>
      <c r="R191" s="12" t="s">
        <v>235</v>
      </c>
      <c r="T191" s="12" t="s">
        <v>1137</v>
      </c>
      <c r="U191" s="12" t="s">
        <v>1137</v>
      </c>
      <c r="V191" s="12"/>
      <c r="W191" s="12"/>
    </row>
    <row r="192" spans="2:23" ht="27">
      <c r="B192" s="12" t="s">
        <v>460</v>
      </c>
      <c r="C192" s="12" t="s">
        <v>228</v>
      </c>
      <c r="D192" s="12" t="s">
        <v>228</v>
      </c>
      <c r="E192" s="12" t="s">
        <v>236</v>
      </c>
      <c r="F192" s="12" t="s">
        <v>225</v>
      </c>
      <c r="G192" s="5" t="s">
        <v>237</v>
      </c>
      <c r="H192" s="12">
        <f t="shared" si="14"/>
        <v>2332.7999999999997</v>
      </c>
      <c r="I192" s="12" t="s">
        <v>1151</v>
      </c>
      <c r="J192" s="12" t="s">
        <v>238</v>
      </c>
      <c r="K192" s="12">
        <f t="shared" si="15"/>
        <v>345.59999999999997</v>
      </c>
      <c r="L192" s="12">
        <f t="shared" si="16"/>
        <v>432</v>
      </c>
      <c r="M192" s="12">
        <v>3888</v>
      </c>
      <c r="N192" s="12">
        <v>576</v>
      </c>
      <c r="O192" s="12">
        <v>720</v>
      </c>
      <c r="P192" s="12" t="s">
        <v>233</v>
      </c>
      <c r="Q192" s="12" t="s">
        <v>234</v>
      </c>
      <c r="R192" s="12" t="s">
        <v>235</v>
      </c>
      <c r="T192" s="12" t="s">
        <v>1137</v>
      </c>
      <c r="U192" s="12" t="s">
        <v>1137</v>
      </c>
      <c r="V192" s="12"/>
      <c r="W192" s="12"/>
    </row>
    <row r="193" spans="2:23" ht="27">
      <c r="B193" s="12" t="s">
        <v>461</v>
      </c>
      <c r="C193" s="12" t="s">
        <v>228</v>
      </c>
      <c r="D193" s="12" t="s">
        <v>228</v>
      </c>
      <c r="E193" s="12" t="s">
        <v>236</v>
      </c>
      <c r="F193" s="12" t="s">
        <v>225</v>
      </c>
      <c r="G193" s="5" t="s">
        <v>237</v>
      </c>
      <c r="H193" s="12">
        <f t="shared" si="14"/>
        <v>0</v>
      </c>
      <c r="I193" s="12" t="s">
        <v>1151</v>
      </c>
      <c r="J193" s="12" t="s">
        <v>238</v>
      </c>
      <c r="K193" s="12">
        <f t="shared" si="15"/>
        <v>0</v>
      </c>
      <c r="L193" s="12">
        <f t="shared" si="16"/>
        <v>0</v>
      </c>
      <c r="M193" s="12"/>
      <c r="N193" s="12"/>
      <c r="O193" s="12"/>
      <c r="P193" s="12" t="s">
        <v>233</v>
      </c>
      <c r="Q193" s="12" t="s">
        <v>234</v>
      </c>
      <c r="R193" s="12" t="s">
        <v>235</v>
      </c>
      <c r="T193" s="12" t="s">
        <v>1137</v>
      </c>
      <c r="U193" s="12" t="s">
        <v>1137</v>
      </c>
      <c r="V193" s="12"/>
      <c r="W193" s="12"/>
    </row>
    <row r="194" spans="2:23" ht="27">
      <c r="B194" s="12" t="s">
        <v>462</v>
      </c>
      <c r="C194" s="12" t="s">
        <v>228</v>
      </c>
      <c r="D194" s="12" t="s">
        <v>228</v>
      </c>
      <c r="E194" s="12" t="s">
        <v>236</v>
      </c>
      <c r="F194" s="12" t="s">
        <v>225</v>
      </c>
      <c r="G194" s="5" t="s">
        <v>237</v>
      </c>
      <c r="H194" s="12">
        <f t="shared" si="14"/>
        <v>0</v>
      </c>
      <c r="I194" s="12" t="s">
        <v>1151</v>
      </c>
      <c r="J194" s="12" t="s">
        <v>238</v>
      </c>
      <c r="K194" s="12">
        <f t="shared" si="15"/>
        <v>0</v>
      </c>
      <c r="L194" s="12">
        <f t="shared" si="16"/>
        <v>0</v>
      </c>
      <c r="M194" s="12"/>
      <c r="N194" s="12"/>
      <c r="O194" s="12"/>
      <c r="P194" s="12" t="s">
        <v>233</v>
      </c>
      <c r="Q194" s="12" t="s">
        <v>234</v>
      </c>
      <c r="R194" s="12" t="s">
        <v>235</v>
      </c>
      <c r="T194" s="12" t="s">
        <v>1137</v>
      </c>
      <c r="U194" s="12" t="s">
        <v>1137</v>
      </c>
      <c r="V194" s="12"/>
      <c r="W194" s="12"/>
    </row>
    <row r="195" spans="2:23" ht="27">
      <c r="B195" s="12" t="s">
        <v>463</v>
      </c>
      <c r="C195" s="12" t="s">
        <v>228</v>
      </c>
      <c r="D195" s="12" t="s">
        <v>228</v>
      </c>
      <c r="E195" s="12" t="s">
        <v>236</v>
      </c>
      <c r="F195" s="12" t="s">
        <v>225</v>
      </c>
      <c r="G195" s="5" t="s">
        <v>237</v>
      </c>
      <c r="H195" s="12">
        <f>M195*$Y$8</f>
        <v>0</v>
      </c>
      <c r="I195" s="12" t="s">
        <v>1151</v>
      </c>
      <c r="J195" s="12" t="s">
        <v>238</v>
      </c>
      <c r="K195" s="12">
        <f t="shared" si="15"/>
        <v>0</v>
      </c>
      <c r="L195" s="12">
        <f t="shared" si="16"/>
        <v>0</v>
      </c>
      <c r="M195" s="12"/>
      <c r="N195" s="12"/>
      <c r="O195" s="12"/>
      <c r="P195" s="12" t="s">
        <v>233</v>
      </c>
      <c r="Q195" s="12" t="s">
        <v>234</v>
      </c>
      <c r="R195" s="12" t="s">
        <v>235</v>
      </c>
      <c r="T195" s="12" t="s">
        <v>1137</v>
      </c>
      <c r="U195" s="12" t="s">
        <v>1137</v>
      </c>
      <c r="V195" s="12"/>
      <c r="W195" s="12"/>
    </row>
    <row r="196" spans="2:23">
      <c r="B196" s="12"/>
      <c r="C196" s="12"/>
      <c r="D196" s="12"/>
      <c r="E196" s="12"/>
      <c r="F196" s="12"/>
      <c r="G196" s="5"/>
      <c r="H196" s="12"/>
      <c r="I196" s="12"/>
      <c r="J196" s="12"/>
      <c r="K196" s="12" t="str">
        <f t="shared" ref="K196:K244" si="17">"防"&amp;I196</f>
        <v>防</v>
      </c>
      <c r="L196" s="12" t="str">
        <f t="shared" ref="L196:L244" si="18">"攻"&amp;J196</f>
        <v>攻</v>
      </c>
      <c r="M196" s="12"/>
      <c r="N196" s="12"/>
      <c r="O196" s="12"/>
      <c r="P196" s="12"/>
      <c r="Q196" s="12"/>
      <c r="R196" s="12"/>
      <c r="T196" s="12"/>
      <c r="U196" s="12"/>
      <c r="V196" s="12"/>
      <c r="W196" s="12"/>
    </row>
    <row r="197" spans="2:23">
      <c r="B197" s="12" t="s">
        <v>464</v>
      </c>
      <c r="C197" s="12" t="s">
        <v>227</v>
      </c>
      <c r="D197" s="12" t="s">
        <v>235</v>
      </c>
      <c r="E197" s="12" t="s">
        <v>239</v>
      </c>
      <c r="F197" s="12" t="s">
        <v>225</v>
      </c>
      <c r="G197" s="5" t="s">
        <v>1134</v>
      </c>
      <c r="H197" s="12">
        <f>M197*$Z$8</f>
        <v>288</v>
      </c>
      <c r="I197" s="12" t="s">
        <v>1151</v>
      </c>
      <c r="J197" s="12" t="s">
        <v>238</v>
      </c>
      <c r="K197" s="12">
        <f>N197*$Y$8</f>
        <v>24</v>
      </c>
      <c r="L197" s="12">
        <f>N197*$Y$8</f>
        <v>24</v>
      </c>
      <c r="M197" s="12">
        <v>360</v>
      </c>
      <c r="N197" s="12">
        <v>40</v>
      </c>
      <c r="O197" s="12">
        <v>30</v>
      </c>
      <c r="P197" s="12" t="s">
        <v>233</v>
      </c>
      <c r="Q197" s="12" t="s">
        <v>234</v>
      </c>
      <c r="R197" s="12" t="s">
        <v>235</v>
      </c>
      <c r="T197" s="12" t="s">
        <v>1137</v>
      </c>
      <c r="U197" s="12" t="s">
        <v>1137</v>
      </c>
      <c r="V197" s="12"/>
      <c r="W197" s="12"/>
    </row>
    <row r="198" spans="2:23">
      <c r="B198" s="12" t="s">
        <v>465</v>
      </c>
      <c r="C198" s="12" t="s">
        <v>227</v>
      </c>
      <c r="D198" s="12" t="s">
        <v>235</v>
      </c>
      <c r="E198" s="12" t="s">
        <v>239</v>
      </c>
      <c r="F198" s="12" t="s">
        <v>225</v>
      </c>
      <c r="G198" s="5" t="s">
        <v>1134</v>
      </c>
      <c r="H198" s="12">
        <f t="shared" ref="H198:H243" si="19">M198*$Z$8</f>
        <v>331.20000000000005</v>
      </c>
      <c r="I198" s="12" t="s">
        <v>1151</v>
      </c>
      <c r="J198" s="12" t="s">
        <v>238</v>
      </c>
      <c r="K198" s="12">
        <f t="shared" ref="K198:K243" si="20">N198*$Y$8</f>
        <v>27.599999999999998</v>
      </c>
      <c r="L198" s="12">
        <f t="shared" ref="L198:L243" si="21">N198*$Y$8</f>
        <v>27.599999999999998</v>
      </c>
      <c r="M198" s="12">
        <v>414</v>
      </c>
      <c r="N198" s="12">
        <v>46</v>
      </c>
      <c r="O198" s="12">
        <v>38</v>
      </c>
      <c r="P198" s="12" t="s">
        <v>233</v>
      </c>
      <c r="Q198" s="12" t="s">
        <v>234</v>
      </c>
      <c r="R198" s="12" t="s">
        <v>235</v>
      </c>
      <c r="T198" s="12" t="s">
        <v>1137</v>
      </c>
      <c r="U198" s="12" t="s">
        <v>1137</v>
      </c>
      <c r="V198" s="12"/>
      <c r="W198" s="12"/>
    </row>
    <row r="199" spans="2:23">
      <c r="B199" s="12" t="s">
        <v>466</v>
      </c>
      <c r="C199" s="12" t="s">
        <v>227</v>
      </c>
      <c r="D199" s="12" t="s">
        <v>235</v>
      </c>
      <c r="E199" s="12" t="s">
        <v>239</v>
      </c>
      <c r="F199" s="12" t="s">
        <v>225</v>
      </c>
      <c r="G199" s="5" t="s">
        <v>1134</v>
      </c>
      <c r="H199" s="12">
        <f t="shared" si="19"/>
        <v>345.6</v>
      </c>
      <c r="I199" s="12" t="s">
        <v>1151</v>
      </c>
      <c r="J199" s="12" t="s">
        <v>238</v>
      </c>
      <c r="K199" s="12">
        <f t="shared" si="20"/>
        <v>28.799999999999997</v>
      </c>
      <c r="L199" s="12">
        <f t="shared" si="21"/>
        <v>28.799999999999997</v>
      </c>
      <c r="M199" s="12">
        <v>432</v>
      </c>
      <c r="N199" s="12">
        <v>48</v>
      </c>
      <c r="O199" s="12">
        <v>42</v>
      </c>
      <c r="P199" s="12" t="s">
        <v>233</v>
      </c>
      <c r="Q199" s="12" t="s">
        <v>234</v>
      </c>
      <c r="R199" s="12" t="s">
        <v>235</v>
      </c>
      <c r="T199" s="12" t="s">
        <v>1137</v>
      </c>
      <c r="U199" s="12" t="s">
        <v>1137</v>
      </c>
      <c r="V199" s="12"/>
      <c r="W199" s="12"/>
    </row>
    <row r="200" spans="2:23">
      <c r="B200" s="12" t="s">
        <v>467</v>
      </c>
      <c r="C200" s="12" t="s">
        <v>227</v>
      </c>
      <c r="D200" s="12" t="s">
        <v>235</v>
      </c>
      <c r="E200" s="12" t="s">
        <v>239</v>
      </c>
      <c r="F200" s="12" t="s">
        <v>225</v>
      </c>
      <c r="G200" s="5" t="s">
        <v>1134</v>
      </c>
      <c r="H200" s="12">
        <f t="shared" si="19"/>
        <v>360</v>
      </c>
      <c r="I200" s="12" t="s">
        <v>1151</v>
      </c>
      <c r="J200" s="12" t="s">
        <v>238</v>
      </c>
      <c r="K200" s="12">
        <f t="shared" si="20"/>
        <v>30</v>
      </c>
      <c r="L200" s="12">
        <f t="shared" si="21"/>
        <v>30</v>
      </c>
      <c r="M200" s="12">
        <v>450</v>
      </c>
      <c r="N200" s="12">
        <v>50</v>
      </c>
      <c r="O200" s="12">
        <v>46</v>
      </c>
      <c r="P200" s="12" t="s">
        <v>233</v>
      </c>
      <c r="Q200" s="12" t="s">
        <v>234</v>
      </c>
      <c r="R200" s="12" t="s">
        <v>235</v>
      </c>
      <c r="T200" s="12" t="s">
        <v>1137</v>
      </c>
      <c r="U200" s="12" t="s">
        <v>1137</v>
      </c>
      <c r="V200" s="12"/>
      <c r="W200" s="12"/>
    </row>
    <row r="201" spans="2:23">
      <c r="B201" s="12" t="s">
        <v>468</v>
      </c>
      <c r="C201" s="12" t="s">
        <v>227</v>
      </c>
      <c r="D201" s="12" t="s">
        <v>235</v>
      </c>
      <c r="E201" s="12" t="s">
        <v>239</v>
      </c>
      <c r="F201" s="12" t="s">
        <v>225</v>
      </c>
      <c r="G201" s="5" t="s">
        <v>1134</v>
      </c>
      <c r="H201" s="12">
        <f t="shared" si="19"/>
        <v>374.40000000000003</v>
      </c>
      <c r="I201" s="12" t="s">
        <v>1151</v>
      </c>
      <c r="J201" s="12" t="s">
        <v>238</v>
      </c>
      <c r="K201" s="12">
        <f t="shared" si="20"/>
        <v>31.2</v>
      </c>
      <c r="L201" s="12">
        <f t="shared" si="21"/>
        <v>31.2</v>
      </c>
      <c r="M201" s="12">
        <v>468</v>
      </c>
      <c r="N201" s="12">
        <v>52</v>
      </c>
      <c r="O201" s="12">
        <v>50</v>
      </c>
      <c r="P201" s="12" t="s">
        <v>233</v>
      </c>
      <c r="Q201" s="12" t="s">
        <v>234</v>
      </c>
      <c r="R201" s="12" t="s">
        <v>235</v>
      </c>
      <c r="T201" s="12" t="s">
        <v>1137</v>
      </c>
      <c r="U201" s="12" t="s">
        <v>1137</v>
      </c>
      <c r="V201" s="12"/>
      <c r="W201" s="12"/>
    </row>
    <row r="202" spans="2:23">
      <c r="B202" s="12" t="s">
        <v>469</v>
      </c>
      <c r="C202" s="12" t="s">
        <v>227</v>
      </c>
      <c r="D202" s="12" t="s">
        <v>235</v>
      </c>
      <c r="E202" s="12" t="s">
        <v>239</v>
      </c>
      <c r="F202" s="12" t="s">
        <v>225</v>
      </c>
      <c r="G202" s="5" t="s">
        <v>1134</v>
      </c>
      <c r="H202" s="12">
        <f t="shared" si="19"/>
        <v>388.8</v>
      </c>
      <c r="I202" s="12" t="s">
        <v>1151</v>
      </c>
      <c r="J202" s="12" t="s">
        <v>238</v>
      </c>
      <c r="K202" s="12">
        <f t="shared" si="20"/>
        <v>32.4</v>
      </c>
      <c r="L202" s="12">
        <f t="shared" si="21"/>
        <v>32.4</v>
      </c>
      <c r="M202" s="12">
        <v>486</v>
      </c>
      <c r="N202" s="12">
        <v>54</v>
      </c>
      <c r="O202" s="12">
        <v>54</v>
      </c>
      <c r="P202" s="12" t="s">
        <v>233</v>
      </c>
      <c r="Q202" s="12" t="s">
        <v>234</v>
      </c>
      <c r="R202" s="12" t="s">
        <v>235</v>
      </c>
      <c r="T202" s="12" t="s">
        <v>1137</v>
      </c>
      <c r="U202" s="12" t="s">
        <v>1137</v>
      </c>
      <c r="V202" s="12"/>
      <c r="W202" s="12"/>
    </row>
    <row r="203" spans="2:23">
      <c r="B203" s="12" t="s">
        <v>470</v>
      </c>
      <c r="C203" s="12" t="s">
        <v>227</v>
      </c>
      <c r="D203" s="12" t="s">
        <v>235</v>
      </c>
      <c r="E203" s="12" t="s">
        <v>239</v>
      </c>
      <c r="F203" s="12" t="s">
        <v>225</v>
      </c>
      <c r="G203" s="5" t="s">
        <v>1134</v>
      </c>
      <c r="H203" s="12">
        <f t="shared" si="19"/>
        <v>403.20000000000005</v>
      </c>
      <c r="I203" s="12" t="s">
        <v>1151</v>
      </c>
      <c r="J203" s="12" t="s">
        <v>238</v>
      </c>
      <c r="K203" s="12">
        <f t="shared" si="20"/>
        <v>33.6</v>
      </c>
      <c r="L203" s="12">
        <f t="shared" si="21"/>
        <v>33.6</v>
      </c>
      <c r="M203" s="12">
        <v>504</v>
      </c>
      <c r="N203" s="12">
        <v>56</v>
      </c>
      <c r="O203" s="12">
        <v>58</v>
      </c>
      <c r="P203" s="12" t="s">
        <v>233</v>
      </c>
      <c r="Q203" s="12" t="s">
        <v>234</v>
      </c>
      <c r="R203" s="12" t="s">
        <v>235</v>
      </c>
      <c r="T203" s="12" t="s">
        <v>1137</v>
      </c>
      <c r="U203" s="12" t="s">
        <v>1137</v>
      </c>
      <c r="V203" s="12"/>
      <c r="W203" s="12"/>
    </row>
    <row r="204" spans="2:23">
      <c r="B204" s="12" t="s">
        <v>471</v>
      </c>
      <c r="C204" s="12" t="s">
        <v>227</v>
      </c>
      <c r="D204" s="12" t="s">
        <v>235</v>
      </c>
      <c r="E204" s="12" t="s">
        <v>239</v>
      </c>
      <c r="F204" s="12" t="s">
        <v>225</v>
      </c>
      <c r="G204" s="5" t="s">
        <v>1134</v>
      </c>
      <c r="H204" s="12">
        <f t="shared" si="19"/>
        <v>417.6</v>
      </c>
      <c r="I204" s="12" t="s">
        <v>1151</v>
      </c>
      <c r="J204" s="12" t="s">
        <v>238</v>
      </c>
      <c r="K204" s="12">
        <f t="shared" si="20"/>
        <v>34.799999999999997</v>
      </c>
      <c r="L204" s="12">
        <f t="shared" si="21"/>
        <v>34.799999999999997</v>
      </c>
      <c r="M204" s="12">
        <v>522</v>
      </c>
      <c r="N204" s="12">
        <v>58</v>
      </c>
      <c r="O204" s="12">
        <v>62</v>
      </c>
      <c r="P204" s="12" t="s">
        <v>233</v>
      </c>
      <c r="Q204" s="12" t="s">
        <v>234</v>
      </c>
      <c r="R204" s="12" t="s">
        <v>235</v>
      </c>
      <c r="T204" s="12" t="s">
        <v>1137</v>
      </c>
      <c r="U204" s="12" t="s">
        <v>1137</v>
      </c>
      <c r="V204" s="12"/>
      <c r="W204" s="12"/>
    </row>
    <row r="205" spans="2:23">
      <c r="B205" s="12" t="s">
        <v>472</v>
      </c>
      <c r="C205" s="12" t="s">
        <v>227</v>
      </c>
      <c r="D205" s="12" t="s">
        <v>235</v>
      </c>
      <c r="E205" s="12" t="s">
        <v>239</v>
      </c>
      <c r="F205" s="12" t="s">
        <v>225</v>
      </c>
      <c r="G205" s="5" t="s">
        <v>1134</v>
      </c>
      <c r="H205" s="12">
        <f t="shared" si="19"/>
        <v>432</v>
      </c>
      <c r="I205" s="12" t="s">
        <v>1151</v>
      </c>
      <c r="J205" s="12" t="s">
        <v>238</v>
      </c>
      <c r="K205" s="12">
        <f t="shared" si="20"/>
        <v>36</v>
      </c>
      <c r="L205" s="12">
        <f t="shared" si="21"/>
        <v>36</v>
      </c>
      <c r="M205" s="12">
        <v>540</v>
      </c>
      <c r="N205" s="12">
        <v>60</v>
      </c>
      <c r="O205" s="12">
        <v>66</v>
      </c>
      <c r="P205" s="12" t="s">
        <v>233</v>
      </c>
      <c r="Q205" s="12" t="s">
        <v>234</v>
      </c>
      <c r="R205" s="12" t="s">
        <v>235</v>
      </c>
      <c r="T205" s="12" t="s">
        <v>1137</v>
      </c>
      <c r="U205" s="12" t="s">
        <v>1137</v>
      </c>
      <c r="V205" s="12"/>
      <c r="W205" s="12"/>
    </row>
    <row r="206" spans="2:23">
      <c r="B206" s="12" t="s">
        <v>473</v>
      </c>
      <c r="C206" s="12" t="s">
        <v>227</v>
      </c>
      <c r="D206" s="12" t="s">
        <v>235</v>
      </c>
      <c r="E206" s="12" t="s">
        <v>239</v>
      </c>
      <c r="F206" s="12" t="s">
        <v>225</v>
      </c>
      <c r="G206" s="5" t="s">
        <v>1134</v>
      </c>
      <c r="H206" s="12">
        <f t="shared" si="19"/>
        <v>446.40000000000003</v>
      </c>
      <c r="I206" s="12" t="s">
        <v>1151</v>
      </c>
      <c r="J206" s="12" t="s">
        <v>238</v>
      </c>
      <c r="K206" s="12">
        <f t="shared" si="20"/>
        <v>37.199999999999996</v>
      </c>
      <c r="L206" s="12">
        <f t="shared" si="21"/>
        <v>37.199999999999996</v>
      </c>
      <c r="M206" s="12">
        <v>558</v>
      </c>
      <c r="N206" s="12">
        <v>62</v>
      </c>
      <c r="O206" s="12">
        <v>70</v>
      </c>
      <c r="P206" s="12" t="s">
        <v>233</v>
      </c>
      <c r="Q206" s="12" t="s">
        <v>234</v>
      </c>
      <c r="R206" s="12" t="s">
        <v>235</v>
      </c>
      <c r="T206" s="12" t="s">
        <v>1137</v>
      </c>
      <c r="U206" s="12" t="s">
        <v>1137</v>
      </c>
      <c r="V206" s="12"/>
      <c r="W206" s="12"/>
    </row>
    <row r="207" spans="2:23">
      <c r="B207" s="12" t="s">
        <v>474</v>
      </c>
      <c r="C207" s="12" t="s">
        <v>227</v>
      </c>
      <c r="D207" s="12" t="s">
        <v>235</v>
      </c>
      <c r="E207" s="12" t="s">
        <v>239</v>
      </c>
      <c r="F207" s="12" t="s">
        <v>225</v>
      </c>
      <c r="G207" s="5" t="s">
        <v>1134</v>
      </c>
      <c r="H207" s="12">
        <f t="shared" si="19"/>
        <v>460.8</v>
      </c>
      <c r="I207" s="12" t="s">
        <v>1151</v>
      </c>
      <c r="J207" s="12" t="s">
        <v>238</v>
      </c>
      <c r="K207" s="12">
        <f t="shared" si="20"/>
        <v>38.4</v>
      </c>
      <c r="L207" s="12">
        <f t="shared" si="21"/>
        <v>38.4</v>
      </c>
      <c r="M207" s="12">
        <v>576</v>
      </c>
      <c r="N207" s="12">
        <v>64</v>
      </c>
      <c r="O207" s="12">
        <v>74</v>
      </c>
      <c r="P207" s="12" t="s">
        <v>233</v>
      </c>
      <c r="Q207" s="12" t="s">
        <v>234</v>
      </c>
      <c r="R207" s="12" t="s">
        <v>235</v>
      </c>
      <c r="T207" s="12" t="s">
        <v>1137</v>
      </c>
      <c r="U207" s="12" t="s">
        <v>1137</v>
      </c>
      <c r="V207" s="12"/>
      <c r="W207" s="12"/>
    </row>
    <row r="208" spans="2:23">
      <c r="B208" s="12" t="s">
        <v>475</v>
      </c>
      <c r="C208" s="12" t="s">
        <v>227</v>
      </c>
      <c r="D208" s="12" t="s">
        <v>235</v>
      </c>
      <c r="E208" s="12" t="s">
        <v>239</v>
      </c>
      <c r="F208" s="12" t="s">
        <v>225</v>
      </c>
      <c r="G208" s="5" t="s">
        <v>1134</v>
      </c>
      <c r="H208" s="12">
        <f t="shared" si="19"/>
        <v>475.20000000000005</v>
      </c>
      <c r="I208" s="12" t="s">
        <v>1151</v>
      </c>
      <c r="J208" s="12" t="s">
        <v>238</v>
      </c>
      <c r="K208" s="12">
        <f t="shared" si="20"/>
        <v>39.6</v>
      </c>
      <c r="L208" s="12">
        <f t="shared" si="21"/>
        <v>39.6</v>
      </c>
      <c r="M208" s="12">
        <v>594</v>
      </c>
      <c r="N208" s="12">
        <v>66</v>
      </c>
      <c r="O208" s="12">
        <v>78</v>
      </c>
      <c r="P208" s="12" t="s">
        <v>233</v>
      </c>
      <c r="Q208" s="12" t="s">
        <v>234</v>
      </c>
      <c r="R208" s="12" t="s">
        <v>235</v>
      </c>
      <c r="T208" s="12" t="s">
        <v>1137</v>
      </c>
      <c r="U208" s="12" t="s">
        <v>1137</v>
      </c>
      <c r="V208" s="12"/>
      <c r="W208" s="12"/>
    </row>
    <row r="209" spans="2:23">
      <c r="B209" s="12" t="s">
        <v>476</v>
      </c>
      <c r="C209" s="12" t="s">
        <v>227</v>
      </c>
      <c r="D209" s="12" t="s">
        <v>235</v>
      </c>
      <c r="E209" s="12" t="s">
        <v>239</v>
      </c>
      <c r="F209" s="12" t="s">
        <v>225</v>
      </c>
      <c r="G209" s="5" t="s">
        <v>1134</v>
      </c>
      <c r="H209" s="12">
        <f t="shared" si="19"/>
        <v>489.6</v>
      </c>
      <c r="I209" s="12" t="s">
        <v>1151</v>
      </c>
      <c r="J209" s="12" t="s">
        <v>238</v>
      </c>
      <c r="K209" s="12">
        <f t="shared" si="20"/>
        <v>40.799999999999997</v>
      </c>
      <c r="L209" s="12">
        <f t="shared" si="21"/>
        <v>40.799999999999997</v>
      </c>
      <c r="M209" s="12">
        <v>612</v>
      </c>
      <c r="N209" s="12">
        <v>68</v>
      </c>
      <c r="O209" s="12">
        <v>82</v>
      </c>
      <c r="P209" s="12" t="s">
        <v>233</v>
      </c>
      <c r="Q209" s="12" t="s">
        <v>234</v>
      </c>
      <c r="R209" s="12" t="s">
        <v>235</v>
      </c>
      <c r="T209" s="12" t="s">
        <v>1137</v>
      </c>
      <c r="U209" s="12" t="s">
        <v>1137</v>
      </c>
      <c r="V209" s="12"/>
      <c r="W209" s="12"/>
    </row>
    <row r="210" spans="2:23">
      <c r="B210" s="12" t="s">
        <v>477</v>
      </c>
      <c r="C210" s="12" t="s">
        <v>227</v>
      </c>
      <c r="D210" s="12" t="s">
        <v>235</v>
      </c>
      <c r="E210" s="12" t="s">
        <v>239</v>
      </c>
      <c r="F210" s="12" t="s">
        <v>225</v>
      </c>
      <c r="G210" s="5" t="s">
        <v>1134</v>
      </c>
      <c r="H210" s="12">
        <f t="shared" si="19"/>
        <v>504</v>
      </c>
      <c r="I210" s="12" t="s">
        <v>1151</v>
      </c>
      <c r="J210" s="12" t="s">
        <v>238</v>
      </c>
      <c r="K210" s="12">
        <f t="shared" si="20"/>
        <v>42</v>
      </c>
      <c r="L210" s="12">
        <f t="shared" si="21"/>
        <v>42</v>
      </c>
      <c r="M210" s="12">
        <v>630</v>
      </c>
      <c r="N210" s="12">
        <v>70</v>
      </c>
      <c r="O210" s="12">
        <v>86</v>
      </c>
      <c r="P210" s="12" t="s">
        <v>233</v>
      </c>
      <c r="Q210" s="12" t="s">
        <v>234</v>
      </c>
      <c r="R210" s="12" t="s">
        <v>235</v>
      </c>
      <c r="T210" s="12" t="s">
        <v>1137</v>
      </c>
      <c r="U210" s="12" t="s">
        <v>1137</v>
      </c>
      <c r="V210" s="12"/>
      <c r="W210" s="12"/>
    </row>
    <row r="211" spans="2:23">
      <c r="B211" s="12" t="s">
        <v>478</v>
      </c>
      <c r="C211" s="12" t="s">
        <v>227</v>
      </c>
      <c r="D211" s="12" t="s">
        <v>235</v>
      </c>
      <c r="E211" s="12" t="s">
        <v>239</v>
      </c>
      <c r="F211" s="12" t="s">
        <v>225</v>
      </c>
      <c r="G211" s="5" t="s">
        <v>1134</v>
      </c>
      <c r="H211" s="12">
        <f t="shared" si="19"/>
        <v>851.2</v>
      </c>
      <c r="I211" s="12" t="s">
        <v>1151</v>
      </c>
      <c r="J211" s="12" t="s">
        <v>238</v>
      </c>
      <c r="K211" s="12">
        <f t="shared" si="20"/>
        <v>91.2</v>
      </c>
      <c r="L211" s="12">
        <f t="shared" si="21"/>
        <v>91.2</v>
      </c>
      <c r="M211" s="12">
        <v>1064</v>
      </c>
      <c r="N211" s="12">
        <v>152</v>
      </c>
      <c r="O211" s="12">
        <v>121.5</v>
      </c>
      <c r="P211" s="12" t="s">
        <v>233</v>
      </c>
      <c r="Q211" s="12" t="s">
        <v>234</v>
      </c>
      <c r="R211" s="12" t="s">
        <v>235</v>
      </c>
      <c r="T211" s="12" t="s">
        <v>1137</v>
      </c>
      <c r="U211" s="12" t="s">
        <v>1137</v>
      </c>
      <c r="V211" s="12"/>
      <c r="W211" s="12"/>
    </row>
    <row r="212" spans="2:23">
      <c r="B212" s="12" t="s">
        <v>479</v>
      </c>
      <c r="C212" s="12" t="s">
        <v>227</v>
      </c>
      <c r="D212" s="12" t="s">
        <v>235</v>
      </c>
      <c r="E212" s="12" t="s">
        <v>239</v>
      </c>
      <c r="F212" s="12" t="s">
        <v>225</v>
      </c>
      <c r="G212" s="5" t="s">
        <v>1134</v>
      </c>
      <c r="H212" s="12">
        <f t="shared" si="19"/>
        <v>873.6</v>
      </c>
      <c r="I212" s="12" t="s">
        <v>1151</v>
      </c>
      <c r="J212" s="12" t="s">
        <v>238</v>
      </c>
      <c r="K212" s="12">
        <f t="shared" si="20"/>
        <v>93.6</v>
      </c>
      <c r="L212" s="12">
        <f t="shared" si="21"/>
        <v>93.6</v>
      </c>
      <c r="M212" s="12">
        <v>1092</v>
      </c>
      <c r="N212" s="12">
        <v>156</v>
      </c>
      <c r="O212" s="12">
        <v>127.57499999999999</v>
      </c>
      <c r="P212" s="12" t="s">
        <v>233</v>
      </c>
      <c r="Q212" s="12" t="s">
        <v>234</v>
      </c>
      <c r="R212" s="12" t="s">
        <v>235</v>
      </c>
      <c r="T212" s="12" t="s">
        <v>1137</v>
      </c>
      <c r="U212" s="12" t="s">
        <v>1137</v>
      </c>
      <c r="V212" s="12"/>
      <c r="W212" s="12"/>
    </row>
    <row r="213" spans="2:23">
      <c r="B213" s="12" t="s">
        <v>480</v>
      </c>
      <c r="C213" s="12" t="s">
        <v>227</v>
      </c>
      <c r="D213" s="12" t="s">
        <v>235</v>
      </c>
      <c r="E213" s="12" t="s">
        <v>239</v>
      </c>
      <c r="F213" s="12" t="s">
        <v>225</v>
      </c>
      <c r="G213" s="5" t="s">
        <v>1134</v>
      </c>
      <c r="H213" s="12">
        <f t="shared" si="19"/>
        <v>896</v>
      </c>
      <c r="I213" s="12" t="s">
        <v>1151</v>
      </c>
      <c r="J213" s="12" t="s">
        <v>238</v>
      </c>
      <c r="K213" s="12">
        <f t="shared" si="20"/>
        <v>96</v>
      </c>
      <c r="L213" s="12">
        <f t="shared" si="21"/>
        <v>96</v>
      </c>
      <c r="M213" s="12">
        <v>1120</v>
      </c>
      <c r="N213" s="12">
        <v>160</v>
      </c>
      <c r="O213" s="12">
        <v>133.65</v>
      </c>
      <c r="P213" s="12" t="s">
        <v>233</v>
      </c>
      <c r="Q213" s="12" t="s">
        <v>234</v>
      </c>
      <c r="R213" s="12" t="s">
        <v>235</v>
      </c>
      <c r="T213" s="12" t="s">
        <v>1137</v>
      </c>
      <c r="U213" s="12" t="s">
        <v>1137</v>
      </c>
      <c r="V213" s="12"/>
      <c r="W213" s="12"/>
    </row>
    <row r="214" spans="2:23">
      <c r="B214" s="12" t="s">
        <v>481</v>
      </c>
      <c r="C214" s="12" t="s">
        <v>227</v>
      </c>
      <c r="D214" s="12" t="s">
        <v>235</v>
      </c>
      <c r="E214" s="12" t="s">
        <v>239</v>
      </c>
      <c r="F214" s="12" t="s">
        <v>225</v>
      </c>
      <c r="G214" s="5" t="s">
        <v>1134</v>
      </c>
      <c r="H214" s="12">
        <f t="shared" si="19"/>
        <v>918.40000000000009</v>
      </c>
      <c r="I214" s="12" t="s">
        <v>1151</v>
      </c>
      <c r="J214" s="12" t="s">
        <v>238</v>
      </c>
      <c r="K214" s="12">
        <f t="shared" si="20"/>
        <v>98.399999999999991</v>
      </c>
      <c r="L214" s="12">
        <f t="shared" si="21"/>
        <v>98.399999999999991</v>
      </c>
      <c r="M214" s="12">
        <v>1148</v>
      </c>
      <c r="N214" s="12">
        <v>164</v>
      </c>
      <c r="O214" s="12">
        <v>139.72499999999999</v>
      </c>
      <c r="P214" s="12" t="s">
        <v>233</v>
      </c>
      <c r="Q214" s="12" t="s">
        <v>234</v>
      </c>
      <c r="R214" s="12" t="s">
        <v>235</v>
      </c>
      <c r="T214" s="12" t="s">
        <v>1137</v>
      </c>
      <c r="U214" s="12" t="s">
        <v>1137</v>
      </c>
      <c r="V214" s="12"/>
      <c r="W214" s="12"/>
    </row>
    <row r="215" spans="2:23">
      <c r="B215" s="12" t="s">
        <v>482</v>
      </c>
      <c r="C215" s="12" t="s">
        <v>227</v>
      </c>
      <c r="D215" s="12" t="s">
        <v>235</v>
      </c>
      <c r="E215" s="12" t="s">
        <v>239</v>
      </c>
      <c r="F215" s="12" t="s">
        <v>225</v>
      </c>
      <c r="G215" s="5" t="s">
        <v>1134</v>
      </c>
      <c r="H215" s="12">
        <f t="shared" si="19"/>
        <v>940.80000000000007</v>
      </c>
      <c r="I215" s="12" t="s">
        <v>1151</v>
      </c>
      <c r="J215" s="12" t="s">
        <v>238</v>
      </c>
      <c r="K215" s="12">
        <f t="shared" si="20"/>
        <v>100.8</v>
      </c>
      <c r="L215" s="12">
        <f t="shared" si="21"/>
        <v>100.8</v>
      </c>
      <c r="M215" s="12">
        <v>1176</v>
      </c>
      <c r="N215" s="12">
        <v>168</v>
      </c>
      <c r="O215" s="12">
        <v>145.79999999999998</v>
      </c>
      <c r="P215" s="12" t="s">
        <v>233</v>
      </c>
      <c r="Q215" s="12" t="s">
        <v>234</v>
      </c>
      <c r="R215" s="12" t="s">
        <v>235</v>
      </c>
      <c r="T215" s="12" t="s">
        <v>1137</v>
      </c>
      <c r="U215" s="12" t="s">
        <v>1137</v>
      </c>
      <c r="V215" s="12"/>
      <c r="W215" s="12"/>
    </row>
    <row r="216" spans="2:23">
      <c r="B216" s="12" t="s">
        <v>483</v>
      </c>
      <c r="C216" s="12" t="s">
        <v>227</v>
      </c>
      <c r="D216" s="12" t="s">
        <v>235</v>
      </c>
      <c r="E216" s="12" t="s">
        <v>239</v>
      </c>
      <c r="F216" s="12" t="s">
        <v>225</v>
      </c>
      <c r="G216" s="5" t="s">
        <v>1134</v>
      </c>
      <c r="H216" s="12">
        <f t="shared" si="19"/>
        <v>963.2</v>
      </c>
      <c r="I216" s="12" t="s">
        <v>1151</v>
      </c>
      <c r="J216" s="12" t="s">
        <v>238</v>
      </c>
      <c r="K216" s="12">
        <f t="shared" si="20"/>
        <v>103.2</v>
      </c>
      <c r="L216" s="12">
        <f t="shared" si="21"/>
        <v>103.2</v>
      </c>
      <c r="M216" s="12">
        <v>1204</v>
      </c>
      <c r="N216" s="12">
        <v>172</v>
      </c>
      <c r="O216" s="12">
        <v>151.875</v>
      </c>
      <c r="P216" s="12" t="s">
        <v>233</v>
      </c>
      <c r="Q216" s="12" t="s">
        <v>234</v>
      </c>
      <c r="R216" s="12" t="s">
        <v>235</v>
      </c>
      <c r="T216" s="12" t="s">
        <v>1137</v>
      </c>
      <c r="U216" s="12" t="s">
        <v>1137</v>
      </c>
      <c r="V216" s="12"/>
      <c r="W216" s="12"/>
    </row>
    <row r="217" spans="2:23">
      <c r="B217" s="12" t="s">
        <v>484</v>
      </c>
      <c r="C217" s="12" t="s">
        <v>227</v>
      </c>
      <c r="D217" s="12" t="s">
        <v>235</v>
      </c>
      <c r="E217" s="12" t="s">
        <v>239</v>
      </c>
      <c r="F217" s="12" t="s">
        <v>225</v>
      </c>
      <c r="G217" s="5" t="s">
        <v>1134</v>
      </c>
      <c r="H217" s="12">
        <f t="shared" si="19"/>
        <v>985.6</v>
      </c>
      <c r="I217" s="12" t="s">
        <v>1151</v>
      </c>
      <c r="J217" s="12" t="s">
        <v>238</v>
      </c>
      <c r="K217" s="12">
        <f t="shared" si="20"/>
        <v>105.6</v>
      </c>
      <c r="L217" s="12">
        <f t="shared" si="21"/>
        <v>105.6</v>
      </c>
      <c r="M217" s="12">
        <v>1232</v>
      </c>
      <c r="N217" s="12">
        <v>176</v>
      </c>
      <c r="O217" s="12">
        <v>157.94999999999999</v>
      </c>
      <c r="P217" s="12" t="s">
        <v>233</v>
      </c>
      <c r="Q217" s="12" t="s">
        <v>234</v>
      </c>
      <c r="R217" s="12" t="s">
        <v>235</v>
      </c>
      <c r="T217" s="12" t="s">
        <v>1137</v>
      </c>
      <c r="U217" s="12" t="s">
        <v>1137</v>
      </c>
      <c r="V217" s="12"/>
      <c r="W217" s="12"/>
    </row>
    <row r="218" spans="2:23">
      <c r="B218" s="12" t="s">
        <v>485</v>
      </c>
      <c r="C218" s="12" t="s">
        <v>227</v>
      </c>
      <c r="D218" s="12" t="s">
        <v>235</v>
      </c>
      <c r="E218" s="12" t="s">
        <v>239</v>
      </c>
      <c r="F218" s="12" t="s">
        <v>225</v>
      </c>
      <c r="G218" s="5" t="s">
        <v>1134</v>
      </c>
      <c r="H218" s="12">
        <f t="shared" si="19"/>
        <v>1008</v>
      </c>
      <c r="I218" s="12" t="s">
        <v>1151</v>
      </c>
      <c r="J218" s="12" t="s">
        <v>238</v>
      </c>
      <c r="K218" s="12">
        <f t="shared" si="20"/>
        <v>108</v>
      </c>
      <c r="L218" s="12">
        <f t="shared" si="21"/>
        <v>108</v>
      </c>
      <c r="M218" s="12">
        <v>1260</v>
      </c>
      <c r="N218" s="12">
        <v>180</v>
      </c>
      <c r="O218" s="12">
        <v>164.02500000000001</v>
      </c>
      <c r="P218" s="12" t="s">
        <v>233</v>
      </c>
      <c r="Q218" s="12" t="s">
        <v>234</v>
      </c>
      <c r="R218" s="12" t="s">
        <v>235</v>
      </c>
      <c r="T218" s="12" t="s">
        <v>1137</v>
      </c>
      <c r="U218" s="12" t="s">
        <v>1137</v>
      </c>
      <c r="V218" s="12"/>
      <c r="W218" s="12"/>
    </row>
    <row r="219" spans="2:23">
      <c r="B219" s="12" t="s">
        <v>486</v>
      </c>
      <c r="C219" s="12" t="s">
        <v>227</v>
      </c>
      <c r="D219" s="12" t="s">
        <v>235</v>
      </c>
      <c r="E219" s="12" t="s">
        <v>239</v>
      </c>
      <c r="F219" s="12" t="s">
        <v>225</v>
      </c>
      <c r="G219" s="5" t="s">
        <v>1134</v>
      </c>
      <c r="H219" s="12">
        <f t="shared" si="19"/>
        <v>1030.4000000000001</v>
      </c>
      <c r="I219" s="12" t="s">
        <v>1151</v>
      </c>
      <c r="J219" s="12" t="s">
        <v>238</v>
      </c>
      <c r="K219" s="12">
        <f t="shared" si="20"/>
        <v>110.39999999999999</v>
      </c>
      <c r="L219" s="12">
        <f t="shared" si="21"/>
        <v>110.39999999999999</v>
      </c>
      <c r="M219" s="12">
        <v>1288</v>
      </c>
      <c r="N219" s="12">
        <v>184</v>
      </c>
      <c r="O219" s="12">
        <v>170.1</v>
      </c>
      <c r="P219" s="12" t="s">
        <v>233</v>
      </c>
      <c r="Q219" s="12" t="s">
        <v>234</v>
      </c>
      <c r="R219" s="12" t="s">
        <v>235</v>
      </c>
      <c r="T219" s="12" t="s">
        <v>1137</v>
      </c>
      <c r="U219" s="12" t="s">
        <v>1137</v>
      </c>
      <c r="V219" s="12"/>
      <c r="W219" s="12"/>
    </row>
    <row r="220" spans="2:23">
      <c r="B220" s="12" t="s">
        <v>487</v>
      </c>
      <c r="C220" s="12" t="s">
        <v>227</v>
      </c>
      <c r="D220" s="12" t="s">
        <v>235</v>
      </c>
      <c r="E220" s="12" t="s">
        <v>239</v>
      </c>
      <c r="F220" s="12" t="s">
        <v>225</v>
      </c>
      <c r="G220" s="5" t="s">
        <v>1134</v>
      </c>
      <c r="H220" s="12">
        <f t="shared" si="19"/>
        <v>1052.8</v>
      </c>
      <c r="I220" s="12" t="s">
        <v>1151</v>
      </c>
      <c r="J220" s="12" t="s">
        <v>238</v>
      </c>
      <c r="K220" s="12">
        <f t="shared" si="20"/>
        <v>112.8</v>
      </c>
      <c r="L220" s="12">
        <f t="shared" si="21"/>
        <v>112.8</v>
      </c>
      <c r="M220" s="12">
        <v>1316</v>
      </c>
      <c r="N220" s="12">
        <v>188</v>
      </c>
      <c r="O220" s="12">
        <v>176.17499999999998</v>
      </c>
      <c r="P220" s="12" t="s">
        <v>233</v>
      </c>
      <c r="Q220" s="12" t="s">
        <v>234</v>
      </c>
      <c r="R220" s="12" t="s">
        <v>235</v>
      </c>
      <c r="T220" s="12" t="s">
        <v>1137</v>
      </c>
      <c r="U220" s="12" t="s">
        <v>1137</v>
      </c>
      <c r="V220" s="12"/>
      <c r="W220" s="12"/>
    </row>
    <row r="221" spans="2:23">
      <c r="B221" s="12" t="s">
        <v>488</v>
      </c>
      <c r="C221" s="12" t="s">
        <v>227</v>
      </c>
      <c r="D221" s="12" t="s">
        <v>235</v>
      </c>
      <c r="E221" s="12" t="s">
        <v>239</v>
      </c>
      <c r="F221" s="12" t="s">
        <v>225</v>
      </c>
      <c r="G221" s="5" t="s">
        <v>1134</v>
      </c>
      <c r="H221" s="12">
        <f t="shared" si="19"/>
        <v>1075.2</v>
      </c>
      <c r="I221" s="12" t="s">
        <v>1151</v>
      </c>
      <c r="J221" s="12" t="s">
        <v>238</v>
      </c>
      <c r="K221" s="12">
        <f t="shared" si="20"/>
        <v>115.19999999999999</v>
      </c>
      <c r="L221" s="12">
        <f t="shared" si="21"/>
        <v>115.19999999999999</v>
      </c>
      <c r="M221" s="12">
        <v>1344</v>
      </c>
      <c r="N221" s="12">
        <v>192</v>
      </c>
      <c r="O221" s="12">
        <v>182.25</v>
      </c>
      <c r="P221" s="12" t="s">
        <v>233</v>
      </c>
      <c r="Q221" s="12" t="s">
        <v>234</v>
      </c>
      <c r="R221" s="12" t="s">
        <v>235</v>
      </c>
      <c r="T221" s="12" t="s">
        <v>1137</v>
      </c>
      <c r="U221" s="12" t="s">
        <v>1137</v>
      </c>
      <c r="V221" s="12"/>
      <c r="W221" s="12"/>
    </row>
    <row r="222" spans="2:23">
      <c r="B222" s="12" t="s">
        <v>489</v>
      </c>
      <c r="C222" s="12" t="s">
        <v>227</v>
      </c>
      <c r="D222" s="12" t="s">
        <v>235</v>
      </c>
      <c r="E222" s="12" t="s">
        <v>239</v>
      </c>
      <c r="F222" s="12" t="s">
        <v>225</v>
      </c>
      <c r="G222" s="5" t="s">
        <v>1134</v>
      </c>
      <c r="H222" s="12">
        <f t="shared" si="19"/>
        <v>1097.6000000000001</v>
      </c>
      <c r="I222" s="12" t="s">
        <v>1151</v>
      </c>
      <c r="J222" s="12" t="s">
        <v>238</v>
      </c>
      <c r="K222" s="12">
        <f t="shared" si="20"/>
        <v>117.6</v>
      </c>
      <c r="L222" s="12">
        <f t="shared" si="21"/>
        <v>117.6</v>
      </c>
      <c r="M222" s="12">
        <v>1372</v>
      </c>
      <c r="N222" s="12">
        <v>196</v>
      </c>
      <c r="O222" s="12">
        <v>188.32499999999999</v>
      </c>
      <c r="P222" s="12" t="s">
        <v>233</v>
      </c>
      <c r="Q222" s="12" t="s">
        <v>234</v>
      </c>
      <c r="R222" s="12" t="s">
        <v>235</v>
      </c>
      <c r="T222" s="12" t="s">
        <v>1137</v>
      </c>
      <c r="U222" s="12" t="s">
        <v>1137</v>
      </c>
      <c r="V222" s="12"/>
      <c r="W222" s="12"/>
    </row>
    <row r="223" spans="2:23">
      <c r="B223" s="12" t="s">
        <v>490</v>
      </c>
      <c r="C223" s="12" t="s">
        <v>227</v>
      </c>
      <c r="D223" s="12" t="s">
        <v>235</v>
      </c>
      <c r="E223" s="12" t="s">
        <v>239</v>
      </c>
      <c r="F223" s="12" t="s">
        <v>225</v>
      </c>
      <c r="G223" s="5" t="s">
        <v>1134</v>
      </c>
      <c r="H223" s="12">
        <f t="shared" si="19"/>
        <v>1120</v>
      </c>
      <c r="I223" s="12" t="s">
        <v>1151</v>
      </c>
      <c r="J223" s="12" t="s">
        <v>238</v>
      </c>
      <c r="K223" s="12">
        <f t="shared" si="20"/>
        <v>120</v>
      </c>
      <c r="L223" s="12">
        <f t="shared" si="21"/>
        <v>120</v>
      </c>
      <c r="M223" s="12">
        <v>1400</v>
      </c>
      <c r="N223" s="12">
        <v>200</v>
      </c>
      <c r="O223" s="12">
        <v>194.39999999999998</v>
      </c>
      <c r="P223" s="12" t="s">
        <v>233</v>
      </c>
      <c r="Q223" s="12" t="s">
        <v>234</v>
      </c>
      <c r="R223" s="12" t="s">
        <v>235</v>
      </c>
      <c r="T223" s="12" t="s">
        <v>1137</v>
      </c>
      <c r="U223" s="12" t="s">
        <v>1137</v>
      </c>
      <c r="V223" s="12"/>
      <c r="W223" s="12"/>
    </row>
    <row r="224" spans="2:23">
      <c r="B224" s="12" t="s">
        <v>491</v>
      </c>
      <c r="C224" s="12" t="s">
        <v>227</v>
      </c>
      <c r="D224" s="12" t="s">
        <v>235</v>
      </c>
      <c r="E224" s="12" t="s">
        <v>239</v>
      </c>
      <c r="F224" s="12" t="s">
        <v>225</v>
      </c>
      <c r="G224" s="5" t="s">
        <v>1134</v>
      </c>
      <c r="H224" s="12">
        <f t="shared" si="19"/>
        <v>1142.4000000000001</v>
      </c>
      <c r="I224" s="12" t="s">
        <v>1151</v>
      </c>
      <c r="J224" s="12" t="s">
        <v>238</v>
      </c>
      <c r="K224" s="12">
        <f t="shared" si="20"/>
        <v>122.39999999999999</v>
      </c>
      <c r="L224" s="12">
        <f t="shared" si="21"/>
        <v>122.39999999999999</v>
      </c>
      <c r="M224" s="12">
        <v>1428</v>
      </c>
      <c r="N224" s="12">
        <v>204</v>
      </c>
      <c r="O224" s="12">
        <v>200.47499999999999</v>
      </c>
      <c r="P224" s="12" t="s">
        <v>233</v>
      </c>
      <c r="Q224" s="12" t="s">
        <v>234</v>
      </c>
      <c r="R224" s="12" t="s">
        <v>235</v>
      </c>
      <c r="T224" s="12" t="s">
        <v>1137</v>
      </c>
      <c r="U224" s="12" t="s">
        <v>1137</v>
      </c>
      <c r="V224" s="12"/>
      <c r="W224" s="12"/>
    </row>
    <row r="225" spans="2:23">
      <c r="B225" s="12" t="s">
        <v>492</v>
      </c>
      <c r="C225" s="12" t="s">
        <v>227</v>
      </c>
      <c r="D225" s="12" t="s">
        <v>235</v>
      </c>
      <c r="E225" s="12" t="s">
        <v>239</v>
      </c>
      <c r="F225" s="12" t="s">
        <v>225</v>
      </c>
      <c r="G225" s="5" t="s">
        <v>1134</v>
      </c>
      <c r="H225" s="12">
        <f t="shared" si="19"/>
        <v>1164.8</v>
      </c>
      <c r="I225" s="12" t="s">
        <v>1151</v>
      </c>
      <c r="J225" s="12" t="s">
        <v>238</v>
      </c>
      <c r="K225" s="12">
        <f t="shared" si="20"/>
        <v>124.8</v>
      </c>
      <c r="L225" s="12">
        <f t="shared" si="21"/>
        <v>124.8</v>
      </c>
      <c r="M225" s="12">
        <v>1456</v>
      </c>
      <c r="N225" s="12">
        <v>208</v>
      </c>
      <c r="O225" s="12">
        <v>206.54999999999998</v>
      </c>
      <c r="P225" s="12" t="s">
        <v>233</v>
      </c>
      <c r="Q225" s="12" t="s">
        <v>234</v>
      </c>
      <c r="R225" s="12" t="s">
        <v>235</v>
      </c>
      <c r="T225" s="12" t="s">
        <v>1137</v>
      </c>
      <c r="U225" s="12" t="s">
        <v>1137</v>
      </c>
      <c r="V225" s="12"/>
      <c r="W225" s="12"/>
    </row>
    <row r="226" spans="2:23">
      <c r="B226" s="12" t="s">
        <v>493</v>
      </c>
      <c r="C226" s="12" t="s">
        <v>227</v>
      </c>
      <c r="D226" s="12" t="s">
        <v>235</v>
      </c>
      <c r="E226" s="12" t="s">
        <v>239</v>
      </c>
      <c r="F226" s="12" t="s">
        <v>225</v>
      </c>
      <c r="G226" s="5" t="s">
        <v>1134</v>
      </c>
      <c r="H226" s="12">
        <f t="shared" si="19"/>
        <v>1760</v>
      </c>
      <c r="I226" s="12" t="s">
        <v>1151</v>
      </c>
      <c r="J226" s="12" t="s">
        <v>238</v>
      </c>
      <c r="K226" s="12">
        <f t="shared" si="20"/>
        <v>198</v>
      </c>
      <c r="L226" s="12">
        <f t="shared" si="21"/>
        <v>198</v>
      </c>
      <c r="M226" s="12">
        <v>2200</v>
      </c>
      <c r="N226" s="12">
        <v>330</v>
      </c>
      <c r="O226" s="12">
        <v>273.375</v>
      </c>
      <c r="P226" s="12" t="s">
        <v>233</v>
      </c>
      <c r="Q226" s="12" t="s">
        <v>234</v>
      </c>
      <c r="R226" s="12" t="s">
        <v>235</v>
      </c>
      <c r="T226" s="12" t="s">
        <v>1137</v>
      </c>
      <c r="U226" s="12" t="s">
        <v>1137</v>
      </c>
      <c r="V226" s="12"/>
      <c r="W226" s="12"/>
    </row>
    <row r="227" spans="2:23">
      <c r="B227" s="12" t="s">
        <v>494</v>
      </c>
      <c r="C227" s="12" t="s">
        <v>227</v>
      </c>
      <c r="D227" s="12" t="s">
        <v>235</v>
      </c>
      <c r="E227" s="12" t="s">
        <v>239</v>
      </c>
      <c r="F227" s="12" t="s">
        <v>225</v>
      </c>
      <c r="G227" s="5" t="s">
        <v>1134</v>
      </c>
      <c r="H227" s="12">
        <f t="shared" si="19"/>
        <v>1792</v>
      </c>
      <c r="I227" s="12" t="s">
        <v>1151</v>
      </c>
      <c r="J227" s="12" t="s">
        <v>238</v>
      </c>
      <c r="K227" s="12">
        <f t="shared" si="20"/>
        <v>201.6</v>
      </c>
      <c r="L227" s="12">
        <f t="shared" si="21"/>
        <v>201.6</v>
      </c>
      <c r="M227" s="12">
        <v>2240</v>
      </c>
      <c r="N227" s="12">
        <v>336</v>
      </c>
      <c r="O227" s="12">
        <v>281.47499999999997</v>
      </c>
      <c r="P227" s="12" t="s">
        <v>233</v>
      </c>
      <c r="Q227" s="12" t="s">
        <v>234</v>
      </c>
      <c r="R227" s="12" t="s">
        <v>235</v>
      </c>
      <c r="T227" s="12" t="s">
        <v>1137</v>
      </c>
      <c r="U227" s="12" t="s">
        <v>1137</v>
      </c>
      <c r="V227" s="12"/>
      <c r="W227" s="12"/>
    </row>
    <row r="228" spans="2:23">
      <c r="B228" s="12" t="s">
        <v>495</v>
      </c>
      <c r="C228" s="12" t="s">
        <v>227</v>
      </c>
      <c r="D228" s="12" t="s">
        <v>235</v>
      </c>
      <c r="E228" s="12" t="s">
        <v>239</v>
      </c>
      <c r="F228" s="12" t="s">
        <v>225</v>
      </c>
      <c r="G228" s="5" t="s">
        <v>1134</v>
      </c>
      <c r="H228" s="12">
        <f t="shared" si="19"/>
        <v>1824</v>
      </c>
      <c r="I228" s="12" t="s">
        <v>1151</v>
      </c>
      <c r="J228" s="12" t="s">
        <v>238</v>
      </c>
      <c r="K228" s="12">
        <f t="shared" si="20"/>
        <v>205.2</v>
      </c>
      <c r="L228" s="12">
        <f t="shared" si="21"/>
        <v>205.2</v>
      </c>
      <c r="M228" s="12">
        <v>2280</v>
      </c>
      <c r="N228" s="12">
        <v>342</v>
      </c>
      <c r="O228" s="12">
        <v>289.57499999999999</v>
      </c>
      <c r="P228" s="12" t="s">
        <v>233</v>
      </c>
      <c r="Q228" s="12" t="s">
        <v>234</v>
      </c>
      <c r="R228" s="12" t="s">
        <v>235</v>
      </c>
      <c r="T228" s="12" t="s">
        <v>1137</v>
      </c>
      <c r="U228" s="12" t="s">
        <v>1137</v>
      </c>
      <c r="V228" s="12"/>
      <c r="W228" s="12"/>
    </row>
    <row r="229" spans="2:23">
      <c r="B229" s="12" t="s">
        <v>496</v>
      </c>
      <c r="C229" s="12" t="s">
        <v>227</v>
      </c>
      <c r="D229" s="12" t="s">
        <v>235</v>
      </c>
      <c r="E229" s="12" t="s">
        <v>239</v>
      </c>
      <c r="F229" s="12" t="s">
        <v>225</v>
      </c>
      <c r="G229" s="5" t="s">
        <v>1134</v>
      </c>
      <c r="H229" s="12">
        <f t="shared" si="19"/>
        <v>1856</v>
      </c>
      <c r="I229" s="12" t="s">
        <v>1151</v>
      </c>
      <c r="J229" s="12" t="s">
        <v>238</v>
      </c>
      <c r="K229" s="12">
        <f t="shared" si="20"/>
        <v>208.79999999999998</v>
      </c>
      <c r="L229" s="12">
        <f t="shared" si="21"/>
        <v>208.79999999999998</v>
      </c>
      <c r="M229" s="12">
        <v>2320</v>
      </c>
      <c r="N229" s="12">
        <v>348</v>
      </c>
      <c r="O229" s="12">
        <v>297.67500000000001</v>
      </c>
      <c r="P229" s="12" t="s">
        <v>233</v>
      </c>
      <c r="Q229" s="12" t="s">
        <v>234</v>
      </c>
      <c r="R229" s="12" t="s">
        <v>235</v>
      </c>
      <c r="T229" s="12" t="s">
        <v>1137</v>
      </c>
      <c r="U229" s="12" t="s">
        <v>1137</v>
      </c>
      <c r="V229" s="12"/>
      <c r="W229" s="12"/>
    </row>
    <row r="230" spans="2:23">
      <c r="B230" s="12" t="s">
        <v>497</v>
      </c>
      <c r="C230" s="12" t="s">
        <v>227</v>
      </c>
      <c r="D230" s="12" t="s">
        <v>235</v>
      </c>
      <c r="E230" s="12" t="s">
        <v>239</v>
      </c>
      <c r="F230" s="12" t="s">
        <v>225</v>
      </c>
      <c r="G230" s="5" t="s">
        <v>1134</v>
      </c>
      <c r="H230" s="12">
        <f t="shared" si="19"/>
        <v>1888</v>
      </c>
      <c r="I230" s="12" t="s">
        <v>1151</v>
      </c>
      <c r="J230" s="12" t="s">
        <v>238</v>
      </c>
      <c r="K230" s="12">
        <f t="shared" si="20"/>
        <v>212.4</v>
      </c>
      <c r="L230" s="12">
        <f t="shared" si="21"/>
        <v>212.4</v>
      </c>
      <c r="M230" s="12">
        <v>2360</v>
      </c>
      <c r="N230" s="12">
        <v>354</v>
      </c>
      <c r="O230" s="12">
        <v>305.77499999999998</v>
      </c>
      <c r="P230" s="12" t="s">
        <v>233</v>
      </c>
      <c r="Q230" s="12" t="s">
        <v>234</v>
      </c>
      <c r="R230" s="12" t="s">
        <v>235</v>
      </c>
      <c r="T230" s="12" t="s">
        <v>1137</v>
      </c>
      <c r="U230" s="12" t="s">
        <v>1137</v>
      </c>
      <c r="V230" s="12"/>
      <c r="W230" s="12"/>
    </row>
    <row r="231" spans="2:23">
      <c r="B231" s="12" t="s">
        <v>498</v>
      </c>
      <c r="C231" s="12" t="s">
        <v>227</v>
      </c>
      <c r="D231" s="12" t="s">
        <v>235</v>
      </c>
      <c r="E231" s="12" t="s">
        <v>239</v>
      </c>
      <c r="F231" s="12" t="s">
        <v>225</v>
      </c>
      <c r="G231" s="5" t="s">
        <v>1134</v>
      </c>
      <c r="H231" s="12">
        <f t="shared" si="19"/>
        <v>1920</v>
      </c>
      <c r="I231" s="12" t="s">
        <v>1151</v>
      </c>
      <c r="J231" s="12" t="s">
        <v>238</v>
      </c>
      <c r="K231" s="12">
        <f t="shared" si="20"/>
        <v>216</v>
      </c>
      <c r="L231" s="12">
        <f t="shared" si="21"/>
        <v>216</v>
      </c>
      <c r="M231" s="12">
        <v>2400</v>
      </c>
      <c r="N231" s="12">
        <v>360</v>
      </c>
      <c r="O231" s="12">
        <v>313.875</v>
      </c>
      <c r="P231" s="12" t="s">
        <v>233</v>
      </c>
      <c r="Q231" s="12" t="s">
        <v>234</v>
      </c>
      <c r="R231" s="12" t="s">
        <v>235</v>
      </c>
      <c r="T231" s="12" t="s">
        <v>1137</v>
      </c>
      <c r="U231" s="12" t="s">
        <v>1137</v>
      </c>
      <c r="V231" s="12"/>
      <c r="W231" s="12"/>
    </row>
    <row r="232" spans="2:23">
      <c r="B232" s="12" t="s">
        <v>499</v>
      </c>
      <c r="C232" s="12" t="s">
        <v>227</v>
      </c>
      <c r="D232" s="12" t="s">
        <v>235</v>
      </c>
      <c r="E232" s="12" t="s">
        <v>239</v>
      </c>
      <c r="F232" s="12" t="s">
        <v>225</v>
      </c>
      <c r="G232" s="5" t="s">
        <v>1134</v>
      </c>
      <c r="H232" s="12">
        <f t="shared" si="19"/>
        <v>1952</v>
      </c>
      <c r="I232" s="12" t="s">
        <v>1151</v>
      </c>
      <c r="J232" s="12" t="s">
        <v>238</v>
      </c>
      <c r="K232" s="12">
        <f t="shared" si="20"/>
        <v>219.6</v>
      </c>
      <c r="L232" s="12">
        <f t="shared" si="21"/>
        <v>219.6</v>
      </c>
      <c r="M232" s="12">
        <v>2440</v>
      </c>
      <c r="N232" s="12">
        <v>366</v>
      </c>
      <c r="O232" s="12">
        <v>321.97499999999997</v>
      </c>
      <c r="P232" s="12" t="s">
        <v>233</v>
      </c>
      <c r="Q232" s="12" t="s">
        <v>234</v>
      </c>
      <c r="R232" s="12" t="s">
        <v>235</v>
      </c>
      <c r="T232" s="12" t="s">
        <v>1137</v>
      </c>
      <c r="U232" s="12" t="s">
        <v>1137</v>
      </c>
      <c r="V232" s="12"/>
      <c r="W232" s="12"/>
    </row>
    <row r="233" spans="2:23">
      <c r="B233" s="12" t="s">
        <v>500</v>
      </c>
      <c r="C233" s="12" t="s">
        <v>227</v>
      </c>
      <c r="D233" s="12" t="s">
        <v>235</v>
      </c>
      <c r="E233" s="12" t="s">
        <v>239</v>
      </c>
      <c r="F233" s="12" t="s">
        <v>225</v>
      </c>
      <c r="G233" s="5" t="s">
        <v>1134</v>
      </c>
      <c r="H233" s="12">
        <f t="shared" si="19"/>
        <v>1984</v>
      </c>
      <c r="I233" s="12" t="s">
        <v>1151</v>
      </c>
      <c r="J233" s="12" t="s">
        <v>238</v>
      </c>
      <c r="K233" s="12">
        <f t="shared" si="20"/>
        <v>223.2</v>
      </c>
      <c r="L233" s="12">
        <f t="shared" si="21"/>
        <v>223.2</v>
      </c>
      <c r="M233" s="12">
        <v>2480</v>
      </c>
      <c r="N233" s="12">
        <v>372</v>
      </c>
      <c r="O233" s="12">
        <v>330.07499999999999</v>
      </c>
      <c r="P233" s="12" t="s">
        <v>233</v>
      </c>
      <c r="Q233" s="12" t="s">
        <v>234</v>
      </c>
      <c r="R233" s="12" t="s">
        <v>235</v>
      </c>
      <c r="T233" s="12" t="s">
        <v>1137</v>
      </c>
      <c r="U233" s="12" t="s">
        <v>1137</v>
      </c>
      <c r="V233" s="12"/>
      <c r="W233" s="12"/>
    </row>
    <row r="234" spans="2:23">
      <c r="B234" s="12" t="s">
        <v>501</v>
      </c>
      <c r="C234" s="12" t="s">
        <v>227</v>
      </c>
      <c r="D234" s="12" t="s">
        <v>235</v>
      </c>
      <c r="E234" s="12" t="s">
        <v>239</v>
      </c>
      <c r="F234" s="12" t="s">
        <v>225</v>
      </c>
      <c r="G234" s="5" t="s">
        <v>1134</v>
      </c>
      <c r="H234" s="12">
        <f t="shared" si="19"/>
        <v>2016</v>
      </c>
      <c r="I234" s="12" t="s">
        <v>1151</v>
      </c>
      <c r="J234" s="12" t="s">
        <v>238</v>
      </c>
      <c r="K234" s="12">
        <f t="shared" si="20"/>
        <v>226.79999999999998</v>
      </c>
      <c r="L234" s="12">
        <f t="shared" si="21"/>
        <v>226.79999999999998</v>
      </c>
      <c r="M234" s="12">
        <v>2520</v>
      </c>
      <c r="N234" s="12">
        <v>378</v>
      </c>
      <c r="O234" s="12">
        <v>338.17500000000001</v>
      </c>
      <c r="P234" s="12" t="s">
        <v>233</v>
      </c>
      <c r="Q234" s="12" t="s">
        <v>234</v>
      </c>
      <c r="R234" s="12" t="s">
        <v>235</v>
      </c>
      <c r="T234" s="12" t="s">
        <v>1137</v>
      </c>
      <c r="U234" s="12" t="s">
        <v>1137</v>
      </c>
      <c r="V234" s="12"/>
      <c r="W234" s="12"/>
    </row>
    <row r="235" spans="2:23">
      <c r="B235" s="12" t="s">
        <v>502</v>
      </c>
      <c r="C235" s="12" t="s">
        <v>227</v>
      </c>
      <c r="D235" s="12" t="s">
        <v>235</v>
      </c>
      <c r="E235" s="12" t="s">
        <v>239</v>
      </c>
      <c r="F235" s="12" t="s">
        <v>225</v>
      </c>
      <c r="G235" s="5" t="s">
        <v>1134</v>
      </c>
      <c r="H235" s="12">
        <f t="shared" si="19"/>
        <v>2048</v>
      </c>
      <c r="I235" s="12" t="s">
        <v>1151</v>
      </c>
      <c r="J235" s="12" t="s">
        <v>238</v>
      </c>
      <c r="K235" s="12">
        <f t="shared" si="20"/>
        <v>230.39999999999998</v>
      </c>
      <c r="L235" s="12">
        <f t="shared" si="21"/>
        <v>230.39999999999998</v>
      </c>
      <c r="M235" s="12">
        <v>2560</v>
      </c>
      <c r="N235" s="12">
        <v>384</v>
      </c>
      <c r="O235" s="12">
        <v>346.27499999999998</v>
      </c>
      <c r="P235" s="12" t="s">
        <v>233</v>
      </c>
      <c r="Q235" s="12" t="s">
        <v>234</v>
      </c>
      <c r="R235" s="12" t="s">
        <v>235</v>
      </c>
      <c r="T235" s="12" t="s">
        <v>1137</v>
      </c>
      <c r="U235" s="12" t="s">
        <v>1137</v>
      </c>
      <c r="V235" s="12"/>
      <c r="W235" s="12"/>
    </row>
    <row r="236" spans="2:23">
      <c r="B236" s="12" t="s">
        <v>503</v>
      </c>
      <c r="C236" s="12" t="s">
        <v>227</v>
      </c>
      <c r="D236" s="12" t="s">
        <v>235</v>
      </c>
      <c r="E236" s="12" t="s">
        <v>239</v>
      </c>
      <c r="F236" s="12" t="s">
        <v>225</v>
      </c>
      <c r="G236" s="5" t="s">
        <v>1134</v>
      </c>
      <c r="H236" s="12">
        <f t="shared" si="19"/>
        <v>2080</v>
      </c>
      <c r="I236" s="12" t="s">
        <v>1151</v>
      </c>
      <c r="J236" s="12" t="s">
        <v>238</v>
      </c>
      <c r="K236" s="12">
        <f t="shared" si="20"/>
        <v>234</v>
      </c>
      <c r="L236" s="12">
        <f t="shared" si="21"/>
        <v>234</v>
      </c>
      <c r="M236" s="12">
        <v>2600</v>
      </c>
      <c r="N236" s="12">
        <v>390</v>
      </c>
      <c r="O236" s="12">
        <v>354.375</v>
      </c>
      <c r="P236" s="12" t="s">
        <v>233</v>
      </c>
      <c r="Q236" s="12" t="s">
        <v>234</v>
      </c>
      <c r="R236" s="12" t="s">
        <v>235</v>
      </c>
      <c r="T236" s="12" t="s">
        <v>1137</v>
      </c>
      <c r="U236" s="12" t="s">
        <v>1137</v>
      </c>
      <c r="V236" s="12"/>
      <c r="W236" s="12"/>
    </row>
    <row r="237" spans="2:23">
      <c r="B237" s="12" t="s">
        <v>504</v>
      </c>
      <c r="C237" s="12" t="s">
        <v>227</v>
      </c>
      <c r="D237" s="12" t="s">
        <v>235</v>
      </c>
      <c r="E237" s="12" t="s">
        <v>239</v>
      </c>
      <c r="F237" s="12" t="s">
        <v>225</v>
      </c>
      <c r="G237" s="5" t="s">
        <v>1134</v>
      </c>
      <c r="H237" s="12">
        <f t="shared" si="19"/>
        <v>2112</v>
      </c>
      <c r="I237" s="12" t="s">
        <v>1151</v>
      </c>
      <c r="J237" s="12" t="s">
        <v>238</v>
      </c>
      <c r="K237" s="12">
        <f t="shared" si="20"/>
        <v>237.6</v>
      </c>
      <c r="L237" s="12">
        <f t="shared" si="21"/>
        <v>237.6</v>
      </c>
      <c r="M237" s="12">
        <v>2640</v>
      </c>
      <c r="N237" s="12">
        <v>396</v>
      </c>
      <c r="O237" s="12">
        <v>362.47499999999997</v>
      </c>
      <c r="P237" s="12" t="s">
        <v>233</v>
      </c>
      <c r="Q237" s="12" t="s">
        <v>234</v>
      </c>
      <c r="R237" s="12" t="s">
        <v>235</v>
      </c>
      <c r="T237" s="12" t="s">
        <v>1137</v>
      </c>
      <c r="U237" s="12" t="s">
        <v>1137</v>
      </c>
      <c r="V237" s="12"/>
      <c r="W237" s="12"/>
    </row>
    <row r="238" spans="2:23">
      <c r="B238" s="12" t="s">
        <v>505</v>
      </c>
      <c r="C238" s="12" t="s">
        <v>227</v>
      </c>
      <c r="D238" s="12" t="s">
        <v>235</v>
      </c>
      <c r="E238" s="12" t="s">
        <v>239</v>
      </c>
      <c r="F238" s="12" t="s">
        <v>225</v>
      </c>
      <c r="G238" s="5" t="s">
        <v>1134</v>
      </c>
      <c r="H238" s="12">
        <f t="shared" si="19"/>
        <v>2144</v>
      </c>
      <c r="I238" s="12" t="s">
        <v>1151</v>
      </c>
      <c r="J238" s="12" t="s">
        <v>238</v>
      </c>
      <c r="K238" s="12">
        <f t="shared" si="20"/>
        <v>241.2</v>
      </c>
      <c r="L238" s="12">
        <f t="shared" si="21"/>
        <v>241.2</v>
      </c>
      <c r="M238" s="12">
        <v>2680</v>
      </c>
      <c r="N238" s="12">
        <v>402</v>
      </c>
      <c r="O238" s="12">
        <v>370.57499999999999</v>
      </c>
      <c r="P238" s="12" t="s">
        <v>233</v>
      </c>
      <c r="Q238" s="12" t="s">
        <v>234</v>
      </c>
      <c r="R238" s="12" t="s">
        <v>235</v>
      </c>
      <c r="T238" s="12" t="s">
        <v>1137</v>
      </c>
      <c r="U238" s="12" t="s">
        <v>1137</v>
      </c>
      <c r="V238" s="12"/>
      <c r="W238" s="12"/>
    </row>
    <row r="239" spans="2:23">
      <c r="B239" s="12" t="s">
        <v>506</v>
      </c>
      <c r="C239" s="12" t="s">
        <v>227</v>
      </c>
      <c r="D239" s="12" t="s">
        <v>235</v>
      </c>
      <c r="E239" s="12" t="s">
        <v>239</v>
      </c>
      <c r="F239" s="12" t="s">
        <v>225</v>
      </c>
      <c r="G239" s="5" t="s">
        <v>1134</v>
      </c>
      <c r="H239" s="12">
        <f t="shared" si="19"/>
        <v>2176</v>
      </c>
      <c r="I239" s="12" t="s">
        <v>1151</v>
      </c>
      <c r="J239" s="12" t="s">
        <v>238</v>
      </c>
      <c r="K239" s="12">
        <f t="shared" si="20"/>
        <v>244.79999999999998</v>
      </c>
      <c r="L239" s="12">
        <f t="shared" si="21"/>
        <v>244.79999999999998</v>
      </c>
      <c r="M239" s="12">
        <v>2720</v>
      </c>
      <c r="N239" s="12">
        <v>408</v>
      </c>
      <c r="O239" s="12">
        <v>378.67500000000001</v>
      </c>
      <c r="P239" s="12" t="s">
        <v>233</v>
      </c>
      <c r="Q239" s="12" t="s">
        <v>234</v>
      </c>
      <c r="R239" s="12" t="s">
        <v>235</v>
      </c>
      <c r="T239" s="12" t="s">
        <v>1137</v>
      </c>
      <c r="U239" s="12" t="s">
        <v>1137</v>
      </c>
      <c r="V239" s="12"/>
      <c r="W239" s="12"/>
    </row>
    <row r="240" spans="2:23">
      <c r="B240" s="12" t="s">
        <v>507</v>
      </c>
      <c r="C240" s="12" t="s">
        <v>227</v>
      </c>
      <c r="D240" s="12" t="s">
        <v>235</v>
      </c>
      <c r="E240" s="12" t="s">
        <v>239</v>
      </c>
      <c r="F240" s="12" t="s">
        <v>225</v>
      </c>
      <c r="G240" s="5" t="s">
        <v>1134</v>
      </c>
      <c r="H240" s="12">
        <f t="shared" si="19"/>
        <v>2208</v>
      </c>
      <c r="I240" s="12" t="s">
        <v>1151</v>
      </c>
      <c r="J240" s="12" t="s">
        <v>238</v>
      </c>
      <c r="K240" s="12">
        <f t="shared" si="20"/>
        <v>248.39999999999998</v>
      </c>
      <c r="L240" s="12">
        <f t="shared" si="21"/>
        <v>248.39999999999998</v>
      </c>
      <c r="M240" s="12">
        <v>2760</v>
      </c>
      <c r="N240" s="12">
        <v>414</v>
      </c>
      <c r="O240" s="12">
        <v>386.77499999999998</v>
      </c>
      <c r="P240" s="12" t="s">
        <v>233</v>
      </c>
      <c r="Q240" s="12" t="s">
        <v>234</v>
      </c>
      <c r="R240" s="12" t="s">
        <v>235</v>
      </c>
      <c r="T240" s="12" t="s">
        <v>1137</v>
      </c>
      <c r="U240" s="12" t="s">
        <v>1137</v>
      </c>
      <c r="V240" s="12"/>
      <c r="W240" s="12"/>
    </row>
    <row r="241" spans="2:23">
      <c r="B241" s="12" t="s">
        <v>508</v>
      </c>
      <c r="C241" s="12" t="s">
        <v>227</v>
      </c>
      <c r="D241" s="12" t="s">
        <v>235</v>
      </c>
      <c r="E241" s="12" t="s">
        <v>239</v>
      </c>
      <c r="F241" s="12" t="s">
        <v>225</v>
      </c>
      <c r="G241" s="5" t="s">
        <v>1134</v>
      </c>
      <c r="H241" s="12">
        <f t="shared" si="19"/>
        <v>3110.4</v>
      </c>
      <c r="I241" s="12" t="s">
        <v>1151</v>
      </c>
      <c r="J241" s="12" t="s">
        <v>238</v>
      </c>
      <c r="K241" s="12">
        <f t="shared" si="20"/>
        <v>345.59999999999997</v>
      </c>
      <c r="L241" s="12">
        <f t="shared" si="21"/>
        <v>345.59999999999997</v>
      </c>
      <c r="M241" s="12">
        <v>3888</v>
      </c>
      <c r="N241" s="12">
        <v>576</v>
      </c>
      <c r="O241" s="12">
        <v>720</v>
      </c>
      <c r="P241" s="12" t="s">
        <v>233</v>
      </c>
      <c r="Q241" s="12" t="s">
        <v>234</v>
      </c>
      <c r="R241" s="12" t="s">
        <v>235</v>
      </c>
      <c r="T241" s="12" t="s">
        <v>1137</v>
      </c>
      <c r="U241" s="12" t="s">
        <v>1137</v>
      </c>
      <c r="V241" s="12"/>
      <c r="W241" s="12"/>
    </row>
    <row r="242" spans="2:23">
      <c r="B242" s="12" t="s">
        <v>509</v>
      </c>
      <c r="C242" s="12" t="s">
        <v>227</v>
      </c>
      <c r="D242" s="12" t="s">
        <v>235</v>
      </c>
      <c r="E242" s="12" t="s">
        <v>239</v>
      </c>
      <c r="F242" s="12" t="s">
        <v>225</v>
      </c>
      <c r="G242" s="5" t="s">
        <v>1134</v>
      </c>
      <c r="H242" s="12">
        <f t="shared" si="19"/>
        <v>0</v>
      </c>
      <c r="I242" s="12" t="s">
        <v>1151</v>
      </c>
      <c r="J242" s="12" t="s">
        <v>238</v>
      </c>
      <c r="K242" s="12">
        <f t="shared" si="20"/>
        <v>0</v>
      </c>
      <c r="L242" s="12">
        <f t="shared" si="21"/>
        <v>0</v>
      </c>
      <c r="M242" s="12"/>
      <c r="N242" s="12"/>
      <c r="O242" s="12"/>
      <c r="P242" s="12" t="s">
        <v>233</v>
      </c>
      <c r="Q242" s="12" t="s">
        <v>234</v>
      </c>
      <c r="R242" s="12" t="s">
        <v>235</v>
      </c>
      <c r="T242" s="12" t="s">
        <v>1137</v>
      </c>
      <c r="U242" s="12" t="s">
        <v>1137</v>
      </c>
      <c r="V242" s="12"/>
      <c r="W242" s="12"/>
    </row>
    <row r="243" spans="2:23">
      <c r="B243" s="12" t="s">
        <v>510</v>
      </c>
      <c r="C243" s="12" t="s">
        <v>227</v>
      </c>
      <c r="D243" s="12" t="s">
        <v>235</v>
      </c>
      <c r="E243" s="12" t="s">
        <v>239</v>
      </c>
      <c r="F243" s="12" t="s">
        <v>225</v>
      </c>
      <c r="G243" s="5" t="s">
        <v>1134</v>
      </c>
      <c r="H243" s="12">
        <f t="shared" si="19"/>
        <v>0</v>
      </c>
      <c r="I243" s="12" t="s">
        <v>1151</v>
      </c>
      <c r="J243" s="12" t="s">
        <v>238</v>
      </c>
      <c r="K243" s="12">
        <f t="shared" si="20"/>
        <v>0</v>
      </c>
      <c r="L243" s="12">
        <f t="shared" si="21"/>
        <v>0</v>
      </c>
      <c r="M243" s="12"/>
      <c r="N243" s="12"/>
      <c r="O243" s="12"/>
      <c r="P243" s="12" t="s">
        <v>233</v>
      </c>
      <c r="Q243" s="12" t="s">
        <v>234</v>
      </c>
      <c r="R243" s="12" t="s">
        <v>235</v>
      </c>
      <c r="T243" s="12" t="s">
        <v>1137</v>
      </c>
      <c r="U243" s="12" t="s">
        <v>1137</v>
      </c>
      <c r="V243" s="12"/>
      <c r="W243" s="12"/>
    </row>
    <row r="244" spans="2:23">
      <c r="B244" s="12"/>
      <c r="C244" s="12"/>
      <c r="D244" s="12"/>
      <c r="E244" s="12"/>
      <c r="F244" s="12"/>
      <c r="G244" s="5"/>
      <c r="H244" s="12"/>
      <c r="I244" s="12"/>
      <c r="J244" s="12"/>
      <c r="K244" s="12" t="str">
        <f t="shared" si="17"/>
        <v>防</v>
      </c>
      <c r="L244" s="12" t="str">
        <f t="shared" si="18"/>
        <v>攻</v>
      </c>
      <c r="M244" s="12"/>
      <c r="N244" s="12"/>
      <c r="O244" s="12"/>
      <c r="P244" s="12"/>
      <c r="Q244" s="12"/>
      <c r="R244" s="12"/>
      <c r="T244" s="12"/>
      <c r="U244" s="12"/>
      <c r="V244" s="12"/>
      <c r="W244" s="12"/>
    </row>
    <row r="245" spans="2:23">
      <c r="B245" s="26" t="s">
        <v>511</v>
      </c>
      <c r="C245" s="12" t="s">
        <v>228</v>
      </c>
      <c r="D245" s="12" t="s">
        <v>228</v>
      </c>
      <c r="E245" s="12" t="s">
        <v>241</v>
      </c>
      <c r="F245" s="12" t="s">
        <v>242</v>
      </c>
      <c r="G245" s="5" t="s">
        <v>224</v>
      </c>
      <c r="H245" s="12">
        <f>M245*$X$10</f>
        <v>342</v>
      </c>
      <c r="I245" s="12" t="s">
        <v>1140</v>
      </c>
      <c r="J245" s="12" t="s">
        <v>228</v>
      </c>
      <c r="K245" s="12">
        <f>N245*$Y$10</f>
        <v>42</v>
      </c>
      <c r="L245" s="12">
        <f>O245*$X$10</f>
        <v>28.5</v>
      </c>
      <c r="M245" s="12">
        <v>360</v>
      </c>
      <c r="N245" s="12">
        <v>40</v>
      </c>
      <c r="O245" s="12">
        <v>30</v>
      </c>
      <c r="P245" s="12" t="s">
        <v>243</v>
      </c>
      <c r="Q245" s="12" t="s">
        <v>234</v>
      </c>
      <c r="R245" s="12" t="s">
        <v>228</v>
      </c>
      <c r="T245" s="12" t="s">
        <v>228</v>
      </c>
      <c r="U245" s="12" t="s">
        <v>228</v>
      </c>
      <c r="V245" s="12"/>
      <c r="W245" s="12"/>
    </row>
    <row r="246" spans="2:23">
      <c r="B246" s="26" t="s">
        <v>512</v>
      </c>
      <c r="C246" s="12" t="s">
        <v>228</v>
      </c>
      <c r="D246" s="12" t="s">
        <v>228</v>
      </c>
      <c r="E246" s="12" t="s">
        <v>241</v>
      </c>
      <c r="F246" s="12" t="s">
        <v>242</v>
      </c>
      <c r="G246" s="5" t="s">
        <v>224</v>
      </c>
      <c r="H246" s="12">
        <f t="shared" ref="H246:H292" si="22">M246*$X$10</f>
        <v>393.29999999999995</v>
      </c>
      <c r="I246" s="12" t="s">
        <v>1140</v>
      </c>
      <c r="J246" s="12" t="s">
        <v>228</v>
      </c>
      <c r="K246" s="12">
        <f t="shared" ref="K246:K292" si="23">N246*$Y$10</f>
        <v>48.300000000000004</v>
      </c>
      <c r="L246" s="12">
        <f t="shared" ref="L246:L292" si="24">O246*$X$10</f>
        <v>36.1</v>
      </c>
      <c r="M246" s="12">
        <v>414</v>
      </c>
      <c r="N246" s="12">
        <v>46</v>
      </c>
      <c r="O246" s="12">
        <v>38</v>
      </c>
      <c r="P246" s="12" t="s">
        <v>243</v>
      </c>
      <c r="Q246" s="12" t="s">
        <v>234</v>
      </c>
      <c r="R246" s="12" t="s">
        <v>228</v>
      </c>
      <c r="T246" s="12" t="s">
        <v>228</v>
      </c>
      <c r="U246" s="12" t="s">
        <v>228</v>
      </c>
      <c r="V246" s="12"/>
      <c r="W246" s="12"/>
    </row>
    <row r="247" spans="2:23">
      <c r="B247" s="26" t="s">
        <v>513</v>
      </c>
      <c r="C247" s="12" t="s">
        <v>228</v>
      </c>
      <c r="D247" s="12" t="s">
        <v>228</v>
      </c>
      <c r="E247" s="12" t="s">
        <v>241</v>
      </c>
      <c r="F247" s="12" t="s">
        <v>242</v>
      </c>
      <c r="G247" s="5" t="s">
        <v>224</v>
      </c>
      <c r="H247" s="12">
        <f t="shared" si="22"/>
        <v>410.4</v>
      </c>
      <c r="I247" s="12" t="s">
        <v>1140</v>
      </c>
      <c r="J247" s="12" t="s">
        <v>228</v>
      </c>
      <c r="K247" s="12">
        <f t="shared" si="23"/>
        <v>50.400000000000006</v>
      </c>
      <c r="L247" s="12">
        <f t="shared" si="24"/>
        <v>39.9</v>
      </c>
      <c r="M247" s="12">
        <v>432</v>
      </c>
      <c r="N247" s="12">
        <v>48</v>
      </c>
      <c r="O247" s="12">
        <v>42</v>
      </c>
      <c r="P247" s="12" t="s">
        <v>243</v>
      </c>
      <c r="Q247" s="12" t="s">
        <v>234</v>
      </c>
      <c r="R247" s="12" t="s">
        <v>228</v>
      </c>
      <c r="T247" s="12" t="s">
        <v>228</v>
      </c>
      <c r="U247" s="12" t="s">
        <v>228</v>
      </c>
      <c r="V247" s="12"/>
      <c r="W247" s="12"/>
    </row>
    <row r="248" spans="2:23">
      <c r="B248" s="26" t="s">
        <v>514</v>
      </c>
      <c r="C248" s="12" t="s">
        <v>228</v>
      </c>
      <c r="D248" s="12" t="s">
        <v>228</v>
      </c>
      <c r="E248" s="12" t="s">
        <v>241</v>
      </c>
      <c r="F248" s="12" t="s">
        <v>242</v>
      </c>
      <c r="G248" s="5" t="s">
        <v>224</v>
      </c>
      <c r="H248" s="12">
        <f t="shared" si="22"/>
        <v>427.5</v>
      </c>
      <c r="I248" s="12" t="s">
        <v>1140</v>
      </c>
      <c r="J248" s="12" t="s">
        <v>228</v>
      </c>
      <c r="K248" s="12">
        <f t="shared" si="23"/>
        <v>52.5</v>
      </c>
      <c r="L248" s="12">
        <f t="shared" si="24"/>
        <v>43.699999999999996</v>
      </c>
      <c r="M248" s="12">
        <v>450</v>
      </c>
      <c r="N248" s="12">
        <v>50</v>
      </c>
      <c r="O248" s="12">
        <v>46</v>
      </c>
      <c r="P248" s="12" t="s">
        <v>243</v>
      </c>
      <c r="Q248" s="12" t="s">
        <v>234</v>
      </c>
      <c r="R248" s="12" t="s">
        <v>228</v>
      </c>
      <c r="T248" s="12" t="s">
        <v>228</v>
      </c>
      <c r="U248" s="12" t="s">
        <v>228</v>
      </c>
      <c r="V248" s="12"/>
      <c r="W248" s="12"/>
    </row>
    <row r="249" spans="2:23">
      <c r="B249" s="26" t="s">
        <v>515</v>
      </c>
      <c r="C249" s="12" t="s">
        <v>228</v>
      </c>
      <c r="D249" s="12" t="s">
        <v>228</v>
      </c>
      <c r="E249" s="12" t="s">
        <v>241</v>
      </c>
      <c r="F249" s="12" t="s">
        <v>242</v>
      </c>
      <c r="G249" s="5" t="s">
        <v>224</v>
      </c>
      <c r="H249" s="12">
        <f t="shared" si="22"/>
        <v>444.59999999999997</v>
      </c>
      <c r="I249" s="12" t="s">
        <v>1140</v>
      </c>
      <c r="J249" s="12" t="s">
        <v>228</v>
      </c>
      <c r="K249" s="12">
        <f t="shared" si="23"/>
        <v>54.6</v>
      </c>
      <c r="L249" s="12">
        <f t="shared" si="24"/>
        <v>47.5</v>
      </c>
      <c r="M249" s="12">
        <v>468</v>
      </c>
      <c r="N249" s="12">
        <v>52</v>
      </c>
      <c r="O249" s="12">
        <v>50</v>
      </c>
      <c r="P249" s="12" t="s">
        <v>243</v>
      </c>
      <c r="Q249" s="12" t="s">
        <v>234</v>
      </c>
      <c r="R249" s="12" t="s">
        <v>228</v>
      </c>
      <c r="T249" s="12" t="s">
        <v>228</v>
      </c>
      <c r="U249" s="12" t="s">
        <v>228</v>
      </c>
      <c r="V249" s="12"/>
      <c r="W249" s="12"/>
    </row>
    <row r="250" spans="2:23">
      <c r="B250" s="26" t="s">
        <v>516</v>
      </c>
      <c r="C250" s="12" t="s">
        <v>228</v>
      </c>
      <c r="D250" s="12" t="s">
        <v>228</v>
      </c>
      <c r="E250" s="12" t="s">
        <v>241</v>
      </c>
      <c r="F250" s="12" t="s">
        <v>242</v>
      </c>
      <c r="G250" s="5" t="s">
        <v>224</v>
      </c>
      <c r="H250" s="12">
        <f t="shared" si="22"/>
        <v>461.7</v>
      </c>
      <c r="I250" s="12" t="s">
        <v>1140</v>
      </c>
      <c r="J250" s="12" t="s">
        <v>228</v>
      </c>
      <c r="K250" s="12">
        <f t="shared" si="23"/>
        <v>56.7</v>
      </c>
      <c r="L250" s="12">
        <f t="shared" si="24"/>
        <v>51.3</v>
      </c>
      <c r="M250" s="12">
        <v>486</v>
      </c>
      <c r="N250" s="12">
        <v>54</v>
      </c>
      <c r="O250" s="12">
        <v>54</v>
      </c>
      <c r="P250" s="12" t="s">
        <v>243</v>
      </c>
      <c r="Q250" s="12" t="s">
        <v>234</v>
      </c>
      <c r="R250" s="12" t="s">
        <v>228</v>
      </c>
      <c r="T250" s="12" t="s">
        <v>228</v>
      </c>
      <c r="U250" s="12" t="s">
        <v>228</v>
      </c>
      <c r="V250" s="12"/>
      <c r="W250" s="12"/>
    </row>
    <row r="251" spans="2:23">
      <c r="B251" s="26" t="s">
        <v>517</v>
      </c>
      <c r="C251" s="12" t="s">
        <v>228</v>
      </c>
      <c r="D251" s="12" t="s">
        <v>228</v>
      </c>
      <c r="E251" s="12" t="s">
        <v>241</v>
      </c>
      <c r="F251" s="12" t="s">
        <v>242</v>
      </c>
      <c r="G251" s="5" t="s">
        <v>224</v>
      </c>
      <c r="H251" s="12">
        <f t="shared" si="22"/>
        <v>478.79999999999995</v>
      </c>
      <c r="I251" s="12" t="s">
        <v>1140</v>
      </c>
      <c r="J251" s="12" t="s">
        <v>228</v>
      </c>
      <c r="K251" s="12">
        <f t="shared" si="23"/>
        <v>58.800000000000004</v>
      </c>
      <c r="L251" s="12">
        <f t="shared" si="24"/>
        <v>55.099999999999994</v>
      </c>
      <c r="M251" s="12">
        <v>504</v>
      </c>
      <c r="N251" s="12">
        <v>56</v>
      </c>
      <c r="O251" s="12">
        <v>58</v>
      </c>
      <c r="P251" s="12" t="s">
        <v>243</v>
      </c>
      <c r="Q251" s="12" t="s">
        <v>234</v>
      </c>
      <c r="R251" s="12" t="s">
        <v>228</v>
      </c>
      <c r="T251" s="12" t="s">
        <v>228</v>
      </c>
      <c r="U251" s="12" t="s">
        <v>228</v>
      </c>
      <c r="V251" s="12"/>
      <c r="W251" s="12"/>
    </row>
    <row r="252" spans="2:23">
      <c r="B252" s="26" t="s">
        <v>518</v>
      </c>
      <c r="C252" s="12" t="s">
        <v>228</v>
      </c>
      <c r="D252" s="12" t="s">
        <v>228</v>
      </c>
      <c r="E252" s="12" t="s">
        <v>241</v>
      </c>
      <c r="F252" s="12" t="s">
        <v>242</v>
      </c>
      <c r="G252" s="5" t="s">
        <v>224</v>
      </c>
      <c r="H252" s="12">
        <f t="shared" si="22"/>
        <v>495.9</v>
      </c>
      <c r="I252" s="12" t="s">
        <v>1140</v>
      </c>
      <c r="J252" s="12" t="s">
        <v>228</v>
      </c>
      <c r="K252" s="12">
        <f t="shared" si="23"/>
        <v>60.900000000000006</v>
      </c>
      <c r="L252" s="12">
        <f t="shared" si="24"/>
        <v>58.9</v>
      </c>
      <c r="M252" s="12">
        <v>522</v>
      </c>
      <c r="N252" s="12">
        <v>58</v>
      </c>
      <c r="O252" s="12">
        <v>62</v>
      </c>
      <c r="P252" s="12" t="s">
        <v>243</v>
      </c>
      <c r="Q252" s="12" t="s">
        <v>234</v>
      </c>
      <c r="R252" s="12" t="s">
        <v>228</v>
      </c>
      <c r="T252" s="12" t="s">
        <v>228</v>
      </c>
      <c r="U252" s="12" t="s">
        <v>228</v>
      </c>
      <c r="V252" s="12"/>
      <c r="W252" s="12"/>
    </row>
    <row r="253" spans="2:23">
      <c r="B253" s="26" t="s">
        <v>519</v>
      </c>
      <c r="C253" s="12" t="s">
        <v>228</v>
      </c>
      <c r="D253" s="12" t="s">
        <v>228</v>
      </c>
      <c r="E253" s="12" t="s">
        <v>241</v>
      </c>
      <c r="F253" s="12" t="s">
        <v>242</v>
      </c>
      <c r="G253" s="5" t="s">
        <v>224</v>
      </c>
      <c r="H253" s="12">
        <f t="shared" si="22"/>
        <v>513</v>
      </c>
      <c r="I253" s="12" t="s">
        <v>1140</v>
      </c>
      <c r="J253" s="12" t="s">
        <v>228</v>
      </c>
      <c r="K253" s="12">
        <f t="shared" si="23"/>
        <v>63</v>
      </c>
      <c r="L253" s="12">
        <f t="shared" si="24"/>
        <v>62.699999999999996</v>
      </c>
      <c r="M253" s="12">
        <v>540</v>
      </c>
      <c r="N253" s="12">
        <v>60</v>
      </c>
      <c r="O253" s="12">
        <v>66</v>
      </c>
      <c r="P253" s="12" t="s">
        <v>243</v>
      </c>
      <c r="Q253" s="12" t="s">
        <v>234</v>
      </c>
      <c r="R253" s="12" t="s">
        <v>228</v>
      </c>
      <c r="T253" s="12" t="s">
        <v>228</v>
      </c>
      <c r="U253" s="12" t="s">
        <v>228</v>
      </c>
      <c r="V253" s="12"/>
      <c r="W253" s="12"/>
    </row>
    <row r="254" spans="2:23">
      <c r="B254" s="26" t="s">
        <v>520</v>
      </c>
      <c r="C254" s="12" t="s">
        <v>228</v>
      </c>
      <c r="D254" s="12" t="s">
        <v>228</v>
      </c>
      <c r="E254" s="12" t="s">
        <v>241</v>
      </c>
      <c r="F254" s="12" t="s">
        <v>242</v>
      </c>
      <c r="G254" s="5" t="s">
        <v>224</v>
      </c>
      <c r="H254" s="12">
        <f t="shared" si="22"/>
        <v>530.1</v>
      </c>
      <c r="I254" s="12" t="s">
        <v>1140</v>
      </c>
      <c r="J254" s="12" t="s">
        <v>228</v>
      </c>
      <c r="K254" s="12">
        <f t="shared" si="23"/>
        <v>65.100000000000009</v>
      </c>
      <c r="L254" s="12">
        <f t="shared" si="24"/>
        <v>66.5</v>
      </c>
      <c r="M254" s="12">
        <v>558</v>
      </c>
      <c r="N254" s="12">
        <v>62</v>
      </c>
      <c r="O254" s="12">
        <v>70</v>
      </c>
      <c r="P254" s="12" t="s">
        <v>243</v>
      </c>
      <c r="Q254" s="12" t="s">
        <v>234</v>
      </c>
      <c r="R254" s="12" t="s">
        <v>228</v>
      </c>
      <c r="T254" s="12" t="s">
        <v>228</v>
      </c>
      <c r="U254" s="12" t="s">
        <v>228</v>
      </c>
      <c r="V254" s="12"/>
      <c r="W254" s="12"/>
    </row>
    <row r="255" spans="2:23">
      <c r="B255" s="26" t="s">
        <v>521</v>
      </c>
      <c r="C255" s="12" t="s">
        <v>228</v>
      </c>
      <c r="D255" s="12" t="s">
        <v>228</v>
      </c>
      <c r="E255" s="12" t="s">
        <v>241</v>
      </c>
      <c r="F255" s="12" t="s">
        <v>242</v>
      </c>
      <c r="G255" s="5" t="s">
        <v>224</v>
      </c>
      <c r="H255" s="12">
        <f t="shared" si="22"/>
        <v>547.19999999999993</v>
      </c>
      <c r="I255" s="12" t="s">
        <v>1140</v>
      </c>
      <c r="J255" s="12" t="s">
        <v>228</v>
      </c>
      <c r="K255" s="12">
        <f t="shared" si="23"/>
        <v>67.2</v>
      </c>
      <c r="L255" s="12">
        <f t="shared" si="24"/>
        <v>70.3</v>
      </c>
      <c r="M255" s="12">
        <v>576</v>
      </c>
      <c r="N255" s="12">
        <v>64</v>
      </c>
      <c r="O255" s="12">
        <v>74</v>
      </c>
      <c r="P255" s="12" t="s">
        <v>243</v>
      </c>
      <c r="Q255" s="12" t="s">
        <v>234</v>
      </c>
      <c r="R255" s="12" t="s">
        <v>228</v>
      </c>
      <c r="T255" s="12" t="s">
        <v>228</v>
      </c>
      <c r="U255" s="12" t="s">
        <v>228</v>
      </c>
      <c r="V255" s="12"/>
      <c r="W255" s="12"/>
    </row>
    <row r="256" spans="2:23">
      <c r="B256" s="26" t="s">
        <v>522</v>
      </c>
      <c r="C256" s="12" t="s">
        <v>228</v>
      </c>
      <c r="D256" s="12" t="s">
        <v>228</v>
      </c>
      <c r="E256" s="12" t="s">
        <v>241</v>
      </c>
      <c r="F256" s="12" t="s">
        <v>242</v>
      </c>
      <c r="G256" s="5" t="s">
        <v>224</v>
      </c>
      <c r="H256" s="12">
        <f t="shared" si="22"/>
        <v>564.29999999999995</v>
      </c>
      <c r="I256" s="12" t="s">
        <v>1140</v>
      </c>
      <c r="J256" s="12" t="s">
        <v>228</v>
      </c>
      <c r="K256" s="12">
        <f t="shared" si="23"/>
        <v>69.3</v>
      </c>
      <c r="L256" s="12">
        <f t="shared" si="24"/>
        <v>74.099999999999994</v>
      </c>
      <c r="M256" s="12">
        <v>594</v>
      </c>
      <c r="N256" s="12">
        <v>66</v>
      </c>
      <c r="O256" s="12">
        <v>78</v>
      </c>
      <c r="P256" s="12" t="s">
        <v>243</v>
      </c>
      <c r="Q256" s="12" t="s">
        <v>234</v>
      </c>
      <c r="R256" s="12" t="s">
        <v>228</v>
      </c>
      <c r="T256" s="12" t="s">
        <v>228</v>
      </c>
      <c r="U256" s="12" t="s">
        <v>228</v>
      </c>
      <c r="V256" s="12"/>
      <c r="W256" s="12"/>
    </row>
    <row r="257" spans="2:23">
      <c r="B257" s="26" t="s">
        <v>523</v>
      </c>
      <c r="C257" s="12" t="s">
        <v>228</v>
      </c>
      <c r="D257" s="12" t="s">
        <v>228</v>
      </c>
      <c r="E257" s="12" t="s">
        <v>241</v>
      </c>
      <c r="F257" s="12" t="s">
        <v>242</v>
      </c>
      <c r="G257" s="5" t="s">
        <v>224</v>
      </c>
      <c r="H257" s="12">
        <f t="shared" si="22"/>
        <v>581.4</v>
      </c>
      <c r="I257" s="12" t="s">
        <v>1140</v>
      </c>
      <c r="J257" s="12" t="s">
        <v>228</v>
      </c>
      <c r="K257" s="12">
        <f t="shared" si="23"/>
        <v>71.400000000000006</v>
      </c>
      <c r="L257" s="12">
        <f t="shared" si="24"/>
        <v>77.899999999999991</v>
      </c>
      <c r="M257" s="12">
        <v>612</v>
      </c>
      <c r="N257" s="12">
        <v>68</v>
      </c>
      <c r="O257" s="12">
        <v>82</v>
      </c>
      <c r="P257" s="12" t="s">
        <v>243</v>
      </c>
      <c r="Q257" s="12" t="s">
        <v>234</v>
      </c>
      <c r="R257" s="12" t="s">
        <v>228</v>
      </c>
      <c r="T257" s="12" t="s">
        <v>228</v>
      </c>
      <c r="U257" s="12" t="s">
        <v>228</v>
      </c>
      <c r="V257" s="12"/>
      <c r="W257" s="12"/>
    </row>
    <row r="258" spans="2:23">
      <c r="B258" s="26" t="s">
        <v>524</v>
      </c>
      <c r="C258" s="12" t="s">
        <v>228</v>
      </c>
      <c r="D258" s="12" t="s">
        <v>228</v>
      </c>
      <c r="E258" s="12" t="s">
        <v>241</v>
      </c>
      <c r="F258" s="12" t="s">
        <v>242</v>
      </c>
      <c r="G258" s="5" t="s">
        <v>224</v>
      </c>
      <c r="H258" s="12">
        <f t="shared" si="22"/>
        <v>598.5</v>
      </c>
      <c r="I258" s="12" t="s">
        <v>1140</v>
      </c>
      <c r="J258" s="12" t="s">
        <v>228</v>
      </c>
      <c r="K258" s="12">
        <f t="shared" si="23"/>
        <v>73.5</v>
      </c>
      <c r="L258" s="12">
        <f t="shared" si="24"/>
        <v>81.7</v>
      </c>
      <c r="M258" s="12">
        <v>630</v>
      </c>
      <c r="N258" s="12">
        <v>70</v>
      </c>
      <c r="O258" s="12">
        <v>86</v>
      </c>
      <c r="P258" s="12" t="s">
        <v>243</v>
      </c>
      <c r="Q258" s="12" t="s">
        <v>234</v>
      </c>
      <c r="R258" s="12" t="s">
        <v>228</v>
      </c>
      <c r="T258" s="12" t="s">
        <v>228</v>
      </c>
      <c r="U258" s="12" t="s">
        <v>228</v>
      </c>
      <c r="V258" s="12"/>
      <c r="W258" s="12"/>
    </row>
    <row r="259" spans="2:23">
      <c r="B259" s="26" t="s">
        <v>525</v>
      </c>
      <c r="C259" s="12" t="s">
        <v>228</v>
      </c>
      <c r="D259" s="12" t="s">
        <v>228</v>
      </c>
      <c r="E259" s="12" t="s">
        <v>241</v>
      </c>
      <c r="F259" s="12" t="s">
        <v>242</v>
      </c>
      <c r="G259" s="5" t="s">
        <v>224</v>
      </c>
      <c r="H259" s="12">
        <f t="shared" si="22"/>
        <v>1010.8</v>
      </c>
      <c r="I259" s="12" t="s">
        <v>1140</v>
      </c>
      <c r="J259" s="12" t="s">
        <v>228</v>
      </c>
      <c r="K259" s="12">
        <f t="shared" si="23"/>
        <v>159.6</v>
      </c>
      <c r="L259" s="12">
        <f t="shared" si="24"/>
        <v>115.425</v>
      </c>
      <c r="M259" s="12">
        <v>1064</v>
      </c>
      <c r="N259" s="12">
        <v>152</v>
      </c>
      <c r="O259" s="12">
        <v>121.5</v>
      </c>
      <c r="P259" s="12" t="s">
        <v>243</v>
      </c>
      <c r="Q259" s="12" t="s">
        <v>234</v>
      </c>
      <c r="R259" s="12" t="s">
        <v>228</v>
      </c>
      <c r="T259" s="12" t="s">
        <v>228</v>
      </c>
      <c r="U259" s="12" t="s">
        <v>228</v>
      </c>
      <c r="V259" s="12"/>
      <c r="W259" s="12"/>
    </row>
    <row r="260" spans="2:23">
      <c r="B260" s="26" t="s">
        <v>526</v>
      </c>
      <c r="C260" s="12" t="s">
        <v>228</v>
      </c>
      <c r="D260" s="12" t="s">
        <v>228</v>
      </c>
      <c r="E260" s="12" t="s">
        <v>241</v>
      </c>
      <c r="F260" s="12" t="s">
        <v>242</v>
      </c>
      <c r="G260" s="5" t="s">
        <v>224</v>
      </c>
      <c r="H260" s="12">
        <f t="shared" si="22"/>
        <v>1037.3999999999999</v>
      </c>
      <c r="I260" s="12" t="s">
        <v>1140</v>
      </c>
      <c r="J260" s="12" t="s">
        <v>228</v>
      </c>
      <c r="K260" s="12">
        <f t="shared" si="23"/>
        <v>163.80000000000001</v>
      </c>
      <c r="L260" s="12">
        <f t="shared" si="24"/>
        <v>121.19624999999998</v>
      </c>
      <c r="M260" s="12">
        <v>1092</v>
      </c>
      <c r="N260" s="12">
        <v>156</v>
      </c>
      <c r="O260" s="12">
        <v>127.57499999999999</v>
      </c>
      <c r="P260" s="12" t="s">
        <v>243</v>
      </c>
      <c r="Q260" s="12" t="s">
        <v>234</v>
      </c>
      <c r="R260" s="12" t="s">
        <v>228</v>
      </c>
      <c r="T260" s="12" t="s">
        <v>228</v>
      </c>
      <c r="U260" s="12" t="s">
        <v>228</v>
      </c>
      <c r="V260" s="12"/>
      <c r="W260" s="12"/>
    </row>
    <row r="261" spans="2:23">
      <c r="B261" s="26" t="s">
        <v>527</v>
      </c>
      <c r="C261" s="12" t="s">
        <v>228</v>
      </c>
      <c r="D261" s="12" t="s">
        <v>228</v>
      </c>
      <c r="E261" s="12" t="s">
        <v>241</v>
      </c>
      <c r="F261" s="12" t="s">
        <v>242</v>
      </c>
      <c r="G261" s="5" t="s">
        <v>224</v>
      </c>
      <c r="H261" s="12">
        <f t="shared" si="22"/>
        <v>1064</v>
      </c>
      <c r="I261" s="12" t="s">
        <v>1140</v>
      </c>
      <c r="J261" s="12" t="s">
        <v>228</v>
      </c>
      <c r="K261" s="12">
        <f t="shared" si="23"/>
        <v>168</v>
      </c>
      <c r="L261" s="12">
        <f t="shared" si="24"/>
        <v>126.9675</v>
      </c>
      <c r="M261" s="12">
        <v>1120</v>
      </c>
      <c r="N261" s="12">
        <v>160</v>
      </c>
      <c r="O261" s="12">
        <v>133.65</v>
      </c>
      <c r="P261" s="12" t="s">
        <v>243</v>
      </c>
      <c r="Q261" s="12" t="s">
        <v>234</v>
      </c>
      <c r="R261" s="12" t="s">
        <v>228</v>
      </c>
      <c r="T261" s="12" t="s">
        <v>228</v>
      </c>
      <c r="U261" s="12" t="s">
        <v>228</v>
      </c>
      <c r="V261" s="12"/>
      <c r="W261" s="12"/>
    </row>
    <row r="262" spans="2:23">
      <c r="B262" s="26" t="s">
        <v>528</v>
      </c>
      <c r="C262" s="12" t="s">
        <v>228</v>
      </c>
      <c r="D262" s="12" t="s">
        <v>228</v>
      </c>
      <c r="E262" s="12" t="s">
        <v>241</v>
      </c>
      <c r="F262" s="12" t="s">
        <v>242</v>
      </c>
      <c r="G262" s="5" t="s">
        <v>224</v>
      </c>
      <c r="H262" s="12">
        <f t="shared" si="22"/>
        <v>1090.5999999999999</v>
      </c>
      <c r="I262" s="12" t="s">
        <v>1140</v>
      </c>
      <c r="J262" s="12" t="s">
        <v>228</v>
      </c>
      <c r="K262" s="12">
        <f t="shared" si="23"/>
        <v>172.20000000000002</v>
      </c>
      <c r="L262" s="12">
        <f t="shared" si="24"/>
        <v>132.73874999999998</v>
      </c>
      <c r="M262" s="12">
        <v>1148</v>
      </c>
      <c r="N262" s="12">
        <v>164</v>
      </c>
      <c r="O262" s="12">
        <v>139.72499999999999</v>
      </c>
      <c r="P262" s="12" t="s">
        <v>243</v>
      </c>
      <c r="Q262" s="12" t="s">
        <v>234</v>
      </c>
      <c r="R262" s="12" t="s">
        <v>228</v>
      </c>
      <c r="T262" s="12" t="s">
        <v>228</v>
      </c>
      <c r="U262" s="12" t="s">
        <v>228</v>
      </c>
      <c r="V262" s="12"/>
      <c r="W262" s="12"/>
    </row>
    <row r="263" spans="2:23">
      <c r="B263" s="26" t="s">
        <v>529</v>
      </c>
      <c r="C263" s="12" t="s">
        <v>228</v>
      </c>
      <c r="D263" s="12" t="s">
        <v>228</v>
      </c>
      <c r="E263" s="12" t="s">
        <v>241</v>
      </c>
      <c r="F263" s="12" t="s">
        <v>242</v>
      </c>
      <c r="G263" s="5" t="s">
        <v>224</v>
      </c>
      <c r="H263" s="12">
        <f t="shared" si="22"/>
        <v>1117.2</v>
      </c>
      <c r="I263" s="12" t="s">
        <v>1140</v>
      </c>
      <c r="J263" s="12" t="s">
        <v>228</v>
      </c>
      <c r="K263" s="12">
        <f t="shared" si="23"/>
        <v>176.4</v>
      </c>
      <c r="L263" s="12">
        <f t="shared" si="24"/>
        <v>138.51</v>
      </c>
      <c r="M263" s="12">
        <v>1176</v>
      </c>
      <c r="N263" s="12">
        <v>168</v>
      </c>
      <c r="O263" s="12">
        <v>145.79999999999998</v>
      </c>
      <c r="P263" s="12" t="s">
        <v>243</v>
      </c>
      <c r="Q263" s="12" t="s">
        <v>234</v>
      </c>
      <c r="R263" s="12" t="s">
        <v>228</v>
      </c>
      <c r="T263" s="12" t="s">
        <v>228</v>
      </c>
      <c r="U263" s="12" t="s">
        <v>228</v>
      </c>
      <c r="V263" s="12"/>
      <c r="W263" s="12"/>
    </row>
    <row r="264" spans="2:23">
      <c r="B264" s="26" t="s">
        <v>530</v>
      </c>
      <c r="C264" s="12" t="s">
        <v>228</v>
      </c>
      <c r="D264" s="12" t="s">
        <v>228</v>
      </c>
      <c r="E264" s="12" t="s">
        <v>241</v>
      </c>
      <c r="F264" s="12" t="s">
        <v>242</v>
      </c>
      <c r="G264" s="5" t="s">
        <v>224</v>
      </c>
      <c r="H264" s="12">
        <f t="shared" si="22"/>
        <v>1143.8</v>
      </c>
      <c r="I264" s="12" t="s">
        <v>1140</v>
      </c>
      <c r="J264" s="12" t="s">
        <v>228</v>
      </c>
      <c r="K264" s="12">
        <f t="shared" si="23"/>
        <v>180.6</v>
      </c>
      <c r="L264" s="12">
        <f t="shared" si="24"/>
        <v>144.28125</v>
      </c>
      <c r="M264" s="12">
        <v>1204</v>
      </c>
      <c r="N264" s="12">
        <v>172</v>
      </c>
      <c r="O264" s="12">
        <v>151.875</v>
      </c>
      <c r="P264" s="12" t="s">
        <v>243</v>
      </c>
      <c r="Q264" s="12" t="s">
        <v>234</v>
      </c>
      <c r="R264" s="12" t="s">
        <v>228</v>
      </c>
      <c r="T264" s="12" t="s">
        <v>228</v>
      </c>
      <c r="U264" s="12" t="s">
        <v>228</v>
      </c>
      <c r="V264" s="12"/>
      <c r="W264" s="12"/>
    </row>
    <row r="265" spans="2:23">
      <c r="B265" s="26" t="s">
        <v>531</v>
      </c>
      <c r="C265" s="12" t="s">
        <v>228</v>
      </c>
      <c r="D265" s="12" t="s">
        <v>228</v>
      </c>
      <c r="E265" s="12" t="s">
        <v>241</v>
      </c>
      <c r="F265" s="12" t="s">
        <v>242</v>
      </c>
      <c r="G265" s="5" t="s">
        <v>224</v>
      </c>
      <c r="H265" s="12">
        <f t="shared" si="22"/>
        <v>1170.3999999999999</v>
      </c>
      <c r="I265" s="12" t="s">
        <v>1140</v>
      </c>
      <c r="J265" s="12" t="s">
        <v>228</v>
      </c>
      <c r="K265" s="12">
        <f t="shared" si="23"/>
        <v>184.8</v>
      </c>
      <c r="L265" s="12">
        <f t="shared" si="24"/>
        <v>150.05249999999998</v>
      </c>
      <c r="M265" s="12">
        <v>1232</v>
      </c>
      <c r="N265" s="12">
        <v>176</v>
      </c>
      <c r="O265" s="12">
        <v>157.94999999999999</v>
      </c>
      <c r="P265" s="12" t="s">
        <v>243</v>
      </c>
      <c r="Q265" s="12" t="s">
        <v>234</v>
      </c>
      <c r="R265" s="12" t="s">
        <v>228</v>
      </c>
      <c r="T265" s="12" t="s">
        <v>228</v>
      </c>
      <c r="U265" s="12" t="s">
        <v>228</v>
      </c>
      <c r="V265" s="12"/>
      <c r="W265" s="12"/>
    </row>
    <row r="266" spans="2:23">
      <c r="B266" s="26" t="s">
        <v>532</v>
      </c>
      <c r="C266" s="12" t="s">
        <v>228</v>
      </c>
      <c r="D266" s="12" t="s">
        <v>228</v>
      </c>
      <c r="E266" s="12" t="s">
        <v>241</v>
      </c>
      <c r="F266" s="12" t="s">
        <v>242</v>
      </c>
      <c r="G266" s="5" t="s">
        <v>224</v>
      </c>
      <c r="H266" s="12">
        <f t="shared" si="22"/>
        <v>1197</v>
      </c>
      <c r="I266" s="12" t="s">
        <v>1140</v>
      </c>
      <c r="J266" s="12" t="s">
        <v>228</v>
      </c>
      <c r="K266" s="12">
        <f t="shared" si="23"/>
        <v>189</v>
      </c>
      <c r="L266" s="12">
        <f t="shared" si="24"/>
        <v>155.82374999999999</v>
      </c>
      <c r="M266" s="12">
        <v>1260</v>
      </c>
      <c r="N266" s="12">
        <v>180</v>
      </c>
      <c r="O266" s="12">
        <v>164.02500000000001</v>
      </c>
      <c r="P266" s="12" t="s">
        <v>243</v>
      </c>
      <c r="Q266" s="12" t="s">
        <v>234</v>
      </c>
      <c r="R266" s="12" t="s">
        <v>228</v>
      </c>
      <c r="T266" s="12" t="s">
        <v>228</v>
      </c>
      <c r="U266" s="12" t="s">
        <v>228</v>
      </c>
      <c r="V266" s="12"/>
      <c r="W266" s="12"/>
    </row>
    <row r="267" spans="2:23">
      <c r="B267" s="26" t="s">
        <v>533</v>
      </c>
      <c r="C267" s="12" t="s">
        <v>228</v>
      </c>
      <c r="D267" s="12" t="s">
        <v>228</v>
      </c>
      <c r="E267" s="12" t="s">
        <v>241</v>
      </c>
      <c r="F267" s="12" t="s">
        <v>242</v>
      </c>
      <c r="G267" s="5" t="s">
        <v>224</v>
      </c>
      <c r="H267" s="12">
        <f t="shared" si="22"/>
        <v>1223.5999999999999</v>
      </c>
      <c r="I267" s="12" t="s">
        <v>1140</v>
      </c>
      <c r="J267" s="12" t="s">
        <v>228</v>
      </c>
      <c r="K267" s="12">
        <f t="shared" si="23"/>
        <v>193.20000000000002</v>
      </c>
      <c r="L267" s="12">
        <f t="shared" si="24"/>
        <v>161.595</v>
      </c>
      <c r="M267" s="12">
        <v>1288</v>
      </c>
      <c r="N267" s="12">
        <v>184</v>
      </c>
      <c r="O267" s="12">
        <v>170.1</v>
      </c>
      <c r="P267" s="12" t="s">
        <v>243</v>
      </c>
      <c r="Q267" s="12" t="s">
        <v>234</v>
      </c>
      <c r="R267" s="12" t="s">
        <v>228</v>
      </c>
      <c r="T267" s="12" t="s">
        <v>228</v>
      </c>
      <c r="U267" s="12" t="s">
        <v>228</v>
      </c>
      <c r="V267" s="12"/>
      <c r="W267" s="12"/>
    </row>
    <row r="268" spans="2:23">
      <c r="B268" s="26" t="s">
        <v>534</v>
      </c>
      <c r="C268" s="12" t="s">
        <v>228</v>
      </c>
      <c r="D268" s="12" t="s">
        <v>228</v>
      </c>
      <c r="E268" s="12" t="s">
        <v>241</v>
      </c>
      <c r="F268" s="12" t="s">
        <v>242</v>
      </c>
      <c r="G268" s="5" t="s">
        <v>224</v>
      </c>
      <c r="H268" s="12">
        <f t="shared" si="22"/>
        <v>1250.2</v>
      </c>
      <c r="I268" s="12" t="s">
        <v>1140</v>
      </c>
      <c r="J268" s="12" t="s">
        <v>228</v>
      </c>
      <c r="K268" s="12">
        <f t="shared" si="23"/>
        <v>197.4</v>
      </c>
      <c r="L268" s="12">
        <f t="shared" si="24"/>
        <v>167.36624999999998</v>
      </c>
      <c r="M268" s="12">
        <v>1316</v>
      </c>
      <c r="N268" s="12">
        <v>188</v>
      </c>
      <c r="O268" s="12">
        <v>176.17499999999998</v>
      </c>
      <c r="P268" s="12" t="s">
        <v>243</v>
      </c>
      <c r="Q268" s="12" t="s">
        <v>234</v>
      </c>
      <c r="R268" s="12" t="s">
        <v>228</v>
      </c>
      <c r="T268" s="12" t="s">
        <v>228</v>
      </c>
      <c r="U268" s="12" t="s">
        <v>228</v>
      </c>
      <c r="V268" s="12"/>
      <c r="W268" s="12"/>
    </row>
    <row r="269" spans="2:23">
      <c r="B269" s="26" t="s">
        <v>535</v>
      </c>
      <c r="C269" s="12" t="s">
        <v>228</v>
      </c>
      <c r="D269" s="12" t="s">
        <v>228</v>
      </c>
      <c r="E269" s="12" t="s">
        <v>241</v>
      </c>
      <c r="F269" s="12" t="s">
        <v>242</v>
      </c>
      <c r="G269" s="5" t="s">
        <v>224</v>
      </c>
      <c r="H269" s="12">
        <f t="shared" si="22"/>
        <v>1276.8</v>
      </c>
      <c r="I269" s="12" t="s">
        <v>1140</v>
      </c>
      <c r="J269" s="12" t="s">
        <v>228</v>
      </c>
      <c r="K269" s="12">
        <f t="shared" si="23"/>
        <v>201.60000000000002</v>
      </c>
      <c r="L269" s="12">
        <f t="shared" si="24"/>
        <v>173.13749999999999</v>
      </c>
      <c r="M269" s="12">
        <v>1344</v>
      </c>
      <c r="N269" s="12">
        <v>192</v>
      </c>
      <c r="O269" s="12">
        <v>182.25</v>
      </c>
      <c r="P269" s="12" t="s">
        <v>243</v>
      </c>
      <c r="Q269" s="12" t="s">
        <v>234</v>
      </c>
      <c r="R269" s="12" t="s">
        <v>228</v>
      </c>
      <c r="T269" s="12" t="s">
        <v>228</v>
      </c>
      <c r="U269" s="12" t="s">
        <v>228</v>
      </c>
      <c r="V269" s="12"/>
      <c r="W269" s="12"/>
    </row>
    <row r="270" spans="2:23">
      <c r="B270" s="26" t="s">
        <v>536</v>
      </c>
      <c r="C270" s="12" t="s">
        <v>228</v>
      </c>
      <c r="D270" s="12" t="s">
        <v>228</v>
      </c>
      <c r="E270" s="12" t="s">
        <v>241</v>
      </c>
      <c r="F270" s="12" t="s">
        <v>242</v>
      </c>
      <c r="G270" s="5" t="s">
        <v>224</v>
      </c>
      <c r="H270" s="12">
        <f t="shared" si="22"/>
        <v>1303.3999999999999</v>
      </c>
      <c r="I270" s="12" t="s">
        <v>1140</v>
      </c>
      <c r="J270" s="12" t="s">
        <v>228</v>
      </c>
      <c r="K270" s="12">
        <f t="shared" si="23"/>
        <v>205.8</v>
      </c>
      <c r="L270" s="12">
        <f t="shared" si="24"/>
        <v>178.90874999999997</v>
      </c>
      <c r="M270" s="12">
        <v>1372</v>
      </c>
      <c r="N270" s="12">
        <v>196</v>
      </c>
      <c r="O270" s="12">
        <v>188.32499999999999</v>
      </c>
      <c r="P270" s="12" t="s">
        <v>243</v>
      </c>
      <c r="Q270" s="12" t="s">
        <v>234</v>
      </c>
      <c r="R270" s="12" t="s">
        <v>228</v>
      </c>
      <c r="T270" s="12" t="s">
        <v>228</v>
      </c>
      <c r="U270" s="12" t="s">
        <v>228</v>
      </c>
      <c r="V270" s="12"/>
      <c r="W270" s="12"/>
    </row>
    <row r="271" spans="2:23">
      <c r="B271" s="26" t="s">
        <v>537</v>
      </c>
      <c r="C271" s="12" t="s">
        <v>228</v>
      </c>
      <c r="D271" s="12" t="s">
        <v>228</v>
      </c>
      <c r="E271" s="12" t="s">
        <v>241</v>
      </c>
      <c r="F271" s="12" t="s">
        <v>242</v>
      </c>
      <c r="G271" s="5" t="s">
        <v>224</v>
      </c>
      <c r="H271" s="12">
        <f t="shared" si="22"/>
        <v>1330</v>
      </c>
      <c r="I271" s="12" t="s">
        <v>1140</v>
      </c>
      <c r="J271" s="12" t="s">
        <v>228</v>
      </c>
      <c r="K271" s="12">
        <f t="shared" si="23"/>
        <v>210</v>
      </c>
      <c r="L271" s="12">
        <f t="shared" si="24"/>
        <v>184.67999999999998</v>
      </c>
      <c r="M271" s="12">
        <v>1400</v>
      </c>
      <c r="N271" s="12">
        <v>200</v>
      </c>
      <c r="O271" s="12">
        <v>194.39999999999998</v>
      </c>
      <c r="P271" s="12" t="s">
        <v>243</v>
      </c>
      <c r="Q271" s="12" t="s">
        <v>234</v>
      </c>
      <c r="R271" s="12" t="s">
        <v>228</v>
      </c>
      <c r="T271" s="12" t="s">
        <v>228</v>
      </c>
      <c r="U271" s="12" t="s">
        <v>228</v>
      </c>
      <c r="V271" s="12"/>
      <c r="W271" s="12"/>
    </row>
    <row r="272" spans="2:23">
      <c r="B272" s="26" t="s">
        <v>538</v>
      </c>
      <c r="C272" s="12" t="s">
        <v>228</v>
      </c>
      <c r="D272" s="12" t="s">
        <v>228</v>
      </c>
      <c r="E272" s="12" t="s">
        <v>241</v>
      </c>
      <c r="F272" s="12" t="s">
        <v>242</v>
      </c>
      <c r="G272" s="5" t="s">
        <v>224</v>
      </c>
      <c r="H272" s="12">
        <f t="shared" si="22"/>
        <v>1356.6</v>
      </c>
      <c r="I272" s="12" t="s">
        <v>1140</v>
      </c>
      <c r="J272" s="12" t="s">
        <v>228</v>
      </c>
      <c r="K272" s="12">
        <f t="shared" si="23"/>
        <v>214.20000000000002</v>
      </c>
      <c r="L272" s="12">
        <f t="shared" si="24"/>
        <v>190.45124999999999</v>
      </c>
      <c r="M272" s="12">
        <v>1428</v>
      </c>
      <c r="N272" s="12">
        <v>204</v>
      </c>
      <c r="O272" s="12">
        <v>200.47499999999999</v>
      </c>
      <c r="P272" s="12" t="s">
        <v>243</v>
      </c>
      <c r="Q272" s="12" t="s">
        <v>234</v>
      </c>
      <c r="R272" s="12" t="s">
        <v>228</v>
      </c>
      <c r="T272" s="12" t="s">
        <v>228</v>
      </c>
      <c r="U272" s="12" t="s">
        <v>228</v>
      </c>
      <c r="V272" s="12"/>
      <c r="W272" s="12"/>
    </row>
    <row r="273" spans="2:23">
      <c r="B273" s="26" t="s">
        <v>539</v>
      </c>
      <c r="C273" s="12" t="s">
        <v>228</v>
      </c>
      <c r="D273" s="12" t="s">
        <v>228</v>
      </c>
      <c r="E273" s="12" t="s">
        <v>241</v>
      </c>
      <c r="F273" s="12" t="s">
        <v>242</v>
      </c>
      <c r="G273" s="5" t="s">
        <v>224</v>
      </c>
      <c r="H273" s="12">
        <f t="shared" si="22"/>
        <v>1383.2</v>
      </c>
      <c r="I273" s="12" t="s">
        <v>1140</v>
      </c>
      <c r="J273" s="12" t="s">
        <v>228</v>
      </c>
      <c r="K273" s="12">
        <f t="shared" si="23"/>
        <v>218.4</v>
      </c>
      <c r="L273" s="12">
        <f t="shared" si="24"/>
        <v>196.22249999999997</v>
      </c>
      <c r="M273" s="12">
        <v>1456</v>
      </c>
      <c r="N273" s="12">
        <v>208</v>
      </c>
      <c r="O273" s="12">
        <v>206.54999999999998</v>
      </c>
      <c r="P273" s="12" t="s">
        <v>243</v>
      </c>
      <c r="Q273" s="12" t="s">
        <v>234</v>
      </c>
      <c r="R273" s="12" t="s">
        <v>228</v>
      </c>
      <c r="T273" s="12" t="s">
        <v>228</v>
      </c>
      <c r="U273" s="12" t="s">
        <v>228</v>
      </c>
      <c r="V273" s="12"/>
      <c r="W273" s="12"/>
    </row>
    <row r="274" spans="2:23">
      <c r="B274" s="26" t="s">
        <v>540</v>
      </c>
      <c r="C274" s="12" t="s">
        <v>228</v>
      </c>
      <c r="D274" s="12" t="s">
        <v>228</v>
      </c>
      <c r="E274" s="12" t="s">
        <v>241</v>
      </c>
      <c r="F274" s="12" t="s">
        <v>242</v>
      </c>
      <c r="G274" s="5" t="s">
        <v>224</v>
      </c>
      <c r="H274" s="12">
        <f t="shared" si="22"/>
        <v>2090</v>
      </c>
      <c r="I274" s="12" t="s">
        <v>1140</v>
      </c>
      <c r="J274" s="12" t="s">
        <v>228</v>
      </c>
      <c r="K274" s="12">
        <f t="shared" si="23"/>
        <v>346.5</v>
      </c>
      <c r="L274" s="12">
        <f t="shared" si="24"/>
        <v>259.70625000000001</v>
      </c>
      <c r="M274" s="12">
        <v>2200</v>
      </c>
      <c r="N274" s="12">
        <v>330</v>
      </c>
      <c r="O274" s="12">
        <v>273.375</v>
      </c>
      <c r="P274" s="12" t="s">
        <v>243</v>
      </c>
      <c r="Q274" s="12" t="s">
        <v>234</v>
      </c>
      <c r="R274" s="12" t="s">
        <v>228</v>
      </c>
      <c r="T274" s="12" t="s">
        <v>228</v>
      </c>
      <c r="U274" s="12" t="s">
        <v>228</v>
      </c>
      <c r="V274" s="12"/>
      <c r="W274" s="12"/>
    </row>
    <row r="275" spans="2:23">
      <c r="B275" s="26" t="s">
        <v>541</v>
      </c>
      <c r="C275" s="12" t="s">
        <v>228</v>
      </c>
      <c r="D275" s="12" t="s">
        <v>228</v>
      </c>
      <c r="E275" s="12" t="s">
        <v>241</v>
      </c>
      <c r="F275" s="12" t="s">
        <v>242</v>
      </c>
      <c r="G275" s="5" t="s">
        <v>224</v>
      </c>
      <c r="H275" s="12">
        <f t="shared" si="22"/>
        <v>2128</v>
      </c>
      <c r="I275" s="12" t="s">
        <v>1140</v>
      </c>
      <c r="J275" s="12" t="s">
        <v>228</v>
      </c>
      <c r="K275" s="12">
        <f t="shared" si="23"/>
        <v>352.8</v>
      </c>
      <c r="L275" s="12">
        <f t="shared" si="24"/>
        <v>267.40124999999995</v>
      </c>
      <c r="M275" s="12">
        <v>2240</v>
      </c>
      <c r="N275" s="12">
        <v>336</v>
      </c>
      <c r="O275" s="12">
        <v>281.47499999999997</v>
      </c>
      <c r="P275" s="12" t="s">
        <v>243</v>
      </c>
      <c r="Q275" s="12" t="s">
        <v>234</v>
      </c>
      <c r="R275" s="12" t="s">
        <v>228</v>
      </c>
      <c r="T275" s="12" t="s">
        <v>228</v>
      </c>
      <c r="U275" s="12" t="s">
        <v>228</v>
      </c>
      <c r="V275" s="12"/>
      <c r="W275" s="12"/>
    </row>
    <row r="276" spans="2:23">
      <c r="B276" s="26" t="s">
        <v>542</v>
      </c>
      <c r="C276" s="12" t="s">
        <v>228</v>
      </c>
      <c r="D276" s="12" t="s">
        <v>228</v>
      </c>
      <c r="E276" s="12" t="s">
        <v>241</v>
      </c>
      <c r="F276" s="12" t="s">
        <v>242</v>
      </c>
      <c r="G276" s="5" t="s">
        <v>224</v>
      </c>
      <c r="H276" s="12">
        <f t="shared" si="22"/>
        <v>2166</v>
      </c>
      <c r="I276" s="12" t="s">
        <v>1140</v>
      </c>
      <c r="J276" s="12" t="s">
        <v>228</v>
      </c>
      <c r="K276" s="12">
        <f t="shared" si="23"/>
        <v>359.1</v>
      </c>
      <c r="L276" s="12">
        <f t="shared" si="24"/>
        <v>275.09625</v>
      </c>
      <c r="M276" s="12">
        <v>2280</v>
      </c>
      <c r="N276" s="12">
        <v>342</v>
      </c>
      <c r="O276" s="12">
        <v>289.57499999999999</v>
      </c>
      <c r="P276" s="12" t="s">
        <v>243</v>
      </c>
      <c r="Q276" s="12" t="s">
        <v>234</v>
      </c>
      <c r="R276" s="12" t="s">
        <v>228</v>
      </c>
      <c r="T276" s="12" t="s">
        <v>228</v>
      </c>
      <c r="U276" s="12" t="s">
        <v>228</v>
      </c>
      <c r="V276" s="12"/>
      <c r="W276" s="12"/>
    </row>
    <row r="277" spans="2:23">
      <c r="B277" s="26" t="s">
        <v>543</v>
      </c>
      <c r="C277" s="12" t="s">
        <v>228</v>
      </c>
      <c r="D277" s="12" t="s">
        <v>228</v>
      </c>
      <c r="E277" s="12" t="s">
        <v>241</v>
      </c>
      <c r="F277" s="12" t="s">
        <v>242</v>
      </c>
      <c r="G277" s="5" t="s">
        <v>224</v>
      </c>
      <c r="H277" s="12">
        <f t="shared" si="22"/>
        <v>2204</v>
      </c>
      <c r="I277" s="12" t="s">
        <v>1140</v>
      </c>
      <c r="J277" s="12" t="s">
        <v>228</v>
      </c>
      <c r="K277" s="12">
        <f t="shared" si="23"/>
        <v>365.40000000000003</v>
      </c>
      <c r="L277" s="12">
        <f t="shared" si="24"/>
        <v>282.79124999999999</v>
      </c>
      <c r="M277" s="12">
        <v>2320</v>
      </c>
      <c r="N277" s="12">
        <v>348</v>
      </c>
      <c r="O277" s="12">
        <v>297.67500000000001</v>
      </c>
      <c r="P277" s="12" t="s">
        <v>243</v>
      </c>
      <c r="Q277" s="12" t="s">
        <v>234</v>
      </c>
      <c r="R277" s="12" t="s">
        <v>228</v>
      </c>
      <c r="T277" s="12" t="s">
        <v>228</v>
      </c>
      <c r="U277" s="12" t="s">
        <v>228</v>
      </c>
      <c r="V277" s="12"/>
      <c r="W277" s="12"/>
    </row>
    <row r="278" spans="2:23">
      <c r="B278" s="26" t="s">
        <v>544</v>
      </c>
      <c r="C278" s="12" t="s">
        <v>228</v>
      </c>
      <c r="D278" s="12" t="s">
        <v>228</v>
      </c>
      <c r="E278" s="12" t="s">
        <v>241</v>
      </c>
      <c r="F278" s="12" t="s">
        <v>242</v>
      </c>
      <c r="G278" s="5" t="s">
        <v>224</v>
      </c>
      <c r="H278" s="12">
        <f t="shared" si="22"/>
        <v>2242</v>
      </c>
      <c r="I278" s="12" t="s">
        <v>1140</v>
      </c>
      <c r="J278" s="12" t="s">
        <v>228</v>
      </c>
      <c r="K278" s="12">
        <f t="shared" si="23"/>
        <v>371.7</v>
      </c>
      <c r="L278" s="12">
        <f t="shared" si="24"/>
        <v>290.48624999999998</v>
      </c>
      <c r="M278" s="12">
        <v>2360</v>
      </c>
      <c r="N278" s="12">
        <v>354</v>
      </c>
      <c r="O278" s="12">
        <v>305.77499999999998</v>
      </c>
      <c r="P278" s="12" t="s">
        <v>243</v>
      </c>
      <c r="Q278" s="12" t="s">
        <v>234</v>
      </c>
      <c r="R278" s="12" t="s">
        <v>228</v>
      </c>
      <c r="T278" s="12" t="s">
        <v>228</v>
      </c>
      <c r="U278" s="12" t="s">
        <v>228</v>
      </c>
      <c r="V278" s="12"/>
      <c r="W278" s="12"/>
    </row>
    <row r="279" spans="2:23">
      <c r="B279" s="26" t="s">
        <v>545</v>
      </c>
      <c r="C279" s="12" t="s">
        <v>228</v>
      </c>
      <c r="D279" s="12" t="s">
        <v>228</v>
      </c>
      <c r="E279" s="12" t="s">
        <v>241</v>
      </c>
      <c r="F279" s="12" t="s">
        <v>242</v>
      </c>
      <c r="G279" s="5" t="s">
        <v>224</v>
      </c>
      <c r="H279" s="12">
        <f t="shared" si="22"/>
        <v>2280</v>
      </c>
      <c r="I279" s="12" t="s">
        <v>1140</v>
      </c>
      <c r="J279" s="12" t="s">
        <v>228</v>
      </c>
      <c r="K279" s="12">
        <f t="shared" si="23"/>
        <v>378</v>
      </c>
      <c r="L279" s="12">
        <f t="shared" si="24"/>
        <v>298.18124999999998</v>
      </c>
      <c r="M279" s="12">
        <v>2400</v>
      </c>
      <c r="N279" s="12">
        <v>360</v>
      </c>
      <c r="O279" s="12">
        <v>313.875</v>
      </c>
      <c r="P279" s="12" t="s">
        <v>243</v>
      </c>
      <c r="Q279" s="12" t="s">
        <v>234</v>
      </c>
      <c r="R279" s="12" t="s">
        <v>228</v>
      </c>
      <c r="T279" s="12" t="s">
        <v>228</v>
      </c>
      <c r="U279" s="12" t="s">
        <v>228</v>
      </c>
      <c r="V279" s="12"/>
      <c r="W279" s="12"/>
    </row>
    <row r="280" spans="2:23">
      <c r="B280" s="26" t="s">
        <v>546</v>
      </c>
      <c r="C280" s="12" t="s">
        <v>228</v>
      </c>
      <c r="D280" s="12" t="s">
        <v>228</v>
      </c>
      <c r="E280" s="12" t="s">
        <v>241</v>
      </c>
      <c r="F280" s="12" t="s">
        <v>242</v>
      </c>
      <c r="G280" s="5" t="s">
        <v>224</v>
      </c>
      <c r="H280" s="12">
        <f t="shared" si="22"/>
        <v>2318</v>
      </c>
      <c r="I280" s="12" t="s">
        <v>1140</v>
      </c>
      <c r="J280" s="12" t="s">
        <v>228</v>
      </c>
      <c r="K280" s="12">
        <f t="shared" si="23"/>
        <v>384.3</v>
      </c>
      <c r="L280" s="12">
        <f t="shared" si="24"/>
        <v>305.87624999999997</v>
      </c>
      <c r="M280" s="12">
        <v>2440</v>
      </c>
      <c r="N280" s="12">
        <v>366</v>
      </c>
      <c r="O280" s="12">
        <v>321.97499999999997</v>
      </c>
      <c r="P280" s="12" t="s">
        <v>243</v>
      </c>
      <c r="Q280" s="12" t="s">
        <v>234</v>
      </c>
      <c r="R280" s="12" t="s">
        <v>228</v>
      </c>
      <c r="T280" s="12" t="s">
        <v>228</v>
      </c>
      <c r="U280" s="12" t="s">
        <v>228</v>
      </c>
      <c r="V280" s="12"/>
      <c r="W280" s="12"/>
    </row>
    <row r="281" spans="2:23">
      <c r="B281" s="26" t="s">
        <v>547</v>
      </c>
      <c r="C281" s="12" t="s">
        <v>228</v>
      </c>
      <c r="D281" s="12" t="s">
        <v>228</v>
      </c>
      <c r="E281" s="12" t="s">
        <v>241</v>
      </c>
      <c r="F281" s="12" t="s">
        <v>242</v>
      </c>
      <c r="G281" s="5" t="s">
        <v>224</v>
      </c>
      <c r="H281" s="12">
        <f t="shared" si="22"/>
        <v>2356</v>
      </c>
      <c r="I281" s="12" t="s">
        <v>1140</v>
      </c>
      <c r="J281" s="12" t="s">
        <v>228</v>
      </c>
      <c r="K281" s="12">
        <f t="shared" si="23"/>
        <v>390.6</v>
      </c>
      <c r="L281" s="12">
        <f t="shared" si="24"/>
        <v>313.57124999999996</v>
      </c>
      <c r="M281" s="12">
        <v>2480</v>
      </c>
      <c r="N281" s="12">
        <v>372</v>
      </c>
      <c r="O281" s="12">
        <v>330.07499999999999</v>
      </c>
      <c r="P281" s="12" t="s">
        <v>243</v>
      </c>
      <c r="Q281" s="12" t="s">
        <v>234</v>
      </c>
      <c r="R281" s="12" t="s">
        <v>228</v>
      </c>
      <c r="T281" s="12" t="s">
        <v>228</v>
      </c>
      <c r="U281" s="12" t="s">
        <v>228</v>
      </c>
      <c r="V281" s="12"/>
      <c r="W281" s="12"/>
    </row>
    <row r="282" spans="2:23">
      <c r="B282" s="26" t="s">
        <v>548</v>
      </c>
      <c r="C282" s="12" t="s">
        <v>228</v>
      </c>
      <c r="D282" s="12" t="s">
        <v>228</v>
      </c>
      <c r="E282" s="12" t="s">
        <v>241</v>
      </c>
      <c r="F282" s="12" t="s">
        <v>242</v>
      </c>
      <c r="G282" s="5" t="s">
        <v>224</v>
      </c>
      <c r="H282" s="12">
        <f t="shared" si="22"/>
        <v>2394</v>
      </c>
      <c r="I282" s="12" t="s">
        <v>1140</v>
      </c>
      <c r="J282" s="12" t="s">
        <v>228</v>
      </c>
      <c r="K282" s="12">
        <f t="shared" si="23"/>
        <v>396.90000000000003</v>
      </c>
      <c r="L282" s="12">
        <f t="shared" si="24"/>
        <v>321.26625000000001</v>
      </c>
      <c r="M282" s="12">
        <v>2520</v>
      </c>
      <c r="N282" s="12">
        <v>378</v>
      </c>
      <c r="O282" s="12">
        <v>338.17500000000001</v>
      </c>
      <c r="P282" s="12" t="s">
        <v>243</v>
      </c>
      <c r="Q282" s="12" t="s">
        <v>234</v>
      </c>
      <c r="R282" s="12" t="s">
        <v>228</v>
      </c>
      <c r="T282" s="12" t="s">
        <v>228</v>
      </c>
      <c r="U282" s="12" t="s">
        <v>228</v>
      </c>
      <c r="V282" s="12"/>
      <c r="W282" s="12"/>
    </row>
    <row r="283" spans="2:23">
      <c r="B283" s="26" t="s">
        <v>549</v>
      </c>
      <c r="C283" s="12" t="s">
        <v>228</v>
      </c>
      <c r="D283" s="12" t="s">
        <v>228</v>
      </c>
      <c r="E283" s="12" t="s">
        <v>241</v>
      </c>
      <c r="F283" s="12" t="s">
        <v>242</v>
      </c>
      <c r="G283" s="5" t="s">
        <v>224</v>
      </c>
      <c r="H283" s="12">
        <f t="shared" si="22"/>
        <v>2432</v>
      </c>
      <c r="I283" s="12" t="s">
        <v>1140</v>
      </c>
      <c r="J283" s="12" t="s">
        <v>228</v>
      </c>
      <c r="K283" s="12">
        <f t="shared" si="23"/>
        <v>403.20000000000005</v>
      </c>
      <c r="L283" s="12">
        <f t="shared" si="24"/>
        <v>328.96124999999995</v>
      </c>
      <c r="M283" s="12">
        <v>2560</v>
      </c>
      <c r="N283" s="12">
        <v>384</v>
      </c>
      <c r="O283" s="12">
        <v>346.27499999999998</v>
      </c>
      <c r="P283" s="12" t="s">
        <v>243</v>
      </c>
      <c r="Q283" s="12" t="s">
        <v>234</v>
      </c>
      <c r="R283" s="12" t="s">
        <v>228</v>
      </c>
      <c r="T283" s="12" t="s">
        <v>228</v>
      </c>
      <c r="U283" s="12" t="s">
        <v>228</v>
      </c>
      <c r="V283" s="12"/>
      <c r="W283" s="12"/>
    </row>
    <row r="284" spans="2:23">
      <c r="B284" s="26" t="s">
        <v>550</v>
      </c>
      <c r="C284" s="12" t="s">
        <v>228</v>
      </c>
      <c r="D284" s="12" t="s">
        <v>228</v>
      </c>
      <c r="E284" s="12" t="s">
        <v>241</v>
      </c>
      <c r="F284" s="12" t="s">
        <v>242</v>
      </c>
      <c r="G284" s="5" t="s">
        <v>224</v>
      </c>
      <c r="H284" s="12">
        <f t="shared" si="22"/>
        <v>2470</v>
      </c>
      <c r="I284" s="12" t="s">
        <v>1140</v>
      </c>
      <c r="J284" s="12" t="s">
        <v>228</v>
      </c>
      <c r="K284" s="12">
        <f t="shared" si="23"/>
        <v>409.5</v>
      </c>
      <c r="L284" s="12">
        <f t="shared" si="24"/>
        <v>336.65625</v>
      </c>
      <c r="M284" s="12">
        <v>2600</v>
      </c>
      <c r="N284" s="12">
        <v>390</v>
      </c>
      <c r="O284" s="12">
        <v>354.375</v>
      </c>
      <c r="P284" s="12" t="s">
        <v>243</v>
      </c>
      <c r="Q284" s="12" t="s">
        <v>234</v>
      </c>
      <c r="R284" s="12" t="s">
        <v>228</v>
      </c>
      <c r="T284" s="12" t="s">
        <v>228</v>
      </c>
      <c r="U284" s="12" t="s">
        <v>228</v>
      </c>
      <c r="V284" s="12"/>
      <c r="W284" s="12"/>
    </row>
    <row r="285" spans="2:23">
      <c r="B285" s="26" t="s">
        <v>551</v>
      </c>
      <c r="C285" s="12" t="s">
        <v>228</v>
      </c>
      <c r="D285" s="12" t="s">
        <v>228</v>
      </c>
      <c r="E285" s="12" t="s">
        <v>241</v>
      </c>
      <c r="F285" s="12" t="s">
        <v>242</v>
      </c>
      <c r="G285" s="5" t="s">
        <v>224</v>
      </c>
      <c r="H285" s="12">
        <f t="shared" si="22"/>
        <v>2508</v>
      </c>
      <c r="I285" s="12" t="s">
        <v>1140</v>
      </c>
      <c r="J285" s="12" t="s">
        <v>228</v>
      </c>
      <c r="K285" s="12">
        <f t="shared" si="23"/>
        <v>415.8</v>
      </c>
      <c r="L285" s="12">
        <f t="shared" si="24"/>
        <v>344.35124999999994</v>
      </c>
      <c r="M285" s="12">
        <v>2640</v>
      </c>
      <c r="N285" s="12">
        <v>396</v>
      </c>
      <c r="O285" s="12">
        <v>362.47499999999997</v>
      </c>
      <c r="P285" s="12" t="s">
        <v>243</v>
      </c>
      <c r="Q285" s="12" t="s">
        <v>234</v>
      </c>
      <c r="R285" s="12" t="s">
        <v>228</v>
      </c>
      <c r="T285" s="12" t="s">
        <v>228</v>
      </c>
      <c r="U285" s="12" t="s">
        <v>228</v>
      </c>
      <c r="V285" s="12"/>
      <c r="W285" s="12"/>
    </row>
    <row r="286" spans="2:23">
      <c r="B286" s="26" t="s">
        <v>552</v>
      </c>
      <c r="C286" s="12" t="s">
        <v>228</v>
      </c>
      <c r="D286" s="12" t="s">
        <v>228</v>
      </c>
      <c r="E286" s="12" t="s">
        <v>241</v>
      </c>
      <c r="F286" s="12" t="s">
        <v>242</v>
      </c>
      <c r="G286" s="5" t="s">
        <v>224</v>
      </c>
      <c r="H286" s="12">
        <f t="shared" si="22"/>
        <v>2546</v>
      </c>
      <c r="I286" s="12" t="s">
        <v>1140</v>
      </c>
      <c r="J286" s="12" t="s">
        <v>228</v>
      </c>
      <c r="K286" s="12">
        <f t="shared" si="23"/>
        <v>422.1</v>
      </c>
      <c r="L286" s="12">
        <f t="shared" si="24"/>
        <v>352.04624999999999</v>
      </c>
      <c r="M286" s="12">
        <v>2680</v>
      </c>
      <c r="N286" s="12">
        <v>402</v>
      </c>
      <c r="O286" s="12">
        <v>370.57499999999999</v>
      </c>
      <c r="P286" s="12" t="s">
        <v>243</v>
      </c>
      <c r="Q286" s="12" t="s">
        <v>234</v>
      </c>
      <c r="R286" s="12" t="s">
        <v>228</v>
      </c>
      <c r="T286" s="12" t="s">
        <v>228</v>
      </c>
      <c r="U286" s="12" t="s">
        <v>228</v>
      </c>
      <c r="V286" s="12"/>
      <c r="W286" s="12"/>
    </row>
    <row r="287" spans="2:23">
      <c r="B287" s="26" t="s">
        <v>553</v>
      </c>
      <c r="C287" s="12" t="s">
        <v>228</v>
      </c>
      <c r="D287" s="12" t="s">
        <v>228</v>
      </c>
      <c r="E287" s="12" t="s">
        <v>241</v>
      </c>
      <c r="F287" s="12" t="s">
        <v>242</v>
      </c>
      <c r="G287" s="5" t="s">
        <v>224</v>
      </c>
      <c r="H287" s="12">
        <f t="shared" si="22"/>
        <v>2584</v>
      </c>
      <c r="I287" s="12" t="s">
        <v>1140</v>
      </c>
      <c r="J287" s="12" t="s">
        <v>228</v>
      </c>
      <c r="K287" s="12">
        <f t="shared" si="23"/>
        <v>428.40000000000003</v>
      </c>
      <c r="L287" s="12">
        <f t="shared" si="24"/>
        <v>359.74124999999998</v>
      </c>
      <c r="M287" s="12">
        <v>2720</v>
      </c>
      <c r="N287" s="12">
        <v>408</v>
      </c>
      <c r="O287" s="12">
        <v>378.67500000000001</v>
      </c>
      <c r="P287" s="12" t="s">
        <v>243</v>
      </c>
      <c r="Q287" s="12" t="s">
        <v>234</v>
      </c>
      <c r="R287" s="12" t="s">
        <v>228</v>
      </c>
      <c r="T287" s="12" t="s">
        <v>228</v>
      </c>
      <c r="U287" s="12" t="s">
        <v>228</v>
      </c>
      <c r="V287" s="12"/>
      <c r="W287" s="12"/>
    </row>
    <row r="288" spans="2:23">
      <c r="B288" s="26" t="s">
        <v>554</v>
      </c>
      <c r="C288" s="12" t="s">
        <v>228</v>
      </c>
      <c r="D288" s="12" t="s">
        <v>228</v>
      </c>
      <c r="E288" s="12" t="s">
        <v>241</v>
      </c>
      <c r="F288" s="12" t="s">
        <v>242</v>
      </c>
      <c r="G288" s="5" t="s">
        <v>224</v>
      </c>
      <c r="H288" s="12">
        <f t="shared" si="22"/>
        <v>2622</v>
      </c>
      <c r="I288" s="12" t="s">
        <v>1140</v>
      </c>
      <c r="J288" s="12" t="s">
        <v>228</v>
      </c>
      <c r="K288" s="12">
        <f t="shared" si="23"/>
        <v>434.70000000000005</v>
      </c>
      <c r="L288" s="12">
        <f t="shared" si="24"/>
        <v>367.43624999999997</v>
      </c>
      <c r="M288" s="12">
        <v>2760</v>
      </c>
      <c r="N288" s="12">
        <v>414</v>
      </c>
      <c r="O288" s="12">
        <v>386.77499999999998</v>
      </c>
      <c r="P288" s="12" t="s">
        <v>243</v>
      </c>
      <c r="Q288" s="12" t="s">
        <v>234</v>
      </c>
      <c r="R288" s="12" t="s">
        <v>228</v>
      </c>
      <c r="T288" s="12" t="s">
        <v>228</v>
      </c>
      <c r="U288" s="12" t="s">
        <v>228</v>
      </c>
      <c r="V288" s="12"/>
      <c r="W288" s="12"/>
    </row>
    <row r="289" spans="2:23">
      <c r="B289" s="26" t="s">
        <v>555</v>
      </c>
      <c r="C289" s="12" t="s">
        <v>228</v>
      </c>
      <c r="D289" s="12" t="s">
        <v>228</v>
      </c>
      <c r="E289" s="12" t="s">
        <v>241</v>
      </c>
      <c r="F289" s="12" t="s">
        <v>242</v>
      </c>
      <c r="G289" s="5" t="s">
        <v>224</v>
      </c>
      <c r="H289" s="12">
        <f t="shared" si="22"/>
        <v>3693.6</v>
      </c>
      <c r="I289" s="12" t="s">
        <v>1140</v>
      </c>
      <c r="J289" s="12" t="s">
        <v>228</v>
      </c>
      <c r="K289" s="12">
        <f t="shared" si="23"/>
        <v>604.80000000000007</v>
      </c>
      <c r="L289" s="12">
        <f t="shared" si="24"/>
        <v>684</v>
      </c>
      <c r="M289" s="12">
        <v>3888</v>
      </c>
      <c r="N289" s="12">
        <v>576</v>
      </c>
      <c r="O289" s="12">
        <v>720</v>
      </c>
      <c r="P289" s="12" t="s">
        <v>243</v>
      </c>
      <c r="Q289" s="12" t="s">
        <v>234</v>
      </c>
      <c r="R289" s="12" t="s">
        <v>228</v>
      </c>
      <c r="T289" s="12" t="s">
        <v>228</v>
      </c>
      <c r="U289" s="12" t="s">
        <v>228</v>
      </c>
      <c r="V289" s="12"/>
      <c r="W289" s="12"/>
    </row>
    <row r="290" spans="2:23">
      <c r="B290" s="26" t="s">
        <v>556</v>
      </c>
      <c r="C290" s="12" t="s">
        <v>228</v>
      </c>
      <c r="D290" s="12" t="s">
        <v>228</v>
      </c>
      <c r="E290" s="12" t="s">
        <v>241</v>
      </c>
      <c r="F290" s="12" t="s">
        <v>242</v>
      </c>
      <c r="G290" s="5" t="s">
        <v>224</v>
      </c>
      <c r="H290" s="12">
        <f t="shared" si="22"/>
        <v>0</v>
      </c>
      <c r="I290" s="12" t="s">
        <v>1140</v>
      </c>
      <c r="J290" s="12" t="s">
        <v>228</v>
      </c>
      <c r="K290" s="12">
        <f t="shared" si="23"/>
        <v>0</v>
      </c>
      <c r="L290" s="12">
        <f t="shared" si="24"/>
        <v>0</v>
      </c>
      <c r="M290" s="12"/>
      <c r="N290" s="12"/>
      <c r="O290" s="12"/>
      <c r="P290" s="12" t="s">
        <v>243</v>
      </c>
      <c r="Q290" s="12" t="s">
        <v>234</v>
      </c>
      <c r="R290" s="12" t="s">
        <v>228</v>
      </c>
      <c r="T290" s="12" t="s">
        <v>228</v>
      </c>
      <c r="U290" s="12" t="s">
        <v>228</v>
      </c>
      <c r="V290" s="12"/>
      <c r="W290" s="12"/>
    </row>
    <row r="291" spans="2:23">
      <c r="B291" s="26" t="s">
        <v>557</v>
      </c>
      <c r="C291" s="12" t="s">
        <v>228</v>
      </c>
      <c r="D291" s="12" t="s">
        <v>228</v>
      </c>
      <c r="E291" s="12" t="s">
        <v>241</v>
      </c>
      <c r="F291" s="12" t="s">
        <v>242</v>
      </c>
      <c r="G291" s="5" t="s">
        <v>224</v>
      </c>
      <c r="H291" s="12">
        <f t="shared" si="22"/>
        <v>0</v>
      </c>
      <c r="I291" s="12" t="s">
        <v>1140</v>
      </c>
      <c r="J291" s="12" t="s">
        <v>228</v>
      </c>
      <c r="K291" s="12">
        <f t="shared" si="23"/>
        <v>0</v>
      </c>
      <c r="L291" s="12">
        <f t="shared" si="24"/>
        <v>0</v>
      </c>
      <c r="M291" s="12"/>
      <c r="N291" s="12"/>
      <c r="O291" s="12"/>
      <c r="P291" s="12" t="s">
        <v>243</v>
      </c>
      <c r="Q291" s="12" t="s">
        <v>234</v>
      </c>
      <c r="R291" s="12" t="s">
        <v>228</v>
      </c>
      <c r="T291" s="12" t="s">
        <v>228</v>
      </c>
      <c r="U291" s="12" t="s">
        <v>228</v>
      </c>
      <c r="V291" s="12"/>
      <c r="W291" s="12"/>
    </row>
    <row r="292" spans="2:23">
      <c r="B292" s="26" t="s">
        <v>558</v>
      </c>
      <c r="C292" s="12" t="s">
        <v>228</v>
      </c>
      <c r="D292" s="12" t="s">
        <v>228</v>
      </c>
      <c r="E292" s="12" t="s">
        <v>241</v>
      </c>
      <c r="F292" s="12" t="s">
        <v>242</v>
      </c>
      <c r="G292" s="5" t="s">
        <v>224</v>
      </c>
      <c r="H292" s="12">
        <f t="shared" si="22"/>
        <v>0</v>
      </c>
      <c r="I292" s="12" t="s">
        <v>1140</v>
      </c>
      <c r="J292" s="12" t="s">
        <v>228</v>
      </c>
      <c r="K292" s="12">
        <f t="shared" si="23"/>
        <v>0</v>
      </c>
      <c r="L292" s="12">
        <f t="shared" si="24"/>
        <v>0</v>
      </c>
      <c r="M292" s="12"/>
      <c r="N292" s="12"/>
      <c r="O292" s="12"/>
      <c r="P292" s="12" t="s">
        <v>243</v>
      </c>
      <c r="Q292" s="12" t="s">
        <v>234</v>
      </c>
      <c r="R292" s="12" t="s">
        <v>228</v>
      </c>
      <c r="T292" s="12" t="s">
        <v>228</v>
      </c>
      <c r="U292" s="12" t="s">
        <v>228</v>
      </c>
      <c r="V292" s="12"/>
      <c r="W292" s="12"/>
    </row>
    <row r="293" spans="2:23">
      <c r="B293" s="26"/>
      <c r="C293" s="12"/>
      <c r="D293" s="12"/>
      <c r="E293" s="12"/>
      <c r="F293" s="12"/>
      <c r="G293" s="5"/>
      <c r="H293" s="12"/>
      <c r="I293" s="12"/>
      <c r="J293" s="12"/>
      <c r="K293" s="12" t="str">
        <f t="shared" ref="K293" si="25">"防"&amp;I293</f>
        <v>防</v>
      </c>
      <c r="L293" s="12" t="str">
        <f t="shared" ref="L293" si="26">"攻"&amp;J293</f>
        <v>攻</v>
      </c>
      <c r="M293" s="12"/>
      <c r="N293" s="12"/>
      <c r="O293" s="12"/>
      <c r="P293" s="12"/>
      <c r="Q293" s="12"/>
      <c r="R293" s="12"/>
      <c r="T293" s="12"/>
      <c r="U293" s="12"/>
      <c r="V293" s="12"/>
      <c r="W293" s="12"/>
    </row>
    <row r="294" spans="2:23">
      <c r="B294" s="12" t="s">
        <v>559</v>
      </c>
      <c r="C294" s="12" t="s">
        <v>228</v>
      </c>
      <c r="D294" s="12" t="s">
        <v>228</v>
      </c>
      <c r="E294" s="12" t="s">
        <v>244</v>
      </c>
      <c r="F294" s="12" t="s">
        <v>242</v>
      </c>
      <c r="G294" s="5" t="s">
        <v>224</v>
      </c>
      <c r="H294" s="12">
        <f>M294*$Y$10</f>
        <v>378</v>
      </c>
      <c r="I294" s="12" t="s">
        <v>1141</v>
      </c>
      <c r="J294" s="12" t="s">
        <v>245</v>
      </c>
      <c r="K294" s="12">
        <f>N294*$Z$10</f>
        <v>46</v>
      </c>
      <c r="L294" s="12">
        <f>O294*$Y$10</f>
        <v>31.5</v>
      </c>
      <c r="M294" s="12">
        <v>360</v>
      </c>
      <c r="N294" s="12">
        <v>40</v>
      </c>
      <c r="O294" s="12">
        <v>30</v>
      </c>
      <c r="P294" s="12" t="s">
        <v>246</v>
      </c>
      <c r="Q294" s="12" t="s">
        <v>234</v>
      </c>
      <c r="R294" s="12" t="s">
        <v>228</v>
      </c>
      <c r="T294" s="12" t="s">
        <v>245</v>
      </c>
      <c r="U294" s="12" t="s">
        <v>245</v>
      </c>
      <c r="V294" s="12"/>
      <c r="W294" s="12"/>
    </row>
    <row r="295" spans="2:23">
      <c r="B295" s="12" t="s">
        <v>560</v>
      </c>
      <c r="C295" s="12" t="s">
        <v>228</v>
      </c>
      <c r="D295" s="12" t="s">
        <v>228</v>
      </c>
      <c r="E295" s="12" t="s">
        <v>244</v>
      </c>
      <c r="F295" s="12" t="s">
        <v>242</v>
      </c>
      <c r="G295" s="5" t="s">
        <v>224</v>
      </c>
      <c r="H295" s="12">
        <f t="shared" ref="H295:H341" si="27">M295*$Y$10</f>
        <v>434.70000000000005</v>
      </c>
      <c r="I295" s="12" t="s">
        <v>1141</v>
      </c>
      <c r="J295" s="12" t="s">
        <v>245</v>
      </c>
      <c r="K295" s="12">
        <f t="shared" ref="K295:K341" si="28">N295*$Z$10</f>
        <v>52.9</v>
      </c>
      <c r="L295" s="12">
        <f t="shared" ref="L295:L341" si="29">O295*$Y$10</f>
        <v>39.9</v>
      </c>
      <c r="M295" s="12">
        <v>414</v>
      </c>
      <c r="N295" s="12">
        <v>46</v>
      </c>
      <c r="O295" s="12">
        <v>38</v>
      </c>
      <c r="P295" s="12" t="s">
        <v>246</v>
      </c>
      <c r="Q295" s="12" t="s">
        <v>234</v>
      </c>
      <c r="R295" s="12" t="s">
        <v>228</v>
      </c>
      <c r="T295" s="12" t="s">
        <v>245</v>
      </c>
      <c r="U295" s="12" t="s">
        <v>245</v>
      </c>
      <c r="V295" s="12"/>
      <c r="W295" s="12"/>
    </row>
    <row r="296" spans="2:23">
      <c r="B296" s="12" t="s">
        <v>561</v>
      </c>
      <c r="C296" s="12" t="s">
        <v>228</v>
      </c>
      <c r="D296" s="12" t="s">
        <v>228</v>
      </c>
      <c r="E296" s="12" t="s">
        <v>244</v>
      </c>
      <c r="F296" s="12" t="s">
        <v>242</v>
      </c>
      <c r="G296" s="5" t="s">
        <v>224</v>
      </c>
      <c r="H296" s="12">
        <f t="shared" si="27"/>
        <v>453.6</v>
      </c>
      <c r="I296" s="12" t="s">
        <v>1141</v>
      </c>
      <c r="J296" s="12" t="s">
        <v>245</v>
      </c>
      <c r="K296" s="12">
        <f t="shared" si="28"/>
        <v>55.199999999999996</v>
      </c>
      <c r="L296" s="12">
        <f t="shared" si="29"/>
        <v>44.1</v>
      </c>
      <c r="M296" s="12">
        <v>432</v>
      </c>
      <c r="N296" s="12">
        <v>48</v>
      </c>
      <c r="O296" s="12">
        <v>42</v>
      </c>
      <c r="P296" s="12" t="s">
        <v>246</v>
      </c>
      <c r="Q296" s="12" t="s">
        <v>234</v>
      </c>
      <c r="R296" s="12" t="s">
        <v>228</v>
      </c>
      <c r="T296" s="12" t="s">
        <v>245</v>
      </c>
      <c r="U296" s="12" t="s">
        <v>245</v>
      </c>
      <c r="V296" s="12"/>
      <c r="W296" s="12"/>
    </row>
    <row r="297" spans="2:23">
      <c r="B297" s="12" t="s">
        <v>562</v>
      </c>
      <c r="C297" s="12" t="s">
        <v>228</v>
      </c>
      <c r="D297" s="12" t="s">
        <v>228</v>
      </c>
      <c r="E297" s="12" t="s">
        <v>244</v>
      </c>
      <c r="F297" s="12" t="s">
        <v>242</v>
      </c>
      <c r="G297" s="5" t="s">
        <v>224</v>
      </c>
      <c r="H297" s="12">
        <f t="shared" si="27"/>
        <v>472.5</v>
      </c>
      <c r="I297" s="12" t="s">
        <v>1141</v>
      </c>
      <c r="J297" s="12" t="s">
        <v>245</v>
      </c>
      <c r="K297" s="12">
        <f t="shared" si="28"/>
        <v>57.499999999999993</v>
      </c>
      <c r="L297" s="12">
        <f t="shared" si="29"/>
        <v>48.300000000000004</v>
      </c>
      <c r="M297" s="12">
        <v>450</v>
      </c>
      <c r="N297" s="12">
        <v>50</v>
      </c>
      <c r="O297" s="12">
        <v>46</v>
      </c>
      <c r="P297" s="12" t="s">
        <v>246</v>
      </c>
      <c r="Q297" s="12" t="s">
        <v>234</v>
      </c>
      <c r="R297" s="12" t="s">
        <v>228</v>
      </c>
      <c r="T297" s="12" t="s">
        <v>245</v>
      </c>
      <c r="U297" s="12" t="s">
        <v>245</v>
      </c>
      <c r="V297" s="12"/>
      <c r="W297" s="12"/>
    </row>
    <row r="298" spans="2:23">
      <c r="B298" s="12" t="s">
        <v>563</v>
      </c>
      <c r="C298" s="12" t="s">
        <v>228</v>
      </c>
      <c r="D298" s="12" t="s">
        <v>228</v>
      </c>
      <c r="E298" s="12" t="s">
        <v>244</v>
      </c>
      <c r="F298" s="12" t="s">
        <v>242</v>
      </c>
      <c r="G298" s="5" t="s">
        <v>224</v>
      </c>
      <c r="H298" s="12">
        <f t="shared" si="27"/>
        <v>491.40000000000003</v>
      </c>
      <c r="I298" s="12" t="s">
        <v>1141</v>
      </c>
      <c r="J298" s="12" t="s">
        <v>245</v>
      </c>
      <c r="K298" s="12">
        <f t="shared" si="28"/>
        <v>59.8</v>
      </c>
      <c r="L298" s="12">
        <f t="shared" si="29"/>
        <v>52.5</v>
      </c>
      <c r="M298" s="12">
        <v>468</v>
      </c>
      <c r="N298" s="12">
        <v>52</v>
      </c>
      <c r="O298" s="12">
        <v>50</v>
      </c>
      <c r="P298" s="12" t="s">
        <v>246</v>
      </c>
      <c r="Q298" s="12" t="s">
        <v>234</v>
      </c>
      <c r="R298" s="12" t="s">
        <v>228</v>
      </c>
      <c r="T298" s="12" t="s">
        <v>245</v>
      </c>
      <c r="U298" s="12" t="s">
        <v>245</v>
      </c>
      <c r="V298" s="12"/>
      <c r="W298" s="12"/>
    </row>
    <row r="299" spans="2:23">
      <c r="B299" s="12" t="s">
        <v>564</v>
      </c>
      <c r="C299" s="12" t="s">
        <v>228</v>
      </c>
      <c r="D299" s="12" t="s">
        <v>228</v>
      </c>
      <c r="E299" s="12" t="s">
        <v>244</v>
      </c>
      <c r="F299" s="12" t="s">
        <v>242</v>
      </c>
      <c r="G299" s="5" t="s">
        <v>224</v>
      </c>
      <c r="H299" s="12">
        <f t="shared" si="27"/>
        <v>510.3</v>
      </c>
      <c r="I299" s="12" t="s">
        <v>1141</v>
      </c>
      <c r="J299" s="12" t="s">
        <v>245</v>
      </c>
      <c r="K299" s="12">
        <f t="shared" si="28"/>
        <v>62.099999999999994</v>
      </c>
      <c r="L299" s="12">
        <f t="shared" si="29"/>
        <v>56.7</v>
      </c>
      <c r="M299" s="12">
        <v>486</v>
      </c>
      <c r="N299" s="12">
        <v>54</v>
      </c>
      <c r="O299" s="12">
        <v>54</v>
      </c>
      <c r="P299" s="12" t="s">
        <v>246</v>
      </c>
      <c r="Q299" s="12" t="s">
        <v>234</v>
      </c>
      <c r="R299" s="12" t="s">
        <v>228</v>
      </c>
      <c r="T299" s="12" t="s">
        <v>245</v>
      </c>
      <c r="U299" s="12" t="s">
        <v>245</v>
      </c>
      <c r="V299" s="12"/>
      <c r="W299" s="12"/>
    </row>
    <row r="300" spans="2:23">
      <c r="B300" s="12" t="s">
        <v>565</v>
      </c>
      <c r="C300" s="12" t="s">
        <v>228</v>
      </c>
      <c r="D300" s="12" t="s">
        <v>228</v>
      </c>
      <c r="E300" s="12" t="s">
        <v>244</v>
      </c>
      <c r="F300" s="12" t="s">
        <v>242</v>
      </c>
      <c r="G300" s="5" t="s">
        <v>224</v>
      </c>
      <c r="H300" s="12">
        <f t="shared" si="27"/>
        <v>529.20000000000005</v>
      </c>
      <c r="I300" s="12" t="s">
        <v>1141</v>
      </c>
      <c r="J300" s="12" t="s">
        <v>245</v>
      </c>
      <c r="K300" s="12">
        <f t="shared" si="28"/>
        <v>64.399999999999991</v>
      </c>
      <c r="L300" s="12">
        <f t="shared" si="29"/>
        <v>60.900000000000006</v>
      </c>
      <c r="M300" s="12">
        <v>504</v>
      </c>
      <c r="N300" s="12">
        <v>56</v>
      </c>
      <c r="O300" s="12">
        <v>58</v>
      </c>
      <c r="P300" s="12" t="s">
        <v>246</v>
      </c>
      <c r="Q300" s="12" t="s">
        <v>234</v>
      </c>
      <c r="R300" s="12" t="s">
        <v>228</v>
      </c>
      <c r="T300" s="12" t="s">
        <v>245</v>
      </c>
      <c r="U300" s="12" t="s">
        <v>245</v>
      </c>
      <c r="V300" s="12"/>
      <c r="W300" s="12"/>
    </row>
    <row r="301" spans="2:23">
      <c r="B301" s="12" t="s">
        <v>566</v>
      </c>
      <c r="C301" s="12" t="s">
        <v>228</v>
      </c>
      <c r="D301" s="12" t="s">
        <v>228</v>
      </c>
      <c r="E301" s="12" t="s">
        <v>244</v>
      </c>
      <c r="F301" s="12" t="s">
        <v>242</v>
      </c>
      <c r="G301" s="5" t="s">
        <v>224</v>
      </c>
      <c r="H301" s="12">
        <f t="shared" si="27"/>
        <v>548.1</v>
      </c>
      <c r="I301" s="12" t="s">
        <v>1141</v>
      </c>
      <c r="J301" s="12" t="s">
        <v>245</v>
      </c>
      <c r="K301" s="12">
        <f t="shared" si="28"/>
        <v>66.699999999999989</v>
      </c>
      <c r="L301" s="12">
        <f t="shared" si="29"/>
        <v>65.100000000000009</v>
      </c>
      <c r="M301" s="12">
        <v>522</v>
      </c>
      <c r="N301" s="12">
        <v>58</v>
      </c>
      <c r="O301" s="12">
        <v>62</v>
      </c>
      <c r="P301" s="12" t="s">
        <v>246</v>
      </c>
      <c r="Q301" s="12" t="s">
        <v>234</v>
      </c>
      <c r="R301" s="12" t="s">
        <v>228</v>
      </c>
      <c r="T301" s="12" t="s">
        <v>245</v>
      </c>
      <c r="U301" s="12" t="s">
        <v>245</v>
      </c>
      <c r="V301" s="12"/>
      <c r="W301" s="12"/>
    </row>
    <row r="302" spans="2:23">
      <c r="B302" s="12" t="s">
        <v>567</v>
      </c>
      <c r="C302" s="12" t="s">
        <v>228</v>
      </c>
      <c r="D302" s="12" t="s">
        <v>228</v>
      </c>
      <c r="E302" s="12" t="s">
        <v>244</v>
      </c>
      <c r="F302" s="12" t="s">
        <v>242</v>
      </c>
      <c r="G302" s="5" t="s">
        <v>224</v>
      </c>
      <c r="H302" s="12">
        <f t="shared" si="27"/>
        <v>567</v>
      </c>
      <c r="I302" s="12" t="s">
        <v>1141</v>
      </c>
      <c r="J302" s="12" t="s">
        <v>245</v>
      </c>
      <c r="K302" s="12">
        <f t="shared" si="28"/>
        <v>69</v>
      </c>
      <c r="L302" s="12">
        <f t="shared" si="29"/>
        <v>69.3</v>
      </c>
      <c r="M302" s="12">
        <v>540</v>
      </c>
      <c r="N302" s="12">
        <v>60</v>
      </c>
      <c r="O302" s="12">
        <v>66</v>
      </c>
      <c r="P302" s="12" t="s">
        <v>246</v>
      </c>
      <c r="Q302" s="12" t="s">
        <v>234</v>
      </c>
      <c r="R302" s="12" t="s">
        <v>228</v>
      </c>
      <c r="T302" s="12" t="s">
        <v>245</v>
      </c>
      <c r="U302" s="12" t="s">
        <v>245</v>
      </c>
      <c r="V302" s="12"/>
      <c r="W302" s="12"/>
    </row>
    <row r="303" spans="2:23">
      <c r="B303" s="12" t="s">
        <v>568</v>
      </c>
      <c r="C303" s="12" t="s">
        <v>228</v>
      </c>
      <c r="D303" s="12" t="s">
        <v>228</v>
      </c>
      <c r="E303" s="12" t="s">
        <v>244</v>
      </c>
      <c r="F303" s="12" t="s">
        <v>242</v>
      </c>
      <c r="G303" s="5" t="s">
        <v>224</v>
      </c>
      <c r="H303" s="12">
        <f t="shared" si="27"/>
        <v>585.9</v>
      </c>
      <c r="I303" s="12" t="s">
        <v>1141</v>
      </c>
      <c r="J303" s="12" t="s">
        <v>245</v>
      </c>
      <c r="K303" s="12">
        <f t="shared" si="28"/>
        <v>71.3</v>
      </c>
      <c r="L303" s="12">
        <f t="shared" si="29"/>
        <v>73.5</v>
      </c>
      <c r="M303" s="12">
        <v>558</v>
      </c>
      <c r="N303" s="12">
        <v>62</v>
      </c>
      <c r="O303" s="12">
        <v>70</v>
      </c>
      <c r="P303" s="12" t="s">
        <v>246</v>
      </c>
      <c r="Q303" s="12" t="s">
        <v>234</v>
      </c>
      <c r="R303" s="12" t="s">
        <v>228</v>
      </c>
      <c r="T303" s="12" t="s">
        <v>245</v>
      </c>
      <c r="U303" s="12" t="s">
        <v>245</v>
      </c>
      <c r="V303" s="12"/>
      <c r="W303" s="12"/>
    </row>
    <row r="304" spans="2:23">
      <c r="B304" s="12" t="s">
        <v>569</v>
      </c>
      <c r="C304" s="12" t="s">
        <v>228</v>
      </c>
      <c r="D304" s="12" t="s">
        <v>228</v>
      </c>
      <c r="E304" s="12" t="s">
        <v>244</v>
      </c>
      <c r="F304" s="12" t="s">
        <v>242</v>
      </c>
      <c r="G304" s="5" t="s">
        <v>224</v>
      </c>
      <c r="H304" s="12">
        <f t="shared" si="27"/>
        <v>604.80000000000007</v>
      </c>
      <c r="I304" s="12" t="s">
        <v>1141</v>
      </c>
      <c r="J304" s="12" t="s">
        <v>245</v>
      </c>
      <c r="K304" s="12">
        <f t="shared" si="28"/>
        <v>73.599999999999994</v>
      </c>
      <c r="L304" s="12">
        <f t="shared" si="29"/>
        <v>77.7</v>
      </c>
      <c r="M304" s="12">
        <v>576</v>
      </c>
      <c r="N304" s="12">
        <v>64</v>
      </c>
      <c r="O304" s="12">
        <v>74</v>
      </c>
      <c r="P304" s="12" t="s">
        <v>246</v>
      </c>
      <c r="Q304" s="12" t="s">
        <v>234</v>
      </c>
      <c r="R304" s="12" t="s">
        <v>228</v>
      </c>
      <c r="T304" s="12" t="s">
        <v>245</v>
      </c>
      <c r="U304" s="12" t="s">
        <v>245</v>
      </c>
      <c r="V304" s="12"/>
      <c r="W304" s="12"/>
    </row>
    <row r="305" spans="2:23">
      <c r="B305" s="12" t="s">
        <v>570</v>
      </c>
      <c r="C305" s="12" t="s">
        <v>228</v>
      </c>
      <c r="D305" s="12" t="s">
        <v>228</v>
      </c>
      <c r="E305" s="12" t="s">
        <v>244</v>
      </c>
      <c r="F305" s="12" t="s">
        <v>242</v>
      </c>
      <c r="G305" s="5" t="s">
        <v>224</v>
      </c>
      <c r="H305" s="12">
        <f t="shared" si="27"/>
        <v>623.70000000000005</v>
      </c>
      <c r="I305" s="12" t="s">
        <v>1141</v>
      </c>
      <c r="J305" s="12" t="s">
        <v>245</v>
      </c>
      <c r="K305" s="12">
        <f t="shared" si="28"/>
        <v>75.899999999999991</v>
      </c>
      <c r="L305" s="12">
        <f t="shared" si="29"/>
        <v>81.900000000000006</v>
      </c>
      <c r="M305" s="12">
        <v>594</v>
      </c>
      <c r="N305" s="12">
        <v>66</v>
      </c>
      <c r="O305" s="12">
        <v>78</v>
      </c>
      <c r="P305" s="12" t="s">
        <v>246</v>
      </c>
      <c r="Q305" s="12" t="s">
        <v>234</v>
      </c>
      <c r="R305" s="12" t="s">
        <v>228</v>
      </c>
      <c r="T305" s="12" t="s">
        <v>245</v>
      </c>
      <c r="U305" s="12" t="s">
        <v>245</v>
      </c>
      <c r="V305" s="12"/>
      <c r="W305" s="12"/>
    </row>
    <row r="306" spans="2:23">
      <c r="B306" s="12" t="s">
        <v>571</v>
      </c>
      <c r="C306" s="12" t="s">
        <v>228</v>
      </c>
      <c r="D306" s="12" t="s">
        <v>228</v>
      </c>
      <c r="E306" s="12" t="s">
        <v>244</v>
      </c>
      <c r="F306" s="12" t="s">
        <v>242</v>
      </c>
      <c r="G306" s="5" t="s">
        <v>224</v>
      </c>
      <c r="H306" s="12">
        <f t="shared" si="27"/>
        <v>642.6</v>
      </c>
      <c r="I306" s="12" t="s">
        <v>1141</v>
      </c>
      <c r="J306" s="12" t="s">
        <v>245</v>
      </c>
      <c r="K306" s="12">
        <f t="shared" si="28"/>
        <v>78.199999999999989</v>
      </c>
      <c r="L306" s="12">
        <f t="shared" si="29"/>
        <v>86.100000000000009</v>
      </c>
      <c r="M306" s="12">
        <v>612</v>
      </c>
      <c r="N306" s="12">
        <v>68</v>
      </c>
      <c r="O306" s="12">
        <v>82</v>
      </c>
      <c r="P306" s="12" t="s">
        <v>246</v>
      </c>
      <c r="Q306" s="12" t="s">
        <v>234</v>
      </c>
      <c r="R306" s="12" t="s">
        <v>228</v>
      </c>
      <c r="T306" s="12" t="s">
        <v>245</v>
      </c>
      <c r="U306" s="12" t="s">
        <v>245</v>
      </c>
      <c r="V306" s="12"/>
      <c r="W306" s="12"/>
    </row>
    <row r="307" spans="2:23">
      <c r="B307" s="12" t="s">
        <v>572</v>
      </c>
      <c r="C307" s="12" t="s">
        <v>228</v>
      </c>
      <c r="D307" s="12" t="s">
        <v>228</v>
      </c>
      <c r="E307" s="12" t="s">
        <v>244</v>
      </c>
      <c r="F307" s="12" t="s">
        <v>242</v>
      </c>
      <c r="G307" s="5" t="s">
        <v>224</v>
      </c>
      <c r="H307" s="12">
        <f t="shared" si="27"/>
        <v>661.5</v>
      </c>
      <c r="I307" s="12" t="s">
        <v>1141</v>
      </c>
      <c r="J307" s="12" t="s">
        <v>245</v>
      </c>
      <c r="K307" s="12">
        <f t="shared" si="28"/>
        <v>80.5</v>
      </c>
      <c r="L307" s="12">
        <f t="shared" si="29"/>
        <v>90.3</v>
      </c>
      <c r="M307" s="12">
        <v>630</v>
      </c>
      <c r="N307" s="12">
        <v>70</v>
      </c>
      <c r="O307" s="12">
        <v>86</v>
      </c>
      <c r="P307" s="12" t="s">
        <v>246</v>
      </c>
      <c r="Q307" s="12" t="s">
        <v>234</v>
      </c>
      <c r="R307" s="12" t="s">
        <v>228</v>
      </c>
      <c r="T307" s="12" t="s">
        <v>245</v>
      </c>
      <c r="U307" s="12" t="s">
        <v>245</v>
      </c>
      <c r="V307" s="12"/>
      <c r="W307" s="12"/>
    </row>
    <row r="308" spans="2:23">
      <c r="B308" s="12" t="s">
        <v>573</v>
      </c>
      <c r="C308" s="12" t="s">
        <v>228</v>
      </c>
      <c r="D308" s="12" t="s">
        <v>228</v>
      </c>
      <c r="E308" s="12" t="s">
        <v>244</v>
      </c>
      <c r="F308" s="12" t="s">
        <v>242</v>
      </c>
      <c r="G308" s="5" t="s">
        <v>224</v>
      </c>
      <c r="H308" s="12">
        <f t="shared" si="27"/>
        <v>1117.2</v>
      </c>
      <c r="I308" s="12" t="s">
        <v>1141</v>
      </c>
      <c r="J308" s="12" t="s">
        <v>245</v>
      </c>
      <c r="K308" s="12">
        <f t="shared" si="28"/>
        <v>174.79999999999998</v>
      </c>
      <c r="L308" s="12">
        <f t="shared" si="29"/>
        <v>127.575</v>
      </c>
      <c r="M308" s="12">
        <v>1064</v>
      </c>
      <c r="N308" s="12">
        <v>152</v>
      </c>
      <c r="O308" s="12">
        <v>121.5</v>
      </c>
      <c r="P308" s="12" t="s">
        <v>246</v>
      </c>
      <c r="Q308" s="12" t="s">
        <v>234</v>
      </c>
      <c r="R308" s="12" t="s">
        <v>228</v>
      </c>
      <c r="T308" s="12" t="s">
        <v>245</v>
      </c>
      <c r="U308" s="12" t="s">
        <v>245</v>
      </c>
      <c r="V308" s="12"/>
      <c r="W308" s="12"/>
    </row>
    <row r="309" spans="2:23">
      <c r="B309" s="12" t="s">
        <v>574</v>
      </c>
      <c r="C309" s="12" t="s">
        <v>228</v>
      </c>
      <c r="D309" s="12" t="s">
        <v>228</v>
      </c>
      <c r="E309" s="12" t="s">
        <v>244</v>
      </c>
      <c r="F309" s="12" t="s">
        <v>242</v>
      </c>
      <c r="G309" s="5" t="s">
        <v>224</v>
      </c>
      <c r="H309" s="12">
        <f t="shared" si="27"/>
        <v>1146.6000000000001</v>
      </c>
      <c r="I309" s="12" t="s">
        <v>1141</v>
      </c>
      <c r="J309" s="12" t="s">
        <v>245</v>
      </c>
      <c r="K309" s="12">
        <f t="shared" si="28"/>
        <v>179.39999999999998</v>
      </c>
      <c r="L309" s="12">
        <f t="shared" si="29"/>
        <v>133.95374999999999</v>
      </c>
      <c r="M309" s="12">
        <v>1092</v>
      </c>
      <c r="N309" s="12">
        <v>156</v>
      </c>
      <c r="O309" s="12">
        <v>127.57499999999999</v>
      </c>
      <c r="P309" s="12" t="s">
        <v>246</v>
      </c>
      <c r="Q309" s="12" t="s">
        <v>234</v>
      </c>
      <c r="R309" s="12" t="s">
        <v>228</v>
      </c>
      <c r="T309" s="12" t="s">
        <v>245</v>
      </c>
      <c r="U309" s="12" t="s">
        <v>245</v>
      </c>
      <c r="V309" s="12"/>
      <c r="W309" s="12"/>
    </row>
    <row r="310" spans="2:23">
      <c r="B310" s="12" t="s">
        <v>575</v>
      </c>
      <c r="C310" s="12" t="s">
        <v>228</v>
      </c>
      <c r="D310" s="12" t="s">
        <v>228</v>
      </c>
      <c r="E310" s="12" t="s">
        <v>244</v>
      </c>
      <c r="F310" s="12" t="s">
        <v>242</v>
      </c>
      <c r="G310" s="5" t="s">
        <v>224</v>
      </c>
      <c r="H310" s="12">
        <f t="shared" si="27"/>
        <v>1176</v>
      </c>
      <c r="I310" s="12" t="s">
        <v>1141</v>
      </c>
      <c r="J310" s="12" t="s">
        <v>245</v>
      </c>
      <c r="K310" s="12">
        <f t="shared" si="28"/>
        <v>184</v>
      </c>
      <c r="L310" s="12">
        <f t="shared" si="29"/>
        <v>140.33250000000001</v>
      </c>
      <c r="M310" s="12">
        <v>1120</v>
      </c>
      <c r="N310" s="12">
        <v>160</v>
      </c>
      <c r="O310" s="12">
        <v>133.65</v>
      </c>
      <c r="P310" s="12" t="s">
        <v>246</v>
      </c>
      <c r="Q310" s="12" t="s">
        <v>234</v>
      </c>
      <c r="R310" s="12" t="s">
        <v>228</v>
      </c>
      <c r="T310" s="12" t="s">
        <v>245</v>
      </c>
      <c r="U310" s="12" t="s">
        <v>245</v>
      </c>
      <c r="V310" s="12"/>
      <c r="W310" s="12"/>
    </row>
    <row r="311" spans="2:23">
      <c r="B311" s="12" t="s">
        <v>576</v>
      </c>
      <c r="C311" s="12" t="s">
        <v>228</v>
      </c>
      <c r="D311" s="12" t="s">
        <v>228</v>
      </c>
      <c r="E311" s="12" t="s">
        <v>244</v>
      </c>
      <c r="F311" s="12" t="s">
        <v>242</v>
      </c>
      <c r="G311" s="5" t="s">
        <v>224</v>
      </c>
      <c r="H311" s="12">
        <f t="shared" si="27"/>
        <v>1205.4000000000001</v>
      </c>
      <c r="I311" s="12" t="s">
        <v>1141</v>
      </c>
      <c r="J311" s="12" t="s">
        <v>245</v>
      </c>
      <c r="K311" s="12">
        <f t="shared" si="28"/>
        <v>188.6</v>
      </c>
      <c r="L311" s="12">
        <f t="shared" si="29"/>
        <v>146.71125000000001</v>
      </c>
      <c r="M311" s="12">
        <v>1148</v>
      </c>
      <c r="N311" s="12">
        <v>164</v>
      </c>
      <c r="O311" s="12">
        <v>139.72499999999999</v>
      </c>
      <c r="P311" s="12" t="s">
        <v>246</v>
      </c>
      <c r="Q311" s="12" t="s">
        <v>234</v>
      </c>
      <c r="R311" s="12" t="s">
        <v>228</v>
      </c>
      <c r="T311" s="12" t="s">
        <v>245</v>
      </c>
      <c r="U311" s="12" t="s">
        <v>245</v>
      </c>
      <c r="V311" s="12"/>
      <c r="W311" s="12"/>
    </row>
    <row r="312" spans="2:23">
      <c r="B312" s="12" t="s">
        <v>577</v>
      </c>
      <c r="C312" s="12" t="s">
        <v>228</v>
      </c>
      <c r="D312" s="12" t="s">
        <v>228</v>
      </c>
      <c r="E312" s="12" t="s">
        <v>244</v>
      </c>
      <c r="F312" s="12" t="s">
        <v>242</v>
      </c>
      <c r="G312" s="5" t="s">
        <v>224</v>
      </c>
      <c r="H312" s="12">
        <f t="shared" si="27"/>
        <v>1234.8</v>
      </c>
      <c r="I312" s="12" t="s">
        <v>1141</v>
      </c>
      <c r="J312" s="12" t="s">
        <v>245</v>
      </c>
      <c r="K312" s="12">
        <f t="shared" si="28"/>
        <v>193.2</v>
      </c>
      <c r="L312" s="12">
        <f t="shared" si="29"/>
        <v>153.08999999999997</v>
      </c>
      <c r="M312" s="12">
        <v>1176</v>
      </c>
      <c r="N312" s="12">
        <v>168</v>
      </c>
      <c r="O312" s="12">
        <v>145.79999999999998</v>
      </c>
      <c r="P312" s="12" t="s">
        <v>246</v>
      </c>
      <c r="Q312" s="12" t="s">
        <v>234</v>
      </c>
      <c r="R312" s="12" t="s">
        <v>228</v>
      </c>
      <c r="T312" s="12" t="s">
        <v>245</v>
      </c>
      <c r="U312" s="12" t="s">
        <v>245</v>
      </c>
      <c r="V312" s="12"/>
      <c r="W312" s="12"/>
    </row>
    <row r="313" spans="2:23">
      <c r="B313" s="12" t="s">
        <v>578</v>
      </c>
      <c r="C313" s="12" t="s">
        <v>228</v>
      </c>
      <c r="D313" s="12" t="s">
        <v>228</v>
      </c>
      <c r="E313" s="12" t="s">
        <v>244</v>
      </c>
      <c r="F313" s="12" t="s">
        <v>242</v>
      </c>
      <c r="G313" s="5" t="s">
        <v>224</v>
      </c>
      <c r="H313" s="12">
        <f t="shared" si="27"/>
        <v>1264.2</v>
      </c>
      <c r="I313" s="12" t="s">
        <v>1141</v>
      </c>
      <c r="J313" s="12" t="s">
        <v>245</v>
      </c>
      <c r="K313" s="12">
        <f t="shared" si="28"/>
        <v>197.79999999999998</v>
      </c>
      <c r="L313" s="12">
        <f t="shared" si="29"/>
        <v>159.46875</v>
      </c>
      <c r="M313" s="12">
        <v>1204</v>
      </c>
      <c r="N313" s="12">
        <v>172</v>
      </c>
      <c r="O313" s="12">
        <v>151.875</v>
      </c>
      <c r="P313" s="12" t="s">
        <v>246</v>
      </c>
      <c r="Q313" s="12" t="s">
        <v>234</v>
      </c>
      <c r="R313" s="12" t="s">
        <v>228</v>
      </c>
      <c r="T313" s="12" t="s">
        <v>245</v>
      </c>
      <c r="U313" s="12" t="s">
        <v>245</v>
      </c>
      <c r="V313" s="12"/>
      <c r="W313" s="12"/>
    </row>
    <row r="314" spans="2:23">
      <c r="B314" s="12" t="s">
        <v>579</v>
      </c>
      <c r="C314" s="12" t="s">
        <v>228</v>
      </c>
      <c r="D314" s="12" t="s">
        <v>228</v>
      </c>
      <c r="E314" s="12" t="s">
        <v>244</v>
      </c>
      <c r="F314" s="12" t="s">
        <v>242</v>
      </c>
      <c r="G314" s="5" t="s">
        <v>224</v>
      </c>
      <c r="H314" s="12">
        <f t="shared" si="27"/>
        <v>1293.6000000000001</v>
      </c>
      <c r="I314" s="12" t="s">
        <v>1141</v>
      </c>
      <c r="J314" s="12" t="s">
        <v>245</v>
      </c>
      <c r="K314" s="12">
        <f t="shared" si="28"/>
        <v>202.39999999999998</v>
      </c>
      <c r="L314" s="12">
        <f t="shared" si="29"/>
        <v>165.8475</v>
      </c>
      <c r="M314" s="12">
        <v>1232</v>
      </c>
      <c r="N314" s="12">
        <v>176</v>
      </c>
      <c r="O314" s="12">
        <v>157.94999999999999</v>
      </c>
      <c r="P314" s="12" t="s">
        <v>246</v>
      </c>
      <c r="Q314" s="12" t="s">
        <v>234</v>
      </c>
      <c r="R314" s="12" t="s">
        <v>228</v>
      </c>
      <c r="T314" s="12" t="s">
        <v>245</v>
      </c>
      <c r="U314" s="12" t="s">
        <v>245</v>
      </c>
      <c r="V314" s="12"/>
      <c r="W314" s="12"/>
    </row>
    <row r="315" spans="2:23">
      <c r="B315" s="12" t="s">
        <v>580</v>
      </c>
      <c r="C315" s="12" t="s">
        <v>228</v>
      </c>
      <c r="D315" s="12" t="s">
        <v>228</v>
      </c>
      <c r="E315" s="12" t="s">
        <v>244</v>
      </c>
      <c r="F315" s="12" t="s">
        <v>242</v>
      </c>
      <c r="G315" s="5" t="s">
        <v>224</v>
      </c>
      <c r="H315" s="12">
        <f t="shared" si="27"/>
        <v>1323</v>
      </c>
      <c r="I315" s="12" t="s">
        <v>1141</v>
      </c>
      <c r="J315" s="12" t="s">
        <v>245</v>
      </c>
      <c r="K315" s="12">
        <f t="shared" si="28"/>
        <v>206.99999999999997</v>
      </c>
      <c r="L315" s="12">
        <f t="shared" si="29"/>
        <v>172.22625000000002</v>
      </c>
      <c r="M315" s="12">
        <v>1260</v>
      </c>
      <c r="N315" s="12">
        <v>180</v>
      </c>
      <c r="O315" s="12">
        <v>164.02500000000001</v>
      </c>
      <c r="P315" s="12" t="s">
        <v>246</v>
      </c>
      <c r="Q315" s="12" t="s">
        <v>234</v>
      </c>
      <c r="R315" s="12" t="s">
        <v>228</v>
      </c>
      <c r="T315" s="12" t="s">
        <v>245</v>
      </c>
      <c r="U315" s="12" t="s">
        <v>245</v>
      </c>
      <c r="V315" s="12"/>
      <c r="W315" s="12"/>
    </row>
    <row r="316" spans="2:23">
      <c r="B316" s="12" t="s">
        <v>581</v>
      </c>
      <c r="C316" s="12" t="s">
        <v>228</v>
      </c>
      <c r="D316" s="12" t="s">
        <v>228</v>
      </c>
      <c r="E316" s="12" t="s">
        <v>244</v>
      </c>
      <c r="F316" s="12" t="s">
        <v>242</v>
      </c>
      <c r="G316" s="5" t="s">
        <v>224</v>
      </c>
      <c r="H316" s="12">
        <f t="shared" si="27"/>
        <v>1352.4</v>
      </c>
      <c r="I316" s="12" t="s">
        <v>1141</v>
      </c>
      <c r="J316" s="12" t="s">
        <v>245</v>
      </c>
      <c r="K316" s="12">
        <f t="shared" si="28"/>
        <v>211.6</v>
      </c>
      <c r="L316" s="12">
        <f t="shared" si="29"/>
        <v>178.60499999999999</v>
      </c>
      <c r="M316" s="12">
        <v>1288</v>
      </c>
      <c r="N316" s="12">
        <v>184</v>
      </c>
      <c r="O316" s="12">
        <v>170.1</v>
      </c>
      <c r="P316" s="12" t="s">
        <v>246</v>
      </c>
      <c r="Q316" s="12" t="s">
        <v>234</v>
      </c>
      <c r="R316" s="12" t="s">
        <v>228</v>
      </c>
      <c r="T316" s="12" t="s">
        <v>245</v>
      </c>
      <c r="U316" s="12" t="s">
        <v>245</v>
      </c>
      <c r="V316" s="12"/>
      <c r="W316" s="12"/>
    </row>
    <row r="317" spans="2:23">
      <c r="B317" s="12" t="s">
        <v>582</v>
      </c>
      <c r="C317" s="12" t="s">
        <v>228</v>
      </c>
      <c r="D317" s="12" t="s">
        <v>228</v>
      </c>
      <c r="E317" s="12" t="s">
        <v>244</v>
      </c>
      <c r="F317" s="12" t="s">
        <v>242</v>
      </c>
      <c r="G317" s="5" t="s">
        <v>224</v>
      </c>
      <c r="H317" s="12">
        <f t="shared" si="27"/>
        <v>1381.8</v>
      </c>
      <c r="I317" s="12" t="s">
        <v>1141</v>
      </c>
      <c r="J317" s="12" t="s">
        <v>245</v>
      </c>
      <c r="K317" s="12">
        <f t="shared" si="28"/>
        <v>216.2</v>
      </c>
      <c r="L317" s="12">
        <f t="shared" si="29"/>
        <v>184.98374999999999</v>
      </c>
      <c r="M317" s="12">
        <v>1316</v>
      </c>
      <c r="N317" s="12">
        <v>188</v>
      </c>
      <c r="O317" s="12">
        <v>176.17499999999998</v>
      </c>
      <c r="P317" s="12" t="s">
        <v>246</v>
      </c>
      <c r="Q317" s="12" t="s">
        <v>234</v>
      </c>
      <c r="R317" s="12" t="s">
        <v>228</v>
      </c>
      <c r="T317" s="12" t="s">
        <v>245</v>
      </c>
      <c r="U317" s="12" t="s">
        <v>245</v>
      </c>
      <c r="V317" s="12"/>
      <c r="W317" s="12"/>
    </row>
    <row r="318" spans="2:23">
      <c r="B318" s="12" t="s">
        <v>583</v>
      </c>
      <c r="C318" s="12" t="s">
        <v>228</v>
      </c>
      <c r="D318" s="12" t="s">
        <v>228</v>
      </c>
      <c r="E318" s="12" t="s">
        <v>244</v>
      </c>
      <c r="F318" s="12" t="s">
        <v>242</v>
      </c>
      <c r="G318" s="5" t="s">
        <v>224</v>
      </c>
      <c r="H318" s="12">
        <f t="shared" si="27"/>
        <v>1411.2</v>
      </c>
      <c r="I318" s="12" t="s">
        <v>1141</v>
      </c>
      <c r="J318" s="12" t="s">
        <v>245</v>
      </c>
      <c r="K318" s="12">
        <f t="shared" si="28"/>
        <v>220.79999999999998</v>
      </c>
      <c r="L318" s="12">
        <f t="shared" si="29"/>
        <v>191.36250000000001</v>
      </c>
      <c r="M318" s="12">
        <v>1344</v>
      </c>
      <c r="N318" s="12">
        <v>192</v>
      </c>
      <c r="O318" s="12">
        <v>182.25</v>
      </c>
      <c r="P318" s="12" t="s">
        <v>246</v>
      </c>
      <c r="Q318" s="12" t="s">
        <v>234</v>
      </c>
      <c r="R318" s="12" t="s">
        <v>228</v>
      </c>
      <c r="T318" s="12" t="s">
        <v>245</v>
      </c>
      <c r="U318" s="12" t="s">
        <v>245</v>
      </c>
      <c r="V318" s="12"/>
      <c r="W318" s="12"/>
    </row>
    <row r="319" spans="2:23">
      <c r="B319" s="12" t="s">
        <v>584</v>
      </c>
      <c r="C319" s="12" t="s">
        <v>228</v>
      </c>
      <c r="D319" s="12" t="s">
        <v>228</v>
      </c>
      <c r="E319" s="12" t="s">
        <v>244</v>
      </c>
      <c r="F319" s="12" t="s">
        <v>242</v>
      </c>
      <c r="G319" s="5" t="s">
        <v>224</v>
      </c>
      <c r="H319" s="12">
        <f t="shared" si="27"/>
        <v>1440.6000000000001</v>
      </c>
      <c r="I319" s="12" t="s">
        <v>1141</v>
      </c>
      <c r="J319" s="12" t="s">
        <v>245</v>
      </c>
      <c r="K319" s="12">
        <f t="shared" si="28"/>
        <v>225.39999999999998</v>
      </c>
      <c r="L319" s="12">
        <f t="shared" si="29"/>
        <v>197.74125000000001</v>
      </c>
      <c r="M319" s="12">
        <v>1372</v>
      </c>
      <c r="N319" s="12">
        <v>196</v>
      </c>
      <c r="O319" s="12">
        <v>188.32499999999999</v>
      </c>
      <c r="P319" s="12" t="s">
        <v>246</v>
      </c>
      <c r="Q319" s="12" t="s">
        <v>234</v>
      </c>
      <c r="R319" s="12" t="s">
        <v>228</v>
      </c>
      <c r="T319" s="12" t="s">
        <v>245</v>
      </c>
      <c r="U319" s="12" t="s">
        <v>245</v>
      </c>
      <c r="V319" s="12"/>
      <c r="W319" s="12"/>
    </row>
    <row r="320" spans="2:23">
      <c r="B320" s="12" t="s">
        <v>585</v>
      </c>
      <c r="C320" s="12" t="s">
        <v>228</v>
      </c>
      <c r="D320" s="12" t="s">
        <v>228</v>
      </c>
      <c r="E320" s="12" t="s">
        <v>244</v>
      </c>
      <c r="F320" s="12" t="s">
        <v>242</v>
      </c>
      <c r="G320" s="5" t="s">
        <v>224</v>
      </c>
      <c r="H320" s="12">
        <f t="shared" si="27"/>
        <v>1470</v>
      </c>
      <c r="I320" s="12" t="s">
        <v>1141</v>
      </c>
      <c r="J320" s="12" t="s">
        <v>245</v>
      </c>
      <c r="K320" s="12">
        <f t="shared" si="28"/>
        <v>229.99999999999997</v>
      </c>
      <c r="L320" s="12">
        <f t="shared" si="29"/>
        <v>204.11999999999998</v>
      </c>
      <c r="M320" s="12">
        <v>1400</v>
      </c>
      <c r="N320" s="12">
        <v>200</v>
      </c>
      <c r="O320" s="12">
        <v>194.39999999999998</v>
      </c>
      <c r="P320" s="12" t="s">
        <v>246</v>
      </c>
      <c r="Q320" s="12" t="s">
        <v>234</v>
      </c>
      <c r="R320" s="12" t="s">
        <v>228</v>
      </c>
      <c r="T320" s="12" t="s">
        <v>245</v>
      </c>
      <c r="U320" s="12" t="s">
        <v>245</v>
      </c>
      <c r="V320" s="12"/>
      <c r="W320" s="12"/>
    </row>
    <row r="321" spans="2:23">
      <c r="B321" s="12" t="s">
        <v>586</v>
      </c>
      <c r="C321" s="12" t="s">
        <v>228</v>
      </c>
      <c r="D321" s="12" t="s">
        <v>228</v>
      </c>
      <c r="E321" s="12" t="s">
        <v>244</v>
      </c>
      <c r="F321" s="12" t="s">
        <v>242</v>
      </c>
      <c r="G321" s="5" t="s">
        <v>224</v>
      </c>
      <c r="H321" s="12">
        <f t="shared" si="27"/>
        <v>1499.4</v>
      </c>
      <c r="I321" s="12" t="s">
        <v>1141</v>
      </c>
      <c r="J321" s="12" t="s">
        <v>245</v>
      </c>
      <c r="K321" s="12">
        <f t="shared" si="28"/>
        <v>234.6</v>
      </c>
      <c r="L321" s="12">
        <f t="shared" si="29"/>
        <v>210.49875</v>
      </c>
      <c r="M321" s="12">
        <v>1428</v>
      </c>
      <c r="N321" s="12">
        <v>204</v>
      </c>
      <c r="O321" s="12">
        <v>200.47499999999999</v>
      </c>
      <c r="P321" s="12" t="s">
        <v>246</v>
      </c>
      <c r="Q321" s="12" t="s">
        <v>234</v>
      </c>
      <c r="R321" s="12" t="s">
        <v>228</v>
      </c>
      <c r="T321" s="12" t="s">
        <v>245</v>
      </c>
      <c r="U321" s="12" t="s">
        <v>245</v>
      </c>
      <c r="V321" s="12"/>
      <c r="W321" s="12"/>
    </row>
    <row r="322" spans="2:23">
      <c r="B322" s="12" t="s">
        <v>587</v>
      </c>
      <c r="C322" s="12" t="s">
        <v>228</v>
      </c>
      <c r="D322" s="12" t="s">
        <v>228</v>
      </c>
      <c r="E322" s="12" t="s">
        <v>244</v>
      </c>
      <c r="F322" s="12" t="s">
        <v>242</v>
      </c>
      <c r="G322" s="5" t="s">
        <v>224</v>
      </c>
      <c r="H322" s="12">
        <f t="shared" si="27"/>
        <v>1528.8</v>
      </c>
      <c r="I322" s="12" t="s">
        <v>1141</v>
      </c>
      <c r="J322" s="12" t="s">
        <v>245</v>
      </c>
      <c r="K322" s="12">
        <f t="shared" si="28"/>
        <v>239.2</v>
      </c>
      <c r="L322" s="12">
        <f t="shared" si="29"/>
        <v>216.8775</v>
      </c>
      <c r="M322" s="12">
        <v>1456</v>
      </c>
      <c r="N322" s="12">
        <v>208</v>
      </c>
      <c r="O322" s="12">
        <v>206.54999999999998</v>
      </c>
      <c r="P322" s="12" t="s">
        <v>246</v>
      </c>
      <c r="Q322" s="12" t="s">
        <v>234</v>
      </c>
      <c r="R322" s="12" t="s">
        <v>228</v>
      </c>
      <c r="T322" s="12" t="s">
        <v>245</v>
      </c>
      <c r="U322" s="12" t="s">
        <v>245</v>
      </c>
      <c r="V322" s="12"/>
      <c r="W322" s="12"/>
    </row>
    <row r="323" spans="2:23">
      <c r="B323" s="12" t="s">
        <v>588</v>
      </c>
      <c r="C323" s="12" t="s">
        <v>228</v>
      </c>
      <c r="D323" s="12" t="s">
        <v>228</v>
      </c>
      <c r="E323" s="12" t="s">
        <v>244</v>
      </c>
      <c r="F323" s="12" t="s">
        <v>242</v>
      </c>
      <c r="G323" s="5" t="s">
        <v>224</v>
      </c>
      <c r="H323" s="12">
        <f t="shared" si="27"/>
        <v>2310</v>
      </c>
      <c r="I323" s="12" t="s">
        <v>1141</v>
      </c>
      <c r="J323" s="12" t="s">
        <v>245</v>
      </c>
      <c r="K323" s="12">
        <f t="shared" si="28"/>
        <v>379.49999999999994</v>
      </c>
      <c r="L323" s="12">
        <f t="shared" si="29"/>
        <v>287.04374999999999</v>
      </c>
      <c r="M323" s="12">
        <v>2200</v>
      </c>
      <c r="N323" s="12">
        <v>330</v>
      </c>
      <c r="O323" s="12">
        <v>273.375</v>
      </c>
      <c r="P323" s="12" t="s">
        <v>246</v>
      </c>
      <c r="Q323" s="12" t="s">
        <v>234</v>
      </c>
      <c r="R323" s="12" t="s">
        <v>228</v>
      </c>
      <c r="T323" s="12" t="s">
        <v>245</v>
      </c>
      <c r="U323" s="12" t="s">
        <v>245</v>
      </c>
      <c r="V323" s="12"/>
      <c r="W323" s="12"/>
    </row>
    <row r="324" spans="2:23">
      <c r="B324" s="12" t="s">
        <v>589</v>
      </c>
      <c r="C324" s="12" t="s">
        <v>228</v>
      </c>
      <c r="D324" s="12" t="s">
        <v>228</v>
      </c>
      <c r="E324" s="12" t="s">
        <v>244</v>
      </c>
      <c r="F324" s="12" t="s">
        <v>242</v>
      </c>
      <c r="G324" s="5" t="s">
        <v>224</v>
      </c>
      <c r="H324" s="12">
        <f t="shared" si="27"/>
        <v>2352</v>
      </c>
      <c r="I324" s="12" t="s">
        <v>1141</v>
      </c>
      <c r="J324" s="12" t="s">
        <v>245</v>
      </c>
      <c r="K324" s="12">
        <f t="shared" si="28"/>
        <v>386.4</v>
      </c>
      <c r="L324" s="12">
        <f t="shared" si="29"/>
        <v>295.54874999999998</v>
      </c>
      <c r="M324" s="12">
        <v>2240</v>
      </c>
      <c r="N324" s="12">
        <v>336</v>
      </c>
      <c r="O324" s="12">
        <v>281.47499999999997</v>
      </c>
      <c r="P324" s="12" t="s">
        <v>246</v>
      </c>
      <c r="Q324" s="12" t="s">
        <v>234</v>
      </c>
      <c r="R324" s="12" t="s">
        <v>228</v>
      </c>
      <c r="T324" s="12" t="s">
        <v>245</v>
      </c>
      <c r="U324" s="12" t="s">
        <v>245</v>
      </c>
      <c r="V324" s="12"/>
      <c r="W324" s="12"/>
    </row>
    <row r="325" spans="2:23">
      <c r="B325" s="12" t="s">
        <v>590</v>
      </c>
      <c r="C325" s="12" t="s">
        <v>228</v>
      </c>
      <c r="D325" s="12" t="s">
        <v>228</v>
      </c>
      <c r="E325" s="12" t="s">
        <v>244</v>
      </c>
      <c r="F325" s="12" t="s">
        <v>242</v>
      </c>
      <c r="G325" s="5" t="s">
        <v>224</v>
      </c>
      <c r="H325" s="12">
        <f t="shared" si="27"/>
        <v>2394</v>
      </c>
      <c r="I325" s="12" t="s">
        <v>1141</v>
      </c>
      <c r="J325" s="12" t="s">
        <v>245</v>
      </c>
      <c r="K325" s="12">
        <f t="shared" si="28"/>
        <v>393.29999999999995</v>
      </c>
      <c r="L325" s="12">
        <f t="shared" si="29"/>
        <v>304.05374999999998</v>
      </c>
      <c r="M325" s="12">
        <v>2280</v>
      </c>
      <c r="N325" s="12">
        <v>342</v>
      </c>
      <c r="O325" s="12">
        <v>289.57499999999999</v>
      </c>
      <c r="P325" s="12" t="s">
        <v>246</v>
      </c>
      <c r="Q325" s="12" t="s">
        <v>234</v>
      </c>
      <c r="R325" s="12" t="s">
        <v>228</v>
      </c>
      <c r="T325" s="12" t="s">
        <v>245</v>
      </c>
      <c r="U325" s="12" t="s">
        <v>245</v>
      </c>
      <c r="V325" s="12"/>
      <c r="W325" s="12"/>
    </row>
    <row r="326" spans="2:23">
      <c r="B326" s="12" t="s">
        <v>591</v>
      </c>
      <c r="C326" s="12" t="s">
        <v>228</v>
      </c>
      <c r="D326" s="12" t="s">
        <v>228</v>
      </c>
      <c r="E326" s="12" t="s">
        <v>244</v>
      </c>
      <c r="F326" s="12" t="s">
        <v>242</v>
      </c>
      <c r="G326" s="5" t="s">
        <v>224</v>
      </c>
      <c r="H326" s="12">
        <f t="shared" si="27"/>
        <v>2436</v>
      </c>
      <c r="I326" s="12" t="s">
        <v>1141</v>
      </c>
      <c r="J326" s="12" t="s">
        <v>245</v>
      </c>
      <c r="K326" s="12">
        <f t="shared" si="28"/>
        <v>400.2</v>
      </c>
      <c r="L326" s="12">
        <f t="shared" si="29"/>
        <v>312.55875000000003</v>
      </c>
      <c r="M326" s="12">
        <v>2320</v>
      </c>
      <c r="N326" s="12">
        <v>348</v>
      </c>
      <c r="O326" s="12">
        <v>297.67500000000001</v>
      </c>
      <c r="P326" s="12" t="s">
        <v>246</v>
      </c>
      <c r="Q326" s="12" t="s">
        <v>234</v>
      </c>
      <c r="R326" s="12" t="s">
        <v>228</v>
      </c>
      <c r="T326" s="12" t="s">
        <v>245</v>
      </c>
      <c r="U326" s="12" t="s">
        <v>245</v>
      </c>
      <c r="V326" s="12"/>
      <c r="W326" s="12"/>
    </row>
    <row r="327" spans="2:23">
      <c r="B327" s="12" t="s">
        <v>592</v>
      </c>
      <c r="C327" s="12" t="s">
        <v>228</v>
      </c>
      <c r="D327" s="12" t="s">
        <v>228</v>
      </c>
      <c r="E327" s="12" t="s">
        <v>244</v>
      </c>
      <c r="F327" s="12" t="s">
        <v>242</v>
      </c>
      <c r="G327" s="5" t="s">
        <v>224</v>
      </c>
      <c r="H327" s="12">
        <f t="shared" si="27"/>
        <v>2478</v>
      </c>
      <c r="I327" s="12" t="s">
        <v>1141</v>
      </c>
      <c r="J327" s="12" t="s">
        <v>245</v>
      </c>
      <c r="K327" s="12">
        <f t="shared" si="28"/>
        <v>407.09999999999997</v>
      </c>
      <c r="L327" s="12">
        <f t="shared" si="29"/>
        <v>321.06374999999997</v>
      </c>
      <c r="M327" s="12">
        <v>2360</v>
      </c>
      <c r="N327" s="12">
        <v>354</v>
      </c>
      <c r="O327" s="12">
        <v>305.77499999999998</v>
      </c>
      <c r="P327" s="12" t="s">
        <v>246</v>
      </c>
      <c r="Q327" s="12" t="s">
        <v>234</v>
      </c>
      <c r="R327" s="12" t="s">
        <v>228</v>
      </c>
      <c r="T327" s="12" t="s">
        <v>245</v>
      </c>
      <c r="U327" s="12" t="s">
        <v>245</v>
      </c>
      <c r="V327" s="12"/>
      <c r="W327" s="12"/>
    </row>
    <row r="328" spans="2:23">
      <c r="B328" s="12" t="s">
        <v>593</v>
      </c>
      <c r="C328" s="12" t="s">
        <v>228</v>
      </c>
      <c r="D328" s="12" t="s">
        <v>228</v>
      </c>
      <c r="E328" s="12" t="s">
        <v>244</v>
      </c>
      <c r="F328" s="12" t="s">
        <v>242</v>
      </c>
      <c r="G328" s="5" t="s">
        <v>224</v>
      </c>
      <c r="H328" s="12">
        <f t="shared" si="27"/>
        <v>2520</v>
      </c>
      <c r="I328" s="12" t="s">
        <v>1141</v>
      </c>
      <c r="J328" s="12" t="s">
        <v>245</v>
      </c>
      <c r="K328" s="12">
        <f t="shared" si="28"/>
        <v>413.99999999999994</v>
      </c>
      <c r="L328" s="12">
        <f t="shared" si="29"/>
        <v>329.56875000000002</v>
      </c>
      <c r="M328" s="12">
        <v>2400</v>
      </c>
      <c r="N328" s="12">
        <v>360</v>
      </c>
      <c r="O328" s="12">
        <v>313.875</v>
      </c>
      <c r="P328" s="12" t="s">
        <v>246</v>
      </c>
      <c r="Q328" s="12" t="s">
        <v>234</v>
      </c>
      <c r="R328" s="12" t="s">
        <v>228</v>
      </c>
      <c r="T328" s="12" t="s">
        <v>245</v>
      </c>
      <c r="U328" s="12" t="s">
        <v>245</v>
      </c>
      <c r="V328" s="12"/>
      <c r="W328" s="12"/>
    </row>
    <row r="329" spans="2:23">
      <c r="B329" s="12" t="s">
        <v>594</v>
      </c>
      <c r="C329" s="12" t="s">
        <v>228</v>
      </c>
      <c r="D329" s="12" t="s">
        <v>228</v>
      </c>
      <c r="E329" s="12" t="s">
        <v>244</v>
      </c>
      <c r="F329" s="12" t="s">
        <v>242</v>
      </c>
      <c r="G329" s="5" t="s">
        <v>224</v>
      </c>
      <c r="H329" s="12">
        <f t="shared" si="27"/>
        <v>2562</v>
      </c>
      <c r="I329" s="12" t="s">
        <v>1141</v>
      </c>
      <c r="J329" s="12" t="s">
        <v>245</v>
      </c>
      <c r="K329" s="12">
        <f t="shared" si="28"/>
        <v>420.9</v>
      </c>
      <c r="L329" s="12">
        <f t="shared" si="29"/>
        <v>338.07374999999996</v>
      </c>
      <c r="M329" s="12">
        <v>2440</v>
      </c>
      <c r="N329" s="12">
        <v>366</v>
      </c>
      <c r="O329" s="12">
        <v>321.97499999999997</v>
      </c>
      <c r="P329" s="12" t="s">
        <v>246</v>
      </c>
      <c r="Q329" s="12" t="s">
        <v>234</v>
      </c>
      <c r="R329" s="12" t="s">
        <v>228</v>
      </c>
      <c r="T329" s="12" t="s">
        <v>245</v>
      </c>
      <c r="U329" s="12" t="s">
        <v>245</v>
      </c>
      <c r="V329" s="12"/>
      <c r="W329" s="12"/>
    </row>
    <row r="330" spans="2:23">
      <c r="B330" s="12" t="s">
        <v>595</v>
      </c>
      <c r="C330" s="12" t="s">
        <v>228</v>
      </c>
      <c r="D330" s="12" t="s">
        <v>228</v>
      </c>
      <c r="E330" s="12" t="s">
        <v>244</v>
      </c>
      <c r="F330" s="12" t="s">
        <v>242</v>
      </c>
      <c r="G330" s="5" t="s">
        <v>224</v>
      </c>
      <c r="H330" s="12">
        <f t="shared" si="27"/>
        <v>2604</v>
      </c>
      <c r="I330" s="12" t="s">
        <v>1141</v>
      </c>
      <c r="J330" s="12" t="s">
        <v>245</v>
      </c>
      <c r="K330" s="12">
        <f t="shared" si="28"/>
        <v>427.79999999999995</v>
      </c>
      <c r="L330" s="12">
        <f t="shared" si="29"/>
        <v>346.57875000000001</v>
      </c>
      <c r="M330" s="12">
        <v>2480</v>
      </c>
      <c r="N330" s="12">
        <v>372</v>
      </c>
      <c r="O330" s="12">
        <v>330.07499999999999</v>
      </c>
      <c r="P330" s="12" t="s">
        <v>246</v>
      </c>
      <c r="Q330" s="12" t="s">
        <v>234</v>
      </c>
      <c r="R330" s="12" t="s">
        <v>228</v>
      </c>
      <c r="T330" s="12" t="s">
        <v>245</v>
      </c>
      <c r="U330" s="12" t="s">
        <v>245</v>
      </c>
      <c r="V330" s="12"/>
      <c r="W330" s="12"/>
    </row>
    <row r="331" spans="2:23">
      <c r="B331" s="12" t="s">
        <v>596</v>
      </c>
      <c r="C331" s="12" t="s">
        <v>228</v>
      </c>
      <c r="D331" s="12" t="s">
        <v>228</v>
      </c>
      <c r="E331" s="12" t="s">
        <v>244</v>
      </c>
      <c r="F331" s="12" t="s">
        <v>242</v>
      </c>
      <c r="G331" s="5" t="s">
        <v>224</v>
      </c>
      <c r="H331" s="12">
        <f t="shared" si="27"/>
        <v>2646</v>
      </c>
      <c r="I331" s="12" t="s">
        <v>1141</v>
      </c>
      <c r="J331" s="12" t="s">
        <v>245</v>
      </c>
      <c r="K331" s="12">
        <f t="shared" si="28"/>
        <v>434.7</v>
      </c>
      <c r="L331" s="12">
        <f t="shared" si="29"/>
        <v>355.08375000000001</v>
      </c>
      <c r="M331" s="12">
        <v>2520</v>
      </c>
      <c r="N331" s="12">
        <v>378</v>
      </c>
      <c r="O331" s="12">
        <v>338.17500000000001</v>
      </c>
      <c r="P331" s="12" t="s">
        <v>246</v>
      </c>
      <c r="Q331" s="12" t="s">
        <v>234</v>
      </c>
      <c r="R331" s="12" t="s">
        <v>228</v>
      </c>
      <c r="T331" s="12" t="s">
        <v>245</v>
      </c>
      <c r="U331" s="12" t="s">
        <v>245</v>
      </c>
      <c r="V331" s="12"/>
      <c r="W331" s="12"/>
    </row>
    <row r="332" spans="2:23">
      <c r="B332" s="12" t="s">
        <v>597</v>
      </c>
      <c r="C332" s="12" t="s">
        <v>228</v>
      </c>
      <c r="D332" s="12" t="s">
        <v>228</v>
      </c>
      <c r="E332" s="12" t="s">
        <v>244</v>
      </c>
      <c r="F332" s="12" t="s">
        <v>242</v>
      </c>
      <c r="G332" s="5" t="s">
        <v>224</v>
      </c>
      <c r="H332" s="12">
        <f t="shared" si="27"/>
        <v>2688</v>
      </c>
      <c r="I332" s="12" t="s">
        <v>1141</v>
      </c>
      <c r="J332" s="12" t="s">
        <v>245</v>
      </c>
      <c r="K332" s="12">
        <f t="shared" si="28"/>
        <v>441.59999999999997</v>
      </c>
      <c r="L332" s="12">
        <f t="shared" si="29"/>
        <v>363.58875</v>
      </c>
      <c r="M332" s="12">
        <v>2560</v>
      </c>
      <c r="N332" s="12">
        <v>384</v>
      </c>
      <c r="O332" s="12">
        <v>346.27499999999998</v>
      </c>
      <c r="P332" s="12" t="s">
        <v>246</v>
      </c>
      <c r="Q332" s="12" t="s">
        <v>234</v>
      </c>
      <c r="R332" s="12" t="s">
        <v>228</v>
      </c>
      <c r="T332" s="12" t="s">
        <v>245</v>
      </c>
      <c r="U332" s="12" t="s">
        <v>245</v>
      </c>
      <c r="V332" s="12"/>
      <c r="W332" s="12"/>
    </row>
    <row r="333" spans="2:23">
      <c r="B333" s="12" t="s">
        <v>598</v>
      </c>
      <c r="C333" s="12" t="s">
        <v>228</v>
      </c>
      <c r="D333" s="12" t="s">
        <v>228</v>
      </c>
      <c r="E333" s="12" t="s">
        <v>244</v>
      </c>
      <c r="F333" s="12" t="s">
        <v>242</v>
      </c>
      <c r="G333" s="5" t="s">
        <v>224</v>
      </c>
      <c r="H333" s="12">
        <f t="shared" si="27"/>
        <v>2730</v>
      </c>
      <c r="I333" s="12" t="s">
        <v>1141</v>
      </c>
      <c r="J333" s="12" t="s">
        <v>245</v>
      </c>
      <c r="K333" s="12">
        <f t="shared" si="28"/>
        <v>448.49999999999994</v>
      </c>
      <c r="L333" s="12">
        <f t="shared" si="29"/>
        <v>372.09375</v>
      </c>
      <c r="M333" s="12">
        <v>2600</v>
      </c>
      <c r="N333" s="12">
        <v>390</v>
      </c>
      <c r="O333" s="12">
        <v>354.375</v>
      </c>
      <c r="P333" s="12" t="s">
        <v>246</v>
      </c>
      <c r="Q333" s="12" t="s">
        <v>234</v>
      </c>
      <c r="R333" s="12" t="s">
        <v>228</v>
      </c>
      <c r="T333" s="12" t="s">
        <v>245</v>
      </c>
      <c r="U333" s="12" t="s">
        <v>245</v>
      </c>
      <c r="V333" s="12"/>
      <c r="W333" s="12"/>
    </row>
    <row r="334" spans="2:23">
      <c r="B334" s="12" t="s">
        <v>599</v>
      </c>
      <c r="C334" s="12" t="s">
        <v>228</v>
      </c>
      <c r="D334" s="12" t="s">
        <v>228</v>
      </c>
      <c r="E334" s="12" t="s">
        <v>244</v>
      </c>
      <c r="F334" s="12" t="s">
        <v>242</v>
      </c>
      <c r="G334" s="5" t="s">
        <v>224</v>
      </c>
      <c r="H334" s="12">
        <f t="shared" si="27"/>
        <v>2772</v>
      </c>
      <c r="I334" s="12" t="s">
        <v>1141</v>
      </c>
      <c r="J334" s="12" t="s">
        <v>245</v>
      </c>
      <c r="K334" s="12">
        <f t="shared" si="28"/>
        <v>455.4</v>
      </c>
      <c r="L334" s="12">
        <f t="shared" si="29"/>
        <v>380.59875</v>
      </c>
      <c r="M334" s="12">
        <v>2640</v>
      </c>
      <c r="N334" s="12">
        <v>396</v>
      </c>
      <c r="O334" s="12">
        <v>362.47499999999997</v>
      </c>
      <c r="P334" s="12" t="s">
        <v>246</v>
      </c>
      <c r="Q334" s="12" t="s">
        <v>234</v>
      </c>
      <c r="R334" s="12" t="s">
        <v>228</v>
      </c>
      <c r="T334" s="12" t="s">
        <v>245</v>
      </c>
      <c r="U334" s="12" t="s">
        <v>245</v>
      </c>
      <c r="V334" s="12"/>
      <c r="W334" s="12"/>
    </row>
    <row r="335" spans="2:23">
      <c r="B335" s="12" t="s">
        <v>600</v>
      </c>
      <c r="C335" s="12" t="s">
        <v>228</v>
      </c>
      <c r="D335" s="12" t="s">
        <v>228</v>
      </c>
      <c r="E335" s="12" t="s">
        <v>244</v>
      </c>
      <c r="F335" s="12" t="s">
        <v>242</v>
      </c>
      <c r="G335" s="5" t="s">
        <v>224</v>
      </c>
      <c r="H335" s="12">
        <f t="shared" si="27"/>
        <v>2814</v>
      </c>
      <c r="I335" s="12" t="s">
        <v>1141</v>
      </c>
      <c r="J335" s="12" t="s">
        <v>245</v>
      </c>
      <c r="K335" s="12">
        <f t="shared" si="28"/>
        <v>462.29999999999995</v>
      </c>
      <c r="L335" s="12">
        <f t="shared" si="29"/>
        <v>389.10374999999999</v>
      </c>
      <c r="M335" s="12">
        <v>2680</v>
      </c>
      <c r="N335" s="12">
        <v>402</v>
      </c>
      <c r="O335" s="12">
        <v>370.57499999999999</v>
      </c>
      <c r="P335" s="12" t="s">
        <v>246</v>
      </c>
      <c r="Q335" s="12" t="s">
        <v>234</v>
      </c>
      <c r="R335" s="12" t="s">
        <v>228</v>
      </c>
      <c r="T335" s="12" t="s">
        <v>245</v>
      </c>
      <c r="U335" s="12" t="s">
        <v>245</v>
      </c>
      <c r="V335" s="12"/>
      <c r="W335" s="12"/>
    </row>
    <row r="336" spans="2:23">
      <c r="B336" s="12" t="s">
        <v>601</v>
      </c>
      <c r="C336" s="12" t="s">
        <v>228</v>
      </c>
      <c r="D336" s="12" t="s">
        <v>228</v>
      </c>
      <c r="E336" s="12" t="s">
        <v>244</v>
      </c>
      <c r="F336" s="12" t="s">
        <v>242</v>
      </c>
      <c r="G336" s="5" t="s">
        <v>224</v>
      </c>
      <c r="H336" s="12">
        <f t="shared" si="27"/>
        <v>2856</v>
      </c>
      <c r="I336" s="12" t="s">
        <v>1141</v>
      </c>
      <c r="J336" s="12" t="s">
        <v>245</v>
      </c>
      <c r="K336" s="12">
        <f t="shared" si="28"/>
        <v>469.2</v>
      </c>
      <c r="L336" s="12">
        <f t="shared" si="29"/>
        <v>397.60875000000004</v>
      </c>
      <c r="M336" s="12">
        <v>2720</v>
      </c>
      <c r="N336" s="12">
        <v>408</v>
      </c>
      <c r="O336" s="12">
        <v>378.67500000000001</v>
      </c>
      <c r="P336" s="12" t="s">
        <v>246</v>
      </c>
      <c r="Q336" s="12" t="s">
        <v>234</v>
      </c>
      <c r="R336" s="12" t="s">
        <v>228</v>
      </c>
      <c r="T336" s="12" t="s">
        <v>245</v>
      </c>
      <c r="U336" s="12" t="s">
        <v>245</v>
      </c>
      <c r="V336" s="12"/>
      <c r="W336" s="12"/>
    </row>
    <row r="337" spans="2:23">
      <c r="B337" s="12" t="s">
        <v>602</v>
      </c>
      <c r="C337" s="12" t="s">
        <v>228</v>
      </c>
      <c r="D337" s="12" t="s">
        <v>228</v>
      </c>
      <c r="E337" s="12" t="s">
        <v>244</v>
      </c>
      <c r="F337" s="12" t="s">
        <v>242</v>
      </c>
      <c r="G337" s="5" t="s">
        <v>224</v>
      </c>
      <c r="H337" s="12">
        <f t="shared" si="27"/>
        <v>2898</v>
      </c>
      <c r="I337" s="12" t="s">
        <v>1141</v>
      </c>
      <c r="J337" s="12" t="s">
        <v>245</v>
      </c>
      <c r="K337" s="12">
        <f t="shared" si="28"/>
        <v>476.09999999999997</v>
      </c>
      <c r="L337" s="12">
        <f t="shared" si="29"/>
        <v>406.11374999999998</v>
      </c>
      <c r="M337" s="12">
        <v>2760</v>
      </c>
      <c r="N337" s="12">
        <v>414</v>
      </c>
      <c r="O337" s="12">
        <v>386.77499999999998</v>
      </c>
      <c r="P337" s="12" t="s">
        <v>246</v>
      </c>
      <c r="Q337" s="12" t="s">
        <v>234</v>
      </c>
      <c r="R337" s="12" t="s">
        <v>228</v>
      </c>
      <c r="T337" s="12" t="s">
        <v>245</v>
      </c>
      <c r="U337" s="12" t="s">
        <v>245</v>
      </c>
      <c r="V337" s="12"/>
      <c r="W337" s="12"/>
    </row>
    <row r="338" spans="2:23">
      <c r="B338" s="12" t="s">
        <v>603</v>
      </c>
      <c r="C338" s="12" t="s">
        <v>228</v>
      </c>
      <c r="D338" s="12" t="s">
        <v>228</v>
      </c>
      <c r="E338" s="12" t="s">
        <v>244</v>
      </c>
      <c r="F338" s="12" t="s">
        <v>242</v>
      </c>
      <c r="G338" s="5" t="s">
        <v>224</v>
      </c>
      <c r="H338" s="12">
        <f t="shared" si="27"/>
        <v>4082.4</v>
      </c>
      <c r="I338" s="12" t="s">
        <v>1141</v>
      </c>
      <c r="J338" s="12" t="s">
        <v>245</v>
      </c>
      <c r="K338" s="12">
        <f t="shared" si="28"/>
        <v>662.4</v>
      </c>
      <c r="L338" s="12">
        <f t="shared" si="29"/>
        <v>756</v>
      </c>
      <c r="M338" s="12">
        <v>3888</v>
      </c>
      <c r="N338" s="12">
        <v>576</v>
      </c>
      <c r="O338" s="12">
        <v>720</v>
      </c>
      <c r="P338" s="12" t="s">
        <v>246</v>
      </c>
      <c r="Q338" s="12" t="s">
        <v>234</v>
      </c>
      <c r="R338" s="12" t="s">
        <v>228</v>
      </c>
      <c r="T338" s="12" t="s">
        <v>245</v>
      </c>
      <c r="U338" s="12" t="s">
        <v>245</v>
      </c>
      <c r="V338" s="12"/>
      <c r="W338" s="12"/>
    </row>
    <row r="339" spans="2:23">
      <c r="B339" s="12" t="s">
        <v>604</v>
      </c>
      <c r="C339" s="12" t="s">
        <v>228</v>
      </c>
      <c r="D339" s="12" t="s">
        <v>228</v>
      </c>
      <c r="E339" s="12" t="s">
        <v>244</v>
      </c>
      <c r="F339" s="12" t="s">
        <v>242</v>
      </c>
      <c r="G339" s="5" t="s">
        <v>224</v>
      </c>
      <c r="H339" s="12">
        <f t="shared" si="27"/>
        <v>0</v>
      </c>
      <c r="I339" s="12" t="s">
        <v>1141</v>
      </c>
      <c r="J339" s="12" t="s">
        <v>245</v>
      </c>
      <c r="K339" s="12">
        <f t="shared" si="28"/>
        <v>0</v>
      </c>
      <c r="L339" s="12">
        <f t="shared" si="29"/>
        <v>0</v>
      </c>
      <c r="M339" s="12"/>
      <c r="N339" s="12"/>
      <c r="O339" s="12"/>
      <c r="P339" s="12" t="s">
        <v>246</v>
      </c>
      <c r="Q339" s="12" t="s">
        <v>234</v>
      </c>
      <c r="R339" s="12" t="s">
        <v>228</v>
      </c>
      <c r="T339" s="12" t="s">
        <v>245</v>
      </c>
      <c r="U339" s="12" t="s">
        <v>245</v>
      </c>
      <c r="V339" s="12"/>
      <c r="W339" s="12"/>
    </row>
    <row r="340" spans="2:23">
      <c r="B340" s="12" t="s">
        <v>605</v>
      </c>
      <c r="C340" s="12" t="s">
        <v>228</v>
      </c>
      <c r="D340" s="12" t="s">
        <v>228</v>
      </c>
      <c r="E340" s="12" t="s">
        <v>244</v>
      </c>
      <c r="F340" s="12" t="s">
        <v>242</v>
      </c>
      <c r="G340" s="5" t="s">
        <v>224</v>
      </c>
      <c r="H340" s="12">
        <f t="shared" si="27"/>
        <v>0</v>
      </c>
      <c r="I340" s="12" t="s">
        <v>1141</v>
      </c>
      <c r="J340" s="12" t="s">
        <v>245</v>
      </c>
      <c r="K340" s="12">
        <f t="shared" si="28"/>
        <v>0</v>
      </c>
      <c r="L340" s="12">
        <f t="shared" si="29"/>
        <v>0</v>
      </c>
      <c r="M340" s="12"/>
      <c r="N340" s="12"/>
      <c r="O340" s="12"/>
      <c r="P340" s="12" t="s">
        <v>246</v>
      </c>
      <c r="Q340" s="12" t="s">
        <v>234</v>
      </c>
      <c r="R340" s="12" t="s">
        <v>228</v>
      </c>
      <c r="T340" s="12" t="s">
        <v>245</v>
      </c>
      <c r="U340" s="12" t="s">
        <v>245</v>
      </c>
      <c r="V340" s="12"/>
      <c r="W340" s="12"/>
    </row>
    <row r="341" spans="2:23">
      <c r="B341" s="12" t="s">
        <v>606</v>
      </c>
      <c r="C341" s="12" t="s">
        <v>228</v>
      </c>
      <c r="D341" s="12" t="s">
        <v>228</v>
      </c>
      <c r="E341" s="12" t="s">
        <v>244</v>
      </c>
      <c r="F341" s="12" t="s">
        <v>242</v>
      </c>
      <c r="G341" s="5" t="s">
        <v>224</v>
      </c>
      <c r="H341" s="12">
        <f t="shared" si="27"/>
        <v>0</v>
      </c>
      <c r="I341" s="12" t="s">
        <v>1141</v>
      </c>
      <c r="J341" s="12" t="s">
        <v>245</v>
      </c>
      <c r="K341" s="12">
        <f t="shared" si="28"/>
        <v>0</v>
      </c>
      <c r="L341" s="12">
        <f t="shared" si="29"/>
        <v>0</v>
      </c>
      <c r="M341" s="12"/>
      <c r="N341" s="12"/>
      <c r="O341" s="12"/>
      <c r="P341" s="12" t="s">
        <v>246</v>
      </c>
      <c r="Q341" s="12" t="s">
        <v>234</v>
      </c>
      <c r="R341" s="12" t="s">
        <v>228</v>
      </c>
      <c r="T341" s="12" t="s">
        <v>245</v>
      </c>
      <c r="U341" s="12" t="s">
        <v>245</v>
      </c>
      <c r="V341" s="12"/>
      <c r="W341" s="12"/>
    </row>
    <row r="342" spans="2:23">
      <c r="B342" s="12"/>
      <c r="C342" s="12"/>
      <c r="D342" s="12"/>
      <c r="E342" s="12"/>
      <c r="F342" s="12"/>
      <c r="G342" s="5"/>
      <c r="H342" s="12"/>
      <c r="I342" s="12"/>
      <c r="J342" s="12"/>
      <c r="K342" s="12" t="str">
        <f t="shared" ref="K342" si="30">"防"&amp;I342</f>
        <v>防</v>
      </c>
      <c r="L342" s="12" t="str">
        <f t="shared" ref="L342" si="31">"攻"&amp;J342</f>
        <v>攻</v>
      </c>
      <c r="M342" s="12"/>
      <c r="N342" s="12"/>
      <c r="O342" s="12"/>
      <c r="P342" s="12"/>
      <c r="Q342" s="12"/>
      <c r="R342" s="12"/>
      <c r="T342" s="12"/>
      <c r="U342" s="12"/>
      <c r="V342" s="12"/>
      <c r="W342" s="12"/>
    </row>
    <row r="343" spans="2:23">
      <c r="B343" s="12" t="s">
        <v>607</v>
      </c>
      <c r="C343" s="12" t="s">
        <v>228</v>
      </c>
      <c r="D343" s="12" t="s">
        <v>228</v>
      </c>
      <c r="E343" s="12" t="s">
        <v>247</v>
      </c>
      <c r="F343" s="12" t="s">
        <v>242</v>
      </c>
      <c r="G343" s="5" t="s">
        <v>240</v>
      </c>
      <c r="H343" s="12">
        <f>M343*$Z$10</f>
        <v>413.99999999999994</v>
      </c>
      <c r="I343" s="12" t="s">
        <v>1151</v>
      </c>
      <c r="J343" s="12" t="s">
        <v>245</v>
      </c>
      <c r="K343" s="12">
        <f>N343*$Y$8</f>
        <v>24</v>
      </c>
      <c r="L343" s="12">
        <f>O343*$Y$10</f>
        <v>31.5</v>
      </c>
      <c r="M343" s="12">
        <v>360</v>
      </c>
      <c r="N343" s="12">
        <v>40</v>
      </c>
      <c r="O343" s="12">
        <v>30</v>
      </c>
      <c r="P343" s="12" t="s">
        <v>243</v>
      </c>
      <c r="Q343" s="12" t="s">
        <v>234</v>
      </c>
      <c r="R343" s="12" t="s">
        <v>228</v>
      </c>
      <c r="T343" s="12" t="s">
        <v>245</v>
      </c>
      <c r="U343" s="12" t="s">
        <v>245</v>
      </c>
      <c r="V343" s="12"/>
      <c r="W343" s="12"/>
    </row>
    <row r="344" spans="2:23">
      <c r="B344" s="12" t="s">
        <v>608</v>
      </c>
      <c r="C344" s="12" t="s">
        <v>228</v>
      </c>
      <c r="D344" s="12" t="s">
        <v>228</v>
      </c>
      <c r="E344" s="12" t="s">
        <v>247</v>
      </c>
      <c r="F344" s="12" t="s">
        <v>242</v>
      </c>
      <c r="G344" s="5" t="s">
        <v>240</v>
      </c>
      <c r="H344" s="12">
        <f t="shared" ref="H344:H390" si="32">M344*$Z$10</f>
        <v>476.09999999999997</v>
      </c>
      <c r="I344" s="12" t="s">
        <v>1151</v>
      </c>
      <c r="J344" s="12" t="s">
        <v>245</v>
      </c>
      <c r="K344" s="12">
        <f t="shared" ref="K344:K390" si="33">N344*$Y$8</f>
        <v>27.599999999999998</v>
      </c>
      <c r="L344" s="12">
        <f t="shared" ref="L344:L390" si="34">O344*$Y$10</f>
        <v>39.9</v>
      </c>
      <c r="M344" s="12">
        <v>414</v>
      </c>
      <c r="N344" s="12">
        <v>46</v>
      </c>
      <c r="O344" s="12">
        <v>38</v>
      </c>
      <c r="P344" s="12" t="s">
        <v>243</v>
      </c>
      <c r="Q344" s="12" t="s">
        <v>234</v>
      </c>
      <c r="R344" s="12" t="s">
        <v>228</v>
      </c>
      <c r="T344" s="12" t="s">
        <v>245</v>
      </c>
      <c r="U344" s="12" t="s">
        <v>245</v>
      </c>
      <c r="V344" s="12"/>
      <c r="W344" s="12"/>
    </row>
    <row r="345" spans="2:23">
      <c r="B345" s="12" t="s">
        <v>609</v>
      </c>
      <c r="C345" s="12" t="s">
        <v>228</v>
      </c>
      <c r="D345" s="12" t="s">
        <v>228</v>
      </c>
      <c r="E345" s="12" t="s">
        <v>247</v>
      </c>
      <c r="F345" s="12" t="s">
        <v>242</v>
      </c>
      <c r="G345" s="5" t="s">
        <v>240</v>
      </c>
      <c r="H345" s="12">
        <f t="shared" si="32"/>
        <v>496.79999999999995</v>
      </c>
      <c r="I345" s="12" t="s">
        <v>1151</v>
      </c>
      <c r="J345" s="12" t="s">
        <v>245</v>
      </c>
      <c r="K345" s="12">
        <f t="shared" si="33"/>
        <v>28.799999999999997</v>
      </c>
      <c r="L345" s="12">
        <f t="shared" si="34"/>
        <v>44.1</v>
      </c>
      <c r="M345" s="12">
        <v>432</v>
      </c>
      <c r="N345" s="12">
        <v>48</v>
      </c>
      <c r="O345" s="12">
        <v>42</v>
      </c>
      <c r="P345" s="12" t="s">
        <v>243</v>
      </c>
      <c r="Q345" s="12" t="s">
        <v>234</v>
      </c>
      <c r="R345" s="12" t="s">
        <v>228</v>
      </c>
      <c r="T345" s="12" t="s">
        <v>245</v>
      </c>
      <c r="U345" s="12" t="s">
        <v>245</v>
      </c>
      <c r="V345" s="12"/>
      <c r="W345" s="12"/>
    </row>
    <row r="346" spans="2:23">
      <c r="B346" s="12" t="s">
        <v>610</v>
      </c>
      <c r="C346" s="12" t="s">
        <v>228</v>
      </c>
      <c r="D346" s="12" t="s">
        <v>228</v>
      </c>
      <c r="E346" s="12" t="s">
        <v>247</v>
      </c>
      <c r="F346" s="12" t="s">
        <v>242</v>
      </c>
      <c r="G346" s="5" t="s">
        <v>240</v>
      </c>
      <c r="H346" s="12">
        <f t="shared" si="32"/>
        <v>517.5</v>
      </c>
      <c r="I346" s="12" t="s">
        <v>1151</v>
      </c>
      <c r="J346" s="12" t="s">
        <v>245</v>
      </c>
      <c r="K346" s="12">
        <f t="shared" si="33"/>
        <v>30</v>
      </c>
      <c r="L346" s="12">
        <f t="shared" si="34"/>
        <v>48.300000000000004</v>
      </c>
      <c r="M346" s="12">
        <v>450</v>
      </c>
      <c r="N346" s="12">
        <v>50</v>
      </c>
      <c r="O346" s="12">
        <v>46</v>
      </c>
      <c r="P346" s="12" t="s">
        <v>243</v>
      </c>
      <c r="Q346" s="12" t="s">
        <v>234</v>
      </c>
      <c r="R346" s="12" t="s">
        <v>228</v>
      </c>
      <c r="T346" s="12" t="s">
        <v>245</v>
      </c>
      <c r="U346" s="12" t="s">
        <v>245</v>
      </c>
      <c r="V346" s="12"/>
      <c r="W346" s="12"/>
    </row>
    <row r="347" spans="2:23">
      <c r="B347" s="12" t="s">
        <v>611</v>
      </c>
      <c r="C347" s="12" t="s">
        <v>228</v>
      </c>
      <c r="D347" s="12" t="s">
        <v>228</v>
      </c>
      <c r="E347" s="12" t="s">
        <v>247</v>
      </c>
      <c r="F347" s="12" t="s">
        <v>242</v>
      </c>
      <c r="G347" s="5" t="s">
        <v>240</v>
      </c>
      <c r="H347" s="12">
        <f t="shared" si="32"/>
        <v>538.19999999999993</v>
      </c>
      <c r="I347" s="12" t="s">
        <v>1151</v>
      </c>
      <c r="J347" s="12" t="s">
        <v>245</v>
      </c>
      <c r="K347" s="12">
        <f t="shared" si="33"/>
        <v>31.2</v>
      </c>
      <c r="L347" s="12">
        <f t="shared" si="34"/>
        <v>52.5</v>
      </c>
      <c r="M347" s="12">
        <v>468</v>
      </c>
      <c r="N347" s="12">
        <v>52</v>
      </c>
      <c r="O347" s="12">
        <v>50</v>
      </c>
      <c r="P347" s="12" t="s">
        <v>243</v>
      </c>
      <c r="Q347" s="12" t="s">
        <v>234</v>
      </c>
      <c r="R347" s="12" t="s">
        <v>228</v>
      </c>
      <c r="T347" s="12" t="s">
        <v>245</v>
      </c>
      <c r="U347" s="12" t="s">
        <v>245</v>
      </c>
      <c r="V347" s="12"/>
      <c r="W347" s="12"/>
    </row>
    <row r="348" spans="2:23">
      <c r="B348" s="12" t="s">
        <v>612</v>
      </c>
      <c r="C348" s="12" t="s">
        <v>228</v>
      </c>
      <c r="D348" s="12" t="s">
        <v>228</v>
      </c>
      <c r="E348" s="12" t="s">
        <v>247</v>
      </c>
      <c r="F348" s="12" t="s">
        <v>242</v>
      </c>
      <c r="G348" s="5" t="s">
        <v>240</v>
      </c>
      <c r="H348" s="12">
        <f t="shared" si="32"/>
        <v>558.9</v>
      </c>
      <c r="I348" s="12" t="s">
        <v>1151</v>
      </c>
      <c r="J348" s="12" t="s">
        <v>245</v>
      </c>
      <c r="K348" s="12">
        <f t="shared" si="33"/>
        <v>32.4</v>
      </c>
      <c r="L348" s="12">
        <f t="shared" si="34"/>
        <v>56.7</v>
      </c>
      <c r="M348" s="12">
        <v>486</v>
      </c>
      <c r="N348" s="12">
        <v>54</v>
      </c>
      <c r="O348" s="12">
        <v>54</v>
      </c>
      <c r="P348" s="12" t="s">
        <v>243</v>
      </c>
      <c r="Q348" s="12" t="s">
        <v>234</v>
      </c>
      <c r="R348" s="12" t="s">
        <v>228</v>
      </c>
      <c r="T348" s="12" t="s">
        <v>245</v>
      </c>
      <c r="U348" s="12" t="s">
        <v>245</v>
      </c>
      <c r="V348" s="12"/>
      <c r="W348" s="12"/>
    </row>
    <row r="349" spans="2:23">
      <c r="B349" s="12" t="s">
        <v>613</v>
      </c>
      <c r="C349" s="12" t="s">
        <v>228</v>
      </c>
      <c r="D349" s="12" t="s">
        <v>228</v>
      </c>
      <c r="E349" s="12" t="s">
        <v>247</v>
      </c>
      <c r="F349" s="12" t="s">
        <v>242</v>
      </c>
      <c r="G349" s="5" t="s">
        <v>240</v>
      </c>
      <c r="H349" s="12">
        <f t="shared" si="32"/>
        <v>579.59999999999991</v>
      </c>
      <c r="I349" s="12" t="s">
        <v>1151</v>
      </c>
      <c r="J349" s="12" t="s">
        <v>245</v>
      </c>
      <c r="K349" s="12">
        <f t="shared" si="33"/>
        <v>33.6</v>
      </c>
      <c r="L349" s="12">
        <f t="shared" si="34"/>
        <v>60.900000000000006</v>
      </c>
      <c r="M349" s="12">
        <v>504</v>
      </c>
      <c r="N349" s="12">
        <v>56</v>
      </c>
      <c r="O349" s="12">
        <v>58</v>
      </c>
      <c r="P349" s="12" t="s">
        <v>243</v>
      </c>
      <c r="Q349" s="12" t="s">
        <v>234</v>
      </c>
      <c r="R349" s="12" t="s">
        <v>228</v>
      </c>
      <c r="T349" s="12" t="s">
        <v>245</v>
      </c>
      <c r="U349" s="12" t="s">
        <v>245</v>
      </c>
      <c r="V349" s="12"/>
      <c r="W349" s="12"/>
    </row>
    <row r="350" spans="2:23">
      <c r="B350" s="12" t="s">
        <v>614</v>
      </c>
      <c r="C350" s="12" t="s">
        <v>228</v>
      </c>
      <c r="D350" s="12" t="s">
        <v>228</v>
      </c>
      <c r="E350" s="12" t="s">
        <v>247</v>
      </c>
      <c r="F350" s="12" t="s">
        <v>242</v>
      </c>
      <c r="G350" s="5" t="s">
        <v>240</v>
      </c>
      <c r="H350" s="12">
        <f t="shared" si="32"/>
        <v>600.29999999999995</v>
      </c>
      <c r="I350" s="12" t="s">
        <v>1151</v>
      </c>
      <c r="J350" s="12" t="s">
        <v>245</v>
      </c>
      <c r="K350" s="12">
        <f t="shared" si="33"/>
        <v>34.799999999999997</v>
      </c>
      <c r="L350" s="12">
        <f t="shared" si="34"/>
        <v>65.100000000000009</v>
      </c>
      <c r="M350" s="12">
        <v>522</v>
      </c>
      <c r="N350" s="12">
        <v>58</v>
      </c>
      <c r="O350" s="12">
        <v>62</v>
      </c>
      <c r="P350" s="12" t="s">
        <v>243</v>
      </c>
      <c r="Q350" s="12" t="s">
        <v>234</v>
      </c>
      <c r="R350" s="12" t="s">
        <v>228</v>
      </c>
      <c r="T350" s="12" t="s">
        <v>245</v>
      </c>
      <c r="U350" s="12" t="s">
        <v>245</v>
      </c>
      <c r="V350" s="12"/>
      <c r="W350" s="12"/>
    </row>
    <row r="351" spans="2:23">
      <c r="B351" s="12" t="s">
        <v>615</v>
      </c>
      <c r="C351" s="12" t="s">
        <v>228</v>
      </c>
      <c r="D351" s="12" t="s">
        <v>228</v>
      </c>
      <c r="E351" s="12" t="s">
        <v>247</v>
      </c>
      <c r="F351" s="12" t="s">
        <v>242</v>
      </c>
      <c r="G351" s="5" t="s">
        <v>240</v>
      </c>
      <c r="H351" s="12">
        <f t="shared" si="32"/>
        <v>621</v>
      </c>
      <c r="I351" s="12" t="s">
        <v>1151</v>
      </c>
      <c r="J351" s="12" t="s">
        <v>245</v>
      </c>
      <c r="K351" s="12">
        <f t="shared" si="33"/>
        <v>36</v>
      </c>
      <c r="L351" s="12">
        <f t="shared" si="34"/>
        <v>69.3</v>
      </c>
      <c r="M351" s="12">
        <v>540</v>
      </c>
      <c r="N351" s="12">
        <v>60</v>
      </c>
      <c r="O351" s="12">
        <v>66</v>
      </c>
      <c r="P351" s="12" t="s">
        <v>243</v>
      </c>
      <c r="Q351" s="12" t="s">
        <v>234</v>
      </c>
      <c r="R351" s="12" t="s">
        <v>228</v>
      </c>
      <c r="T351" s="12" t="s">
        <v>245</v>
      </c>
      <c r="U351" s="12" t="s">
        <v>245</v>
      </c>
      <c r="V351" s="12"/>
      <c r="W351" s="12"/>
    </row>
    <row r="352" spans="2:23">
      <c r="B352" s="12" t="s">
        <v>616</v>
      </c>
      <c r="C352" s="12" t="s">
        <v>228</v>
      </c>
      <c r="D352" s="12" t="s">
        <v>228</v>
      </c>
      <c r="E352" s="12" t="s">
        <v>247</v>
      </c>
      <c r="F352" s="12" t="s">
        <v>242</v>
      </c>
      <c r="G352" s="5" t="s">
        <v>240</v>
      </c>
      <c r="H352" s="12">
        <f t="shared" si="32"/>
        <v>641.69999999999993</v>
      </c>
      <c r="I352" s="12" t="s">
        <v>1151</v>
      </c>
      <c r="J352" s="12" t="s">
        <v>245</v>
      </c>
      <c r="K352" s="12">
        <f t="shared" si="33"/>
        <v>37.199999999999996</v>
      </c>
      <c r="L352" s="12">
        <f t="shared" si="34"/>
        <v>73.5</v>
      </c>
      <c r="M352" s="12">
        <v>558</v>
      </c>
      <c r="N352" s="12">
        <v>62</v>
      </c>
      <c r="O352" s="12">
        <v>70</v>
      </c>
      <c r="P352" s="12" t="s">
        <v>243</v>
      </c>
      <c r="Q352" s="12" t="s">
        <v>234</v>
      </c>
      <c r="R352" s="12" t="s">
        <v>228</v>
      </c>
      <c r="T352" s="12" t="s">
        <v>245</v>
      </c>
      <c r="U352" s="12" t="s">
        <v>245</v>
      </c>
      <c r="V352" s="12"/>
      <c r="W352" s="12"/>
    </row>
    <row r="353" spans="2:23">
      <c r="B353" s="12" t="s">
        <v>617</v>
      </c>
      <c r="C353" s="12" t="s">
        <v>228</v>
      </c>
      <c r="D353" s="12" t="s">
        <v>228</v>
      </c>
      <c r="E353" s="12" t="s">
        <v>247</v>
      </c>
      <c r="F353" s="12" t="s">
        <v>242</v>
      </c>
      <c r="G353" s="5" t="s">
        <v>240</v>
      </c>
      <c r="H353" s="12">
        <f t="shared" si="32"/>
        <v>662.4</v>
      </c>
      <c r="I353" s="12" t="s">
        <v>1151</v>
      </c>
      <c r="J353" s="12" t="s">
        <v>245</v>
      </c>
      <c r="K353" s="12">
        <f t="shared" si="33"/>
        <v>38.4</v>
      </c>
      <c r="L353" s="12">
        <f t="shared" si="34"/>
        <v>77.7</v>
      </c>
      <c r="M353" s="12">
        <v>576</v>
      </c>
      <c r="N353" s="12">
        <v>64</v>
      </c>
      <c r="O353" s="12">
        <v>74</v>
      </c>
      <c r="P353" s="12" t="s">
        <v>243</v>
      </c>
      <c r="Q353" s="12" t="s">
        <v>234</v>
      </c>
      <c r="R353" s="12" t="s">
        <v>228</v>
      </c>
      <c r="T353" s="12" t="s">
        <v>245</v>
      </c>
      <c r="U353" s="12" t="s">
        <v>245</v>
      </c>
      <c r="V353" s="12"/>
      <c r="W353" s="12"/>
    </row>
    <row r="354" spans="2:23">
      <c r="B354" s="12" t="s">
        <v>618</v>
      </c>
      <c r="C354" s="12" t="s">
        <v>228</v>
      </c>
      <c r="D354" s="12" t="s">
        <v>228</v>
      </c>
      <c r="E354" s="12" t="s">
        <v>247</v>
      </c>
      <c r="F354" s="12" t="s">
        <v>242</v>
      </c>
      <c r="G354" s="5" t="s">
        <v>240</v>
      </c>
      <c r="H354" s="12">
        <f t="shared" si="32"/>
        <v>683.09999999999991</v>
      </c>
      <c r="I354" s="12" t="s">
        <v>1151</v>
      </c>
      <c r="J354" s="12" t="s">
        <v>245</v>
      </c>
      <c r="K354" s="12">
        <f t="shared" si="33"/>
        <v>39.6</v>
      </c>
      <c r="L354" s="12">
        <f t="shared" si="34"/>
        <v>81.900000000000006</v>
      </c>
      <c r="M354" s="12">
        <v>594</v>
      </c>
      <c r="N354" s="12">
        <v>66</v>
      </c>
      <c r="O354" s="12">
        <v>78</v>
      </c>
      <c r="P354" s="12" t="s">
        <v>243</v>
      </c>
      <c r="Q354" s="12" t="s">
        <v>234</v>
      </c>
      <c r="R354" s="12" t="s">
        <v>228</v>
      </c>
      <c r="T354" s="12" t="s">
        <v>245</v>
      </c>
      <c r="U354" s="12" t="s">
        <v>245</v>
      </c>
      <c r="V354" s="12"/>
      <c r="W354" s="12"/>
    </row>
    <row r="355" spans="2:23">
      <c r="B355" s="12" t="s">
        <v>619</v>
      </c>
      <c r="C355" s="12" t="s">
        <v>228</v>
      </c>
      <c r="D355" s="12" t="s">
        <v>228</v>
      </c>
      <c r="E355" s="12" t="s">
        <v>247</v>
      </c>
      <c r="F355" s="12" t="s">
        <v>242</v>
      </c>
      <c r="G355" s="5" t="s">
        <v>240</v>
      </c>
      <c r="H355" s="12">
        <f t="shared" si="32"/>
        <v>703.8</v>
      </c>
      <c r="I355" s="12" t="s">
        <v>1151</v>
      </c>
      <c r="J355" s="12" t="s">
        <v>245</v>
      </c>
      <c r="K355" s="12">
        <f t="shared" si="33"/>
        <v>40.799999999999997</v>
      </c>
      <c r="L355" s="12">
        <f t="shared" si="34"/>
        <v>86.100000000000009</v>
      </c>
      <c r="M355" s="12">
        <v>612</v>
      </c>
      <c r="N355" s="12">
        <v>68</v>
      </c>
      <c r="O355" s="12">
        <v>82</v>
      </c>
      <c r="P355" s="12" t="s">
        <v>243</v>
      </c>
      <c r="Q355" s="12" t="s">
        <v>234</v>
      </c>
      <c r="R355" s="12" t="s">
        <v>228</v>
      </c>
      <c r="T355" s="12" t="s">
        <v>245</v>
      </c>
      <c r="U355" s="12" t="s">
        <v>245</v>
      </c>
      <c r="V355" s="12"/>
      <c r="W355" s="12"/>
    </row>
    <row r="356" spans="2:23">
      <c r="B356" s="12" t="s">
        <v>620</v>
      </c>
      <c r="C356" s="12" t="s">
        <v>228</v>
      </c>
      <c r="D356" s="12" t="s">
        <v>228</v>
      </c>
      <c r="E356" s="12" t="s">
        <v>247</v>
      </c>
      <c r="F356" s="12" t="s">
        <v>242</v>
      </c>
      <c r="G356" s="5" t="s">
        <v>240</v>
      </c>
      <c r="H356" s="12">
        <f t="shared" si="32"/>
        <v>724.5</v>
      </c>
      <c r="I356" s="12" t="s">
        <v>1151</v>
      </c>
      <c r="J356" s="12" t="s">
        <v>245</v>
      </c>
      <c r="K356" s="12">
        <f t="shared" si="33"/>
        <v>42</v>
      </c>
      <c r="L356" s="12">
        <f t="shared" si="34"/>
        <v>90.3</v>
      </c>
      <c r="M356" s="12">
        <v>630</v>
      </c>
      <c r="N356" s="12">
        <v>70</v>
      </c>
      <c r="O356" s="12">
        <v>86</v>
      </c>
      <c r="P356" s="12" t="s">
        <v>243</v>
      </c>
      <c r="Q356" s="12" t="s">
        <v>234</v>
      </c>
      <c r="R356" s="12" t="s">
        <v>228</v>
      </c>
      <c r="T356" s="12" t="s">
        <v>245</v>
      </c>
      <c r="U356" s="12" t="s">
        <v>245</v>
      </c>
      <c r="V356" s="12"/>
      <c r="W356" s="12"/>
    </row>
    <row r="357" spans="2:23">
      <c r="B357" s="12" t="s">
        <v>621</v>
      </c>
      <c r="C357" s="12" t="s">
        <v>228</v>
      </c>
      <c r="D357" s="12" t="s">
        <v>228</v>
      </c>
      <c r="E357" s="12" t="s">
        <v>247</v>
      </c>
      <c r="F357" s="12" t="s">
        <v>242</v>
      </c>
      <c r="G357" s="5" t="s">
        <v>240</v>
      </c>
      <c r="H357" s="12">
        <f t="shared" si="32"/>
        <v>1223.5999999999999</v>
      </c>
      <c r="I357" s="12" t="s">
        <v>1151</v>
      </c>
      <c r="J357" s="12" t="s">
        <v>245</v>
      </c>
      <c r="K357" s="12">
        <f t="shared" si="33"/>
        <v>91.2</v>
      </c>
      <c r="L357" s="12">
        <f t="shared" si="34"/>
        <v>127.575</v>
      </c>
      <c r="M357" s="12">
        <v>1064</v>
      </c>
      <c r="N357" s="12">
        <v>152</v>
      </c>
      <c r="O357" s="12">
        <v>121.5</v>
      </c>
      <c r="P357" s="12" t="s">
        <v>243</v>
      </c>
      <c r="Q357" s="12" t="s">
        <v>234</v>
      </c>
      <c r="R357" s="12" t="s">
        <v>228</v>
      </c>
      <c r="T357" s="12" t="s">
        <v>245</v>
      </c>
      <c r="U357" s="12" t="s">
        <v>245</v>
      </c>
      <c r="V357" s="12"/>
      <c r="W357" s="12"/>
    </row>
    <row r="358" spans="2:23">
      <c r="B358" s="12" t="s">
        <v>622</v>
      </c>
      <c r="C358" s="12" t="s">
        <v>228</v>
      </c>
      <c r="D358" s="12" t="s">
        <v>228</v>
      </c>
      <c r="E358" s="12" t="s">
        <v>247</v>
      </c>
      <c r="F358" s="12" t="s">
        <v>242</v>
      </c>
      <c r="G358" s="5" t="s">
        <v>240</v>
      </c>
      <c r="H358" s="12">
        <f t="shared" si="32"/>
        <v>1255.8</v>
      </c>
      <c r="I358" s="12" t="s">
        <v>1151</v>
      </c>
      <c r="J358" s="12" t="s">
        <v>245</v>
      </c>
      <c r="K358" s="12">
        <f t="shared" si="33"/>
        <v>93.6</v>
      </c>
      <c r="L358" s="12">
        <f t="shared" si="34"/>
        <v>133.95374999999999</v>
      </c>
      <c r="M358" s="12">
        <v>1092</v>
      </c>
      <c r="N358" s="12">
        <v>156</v>
      </c>
      <c r="O358" s="12">
        <v>127.57499999999999</v>
      </c>
      <c r="P358" s="12" t="s">
        <v>243</v>
      </c>
      <c r="Q358" s="12" t="s">
        <v>234</v>
      </c>
      <c r="R358" s="12" t="s">
        <v>228</v>
      </c>
      <c r="T358" s="12" t="s">
        <v>245</v>
      </c>
      <c r="U358" s="12" t="s">
        <v>245</v>
      </c>
      <c r="V358" s="12"/>
      <c r="W358" s="12"/>
    </row>
    <row r="359" spans="2:23">
      <c r="B359" s="12" t="s">
        <v>623</v>
      </c>
      <c r="C359" s="12" t="s">
        <v>228</v>
      </c>
      <c r="D359" s="12" t="s">
        <v>228</v>
      </c>
      <c r="E359" s="12" t="s">
        <v>247</v>
      </c>
      <c r="F359" s="12" t="s">
        <v>242</v>
      </c>
      <c r="G359" s="5" t="s">
        <v>240</v>
      </c>
      <c r="H359" s="12">
        <f t="shared" si="32"/>
        <v>1288</v>
      </c>
      <c r="I359" s="12" t="s">
        <v>1151</v>
      </c>
      <c r="J359" s="12" t="s">
        <v>245</v>
      </c>
      <c r="K359" s="12">
        <f t="shared" si="33"/>
        <v>96</v>
      </c>
      <c r="L359" s="12">
        <f t="shared" si="34"/>
        <v>140.33250000000001</v>
      </c>
      <c r="M359" s="12">
        <v>1120</v>
      </c>
      <c r="N359" s="12">
        <v>160</v>
      </c>
      <c r="O359" s="12">
        <v>133.65</v>
      </c>
      <c r="P359" s="12" t="s">
        <v>243</v>
      </c>
      <c r="Q359" s="12" t="s">
        <v>234</v>
      </c>
      <c r="R359" s="12" t="s">
        <v>228</v>
      </c>
      <c r="T359" s="12" t="s">
        <v>245</v>
      </c>
      <c r="U359" s="12" t="s">
        <v>245</v>
      </c>
      <c r="V359" s="12"/>
      <c r="W359" s="12"/>
    </row>
    <row r="360" spans="2:23">
      <c r="B360" s="12" t="s">
        <v>624</v>
      </c>
      <c r="C360" s="12" t="s">
        <v>228</v>
      </c>
      <c r="D360" s="12" t="s">
        <v>228</v>
      </c>
      <c r="E360" s="12" t="s">
        <v>247</v>
      </c>
      <c r="F360" s="12" t="s">
        <v>242</v>
      </c>
      <c r="G360" s="5" t="s">
        <v>240</v>
      </c>
      <c r="H360" s="12">
        <f t="shared" si="32"/>
        <v>1320.1999999999998</v>
      </c>
      <c r="I360" s="12" t="s">
        <v>1151</v>
      </c>
      <c r="J360" s="12" t="s">
        <v>245</v>
      </c>
      <c r="K360" s="12">
        <f t="shared" si="33"/>
        <v>98.399999999999991</v>
      </c>
      <c r="L360" s="12">
        <f t="shared" si="34"/>
        <v>146.71125000000001</v>
      </c>
      <c r="M360" s="12">
        <v>1148</v>
      </c>
      <c r="N360" s="12">
        <v>164</v>
      </c>
      <c r="O360" s="12">
        <v>139.72499999999999</v>
      </c>
      <c r="P360" s="12" t="s">
        <v>243</v>
      </c>
      <c r="Q360" s="12" t="s">
        <v>234</v>
      </c>
      <c r="R360" s="12" t="s">
        <v>228</v>
      </c>
      <c r="T360" s="12" t="s">
        <v>245</v>
      </c>
      <c r="U360" s="12" t="s">
        <v>245</v>
      </c>
      <c r="V360" s="12"/>
      <c r="W360" s="12"/>
    </row>
    <row r="361" spans="2:23">
      <c r="B361" s="12" t="s">
        <v>625</v>
      </c>
      <c r="C361" s="12" t="s">
        <v>228</v>
      </c>
      <c r="D361" s="12" t="s">
        <v>228</v>
      </c>
      <c r="E361" s="12" t="s">
        <v>247</v>
      </c>
      <c r="F361" s="12" t="s">
        <v>242</v>
      </c>
      <c r="G361" s="5" t="s">
        <v>240</v>
      </c>
      <c r="H361" s="12">
        <f t="shared" si="32"/>
        <v>1352.3999999999999</v>
      </c>
      <c r="I361" s="12" t="s">
        <v>1151</v>
      </c>
      <c r="J361" s="12" t="s">
        <v>245</v>
      </c>
      <c r="K361" s="12">
        <f t="shared" si="33"/>
        <v>100.8</v>
      </c>
      <c r="L361" s="12">
        <f t="shared" si="34"/>
        <v>153.08999999999997</v>
      </c>
      <c r="M361" s="12">
        <v>1176</v>
      </c>
      <c r="N361" s="12">
        <v>168</v>
      </c>
      <c r="O361" s="12">
        <v>145.79999999999998</v>
      </c>
      <c r="P361" s="12" t="s">
        <v>243</v>
      </c>
      <c r="Q361" s="12" t="s">
        <v>234</v>
      </c>
      <c r="R361" s="12" t="s">
        <v>228</v>
      </c>
      <c r="T361" s="12" t="s">
        <v>245</v>
      </c>
      <c r="U361" s="12" t="s">
        <v>245</v>
      </c>
      <c r="V361" s="12"/>
      <c r="W361" s="12"/>
    </row>
    <row r="362" spans="2:23">
      <c r="B362" s="12" t="s">
        <v>626</v>
      </c>
      <c r="C362" s="12" t="s">
        <v>228</v>
      </c>
      <c r="D362" s="12" t="s">
        <v>228</v>
      </c>
      <c r="E362" s="12" t="s">
        <v>247</v>
      </c>
      <c r="F362" s="12" t="s">
        <v>242</v>
      </c>
      <c r="G362" s="5" t="s">
        <v>240</v>
      </c>
      <c r="H362" s="12">
        <f t="shared" si="32"/>
        <v>1384.6</v>
      </c>
      <c r="I362" s="12" t="s">
        <v>1151</v>
      </c>
      <c r="J362" s="12" t="s">
        <v>245</v>
      </c>
      <c r="K362" s="12">
        <f t="shared" si="33"/>
        <v>103.2</v>
      </c>
      <c r="L362" s="12">
        <f t="shared" si="34"/>
        <v>159.46875</v>
      </c>
      <c r="M362" s="12">
        <v>1204</v>
      </c>
      <c r="N362" s="12">
        <v>172</v>
      </c>
      <c r="O362" s="12">
        <v>151.875</v>
      </c>
      <c r="P362" s="12" t="s">
        <v>243</v>
      </c>
      <c r="Q362" s="12" t="s">
        <v>234</v>
      </c>
      <c r="R362" s="12" t="s">
        <v>228</v>
      </c>
      <c r="T362" s="12" t="s">
        <v>245</v>
      </c>
      <c r="U362" s="12" t="s">
        <v>245</v>
      </c>
      <c r="V362" s="12"/>
      <c r="W362" s="12"/>
    </row>
    <row r="363" spans="2:23">
      <c r="B363" s="12" t="s">
        <v>627</v>
      </c>
      <c r="C363" s="12" t="s">
        <v>228</v>
      </c>
      <c r="D363" s="12" t="s">
        <v>228</v>
      </c>
      <c r="E363" s="12" t="s">
        <v>247</v>
      </c>
      <c r="F363" s="12" t="s">
        <v>242</v>
      </c>
      <c r="G363" s="5" t="s">
        <v>240</v>
      </c>
      <c r="H363" s="12">
        <f t="shared" si="32"/>
        <v>1416.8</v>
      </c>
      <c r="I363" s="12" t="s">
        <v>1151</v>
      </c>
      <c r="J363" s="12" t="s">
        <v>245</v>
      </c>
      <c r="K363" s="12">
        <f t="shared" si="33"/>
        <v>105.6</v>
      </c>
      <c r="L363" s="12">
        <f t="shared" si="34"/>
        <v>165.8475</v>
      </c>
      <c r="M363" s="12">
        <v>1232</v>
      </c>
      <c r="N363" s="12">
        <v>176</v>
      </c>
      <c r="O363" s="12">
        <v>157.94999999999999</v>
      </c>
      <c r="P363" s="12" t="s">
        <v>243</v>
      </c>
      <c r="Q363" s="12" t="s">
        <v>234</v>
      </c>
      <c r="R363" s="12" t="s">
        <v>228</v>
      </c>
      <c r="T363" s="12" t="s">
        <v>245</v>
      </c>
      <c r="U363" s="12" t="s">
        <v>245</v>
      </c>
      <c r="V363" s="12"/>
      <c r="W363" s="12"/>
    </row>
    <row r="364" spans="2:23">
      <c r="B364" s="12" t="s">
        <v>628</v>
      </c>
      <c r="C364" s="12" t="s">
        <v>228</v>
      </c>
      <c r="D364" s="12" t="s">
        <v>228</v>
      </c>
      <c r="E364" s="12" t="s">
        <v>247</v>
      </c>
      <c r="F364" s="12" t="s">
        <v>242</v>
      </c>
      <c r="G364" s="5" t="s">
        <v>240</v>
      </c>
      <c r="H364" s="12">
        <f t="shared" si="32"/>
        <v>1449</v>
      </c>
      <c r="I364" s="12" t="s">
        <v>1151</v>
      </c>
      <c r="J364" s="12" t="s">
        <v>245</v>
      </c>
      <c r="K364" s="12">
        <f t="shared" si="33"/>
        <v>108</v>
      </c>
      <c r="L364" s="12">
        <f t="shared" si="34"/>
        <v>172.22625000000002</v>
      </c>
      <c r="M364" s="12">
        <v>1260</v>
      </c>
      <c r="N364" s="12">
        <v>180</v>
      </c>
      <c r="O364" s="12">
        <v>164.02500000000001</v>
      </c>
      <c r="P364" s="12" t="s">
        <v>243</v>
      </c>
      <c r="Q364" s="12" t="s">
        <v>234</v>
      </c>
      <c r="R364" s="12" t="s">
        <v>228</v>
      </c>
      <c r="T364" s="12" t="s">
        <v>245</v>
      </c>
      <c r="U364" s="12" t="s">
        <v>245</v>
      </c>
      <c r="V364" s="12"/>
      <c r="W364" s="12"/>
    </row>
    <row r="365" spans="2:23">
      <c r="B365" s="12" t="s">
        <v>629</v>
      </c>
      <c r="C365" s="12" t="s">
        <v>228</v>
      </c>
      <c r="D365" s="12" t="s">
        <v>228</v>
      </c>
      <c r="E365" s="12" t="s">
        <v>247</v>
      </c>
      <c r="F365" s="12" t="s">
        <v>242</v>
      </c>
      <c r="G365" s="5" t="s">
        <v>240</v>
      </c>
      <c r="H365" s="12">
        <f t="shared" si="32"/>
        <v>1481.1999999999998</v>
      </c>
      <c r="I365" s="12" t="s">
        <v>1151</v>
      </c>
      <c r="J365" s="12" t="s">
        <v>245</v>
      </c>
      <c r="K365" s="12">
        <f t="shared" si="33"/>
        <v>110.39999999999999</v>
      </c>
      <c r="L365" s="12">
        <f t="shared" si="34"/>
        <v>178.60499999999999</v>
      </c>
      <c r="M365" s="12">
        <v>1288</v>
      </c>
      <c r="N365" s="12">
        <v>184</v>
      </c>
      <c r="O365" s="12">
        <v>170.1</v>
      </c>
      <c r="P365" s="12" t="s">
        <v>243</v>
      </c>
      <c r="Q365" s="12" t="s">
        <v>234</v>
      </c>
      <c r="R365" s="12" t="s">
        <v>228</v>
      </c>
      <c r="T365" s="12" t="s">
        <v>245</v>
      </c>
      <c r="U365" s="12" t="s">
        <v>245</v>
      </c>
      <c r="V365" s="12"/>
      <c r="W365" s="12"/>
    </row>
    <row r="366" spans="2:23">
      <c r="B366" s="12" t="s">
        <v>630</v>
      </c>
      <c r="C366" s="12" t="s">
        <v>228</v>
      </c>
      <c r="D366" s="12" t="s">
        <v>228</v>
      </c>
      <c r="E366" s="12" t="s">
        <v>247</v>
      </c>
      <c r="F366" s="12" t="s">
        <v>242</v>
      </c>
      <c r="G366" s="5" t="s">
        <v>240</v>
      </c>
      <c r="H366" s="12">
        <f t="shared" si="32"/>
        <v>1513.3999999999999</v>
      </c>
      <c r="I366" s="12" t="s">
        <v>1151</v>
      </c>
      <c r="J366" s="12" t="s">
        <v>245</v>
      </c>
      <c r="K366" s="12">
        <f t="shared" si="33"/>
        <v>112.8</v>
      </c>
      <c r="L366" s="12">
        <f t="shared" si="34"/>
        <v>184.98374999999999</v>
      </c>
      <c r="M366" s="12">
        <v>1316</v>
      </c>
      <c r="N366" s="12">
        <v>188</v>
      </c>
      <c r="O366" s="12">
        <v>176.17499999999998</v>
      </c>
      <c r="P366" s="12" t="s">
        <v>243</v>
      </c>
      <c r="Q366" s="12" t="s">
        <v>234</v>
      </c>
      <c r="R366" s="12" t="s">
        <v>228</v>
      </c>
      <c r="T366" s="12" t="s">
        <v>245</v>
      </c>
      <c r="U366" s="12" t="s">
        <v>245</v>
      </c>
      <c r="V366" s="12"/>
      <c r="W366" s="12"/>
    </row>
    <row r="367" spans="2:23">
      <c r="B367" s="12" t="s">
        <v>631</v>
      </c>
      <c r="C367" s="12" t="s">
        <v>228</v>
      </c>
      <c r="D367" s="12" t="s">
        <v>228</v>
      </c>
      <c r="E367" s="12" t="s">
        <v>247</v>
      </c>
      <c r="F367" s="12" t="s">
        <v>242</v>
      </c>
      <c r="G367" s="5" t="s">
        <v>240</v>
      </c>
      <c r="H367" s="12">
        <f t="shared" si="32"/>
        <v>1545.6</v>
      </c>
      <c r="I367" s="12" t="s">
        <v>1151</v>
      </c>
      <c r="J367" s="12" t="s">
        <v>245</v>
      </c>
      <c r="K367" s="12">
        <f t="shared" si="33"/>
        <v>115.19999999999999</v>
      </c>
      <c r="L367" s="12">
        <f t="shared" si="34"/>
        <v>191.36250000000001</v>
      </c>
      <c r="M367" s="12">
        <v>1344</v>
      </c>
      <c r="N367" s="12">
        <v>192</v>
      </c>
      <c r="O367" s="12">
        <v>182.25</v>
      </c>
      <c r="P367" s="12" t="s">
        <v>243</v>
      </c>
      <c r="Q367" s="12" t="s">
        <v>234</v>
      </c>
      <c r="R367" s="12" t="s">
        <v>228</v>
      </c>
      <c r="T367" s="12" t="s">
        <v>245</v>
      </c>
      <c r="U367" s="12" t="s">
        <v>245</v>
      </c>
      <c r="V367" s="12"/>
      <c r="W367" s="12"/>
    </row>
    <row r="368" spans="2:23">
      <c r="B368" s="12" t="s">
        <v>632</v>
      </c>
      <c r="C368" s="12" t="s">
        <v>228</v>
      </c>
      <c r="D368" s="12" t="s">
        <v>228</v>
      </c>
      <c r="E368" s="12" t="s">
        <v>247</v>
      </c>
      <c r="F368" s="12" t="s">
        <v>242</v>
      </c>
      <c r="G368" s="5" t="s">
        <v>240</v>
      </c>
      <c r="H368" s="12">
        <f t="shared" si="32"/>
        <v>1577.8</v>
      </c>
      <c r="I368" s="12" t="s">
        <v>1151</v>
      </c>
      <c r="J368" s="12" t="s">
        <v>245</v>
      </c>
      <c r="K368" s="12">
        <f t="shared" si="33"/>
        <v>117.6</v>
      </c>
      <c r="L368" s="12">
        <f t="shared" si="34"/>
        <v>197.74125000000001</v>
      </c>
      <c r="M368" s="12">
        <v>1372</v>
      </c>
      <c r="N368" s="12">
        <v>196</v>
      </c>
      <c r="O368" s="12">
        <v>188.32499999999999</v>
      </c>
      <c r="P368" s="12" t="s">
        <v>243</v>
      </c>
      <c r="Q368" s="12" t="s">
        <v>234</v>
      </c>
      <c r="R368" s="12" t="s">
        <v>228</v>
      </c>
      <c r="T368" s="12" t="s">
        <v>245</v>
      </c>
      <c r="U368" s="12" t="s">
        <v>245</v>
      </c>
      <c r="V368" s="12"/>
      <c r="W368" s="12"/>
    </row>
    <row r="369" spans="2:23">
      <c r="B369" s="12" t="s">
        <v>633</v>
      </c>
      <c r="C369" s="12" t="s">
        <v>228</v>
      </c>
      <c r="D369" s="12" t="s">
        <v>228</v>
      </c>
      <c r="E369" s="12" t="s">
        <v>247</v>
      </c>
      <c r="F369" s="12" t="s">
        <v>242</v>
      </c>
      <c r="G369" s="5" t="s">
        <v>240</v>
      </c>
      <c r="H369" s="12">
        <f t="shared" si="32"/>
        <v>1609.9999999999998</v>
      </c>
      <c r="I369" s="12" t="s">
        <v>1151</v>
      </c>
      <c r="J369" s="12" t="s">
        <v>245</v>
      </c>
      <c r="K369" s="12">
        <f t="shared" si="33"/>
        <v>120</v>
      </c>
      <c r="L369" s="12">
        <f t="shared" si="34"/>
        <v>204.11999999999998</v>
      </c>
      <c r="M369" s="12">
        <v>1400</v>
      </c>
      <c r="N369" s="12">
        <v>200</v>
      </c>
      <c r="O369" s="12">
        <v>194.39999999999998</v>
      </c>
      <c r="P369" s="12" t="s">
        <v>243</v>
      </c>
      <c r="Q369" s="12" t="s">
        <v>234</v>
      </c>
      <c r="R369" s="12" t="s">
        <v>228</v>
      </c>
      <c r="T369" s="12" t="s">
        <v>245</v>
      </c>
      <c r="U369" s="12" t="s">
        <v>245</v>
      </c>
      <c r="V369" s="12"/>
      <c r="W369" s="12"/>
    </row>
    <row r="370" spans="2:23">
      <c r="B370" s="12" t="s">
        <v>634</v>
      </c>
      <c r="C370" s="12" t="s">
        <v>228</v>
      </c>
      <c r="D370" s="12" t="s">
        <v>228</v>
      </c>
      <c r="E370" s="12" t="s">
        <v>247</v>
      </c>
      <c r="F370" s="12" t="s">
        <v>242</v>
      </c>
      <c r="G370" s="5" t="s">
        <v>240</v>
      </c>
      <c r="H370" s="12">
        <f t="shared" si="32"/>
        <v>1642.1999999999998</v>
      </c>
      <c r="I370" s="12" t="s">
        <v>1151</v>
      </c>
      <c r="J370" s="12" t="s">
        <v>245</v>
      </c>
      <c r="K370" s="12">
        <f t="shared" si="33"/>
        <v>122.39999999999999</v>
      </c>
      <c r="L370" s="12">
        <f t="shared" si="34"/>
        <v>210.49875</v>
      </c>
      <c r="M370" s="12">
        <v>1428</v>
      </c>
      <c r="N370" s="12">
        <v>204</v>
      </c>
      <c r="O370" s="12">
        <v>200.47499999999999</v>
      </c>
      <c r="P370" s="12" t="s">
        <v>243</v>
      </c>
      <c r="Q370" s="12" t="s">
        <v>234</v>
      </c>
      <c r="R370" s="12" t="s">
        <v>228</v>
      </c>
      <c r="T370" s="12" t="s">
        <v>245</v>
      </c>
      <c r="U370" s="12" t="s">
        <v>245</v>
      </c>
      <c r="V370" s="12"/>
      <c r="W370" s="12"/>
    </row>
    <row r="371" spans="2:23">
      <c r="B371" s="12" t="s">
        <v>635</v>
      </c>
      <c r="C371" s="12" t="s">
        <v>228</v>
      </c>
      <c r="D371" s="12" t="s">
        <v>228</v>
      </c>
      <c r="E371" s="12" t="s">
        <v>247</v>
      </c>
      <c r="F371" s="12" t="s">
        <v>242</v>
      </c>
      <c r="G371" s="5" t="s">
        <v>240</v>
      </c>
      <c r="H371" s="12">
        <f t="shared" si="32"/>
        <v>1674.3999999999999</v>
      </c>
      <c r="I371" s="12" t="s">
        <v>1151</v>
      </c>
      <c r="J371" s="12" t="s">
        <v>245</v>
      </c>
      <c r="K371" s="12">
        <f t="shared" si="33"/>
        <v>124.8</v>
      </c>
      <c r="L371" s="12">
        <f t="shared" si="34"/>
        <v>216.8775</v>
      </c>
      <c r="M371" s="12">
        <v>1456</v>
      </c>
      <c r="N371" s="12">
        <v>208</v>
      </c>
      <c r="O371" s="12">
        <v>206.54999999999998</v>
      </c>
      <c r="P371" s="12" t="s">
        <v>243</v>
      </c>
      <c r="Q371" s="12" t="s">
        <v>234</v>
      </c>
      <c r="R371" s="12" t="s">
        <v>228</v>
      </c>
      <c r="T371" s="12" t="s">
        <v>245</v>
      </c>
      <c r="U371" s="12" t="s">
        <v>245</v>
      </c>
      <c r="V371" s="12"/>
      <c r="W371" s="12"/>
    </row>
    <row r="372" spans="2:23">
      <c r="B372" s="12" t="s">
        <v>636</v>
      </c>
      <c r="C372" s="12" t="s">
        <v>228</v>
      </c>
      <c r="D372" s="12" t="s">
        <v>228</v>
      </c>
      <c r="E372" s="12" t="s">
        <v>247</v>
      </c>
      <c r="F372" s="12" t="s">
        <v>242</v>
      </c>
      <c r="G372" s="5" t="s">
        <v>240</v>
      </c>
      <c r="H372" s="12">
        <f t="shared" si="32"/>
        <v>2530</v>
      </c>
      <c r="I372" s="12" t="s">
        <v>1151</v>
      </c>
      <c r="J372" s="12" t="s">
        <v>245</v>
      </c>
      <c r="K372" s="12">
        <f t="shared" si="33"/>
        <v>198</v>
      </c>
      <c r="L372" s="12">
        <f t="shared" si="34"/>
        <v>287.04374999999999</v>
      </c>
      <c r="M372" s="12">
        <v>2200</v>
      </c>
      <c r="N372" s="12">
        <v>330</v>
      </c>
      <c r="O372" s="12">
        <v>273.375</v>
      </c>
      <c r="P372" s="12" t="s">
        <v>243</v>
      </c>
      <c r="Q372" s="12" t="s">
        <v>234</v>
      </c>
      <c r="R372" s="12" t="s">
        <v>228</v>
      </c>
      <c r="T372" s="12" t="s">
        <v>245</v>
      </c>
      <c r="U372" s="12" t="s">
        <v>245</v>
      </c>
      <c r="V372" s="12"/>
      <c r="W372" s="12"/>
    </row>
    <row r="373" spans="2:23">
      <c r="B373" s="12" t="s">
        <v>637</v>
      </c>
      <c r="C373" s="12" t="s">
        <v>228</v>
      </c>
      <c r="D373" s="12" t="s">
        <v>228</v>
      </c>
      <c r="E373" s="12" t="s">
        <v>247</v>
      </c>
      <c r="F373" s="12" t="s">
        <v>242</v>
      </c>
      <c r="G373" s="5" t="s">
        <v>240</v>
      </c>
      <c r="H373" s="12">
        <f t="shared" si="32"/>
        <v>2576</v>
      </c>
      <c r="I373" s="12" t="s">
        <v>1151</v>
      </c>
      <c r="J373" s="12" t="s">
        <v>245</v>
      </c>
      <c r="K373" s="12">
        <f t="shared" si="33"/>
        <v>201.6</v>
      </c>
      <c r="L373" s="12">
        <f t="shared" si="34"/>
        <v>295.54874999999998</v>
      </c>
      <c r="M373" s="12">
        <v>2240</v>
      </c>
      <c r="N373" s="12">
        <v>336</v>
      </c>
      <c r="O373" s="12">
        <v>281.47499999999997</v>
      </c>
      <c r="P373" s="12" t="s">
        <v>243</v>
      </c>
      <c r="Q373" s="12" t="s">
        <v>234</v>
      </c>
      <c r="R373" s="12" t="s">
        <v>228</v>
      </c>
      <c r="T373" s="12" t="s">
        <v>245</v>
      </c>
      <c r="U373" s="12" t="s">
        <v>245</v>
      </c>
      <c r="V373" s="12"/>
      <c r="W373" s="12"/>
    </row>
    <row r="374" spans="2:23">
      <c r="B374" s="12" t="s">
        <v>638</v>
      </c>
      <c r="C374" s="12" t="s">
        <v>228</v>
      </c>
      <c r="D374" s="12" t="s">
        <v>228</v>
      </c>
      <c r="E374" s="12" t="s">
        <v>247</v>
      </c>
      <c r="F374" s="12" t="s">
        <v>242</v>
      </c>
      <c r="G374" s="5" t="s">
        <v>240</v>
      </c>
      <c r="H374" s="12">
        <f t="shared" si="32"/>
        <v>2622</v>
      </c>
      <c r="I374" s="12" t="s">
        <v>1151</v>
      </c>
      <c r="J374" s="12" t="s">
        <v>245</v>
      </c>
      <c r="K374" s="12">
        <f t="shared" si="33"/>
        <v>205.2</v>
      </c>
      <c r="L374" s="12">
        <f t="shared" si="34"/>
        <v>304.05374999999998</v>
      </c>
      <c r="M374" s="12">
        <v>2280</v>
      </c>
      <c r="N374" s="12">
        <v>342</v>
      </c>
      <c r="O374" s="12">
        <v>289.57499999999999</v>
      </c>
      <c r="P374" s="12" t="s">
        <v>243</v>
      </c>
      <c r="Q374" s="12" t="s">
        <v>234</v>
      </c>
      <c r="R374" s="12" t="s">
        <v>228</v>
      </c>
      <c r="T374" s="12" t="s">
        <v>245</v>
      </c>
      <c r="U374" s="12" t="s">
        <v>245</v>
      </c>
      <c r="V374" s="12"/>
      <c r="W374" s="12"/>
    </row>
    <row r="375" spans="2:23">
      <c r="B375" s="12" t="s">
        <v>639</v>
      </c>
      <c r="C375" s="12" t="s">
        <v>228</v>
      </c>
      <c r="D375" s="12" t="s">
        <v>228</v>
      </c>
      <c r="E375" s="12" t="s">
        <v>247</v>
      </c>
      <c r="F375" s="12" t="s">
        <v>242</v>
      </c>
      <c r="G375" s="5" t="s">
        <v>240</v>
      </c>
      <c r="H375" s="12">
        <f t="shared" si="32"/>
        <v>2668</v>
      </c>
      <c r="I375" s="12" t="s">
        <v>1151</v>
      </c>
      <c r="J375" s="12" t="s">
        <v>245</v>
      </c>
      <c r="K375" s="12">
        <f t="shared" si="33"/>
        <v>208.79999999999998</v>
      </c>
      <c r="L375" s="12">
        <f t="shared" si="34"/>
        <v>312.55875000000003</v>
      </c>
      <c r="M375" s="12">
        <v>2320</v>
      </c>
      <c r="N375" s="12">
        <v>348</v>
      </c>
      <c r="O375" s="12">
        <v>297.67500000000001</v>
      </c>
      <c r="P375" s="12" t="s">
        <v>243</v>
      </c>
      <c r="Q375" s="12" t="s">
        <v>234</v>
      </c>
      <c r="R375" s="12" t="s">
        <v>228</v>
      </c>
      <c r="T375" s="12" t="s">
        <v>245</v>
      </c>
      <c r="U375" s="12" t="s">
        <v>245</v>
      </c>
      <c r="V375" s="12"/>
      <c r="W375" s="12"/>
    </row>
    <row r="376" spans="2:23">
      <c r="B376" s="12" t="s">
        <v>640</v>
      </c>
      <c r="C376" s="12" t="s">
        <v>228</v>
      </c>
      <c r="D376" s="12" t="s">
        <v>228</v>
      </c>
      <c r="E376" s="12" t="s">
        <v>247</v>
      </c>
      <c r="F376" s="12" t="s">
        <v>242</v>
      </c>
      <c r="G376" s="5" t="s">
        <v>240</v>
      </c>
      <c r="H376" s="12">
        <f t="shared" si="32"/>
        <v>2714</v>
      </c>
      <c r="I376" s="12" t="s">
        <v>1151</v>
      </c>
      <c r="J376" s="12" t="s">
        <v>245</v>
      </c>
      <c r="K376" s="12">
        <f t="shared" si="33"/>
        <v>212.4</v>
      </c>
      <c r="L376" s="12">
        <f t="shared" si="34"/>
        <v>321.06374999999997</v>
      </c>
      <c r="M376" s="12">
        <v>2360</v>
      </c>
      <c r="N376" s="12">
        <v>354</v>
      </c>
      <c r="O376" s="12">
        <v>305.77499999999998</v>
      </c>
      <c r="P376" s="12" t="s">
        <v>243</v>
      </c>
      <c r="Q376" s="12" t="s">
        <v>234</v>
      </c>
      <c r="R376" s="12" t="s">
        <v>228</v>
      </c>
      <c r="T376" s="12" t="s">
        <v>245</v>
      </c>
      <c r="U376" s="12" t="s">
        <v>245</v>
      </c>
      <c r="V376" s="12"/>
      <c r="W376" s="12"/>
    </row>
    <row r="377" spans="2:23">
      <c r="B377" s="12" t="s">
        <v>641</v>
      </c>
      <c r="C377" s="12" t="s">
        <v>228</v>
      </c>
      <c r="D377" s="12" t="s">
        <v>228</v>
      </c>
      <c r="E377" s="12" t="s">
        <v>247</v>
      </c>
      <c r="F377" s="12" t="s">
        <v>242</v>
      </c>
      <c r="G377" s="5" t="s">
        <v>240</v>
      </c>
      <c r="H377" s="12">
        <f t="shared" si="32"/>
        <v>2760</v>
      </c>
      <c r="I377" s="12" t="s">
        <v>1151</v>
      </c>
      <c r="J377" s="12" t="s">
        <v>245</v>
      </c>
      <c r="K377" s="12">
        <f t="shared" si="33"/>
        <v>216</v>
      </c>
      <c r="L377" s="12">
        <f t="shared" si="34"/>
        <v>329.56875000000002</v>
      </c>
      <c r="M377" s="12">
        <v>2400</v>
      </c>
      <c r="N377" s="12">
        <v>360</v>
      </c>
      <c r="O377" s="12">
        <v>313.875</v>
      </c>
      <c r="P377" s="12" t="s">
        <v>243</v>
      </c>
      <c r="Q377" s="12" t="s">
        <v>234</v>
      </c>
      <c r="R377" s="12" t="s">
        <v>228</v>
      </c>
      <c r="T377" s="12" t="s">
        <v>245</v>
      </c>
      <c r="U377" s="12" t="s">
        <v>245</v>
      </c>
      <c r="V377" s="12"/>
      <c r="W377" s="12"/>
    </row>
    <row r="378" spans="2:23">
      <c r="B378" s="12" t="s">
        <v>642</v>
      </c>
      <c r="C378" s="12" t="s">
        <v>228</v>
      </c>
      <c r="D378" s="12" t="s">
        <v>228</v>
      </c>
      <c r="E378" s="12" t="s">
        <v>247</v>
      </c>
      <c r="F378" s="12" t="s">
        <v>242</v>
      </c>
      <c r="G378" s="5" t="s">
        <v>240</v>
      </c>
      <c r="H378" s="12">
        <f t="shared" si="32"/>
        <v>2806</v>
      </c>
      <c r="I378" s="12" t="s">
        <v>1151</v>
      </c>
      <c r="J378" s="12" t="s">
        <v>245</v>
      </c>
      <c r="K378" s="12">
        <f t="shared" si="33"/>
        <v>219.6</v>
      </c>
      <c r="L378" s="12">
        <f t="shared" si="34"/>
        <v>338.07374999999996</v>
      </c>
      <c r="M378" s="12">
        <v>2440</v>
      </c>
      <c r="N378" s="12">
        <v>366</v>
      </c>
      <c r="O378" s="12">
        <v>321.97499999999997</v>
      </c>
      <c r="P378" s="12" t="s">
        <v>243</v>
      </c>
      <c r="Q378" s="12" t="s">
        <v>234</v>
      </c>
      <c r="R378" s="12" t="s">
        <v>228</v>
      </c>
      <c r="T378" s="12" t="s">
        <v>245</v>
      </c>
      <c r="U378" s="12" t="s">
        <v>245</v>
      </c>
      <c r="V378" s="12"/>
      <c r="W378" s="12"/>
    </row>
    <row r="379" spans="2:23">
      <c r="B379" s="12" t="s">
        <v>643</v>
      </c>
      <c r="C379" s="12" t="s">
        <v>228</v>
      </c>
      <c r="D379" s="12" t="s">
        <v>228</v>
      </c>
      <c r="E379" s="12" t="s">
        <v>247</v>
      </c>
      <c r="F379" s="12" t="s">
        <v>242</v>
      </c>
      <c r="G379" s="5" t="s">
        <v>240</v>
      </c>
      <c r="H379" s="12">
        <f t="shared" si="32"/>
        <v>2852</v>
      </c>
      <c r="I379" s="12" t="s">
        <v>1151</v>
      </c>
      <c r="J379" s="12" t="s">
        <v>245</v>
      </c>
      <c r="K379" s="12">
        <f t="shared" si="33"/>
        <v>223.2</v>
      </c>
      <c r="L379" s="12">
        <f t="shared" si="34"/>
        <v>346.57875000000001</v>
      </c>
      <c r="M379" s="12">
        <v>2480</v>
      </c>
      <c r="N379" s="12">
        <v>372</v>
      </c>
      <c r="O379" s="12">
        <v>330.07499999999999</v>
      </c>
      <c r="P379" s="12" t="s">
        <v>243</v>
      </c>
      <c r="Q379" s="12" t="s">
        <v>234</v>
      </c>
      <c r="R379" s="12" t="s">
        <v>228</v>
      </c>
      <c r="T379" s="12" t="s">
        <v>245</v>
      </c>
      <c r="U379" s="12" t="s">
        <v>245</v>
      </c>
      <c r="V379" s="12"/>
      <c r="W379" s="12"/>
    </row>
    <row r="380" spans="2:23">
      <c r="B380" s="12" t="s">
        <v>644</v>
      </c>
      <c r="C380" s="12" t="s">
        <v>228</v>
      </c>
      <c r="D380" s="12" t="s">
        <v>228</v>
      </c>
      <c r="E380" s="12" t="s">
        <v>247</v>
      </c>
      <c r="F380" s="12" t="s">
        <v>242</v>
      </c>
      <c r="G380" s="5" t="s">
        <v>240</v>
      </c>
      <c r="H380" s="12">
        <f t="shared" si="32"/>
        <v>2898</v>
      </c>
      <c r="I380" s="12" t="s">
        <v>1151</v>
      </c>
      <c r="J380" s="12" t="s">
        <v>245</v>
      </c>
      <c r="K380" s="12">
        <f t="shared" si="33"/>
        <v>226.79999999999998</v>
      </c>
      <c r="L380" s="12">
        <f t="shared" si="34"/>
        <v>355.08375000000001</v>
      </c>
      <c r="M380" s="12">
        <v>2520</v>
      </c>
      <c r="N380" s="12">
        <v>378</v>
      </c>
      <c r="O380" s="12">
        <v>338.17500000000001</v>
      </c>
      <c r="P380" s="12" t="s">
        <v>243</v>
      </c>
      <c r="Q380" s="12" t="s">
        <v>234</v>
      </c>
      <c r="R380" s="12" t="s">
        <v>228</v>
      </c>
      <c r="T380" s="12" t="s">
        <v>245</v>
      </c>
      <c r="U380" s="12" t="s">
        <v>245</v>
      </c>
      <c r="V380" s="12"/>
      <c r="W380" s="12"/>
    </row>
    <row r="381" spans="2:23">
      <c r="B381" s="12" t="s">
        <v>645</v>
      </c>
      <c r="C381" s="12" t="s">
        <v>228</v>
      </c>
      <c r="D381" s="12" t="s">
        <v>228</v>
      </c>
      <c r="E381" s="12" t="s">
        <v>247</v>
      </c>
      <c r="F381" s="12" t="s">
        <v>242</v>
      </c>
      <c r="G381" s="5" t="s">
        <v>240</v>
      </c>
      <c r="H381" s="12">
        <f t="shared" si="32"/>
        <v>2944</v>
      </c>
      <c r="I381" s="12" t="s">
        <v>1151</v>
      </c>
      <c r="J381" s="12" t="s">
        <v>245</v>
      </c>
      <c r="K381" s="12">
        <f t="shared" si="33"/>
        <v>230.39999999999998</v>
      </c>
      <c r="L381" s="12">
        <f t="shared" si="34"/>
        <v>363.58875</v>
      </c>
      <c r="M381" s="12">
        <v>2560</v>
      </c>
      <c r="N381" s="12">
        <v>384</v>
      </c>
      <c r="O381" s="12">
        <v>346.27499999999998</v>
      </c>
      <c r="P381" s="12" t="s">
        <v>243</v>
      </c>
      <c r="Q381" s="12" t="s">
        <v>234</v>
      </c>
      <c r="R381" s="12" t="s">
        <v>228</v>
      </c>
      <c r="T381" s="12" t="s">
        <v>245</v>
      </c>
      <c r="U381" s="12" t="s">
        <v>245</v>
      </c>
      <c r="V381" s="12"/>
      <c r="W381" s="12"/>
    </row>
    <row r="382" spans="2:23">
      <c r="B382" s="12" t="s">
        <v>646</v>
      </c>
      <c r="C382" s="12" t="s">
        <v>228</v>
      </c>
      <c r="D382" s="12" t="s">
        <v>228</v>
      </c>
      <c r="E382" s="12" t="s">
        <v>247</v>
      </c>
      <c r="F382" s="12" t="s">
        <v>242</v>
      </c>
      <c r="G382" s="5" t="s">
        <v>240</v>
      </c>
      <c r="H382" s="12">
        <f t="shared" si="32"/>
        <v>2989.9999999999995</v>
      </c>
      <c r="I382" s="12" t="s">
        <v>1151</v>
      </c>
      <c r="J382" s="12" t="s">
        <v>245</v>
      </c>
      <c r="K382" s="12">
        <f t="shared" si="33"/>
        <v>234</v>
      </c>
      <c r="L382" s="12">
        <f t="shared" si="34"/>
        <v>372.09375</v>
      </c>
      <c r="M382" s="12">
        <v>2600</v>
      </c>
      <c r="N382" s="12">
        <v>390</v>
      </c>
      <c r="O382" s="12">
        <v>354.375</v>
      </c>
      <c r="P382" s="12" t="s">
        <v>243</v>
      </c>
      <c r="Q382" s="12" t="s">
        <v>234</v>
      </c>
      <c r="R382" s="12" t="s">
        <v>228</v>
      </c>
      <c r="T382" s="12" t="s">
        <v>245</v>
      </c>
      <c r="U382" s="12" t="s">
        <v>245</v>
      </c>
      <c r="V382" s="12"/>
      <c r="W382" s="12"/>
    </row>
    <row r="383" spans="2:23">
      <c r="B383" s="12" t="s">
        <v>647</v>
      </c>
      <c r="C383" s="12" t="s">
        <v>228</v>
      </c>
      <c r="D383" s="12" t="s">
        <v>228</v>
      </c>
      <c r="E383" s="12" t="s">
        <v>247</v>
      </c>
      <c r="F383" s="12" t="s">
        <v>242</v>
      </c>
      <c r="G383" s="5" t="s">
        <v>240</v>
      </c>
      <c r="H383" s="12">
        <f t="shared" si="32"/>
        <v>3035.9999999999995</v>
      </c>
      <c r="I383" s="12" t="s">
        <v>1151</v>
      </c>
      <c r="J383" s="12" t="s">
        <v>245</v>
      </c>
      <c r="K383" s="12">
        <f t="shared" si="33"/>
        <v>237.6</v>
      </c>
      <c r="L383" s="12">
        <f t="shared" si="34"/>
        <v>380.59875</v>
      </c>
      <c r="M383" s="12">
        <v>2640</v>
      </c>
      <c r="N383" s="12">
        <v>396</v>
      </c>
      <c r="O383" s="12">
        <v>362.47499999999997</v>
      </c>
      <c r="P383" s="12" t="s">
        <v>243</v>
      </c>
      <c r="Q383" s="12" t="s">
        <v>234</v>
      </c>
      <c r="R383" s="12" t="s">
        <v>228</v>
      </c>
      <c r="T383" s="12" t="s">
        <v>245</v>
      </c>
      <c r="U383" s="12" t="s">
        <v>245</v>
      </c>
      <c r="V383" s="12"/>
      <c r="W383" s="12"/>
    </row>
    <row r="384" spans="2:23">
      <c r="B384" s="12" t="s">
        <v>648</v>
      </c>
      <c r="C384" s="12" t="s">
        <v>228</v>
      </c>
      <c r="D384" s="12" t="s">
        <v>228</v>
      </c>
      <c r="E384" s="12" t="s">
        <v>247</v>
      </c>
      <c r="F384" s="12" t="s">
        <v>242</v>
      </c>
      <c r="G384" s="5" t="s">
        <v>240</v>
      </c>
      <c r="H384" s="12">
        <f t="shared" si="32"/>
        <v>3081.9999999999995</v>
      </c>
      <c r="I384" s="12" t="s">
        <v>1151</v>
      </c>
      <c r="J384" s="12" t="s">
        <v>245</v>
      </c>
      <c r="K384" s="12">
        <f t="shared" si="33"/>
        <v>241.2</v>
      </c>
      <c r="L384" s="12">
        <f t="shared" si="34"/>
        <v>389.10374999999999</v>
      </c>
      <c r="M384" s="12">
        <v>2680</v>
      </c>
      <c r="N384" s="12">
        <v>402</v>
      </c>
      <c r="O384" s="12">
        <v>370.57499999999999</v>
      </c>
      <c r="P384" s="12" t="s">
        <v>243</v>
      </c>
      <c r="Q384" s="12" t="s">
        <v>234</v>
      </c>
      <c r="R384" s="12" t="s">
        <v>228</v>
      </c>
      <c r="T384" s="12" t="s">
        <v>245</v>
      </c>
      <c r="U384" s="12" t="s">
        <v>245</v>
      </c>
      <c r="V384" s="12"/>
      <c r="W384" s="12"/>
    </row>
    <row r="385" spans="2:23">
      <c r="B385" s="12" t="s">
        <v>649</v>
      </c>
      <c r="C385" s="12" t="s">
        <v>228</v>
      </c>
      <c r="D385" s="12" t="s">
        <v>228</v>
      </c>
      <c r="E385" s="12" t="s">
        <v>247</v>
      </c>
      <c r="F385" s="12" t="s">
        <v>242</v>
      </c>
      <c r="G385" s="5" t="s">
        <v>240</v>
      </c>
      <c r="H385" s="12">
        <f t="shared" si="32"/>
        <v>3127.9999999999995</v>
      </c>
      <c r="I385" s="12" t="s">
        <v>1151</v>
      </c>
      <c r="J385" s="12" t="s">
        <v>245</v>
      </c>
      <c r="K385" s="12">
        <f t="shared" si="33"/>
        <v>244.79999999999998</v>
      </c>
      <c r="L385" s="12">
        <f t="shared" si="34"/>
        <v>397.60875000000004</v>
      </c>
      <c r="M385" s="12">
        <v>2720</v>
      </c>
      <c r="N385" s="12">
        <v>408</v>
      </c>
      <c r="O385" s="12">
        <v>378.67500000000001</v>
      </c>
      <c r="P385" s="12" t="s">
        <v>243</v>
      </c>
      <c r="Q385" s="12" t="s">
        <v>234</v>
      </c>
      <c r="R385" s="12" t="s">
        <v>228</v>
      </c>
      <c r="T385" s="12" t="s">
        <v>245</v>
      </c>
      <c r="U385" s="12" t="s">
        <v>245</v>
      </c>
      <c r="V385" s="12"/>
      <c r="W385" s="12"/>
    </row>
    <row r="386" spans="2:23">
      <c r="B386" s="12" t="s">
        <v>650</v>
      </c>
      <c r="C386" s="12" t="s">
        <v>228</v>
      </c>
      <c r="D386" s="12" t="s">
        <v>228</v>
      </c>
      <c r="E386" s="12" t="s">
        <v>247</v>
      </c>
      <c r="F386" s="12" t="s">
        <v>242</v>
      </c>
      <c r="G386" s="5" t="s">
        <v>240</v>
      </c>
      <c r="H386" s="12">
        <f t="shared" si="32"/>
        <v>3173.9999999999995</v>
      </c>
      <c r="I386" s="12" t="s">
        <v>1151</v>
      </c>
      <c r="J386" s="12" t="s">
        <v>245</v>
      </c>
      <c r="K386" s="12">
        <f t="shared" si="33"/>
        <v>248.39999999999998</v>
      </c>
      <c r="L386" s="12">
        <f t="shared" si="34"/>
        <v>406.11374999999998</v>
      </c>
      <c r="M386" s="12">
        <v>2760</v>
      </c>
      <c r="N386" s="12">
        <v>414</v>
      </c>
      <c r="O386" s="12">
        <v>386.77499999999998</v>
      </c>
      <c r="P386" s="12" t="s">
        <v>243</v>
      </c>
      <c r="Q386" s="12" t="s">
        <v>234</v>
      </c>
      <c r="R386" s="12" t="s">
        <v>228</v>
      </c>
      <c r="T386" s="12" t="s">
        <v>245</v>
      </c>
      <c r="U386" s="12" t="s">
        <v>245</v>
      </c>
      <c r="V386" s="12"/>
      <c r="W386" s="12"/>
    </row>
    <row r="387" spans="2:23">
      <c r="B387" s="12" t="s">
        <v>651</v>
      </c>
      <c r="C387" s="12" t="s">
        <v>228</v>
      </c>
      <c r="D387" s="12" t="s">
        <v>228</v>
      </c>
      <c r="E387" s="12" t="s">
        <v>247</v>
      </c>
      <c r="F387" s="12" t="s">
        <v>242</v>
      </c>
      <c r="G387" s="5" t="s">
        <v>240</v>
      </c>
      <c r="H387" s="12">
        <f t="shared" si="32"/>
        <v>4471.2</v>
      </c>
      <c r="I387" s="12" t="s">
        <v>1151</v>
      </c>
      <c r="J387" s="12" t="s">
        <v>245</v>
      </c>
      <c r="K387" s="12">
        <f t="shared" si="33"/>
        <v>345.59999999999997</v>
      </c>
      <c r="L387" s="12">
        <f t="shared" si="34"/>
        <v>756</v>
      </c>
      <c r="M387" s="12">
        <v>3888</v>
      </c>
      <c r="N387" s="12">
        <v>576</v>
      </c>
      <c r="O387" s="12">
        <v>720</v>
      </c>
      <c r="P387" s="12" t="s">
        <v>243</v>
      </c>
      <c r="Q387" s="12" t="s">
        <v>234</v>
      </c>
      <c r="R387" s="12" t="s">
        <v>228</v>
      </c>
      <c r="T387" s="12" t="s">
        <v>245</v>
      </c>
      <c r="U387" s="12" t="s">
        <v>245</v>
      </c>
      <c r="V387" s="12"/>
      <c r="W387" s="12"/>
    </row>
    <row r="388" spans="2:23">
      <c r="B388" s="12" t="s">
        <v>652</v>
      </c>
      <c r="C388" s="12" t="s">
        <v>228</v>
      </c>
      <c r="D388" s="12" t="s">
        <v>228</v>
      </c>
      <c r="E388" s="12" t="s">
        <v>247</v>
      </c>
      <c r="F388" s="12" t="s">
        <v>242</v>
      </c>
      <c r="G388" s="5" t="s">
        <v>240</v>
      </c>
      <c r="H388" s="12">
        <f t="shared" si="32"/>
        <v>0</v>
      </c>
      <c r="I388" s="12" t="s">
        <v>1151</v>
      </c>
      <c r="J388" s="12" t="s">
        <v>245</v>
      </c>
      <c r="K388" s="12">
        <f t="shared" si="33"/>
        <v>0</v>
      </c>
      <c r="L388" s="12">
        <f t="shared" si="34"/>
        <v>0</v>
      </c>
      <c r="M388" s="12"/>
      <c r="N388" s="12"/>
      <c r="O388" s="12"/>
      <c r="P388" s="12" t="s">
        <v>243</v>
      </c>
      <c r="Q388" s="12" t="s">
        <v>234</v>
      </c>
      <c r="R388" s="12" t="s">
        <v>228</v>
      </c>
      <c r="T388" s="12" t="s">
        <v>245</v>
      </c>
      <c r="U388" s="12" t="s">
        <v>245</v>
      </c>
      <c r="V388" s="12"/>
      <c r="W388" s="12"/>
    </row>
    <row r="389" spans="2:23">
      <c r="B389" s="12" t="s">
        <v>653</v>
      </c>
      <c r="C389" s="12" t="s">
        <v>228</v>
      </c>
      <c r="D389" s="12" t="s">
        <v>228</v>
      </c>
      <c r="E389" s="12" t="s">
        <v>247</v>
      </c>
      <c r="F389" s="12" t="s">
        <v>242</v>
      </c>
      <c r="G389" s="5" t="s">
        <v>240</v>
      </c>
      <c r="H389" s="12">
        <f t="shared" si="32"/>
        <v>0</v>
      </c>
      <c r="I389" s="12" t="s">
        <v>1151</v>
      </c>
      <c r="J389" s="12" t="s">
        <v>245</v>
      </c>
      <c r="K389" s="12">
        <f t="shared" si="33"/>
        <v>0</v>
      </c>
      <c r="L389" s="12">
        <f t="shared" si="34"/>
        <v>0</v>
      </c>
      <c r="M389" s="12"/>
      <c r="N389" s="12"/>
      <c r="O389" s="12"/>
      <c r="P389" s="12" t="s">
        <v>243</v>
      </c>
      <c r="Q389" s="12" t="s">
        <v>234</v>
      </c>
      <c r="R389" s="12" t="s">
        <v>228</v>
      </c>
      <c r="T389" s="12" t="s">
        <v>245</v>
      </c>
      <c r="U389" s="12" t="s">
        <v>245</v>
      </c>
      <c r="V389" s="12"/>
      <c r="W389" s="12"/>
    </row>
    <row r="390" spans="2:23">
      <c r="B390" s="12" t="s">
        <v>654</v>
      </c>
      <c r="C390" s="12" t="s">
        <v>228</v>
      </c>
      <c r="D390" s="12" t="s">
        <v>228</v>
      </c>
      <c r="E390" s="12" t="s">
        <v>247</v>
      </c>
      <c r="F390" s="12" t="s">
        <v>242</v>
      </c>
      <c r="G390" s="5" t="s">
        <v>240</v>
      </c>
      <c r="H390" s="12">
        <f t="shared" si="32"/>
        <v>0</v>
      </c>
      <c r="I390" s="12" t="s">
        <v>1151</v>
      </c>
      <c r="J390" s="12" t="s">
        <v>245</v>
      </c>
      <c r="K390" s="12">
        <f t="shared" si="33"/>
        <v>0</v>
      </c>
      <c r="L390" s="12">
        <f t="shared" si="34"/>
        <v>0</v>
      </c>
      <c r="M390" s="12"/>
      <c r="N390" s="12"/>
      <c r="O390" s="12"/>
      <c r="P390" s="12" t="s">
        <v>243</v>
      </c>
      <c r="Q390" s="12" t="s">
        <v>234</v>
      </c>
      <c r="R390" s="12" t="s">
        <v>228</v>
      </c>
      <c r="T390" s="12" t="s">
        <v>245</v>
      </c>
      <c r="U390" s="12" t="s">
        <v>245</v>
      </c>
      <c r="V390" s="12"/>
      <c r="W390" s="12"/>
    </row>
    <row r="391" spans="2:23">
      <c r="B391" s="12"/>
      <c r="C391" s="12"/>
      <c r="D391" s="12"/>
      <c r="E391" s="12"/>
      <c r="F391" s="12"/>
      <c r="G391" s="5"/>
      <c r="H391" s="12"/>
      <c r="I391" s="12"/>
      <c r="J391" s="12"/>
      <c r="K391" s="12" t="str">
        <f t="shared" ref="K391:K440" si="35">"防"&amp;I391</f>
        <v>防</v>
      </c>
      <c r="L391" s="12" t="str">
        <f t="shared" ref="L391:L440" si="36">"攻"&amp;J391</f>
        <v>攻</v>
      </c>
      <c r="M391" s="12"/>
      <c r="N391" s="12"/>
      <c r="O391" s="12"/>
      <c r="P391" s="12"/>
      <c r="Q391" s="12"/>
      <c r="R391" s="12"/>
      <c r="T391" s="12"/>
      <c r="U391" s="12"/>
      <c r="V391" s="12"/>
      <c r="W391" s="12"/>
    </row>
    <row r="392" spans="2:23" ht="27">
      <c r="B392" s="26" t="s">
        <v>655</v>
      </c>
      <c r="C392" s="12" t="s">
        <v>228</v>
      </c>
      <c r="D392" s="12" t="s">
        <v>228</v>
      </c>
      <c r="E392" s="12" t="s">
        <v>248</v>
      </c>
      <c r="F392" s="12" t="s">
        <v>249</v>
      </c>
      <c r="G392" s="5" t="s">
        <v>250</v>
      </c>
      <c r="H392" s="12">
        <f>M392*$X$12</f>
        <v>720</v>
      </c>
      <c r="I392" s="12" t="s">
        <v>1148</v>
      </c>
      <c r="J392" s="12" t="s">
        <v>230</v>
      </c>
      <c r="K392" s="12">
        <f>N392*$Y$12</f>
        <v>100</v>
      </c>
      <c r="L392" s="12">
        <f>O392*$X$12</f>
        <v>60</v>
      </c>
      <c r="M392" s="12">
        <v>360</v>
      </c>
      <c r="N392" s="12">
        <v>40</v>
      </c>
      <c r="O392" s="12">
        <v>30</v>
      </c>
      <c r="P392" s="12" t="s">
        <v>251</v>
      </c>
      <c r="Q392" s="12" t="s">
        <v>234</v>
      </c>
      <c r="R392" s="12" t="s">
        <v>235</v>
      </c>
      <c r="T392" s="12" t="s">
        <v>230</v>
      </c>
      <c r="U392" s="12" t="s">
        <v>230</v>
      </c>
      <c r="V392" s="12"/>
      <c r="W392" s="12"/>
    </row>
    <row r="393" spans="2:23" ht="27">
      <c r="B393" s="26" t="s">
        <v>656</v>
      </c>
      <c r="C393" s="12" t="s">
        <v>228</v>
      </c>
      <c r="D393" s="12" t="s">
        <v>228</v>
      </c>
      <c r="E393" s="12" t="s">
        <v>248</v>
      </c>
      <c r="F393" s="12" t="s">
        <v>249</v>
      </c>
      <c r="G393" s="5" t="s">
        <v>250</v>
      </c>
      <c r="H393" s="12">
        <f t="shared" ref="H393:H439" si="37">M393*$X$12</f>
        <v>828</v>
      </c>
      <c r="I393" s="12" t="s">
        <v>1148</v>
      </c>
      <c r="J393" s="12" t="s">
        <v>230</v>
      </c>
      <c r="K393" s="12">
        <f t="shared" ref="K393:K439" si="38">N393*$Y$12</f>
        <v>115</v>
      </c>
      <c r="L393" s="12">
        <f t="shared" ref="L393:L439" si="39">O393*$X$12</f>
        <v>76</v>
      </c>
      <c r="M393" s="12">
        <v>414</v>
      </c>
      <c r="N393" s="12">
        <v>46</v>
      </c>
      <c r="O393" s="12">
        <v>38</v>
      </c>
      <c r="P393" s="12" t="s">
        <v>657</v>
      </c>
      <c r="Q393" s="12" t="s">
        <v>234</v>
      </c>
      <c r="R393" s="12" t="s">
        <v>235</v>
      </c>
      <c r="T393" s="12" t="s">
        <v>230</v>
      </c>
      <c r="U393" s="12" t="s">
        <v>230</v>
      </c>
      <c r="V393" s="12"/>
      <c r="W393" s="12"/>
    </row>
    <row r="394" spans="2:23" ht="27">
      <c r="B394" s="26" t="s">
        <v>658</v>
      </c>
      <c r="C394" s="12" t="s">
        <v>228</v>
      </c>
      <c r="D394" s="12" t="s">
        <v>228</v>
      </c>
      <c r="E394" s="12" t="s">
        <v>248</v>
      </c>
      <c r="F394" s="12" t="s">
        <v>249</v>
      </c>
      <c r="G394" s="5" t="s">
        <v>250</v>
      </c>
      <c r="H394" s="12">
        <f t="shared" si="37"/>
        <v>864</v>
      </c>
      <c r="I394" s="12" t="s">
        <v>1148</v>
      </c>
      <c r="J394" s="12" t="s">
        <v>230</v>
      </c>
      <c r="K394" s="12">
        <f t="shared" si="38"/>
        <v>120</v>
      </c>
      <c r="L394" s="12">
        <f t="shared" si="39"/>
        <v>84</v>
      </c>
      <c r="M394" s="12">
        <v>432</v>
      </c>
      <c r="N394" s="12">
        <v>48</v>
      </c>
      <c r="O394" s="12">
        <v>42</v>
      </c>
      <c r="P394" s="12" t="s">
        <v>659</v>
      </c>
      <c r="Q394" s="12" t="s">
        <v>234</v>
      </c>
      <c r="R394" s="12" t="s">
        <v>235</v>
      </c>
      <c r="T394" s="12" t="s">
        <v>230</v>
      </c>
      <c r="U394" s="12" t="s">
        <v>230</v>
      </c>
      <c r="V394" s="12"/>
      <c r="W394" s="12"/>
    </row>
    <row r="395" spans="2:23" ht="27">
      <c r="B395" s="26" t="s">
        <v>660</v>
      </c>
      <c r="C395" s="12" t="s">
        <v>228</v>
      </c>
      <c r="D395" s="12" t="s">
        <v>228</v>
      </c>
      <c r="E395" s="12" t="s">
        <v>248</v>
      </c>
      <c r="F395" s="12" t="s">
        <v>249</v>
      </c>
      <c r="G395" s="5" t="s">
        <v>250</v>
      </c>
      <c r="H395" s="12">
        <f t="shared" si="37"/>
        <v>900</v>
      </c>
      <c r="I395" s="12" t="s">
        <v>1148</v>
      </c>
      <c r="J395" s="12" t="s">
        <v>230</v>
      </c>
      <c r="K395" s="12">
        <f t="shared" si="38"/>
        <v>125</v>
      </c>
      <c r="L395" s="12">
        <f t="shared" si="39"/>
        <v>92</v>
      </c>
      <c r="M395" s="12">
        <v>450</v>
      </c>
      <c r="N395" s="12">
        <v>50</v>
      </c>
      <c r="O395" s="12">
        <v>46</v>
      </c>
      <c r="P395" s="12" t="s">
        <v>661</v>
      </c>
      <c r="Q395" s="12" t="s">
        <v>234</v>
      </c>
      <c r="R395" s="12" t="s">
        <v>235</v>
      </c>
      <c r="T395" s="12" t="s">
        <v>230</v>
      </c>
      <c r="U395" s="12" t="s">
        <v>230</v>
      </c>
      <c r="V395" s="12"/>
      <c r="W395" s="12"/>
    </row>
    <row r="396" spans="2:23" ht="27">
      <c r="B396" s="26" t="s">
        <v>662</v>
      </c>
      <c r="C396" s="12" t="s">
        <v>228</v>
      </c>
      <c r="D396" s="12" t="s">
        <v>228</v>
      </c>
      <c r="E396" s="12" t="s">
        <v>248</v>
      </c>
      <c r="F396" s="12" t="s">
        <v>249</v>
      </c>
      <c r="G396" s="5" t="s">
        <v>250</v>
      </c>
      <c r="H396" s="12">
        <f t="shared" si="37"/>
        <v>936</v>
      </c>
      <c r="I396" s="12" t="s">
        <v>1148</v>
      </c>
      <c r="J396" s="12" t="s">
        <v>230</v>
      </c>
      <c r="K396" s="12">
        <f t="shared" si="38"/>
        <v>130</v>
      </c>
      <c r="L396" s="12">
        <f t="shared" si="39"/>
        <v>100</v>
      </c>
      <c r="M396" s="12">
        <v>468</v>
      </c>
      <c r="N396" s="12">
        <v>52</v>
      </c>
      <c r="O396" s="12">
        <v>50</v>
      </c>
      <c r="P396" s="12" t="s">
        <v>663</v>
      </c>
      <c r="Q396" s="12" t="s">
        <v>234</v>
      </c>
      <c r="R396" s="12" t="s">
        <v>235</v>
      </c>
      <c r="T396" s="12" t="s">
        <v>230</v>
      </c>
      <c r="U396" s="12" t="s">
        <v>230</v>
      </c>
      <c r="V396" s="12"/>
      <c r="W396" s="12"/>
    </row>
    <row r="397" spans="2:23" ht="27">
      <c r="B397" s="26" t="s">
        <v>664</v>
      </c>
      <c r="C397" s="12" t="s">
        <v>228</v>
      </c>
      <c r="D397" s="12" t="s">
        <v>228</v>
      </c>
      <c r="E397" s="12" t="s">
        <v>248</v>
      </c>
      <c r="F397" s="12" t="s">
        <v>249</v>
      </c>
      <c r="G397" s="5" t="s">
        <v>250</v>
      </c>
      <c r="H397" s="12">
        <f t="shared" si="37"/>
        <v>972</v>
      </c>
      <c r="I397" s="12" t="s">
        <v>1148</v>
      </c>
      <c r="J397" s="12" t="s">
        <v>230</v>
      </c>
      <c r="K397" s="12">
        <f t="shared" si="38"/>
        <v>135</v>
      </c>
      <c r="L397" s="12">
        <f t="shared" si="39"/>
        <v>108</v>
      </c>
      <c r="M397" s="12">
        <v>486</v>
      </c>
      <c r="N397" s="12">
        <v>54</v>
      </c>
      <c r="O397" s="12">
        <v>54</v>
      </c>
      <c r="P397" s="12" t="s">
        <v>665</v>
      </c>
      <c r="Q397" s="12" t="s">
        <v>234</v>
      </c>
      <c r="R397" s="12" t="s">
        <v>235</v>
      </c>
      <c r="T397" s="12" t="s">
        <v>230</v>
      </c>
      <c r="U397" s="12" t="s">
        <v>230</v>
      </c>
      <c r="V397" s="12"/>
      <c r="W397" s="12"/>
    </row>
    <row r="398" spans="2:23" ht="27">
      <c r="B398" s="26" t="s">
        <v>666</v>
      </c>
      <c r="C398" s="12" t="s">
        <v>228</v>
      </c>
      <c r="D398" s="12" t="s">
        <v>228</v>
      </c>
      <c r="E398" s="12" t="s">
        <v>248</v>
      </c>
      <c r="F398" s="12" t="s">
        <v>249</v>
      </c>
      <c r="G398" s="5" t="s">
        <v>250</v>
      </c>
      <c r="H398" s="12">
        <f t="shared" si="37"/>
        <v>1008</v>
      </c>
      <c r="I398" s="12" t="s">
        <v>1148</v>
      </c>
      <c r="J398" s="12" t="s">
        <v>230</v>
      </c>
      <c r="K398" s="12">
        <f t="shared" si="38"/>
        <v>140</v>
      </c>
      <c r="L398" s="12">
        <f t="shared" si="39"/>
        <v>116</v>
      </c>
      <c r="M398" s="12">
        <v>504</v>
      </c>
      <c r="N398" s="12">
        <v>56</v>
      </c>
      <c r="O398" s="12">
        <v>58</v>
      </c>
      <c r="P398" s="12" t="s">
        <v>667</v>
      </c>
      <c r="Q398" s="12" t="s">
        <v>234</v>
      </c>
      <c r="R398" s="12" t="s">
        <v>235</v>
      </c>
      <c r="T398" s="12" t="s">
        <v>230</v>
      </c>
      <c r="U398" s="12" t="s">
        <v>230</v>
      </c>
      <c r="V398" s="12"/>
      <c r="W398" s="12"/>
    </row>
    <row r="399" spans="2:23" ht="27">
      <c r="B399" s="26" t="s">
        <v>668</v>
      </c>
      <c r="C399" s="12" t="s">
        <v>228</v>
      </c>
      <c r="D399" s="12" t="s">
        <v>228</v>
      </c>
      <c r="E399" s="12" t="s">
        <v>248</v>
      </c>
      <c r="F399" s="12" t="s">
        <v>249</v>
      </c>
      <c r="G399" s="5" t="s">
        <v>250</v>
      </c>
      <c r="H399" s="12">
        <f t="shared" si="37"/>
        <v>1044</v>
      </c>
      <c r="I399" s="12" t="s">
        <v>1148</v>
      </c>
      <c r="J399" s="12" t="s">
        <v>230</v>
      </c>
      <c r="K399" s="12">
        <f t="shared" si="38"/>
        <v>145</v>
      </c>
      <c r="L399" s="12">
        <f t="shared" si="39"/>
        <v>124</v>
      </c>
      <c r="M399" s="12">
        <v>522</v>
      </c>
      <c r="N399" s="12">
        <v>58</v>
      </c>
      <c r="O399" s="12">
        <v>62</v>
      </c>
      <c r="P399" s="12" t="s">
        <v>669</v>
      </c>
      <c r="Q399" s="12" t="s">
        <v>234</v>
      </c>
      <c r="R399" s="12" t="s">
        <v>235</v>
      </c>
      <c r="T399" s="12" t="s">
        <v>230</v>
      </c>
      <c r="U399" s="12" t="s">
        <v>230</v>
      </c>
      <c r="V399" s="12"/>
      <c r="W399" s="12"/>
    </row>
    <row r="400" spans="2:23" ht="27">
      <c r="B400" s="26" t="s">
        <v>670</v>
      </c>
      <c r="C400" s="12" t="s">
        <v>228</v>
      </c>
      <c r="D400" s="12" t="s">
        <v>228</v>
      </c>
      <c r="E400" s="12" t="s">
        <v>248</v>
      </c>
      <c r="F400" s="12" t="s">
        <v>249</v>
      </c>
      <c r="G400" s="5" t="s">
        <v>250</v>
      </c>
      <c r="H400" s="12">
        <f t="shared" si="37"/>
        <v>1080</v>
      </c>
      <c r="I400" s="12" t="s">
        <v>1148</v>
      </c>
      <c r="J400" s="12" t="s">
        <v>230</v>
      </c>
      <c r="K400" s="12">
        <f t="shared" si="38"/>
        <v>150</v>
      </c>
      <c r="L400" s="12">
        <f t="shared" si="39"/>
        <v>132</v>
      </c>
      <c r="M400" s="12">
        <v>540</v>
      </c>
      <c r="N400" s="12">
        <v>60</v>
      </c>
      <c r="O400" s="12">
        <v>66</v>
      </c>
      <c r="P400" s="12" t="s">
        <v>671</v>
      </c>
      <c r="Q400" s="12" t="s">
        <v>234</v>
      </c>
      <c r="R400" s="12" t="s">
        <v>235</v>
      </c>
      <c r="T400" s="12" t="s">
        <v>230</v>
      </c>
      <c r="U400" s="12" t="s">
        <v>230</v>
      </c>
      <c r="V400" s="12"/>
      <c r="W400" s="12"/>
    </row>
    <row r="401" spans="2:23" ht="27">
      <c r="B401" s="26" t="s">
        <v>672</v>
      </c>
      <c r="C401" s="12" t="s">
        <v>228</v>
      </c>
      <c r="D401" s="12" t="s">
        <v>228</v>
      </c>
      <c r="E401" s="12" t="s">
        <v>248</v>
      </c>
      <c r="F401" s="12" t="s">
        <v>249</v>
      </c>
      <c r="G401" s="5" t="s">
        <v>250</v>
      </c>
      <c r="H401" s="12">
        <f t="shared" si="37"/>
        <v>1116</v>
      </c>
      <c r="I401" s="12" t="s">
        <v>1148</v>
      </c>
      <c r="J401" s="12" t="s">
        <v>230</v>
      </c>
      <c r="K401" s="12">
        <f t="shared" si="38"/>
        <v>155</v>
      </c>
      <c r="L401" s="12">
        <f t="shared" si="39"/>
        <v>140</v>
      </c>
      <c r="M401" s="12">
        <v>558</v>
      </c>
      <c r="N401" s="12">
        <v>62</v>
      </c>
      <c r="O401" s="12">
        <v>70</v>
      </c>
      <c r="P401" s="12" t="s">
        <v>673</v>
      </c>
      <c r="Q401" s="12" t="s">
        <v>234</v>
      </c>
      <c r="R401" s="12" t="s">
        <v>235</v>
      </c>
      <c r="T401" s="12" t="s">
        <v>230</v>
      </c>
      <c r="U401" s="12" t="s">
        <v>230</v>
      </c>
      <c r="V401" s="12"/>
      <c r="W401" s="12"/>
    </row>
    <row r="402" spans="2:23" ht="27">
      <c r="B402" s="26" t="s">
        <v>674</v>
      </c>
      <c r="C402" s="12" t="s">
        <v>228</v>
      </c>
      <c r="D402" s="12" t="s">
        <v>228</v>
      </c>
      <c r="E402" s="12" t="s">
        <v>248</v>
      </c>
      <c r="F402" s="12" t="s">
        <v>249</v>
      </c>
      <c r="G402" s="5" t="s">
        <v>250</v>
      </c>
      <c r="H402" s="12">
        <f t="shared" si="37"/>
        <v>1152</v>
      </c>
      <c r="I402" s="12" t="s">
        <v>1148</v>
      </c>
      <c r="J402" s="12" t="s">
        <v>230</v>
      </c>
      <c r="K402" s="12">
        <f t="shared" si="38"/>
        <v>160</v>
      </c>
      <c r="L402" s="12">
        <f t="shared" si="39"/>
        <v>148</v>
      </c>
      <c r="M402" s="12">
        <v>576</v>
      </c>
      <c r="N402" s="12">
        <v>64</v>
      </c>
      <c r="O402" s="12">
        <v>74</v>
      </c>
      <c r="P402" s="12" t="s">
        <v>675</v>
      </c>
      <c r="Q402" s="12" t="s">
        <v>234</v>
      </c>
      <c r="R402" s="12" t="s">
        <v>235</v>
      </c>
      <c r="T402" s="12" t="s">
        <v>230</v>
      </c>
      <c r="U402" s="12" t="s">
        <v>230</v>
      </c>
      <c r="V402" s="12"/>
      <c r="W402" s="12"/>
    </row>
    <row r="403" spans="2:23" ht="27">
      <c r="B403" s="26" t="s">
        <v>676</v>
      </c>
      <c r="C403" s="12" t="s">
        <v>228</v>
      </c>
      <c r="D403" s="12" t="s">
        <v>228</v>
      </c>
      <c r="E403" s="12" t="s">
        <v>248</v>
      </c>
      <c r="F403" s="12" t="s">
        <v>249</v>
      </c>
      <c r="G403" s="5" t="s">
        <v>250</v>
      </c>
      <c r="H403" s="12">
        <f t="shared" si="37"/>
        <v>1188</v>
      </c>
      <c r="I403" s="12" t="s">
        <v>1148</v>
      </c>
      <c r="J403" s="12" t="s">
        <v>230</v>
      </c>
      <c r="K403" s="12">
        <f t="shared" si="38"/>
        <v>165</v>
      </c>
      <c r="L403" s="12">
        <f t="shared" si="39"/>
        <v>156</v>
      </c>
      <c r="M403" s="12">
        <v>594</v>
      </c>
      <c r="N403" s="12">
        <v>66</v>
      </c>
      <c r="O403" s="12">
        <v>78</v>
      </c>
      <c r="P403" s="12" t="s">
        <v>677</v>
      </c>
      <c r="Q403" s="12" t="s">
        <v>234</v>
      </c>
      <c r="R403" s="12" t="s">
        <v>235</v>
      </c>
      <c r="T403" s="12" t="s">
        <v>230</v>
      </c>
      <c r="U403" s="12" t="s">
        <v>230</v>
      </c>
      <c r="V403" s="12"/>
      <c r="W403" s="12"/>
    </row>
    <row r="404" spans="2:23" ht="27">
      <c r="B404" s="26" t="s">
        <v>678</v>
      </c>
      <c r="C404" s="12" t="s">
        <v>228</v>
      </c>
      <c r="D404" s="12" t="s">
        <v>228</v>
      </c>
      <c r="E404" s="12" t="s">
        <v>248</v>
      </c>
      <c r="F404" s="12" t="s">
        <v>249</v>
      </c>
      <c r="G404" s="5" t="s">
        <v>250</v>
      </c>
      <c r="H404" s="12">
        <f t="shared" si="37"/>
        <v>1224</v>
      </c>
      <c r="I404" s="12" t="s">
        <v>1148</v>
      </c>
      <c r="J404" s="12" t="s">
        <v>230</v>
      </c>
      <c r="K404" s="12">
        <f t="shared" si="38"/>
        <v>170</v>
      </c>
      <c r="L404" s="12">
        <f t="shared" si="39"/>
        <v>164</v>
      </c>
      <c r="M404" s="12">
        <v>612</v>
      </c>
      <c r="N404" s="12">
        <v>68</v>
      </c>
      <c r="O404" s="12">
        <v>82</v>
      </c>
      <c r="P404" s="12" t="s">
        <v>679</v>
      </c>
      <c r="Q404" s="12" t="s">
        <v>234</v>
      </c>
      <c r="R404" s="12" t="s">
        <v>235</v>
      </c>
      <c r="T404" s="12" t="s">
        <v>230</v>
      </c>
      <c r="U404" s="12" t="s">
        <v>230</v>
      </c>
      <c r="V404" s="12"/>
      <c r="W404" s="12"/>
    </row>
    <row r="405" spans="2:23" ht="27">
      <c r="B405" s="26" t="s">
        <v>680</v>
      </c>
      <c r="C405" s="12" t="s">
        <v>228</v>
      </c>
      <c r="D405" s="12" t="s">
        <v>228</v>
      </c>
      <c r="E405" s="12" t="s">
        <v>248</v>
      </c>
      <c r="F405" s="12" t="s">
        <v>249</v>
      </c>
      <c r="G405" s="5" t="s">
        <v>250</v>
      </c>
      <c r="H405" s="12">
        <f t="shared" si="37"/>
        <v>1260</v>
      </c>
      <c r="I405" s="12" t="s">
        <v>1148</v>
      </c>
      <c r="J405" s="12" t="s">
        <v>230</v>
      </c>
      <c r="K405" s="12">
        <f t="shared" si="38"/>
        <v>175</v>
      </c>
      <c r="L405" s="12">
        <f t="shared" si="39"/>
        <v>172</v>
      </c>
      <c r="M405" s="12">
        <v>630</v>
      </c>
      <c r="N405" s="12">
        <v>70</v>
      </c>
      <c r="O405" s="12">
        <v>86</v>
      </c>
      <c r="P405" s="12" t="s">
        <v>681</v>
      </c>
      <c r="Q405" s="12" t="s">
        <v>234</v>
      </c>
      <c r="R405" s="12" t="s">
        <v>235</v>
      </c>
      <c r="T405" s="12" t="s">
        <v>230</v>
      </c>
      <c r="U405" s="12" t="s">
        <v>230</v>
      </c>
      <c r="V405" s="12"/>
      <c r="W405" s="12"/>
    </row>
    <row r="406" spans="2:23" ht="27">
      <c r="B406" s="26" t="s">
        <v>682</v>
      </c>
      <c r="C406" s="12" t="s">
        <v>228</v>
      </c>
      <c r="D406" s="12" t="s">
        <v>228</v>
      </c>
      <c r="E406" s="12" t="s">
        <v>248</v>
      </c>
      <c r="F406" s="12" t="s">
        <v>249</v>
      </c>
      <c r="G406" s="5" t="s">
        <v>250</v>
      </c>
      <c r="H406" s="12">
        <f t="shared" si="37"/>
        <v>2128</v>
      </c>
      <c r="I406" s="12" t="s">
        <v>1148</v>
      </c>
      <c r="J406" s="12" t="s">
        <v>230</v>
      </c>
      <c r="K406" s="12">
        <f t="shared" si="38"/>
        <v>380</v>
      </c>
      <c r="L406" s="12">
        <f t="shared" si="39"/>
        <v>243</v>
      </c>
      <c r="M406" s="12">
        <v>1064</v>
      </c>
      <c r="N406" s="12">
        <v>152</v>
      </c>
      <c r="O406" s="12">
        <v>121.5</v>
      </c>
      <c r="P406" s="12" t="s">
        <v>683</v>
      </c>
      <c r="Q406" s="12" t="s">
        <v>234</v>
      </c>
      <c r="R406" s="12" t="s">
        <v>235</v>
      </c>
      <c r="T406" s="12" t="s">
        <v>230</v>
      </c>
      <c r="U406" s="12" t="s">
        <v>230</v>
      </c>
      <c r="V406" s="12"/>
      <c r="W406" s="12"/>
    </row>
    <row r="407" spans="2:23" ht="27">
      <c r="B407" s="26" t="s">
        <v>684</v>
      </c>
      <c r="C407" s="12" t="s">
        <v>228</v>
      </c>
      <c r="D407" s="12" t="s">
        <v>228</v>
      </c>
      <c r="E407" s="12" t="s">
        <v>248</v>
      </c>
      <c r="F407" s="12" t="s">
        <v>249</v>
      </c>
      <c r="G407" s="5" t="s">
        <v>250</v>
      </c>
      <c r="H407" s="12">
        <f t="shared" si="37"/>
        <v>2184</v>
      </c>
      <c r="I407" s="12" t="s">
        <v>1148</v>
      </c>
      <c r="J407" s="12" t="s">
        <v>230</v>
      </c>
      <c r="K407" s="12">
        <f t="shared" si="38"/>
        <v>390</v>
      </c>
      <c r="L407" s="12">
        <f t="shared" si="39"/>
        <v>255.14999999999998</v>
      </c>
      <c r="M407" s="12">
        <v>1092</v>
      </c>
      <c r="N407" s="12">
        <v>156</v>
      </c>
      <c r="O407" s="12">
        <v>127.57499999999999</v>
      </c>
      <c r="P407" s="12" t="s">
        <v>685</v>
      </c>
      <c r="Q407" s="12" t="s">
        <v>234</v>
      </c>
      <c r="R407" s="12" t="s">
        <v>235</v>
      </c>
      <c r="T407" s="12" t="s">
        <v>230</v>
      </c>
      <c r="U407" s="12" t="s">
        <v>230</v>
      </c>
      <c r="V407" s="12"/>
      <c r="W407" s="12"/>
    </row>
    <row r="408" spans="2:23" ht="27">
      <c r="B408" s="26" t="s">
        <v>686</v>
      </c>
      <c r="C408" s="12" t="s">
        <v>228</v>
      </c>
      <c r="D408" s="12" t="s">
        <v>228</v>
      </c>
      <c r="E408" s="12" t="s">
        <v>248</v>
      </c>
      <c r="F408" s="12" t="s">
        <v>249</v>
      </c>
      <c r="G408" s="5" t="s">
        <v>250</v>
      </c>
      <c r="H408" s="12">
        <f t="shared" si="37"/>
        <v>2240</v>
      </c>
      <c r="I408" s="12" t="s">
        <v>1148</v>
      </c>
      <c r="J408" s="12" t="s">
        <v>230</v>
      </c>
      <c r="K408" s="12">
        <f t="shared" si="38"/>
        <v>400</v>
      </c>
      <c r="L408" s="12">
        <f t="shared" si="39"/>
        <v>267.3</v>
      </c>
      <c r="M408" s="12">
        <v>1120</v>
      </c>
      <c r="N408" s="12">
        <v>160</v>
      </c>
      <c r="O408" s="12">
        <v>133.65</v>
      </c>
      <c r="P408" s="12" t="s">
        <v>687</v>
      </c>
      <c r="Q408" s="12" t="s">
        <v>234</v>
      </c>
      <c r="R408" s="12" t="s">
        <v>235</v>
      </c>
      <c r="T408" s="12" t="s">
        <v>230</v>
      </c>
      <c r="U408" s="12" t="s">
        <v>230</v>
      </c>
      <c r="V408" s="12"/>
      <c r="W408" s="12"/>
    </row>
    <row r="409" spans="2:23" ht="27">
      <c r="B409" s="26" t="s">
        <v>688</v>
      </c>
      <c r="C409" s="12" t="s">
        <v>228</v>
      </c>
      <c r="D409" s="12" t="s">
        <v>228</v>
      </c>
      <c r="E409" s="12" t="s">
        <v>248</v>
      </c>
      <c r="F409" s="12" t="s">
        <v>249</v>
      </c>
      <c r="G409" s="5" t="s">
        <v>250</v>
      </c>
      <c r="H409" s="12">
        <f t="shared" si="37"/>
        <v>2296</v>
      </c>
      <c r="I409" s="12" t="s">
        <v>1148</v>
      </c>
      <c r="J409" s="12" t="s">
        <v>230</v>
      </c>
      <c r="K409" s="12">
        <f t="shared" si="38"/>
        <v>410</v>
      </c>
      <c r="L409" s="12">
        <f t="shared" si="39"/>
        <v>279.45</v>
      </c>
      <c r="M409" s="12">
        <v>1148</v>
      </c>
      <c r="N409" s="12">
        <v>164</v>
      </c>
      <c r="O409" s="12">
        <v>139.72499999999999</v>
      </c>
      <c r="P409" s="12" t="s">
        <v>689</v>
      </c>
      <c r="Q409" s="12" t="s">
        <v>234</v>
      </c>
      <c r="R409" s="12" t="s">
        <v>235</v>
      </c>
      <c r="T409" s="12" t="s">
        <v>230</v>
      </c>
      <c r="U409" s="12" t="s">
        <v>230</v>
      </c>
      <c r="V409" s="12"/>
      <c r="W409" s="12"/>
    </row>
    <row r="410" spans="2:23" ht="27">
      <c r="B410" s="26" t="s">
        <v>690</v>
      </c>
      <c r="C410" s="12" t="s">
        <v>228</v>
      </c>
      <c r="D410" s="12" t="s">
        <v>228</v>
      </c>
      <c r="E410" s="12" t="s">
        <v>248</v>
      </c>
      <c r="F410" s="12" t="s">
        <v>249</v>
      </c>
      <c r="G410" s="5" t="s">
        <v>250</v>
      </c>
      <c r="H410" s="12">
        <f t="shared" si="37"/>
        <v>2352</v>
      </c>
      <c r="I410" s="12" t="s">
        <v>1148</v>
      </c>
      <c r="J410" s="12" t="s">
        <v>230</v>
      </c>
      <c r="K410" s="12">
        <f t="shared" si="38"/>
        <v>420</v>
      </c>
      <c r="L410" s="12">
        <f t="shared" si="39"/>
        <v>291.59999999999997</v>
      </c>
      <c r="M410" s="12">
        <v>1176</v>
      </c>
      <c r="N410" s="12">
        <v>168</v>
      </c>
      <c r="O410" s="12">
        <v>145.79999999999998</v>
      </c>
      <c r="P410" s="12" t="s">
        <v>691</v>
      </c>
      <c r="Q410" s="12" t="s">
        <v>234</v>
      </c>
      <c r="R410" s="12" t="s">
        <v>235</v>
      </c>
      <c r="T410" s="12" t="s">
        <v>230</v>
      </c>
      <c r="U410" s="12" t="s">
        <v>230</v>
      </c>
      <c r="V410" s="12"/>
      <c r="W410" s="12"/>
    </row>
    <row r="411" spans="2:23" ht="27">
      <c r="B411" s="26" t="s">
        <v>692</v>
      </c>
      <c r="C411" s="12" t="s">
        <v>228</v>
      </c>
      <c r="D411" s="12" t="s">
        <v>228</v>
      </c>
      <c r="E411" s="12" t="s">
        <v>248</v>
      </c>
      <c r="F411" s="12" t="s">
        <v>249</v>
      </c>
      <c r="G411" s="5" t="s">
        <v>250</v>
      </c>
      <c r="H411" s="12">
        <f t="shared" si="37"/>
        <v>2408</v>
      </c>
      <c r="I411" s="12" t="s">
        <v>1148</v>
      </c>
      <c r="J411" s="12" t="s">
        <v>230</v>
      </c>
      <c r="K411" s="12">
        <f t="shared" si="38"/>
        <v>430</v>
      </c>
      <c r="L411" s="12">
        <f t="shared" si="39"/>
        <v>303.75</v>
      </c>
      <c r="M411" s="12">
        <v>1204</v>
      </c>
      <c r="N411" s="12">
        <v>172</v>
      </c>
      <c r="O411" s="12">
        <v>151.875</v>
      </c>
      <c r="P411" s="12" t="s">
        <v>693</v>
      </c>
      <c r="Q411" s="12" t="s">
        <v>234</v>
      </c>
      <c r="R411" s="12" t="s">
        <v>235</v>
      </c>
      <c r="T411" s="12" t="s">
        <v>230</v>
      </c>
      <c r="U411" s="12" t="s">
        <v>230</v>
      </c>
      <c r="V411" s="12"/>
      <c r="W411" s="12"/>
    </row>
    <row r="412" spans="2:23" ht="27">
      <c r="B412" s="26" t="s">
        <v>694</v>
      </c>
      <c r="C412" s="12" t="s">
        <v>228</v>
      </c>
      <c r="D412" s="12" t="s">
        <v>228</v>
      </c>
      <c r="E412" s="12" t="s">
        <v>248</v>
      </c>
      <c r="F412" s="12" t="s">
        <v>249</v>
      </c>
      <c r="G412" s="5" t="s">
        <v>250</v>
      </c>
      <c r="H412" s="12">
        <f t="shared" si="37"/>
        <v>2464</v>
      </c>
      <c r="I412" s="12" t="s">
        <v>1148</v>
      </c>
      <c r="J412" s="12" t="s">
        <v>230</v>
      </c>
      <c r="K412" s="12">
        <f t="shared" si="38"/>
        <v>440</v>
      </c>
      <c r="L412" s="12">
        <f t="shared" si="39"/>
        <v>315.89999999999998</v>
      </c>
      <c r="M412" s="12">
        <v>1232</v>
      </c>
      <c r="N412" s="12">
        <v>176</v>
      </c>
      <c r="O412" s="12">
        <v>157.94999999999999</v>
      </c>
      <c r="P412" s="12" t="s">
        <v>695</v>
      </c>
      <c r="Q412" s="12" t="s">
        <v>234</v>
      </c>
      <c r="R412" s="12" t="s">
        <v>235</v>
      </c>
      <c r="T412" s="12" t="s">
        <v>230</v>
      </c>
      <c r="U412" s="12" t="s">
        <v>230</v>
      </c>
      <c r="V412" s="12"/>
      <c r="W412" s="12"/>
    </row>
    <row r="413" spans="2:23" ht="27">
      <c r="B413" s="26" t="s">
        <v>696</v>
      </c>
      <c r="C413" s="12" t="s">
        <v>228</v>
      </c>
      <c r="D413" s="12" t="s">
        <v>228</v>
      </c>
      <c r="E413" s="12" t="s">
        <v>248</v>
      </c>
      <c r="F413" s="12" t="s">
        <v>249</v>
      </c>
      <c r="G413" s="5" t="s">
        <v>250</v>
      </c>
      <c r="H413" s="12">
        <f t="shared" si="37"/>
        <v>2520</v>
      </c>
      <c r="I413" s="12" t="s">
        <v>1148</v>
      </c>
      <c r="J413" s="12" t="s">
        <v>230</v>
      </c>
      <c r="K413" s="12">
        <f t="shared" si="38"/>
        <v>450</v>
      </c>
      <c r="L413" s="12">
        <f t="shared" si="39"/>
        <v>328.05</v>
      </c>
      <c r="M413" s="12">
        <v>1260</v>
      </c>
      <c r="N413" s="12">
        <v>180</v>
      </c>
      <c r="O413" s="12">
        <v>164.02500000000001</v>
      </c>
      <c r="P413" s="12" t="s">
        <v>697</v>
      </c>
      <c r="Q413" s="12" t="s">
        <v>234</v>
      </c>
      <c r="R413" s="12" t="s">
        <v>235</v>
      </c>
      <c r="T413" s="12" t="s">
        <v>230</v>
      </c>
      <c r="U413" s="12" t="s">
        <v>230</v>
      </c>
      <c r="V413" s="12"/>
      <c r="W413" s="12"/>
    </row>
    <row r="414" spans="2:23" ht="27">
      <c r="B414" s="26" t="s">
        <v>698</v>
      </c>
      <c r="C414" s="12" t="s">
        <v>228</v>
      </c>
      <c r="D414" s="12" t="s">
        <v>228</v>
      </c>
      <c r="E414" s="12" t="s">
        <v>248</v>
      </c>
      <c r="F414" s="12" t="s">
        <v>249</v>
      </c>
      <c r="G414" s="5" t="s">
        <v>250</v>
      </c>
      <c r="H414" s="12">
        <f t="shared" si="37"/>
        <v>2576</v>
      </c>
      <c r="I414" s="12" t="s">
        <v>1148</v>
      </c>
      <c r="J414" s="12" t="s">
        <v>230</v>
      </c>
      <c r="K414" s="12">
        <f t="shared" si="38"/>
        <v>460</v>
      </c>
      <c r="L414" s="12">
        <f t="shared" si="39"/>
        <v>340.2</v>
      </c>
      <c r="M414" s="12">
        <v>1288</v>
      </c>
      <c r="N414" s="12">
        <v>184</v>
      </c>
      <c r="O414" s="12">
        <v>170.1</v>
      </c>
      <c r="P414" s="12" t="s">
        <v>699</v>
      </c>
      <c r="Q414" s="12" t="s">
        <v>234</v>
      </c>
      <c r="R414" s="12" t="s">
        <v>235</v>
      </c>
      <c r="T414" s="12" t="s">
        <v>230</v>
      </c>
      <c r="U414" s="12" t="s">
        <v>230</v>
      </c>
      <c r="V414" s="12"/>
      <c r="W414" s="12"/>
    </row>
    <row r="415" spans="2:23" ht="27">
      <c r="B415" s="26" t="s">
        <v>700</v>
      </c>
      <c r="C415" s="12" t="s">
        <v>228</v>
      </c>
      <c r="D415" s="12" t="s">
        <v>228</v>
      </c>
      <c r="E415" s="12" t="s">
        <v>248</v>
      </c>
      <c r="F415" s="12" t="s">
        <v>249</v>
      </c>
      <c r="G415" s="5" t="s">
        <v>250</v>
      </c>
      <c r="H415" s="12">
        <f t="shared" si="37"/>
        <v>2632</v>
      </c>
      <c r="I415" s="12" t="s">
        <v>1148</v>
      </c>
      <c r="J415" s="12" t="s">
        <v>230</v>
      </c>
      <c r="K415" s="12">
        <f t="shared" si="38"/>
        <v>470</v>
      </c>
      <c r="L415" s="12">
        <f t="shared" si="39"/>
        <v>352.34999999999997</v>
      </c>
      <c r="M415" s="12">
        <v>1316</v>
      </c>
      <c r="N415" s="12">
        <v>188</v>
      </c>
      <c r="O415" s="12">
        <v>176.17499999999998</v>
      </c>
      <c r="P415" s="12" t="s">
        <v>701</v>
      </c>
      <c r="Q415" s="12" t="s">
        <v>234</v>
      </c>
      <c r="R415" s="12" t="s">
        <v>235</v>
      </c>
      <c r="T415" s="12" t="s">
        <v>230</v>
      </c>
      <c r="U415" s="12" t="s">
        <v>230</v>
      </c>
      <c r="V415" s="12"/>
      <c r="W415" s="12"/>
    </row>
    <row r="416" spans="2:23" ht="27">
      <c r="B416" s="26" t="s">
        <v>702</v>
      </c>
      <c r="C416" s="12" t="s">
        <v>228</v>
      </c>
      <c r="D416" s="12" t="s">
        <v>228</v>
      </c>
      <c r="E416" s="12" t="s">
        <v>248</v>
      </c>
      <c r="F416" s="12" t="s">
        <v>249</v>
      </c>
      <c r="G416" s="5" t="s">
        <v>250</v>
      </c>
      <c r="H416" s="12">
        <f t="shared" si="37"/>
        <v>2688</v>
      </c>
      <c r="I416" s="12" t="s">
        <v>1148</v>
      </c>
      <c r="J416" s="12" t="s">
        <v>230</v>
      </c>
      <c r="K416" s="12">
        <f t="shared" si="38"/>
        <v>480</v>
      </c>
      <c r="L416" s="12">
        <f t="shared" si="39"/>
        <v>364.5</v>
      </c>
      <c r="M416" s="12">
        <v>1344</v>
      </c>
      <c r="N416" s="12">
        <v>192</v>
      </c>
      <c r="O416" s="12">
        <v>182.25</v>
      </c>
      <c r="P416" s="12" t="s">
        <v>703</v>
      </c>
      <c r="Q416" s="12" t="s">
        <v>234</v>
      </c>
      <c r="R416" s="12" t="s">
        <v>235</v>
      </c>
      <c r="T416" s="12" t="s">
        <v>230</v>
      </c>
      <c r="U416" s="12" t="s">
        <v>230</v>
      </c>
      <c r="V416" s="12"/>
      <c r="W416" s="12"/>
    </row>
    <row r="417" spans="2:23" ht="27">
      <c r="B417" s="26" t="s">
        <v>704</v>
      </c>
      <c r="C417" s="12" t="s">
        <v>228</v>
      </c>
      <c r="D417" s="12" t="s">
        <v>228</v>
      </c>
      <c r="E417" s="12" t="s">
        <v>248</v>
      </c>
      <c r="F417" s="12" t="s">
        <v>249</v>
      </c>
      <c r="G417" s="5" t="s">
        <v>250</v>
      </c>
      <c r="H417" s="12">
        <f t="shared" si="37"/>
        <v>2744</v>
      </c>
      <c r="I417" s="12" t="s">
        <v>1148</v>
      </c>
      <c r="J417" s="12" t="s">
        <v>230</v>
      </c>
      <c r="K417" s="12">
        <f t="shared" si="38"/>
        <v>490</v>
      </c>
      <c r="L417" s="12">
        <f t="shared" si="39"/>
        <v>376.65</v>
      </c>
      <c r="M417" s="12">
        <v>1372</v>
      </c>
      <c r="N417" s="12">
        <v>196</v>
      </c>
      <c r="O417" s="12">
        <v>188.32499999999999</v>
      </c>
      <c r="P417" s="12" t="s">
        <v>705</v>
      </c>
      <c r="Q417" s="12" t="s">
        <v>234</v>
      </c>
      <c r="R417" s="12" t="s">
        <v>235</v>
      </c>
      <c r="T417" s="12" t="s">
        <v>230</v>
      </c>
      <c r="U417" s="12" t="s">
        <v>230</v>
      </c>
      <c r="V417" s="12"/>
      <c r="W417" s="12"/>
    </row>
    <row r="418" spans="2:23" ht="27">
      <c r="B418" s="26" t="s">
        <v>706</v>
      </c>
      <c r="C418" s="12" t="s">
        <v>228</v>
      </c>
      <c r="D418" s="12" t="s">
        <v>228</v>
      </c>
      <c r="E418" s="12" t="s">
        <v>248</v>
      </c>
      <c r="F418" s="12" t="s">
        <v>249</v>
      </c>
      <c r="G418" s="5" t="s">
        <v>250</v>
      </c>
      <c r="H418" s="12">
        <f t="shared" si="37"/>
        <v>2800</v>
      </c>
      <c r="I418" s="12" t="s">
        <v>1148</v>
      </c>
      <c r="J418" s="12" t="s">
        <v>230</v>
      </c>
      <c r="K418" s="12">
        <f t="shared" si="38"/>
        <v>500</v>
      </c>
      <c r="L418" s="12">
        <f t="shared" si="39"/>
        <v>388.79999999999995</v>
      </c>
      <c r="M418" s="12">
        <v>1400</v>
      </c>
      <c r="N418" s="12">
        <v>200</v>
      </c>
      <c r="O418" s="12">
        <v>194.39999999999998</v>
      </c>
      <c r="P418" s="12" t="s">
        <v>707</v>
      </c>
      <c r="Q418" s="12" t="s">
        <v>234</v>
      </c>
      <c r="R418" s="12" t="s">
        <v>235</v>
      </c>
      <c r="T418" s="12" t="s">
        <v>230</v>
      </c>
      <c r="U418" s="12" t="s">
        <v>230</v>
      </c>
      <c r="V418" s="12"/>
      <c r="W418" s="12"/>
    </row>
    <row r="419" spans="2:23" ht="27">
      <c r="B419" s="26" t="s">
        <v>708</v>
      </c>
      <c r="C419" s="12" t="s">
        <v>228</v>
      </c>
      <c r="D419" s="12" t="s">
        <v>228</v>
      </c>
      <c r="E419" s="12" t="s">
        <v>248</v>
      </c>
      <c r="F419" s="12" t="s">
        <v>249</v>
      </c>
      <c r="G419" s="5" t="s">
        <v>250</v>
      </c>
      <c r="H419" s="12">
        <f t="shared" si="37"/>
        <v>2856</v>
      </c>
      <c r="I419" s="12" t="s">
        <v>1148</v>
      </c>
      <c r="J419" s="12" t="s">
        <v>230</v>
      </c>
      <c r="K419" s="12">
        <f t="shared" si="38"/>
        <v>510</v>
      </c>
      <c r="L419" s="12">
        <f t="shared" si="39"/>
        <v>400.95</v>
      </c>
      <c r="M419" s="12">
        <v>1428</v>
      </c>
      <c r="N419" s="12">
        <v>204</v>
      </c>
      <c r="O419" s="12">
        <v>200.47499999999999</v>
      </c>
      <c r="P419" s="12" t="s">
        <v>709</v>
      </c>
      <c r="Q419" s="12" t="s">
        <v>234</v>
      </c>
      <c r="R419" s="12" t="s">
        <v>235</v>
      </c>
      <c r="T419" s="12" t="s">
        <v>230</v>
      </c>
      <c r="U419" s="12" t="s">
        <v>230</v>
      </c>
      <c r="V419" s="12"/>
      <c r="W419" s="12"/>
    </row>
    <row r="420" spans="2:23" ht="27">
      <c r="B420" s="26" t="s">
        <v>710</v>
      </c>
      <c r="C420" s="12" t="s">
        <v>228</v>
      </c>
      <c r="D420" s="12" t="s">
        <v>228</v>
      </c>
      <c r="E420" s="12" t="s">
        <v>248</v>
      </c>
      <c r="F420" s="12" t="s">
        <v>249</v>
      </c>
      <c r="G420" s="5" t="s">
        <v>250</v>
      </c>
      <c r="H420" s="12">
        <f t="shared" si="37"/>
        <v>2912</v>
      </c>
      <c r="I420" s="12" t="s">
        <v>1148</v>
      </c>
      <c r="J420" s="12" t="s">
        <v>230</v>
      </c>
      <c r="K420" s="12">
        <f t="shared" si="38"/>
        <v>520</v>
      </c>
      <c r="L420" s="12">
        <f t="shared" si="39"/>
        <v>413.09999999999997</v>
      </c>
      <c r="M420" s="12">
        <v>1456</v>
      </c>
      <c r="N420" s="12">
        <v>208</v>
      </c>
      <c r="O420" s="12">
        <v>206.54999999999998</v>
      </c>
      <c r="P420" s="12" t="s">
        <v>711</v>
      </c>
      <c r="Q420" s="12" t="s">
        <v>234</v>
      </c>
      <c r="R420" s="12" t="s">
        <v>235</v>
      </c>
      <c r="T420" s="12" t="s">
        <v>230</v>
      </c>
      <c r="U420" s="12" t="s">
        <v>230</v>
      </c>
      <c r="V420" s="12"/>
      <c r="W420" s="12"/>
    </row>
    <row r="421" spans="2:23" ht="27">
      <c r="B421" s="26" t="s">
        <v>712</v>
      </c>
      <c r="C421" s="12" t="s">
        <v>228</v>
      </c>
      <c r="D421" s="12" t="s">
        <v>228</v>
      </c>
      <c r="E421" s="12" t="s">
        <v>248</v>
      </c>
      <c r="F421" s="12" t="s">
        <v>249</v>
      </c>
      <c r="G421" s="5" t="s">
        <v>250</v>
      </c>
      <c r="H421" s="12">
        <f t="shared" si="37"/>
        <v>4400</v>
      </c>
      <c r="I421" s="12" t="s">
        <v>1148</v>
      </c>
      <c r="J421" s="12" t="s">
        <v>230</v>
      </c>
      <c r="K421" s="12">
        <f t="shared" si="38"/>
        <v>825</v>
      </c>
      <c r="L421" s="12">
        <f t="shared" si="39"/>
        <v>546.75</v>
      </c>
      <c r="M421" s="12">
        <v>2200</v>
      </c>
      <c r="N421" s="12">
        <v>330</v>
      </c>
      <c r="O421" s="12">
        <v>273.375</v>
      </c>
      <c r="P421" s="12" t="s">
        <v>713</v>
      </c>
      <c r="Q421" s="12" t="s">
        <v>234</v>
      </c>
      <c r="R421" s="12" t="s">
        <v>235</v>
      </c>
      <c r="T421" s="12" t="s">
        <v>230</v>
      </c>
      <c r="U421" s="12" t="s">
        <v>230</v>
      </c>
      <c r="V421" s="12"/>
      <c r="W421" s="12"/>
    </row>
    <row r="422" spans="2:23" ht="27">
      <c r="B422" s="26" t="s">
        <v>714</v>
      </c>
      <c r="C422" s="12" t="s">
        <v>228</v>
      </c>
      <c r="D422" s="12" t="s">
        <v>228</v>
      </c>
      <c r="E422" s="12" t="s">
        <v>248</v>
      </c>
      <c r="F422" s="12" t="s">
        <v>249</v>
      </c>
      <c r="G422" s="5" t="s">
        <v>250</v>
      </c>
      <c r="H422" s="12">
        <f t="shared" si="37"/>
        <v>4480</v>
      </c>
      <c r="I422" s="12" t="s">
        <v>1148</v>
      </c>
      <c r="J422" s="12" t="s">
        <v>230</v>
      </c>
      <c r="K422" s="12">
        <f t="shared" si="38"/>
        <v>840</v>
      </c>
      <c r="L422" s="12">
        <f t="shared" si="39"/>
        <v>562.94999999999993</v>
      </c>
      <c r="M422" s="12">
        <v>2240</v>
      </c>
      <c r="N422" s="12">
        <v>336</v>
      </c>
      <c r="O422" s="12">
        <v>281.47499999999997</v>
      </c>
      <c r="P422" s="12" t="s">
        <v>715</v>
      </c>
      <c r="Q422" s="12" t="s">
        <v>234</v>
      </c>
      <c r="R422" s="12" t="s">
        <v>235</v>
      </c>
      <c r="T422" s="12" t="s">
        <v>230</v>
      </c>
      <c r="U422" s="12" t="s">
        <v>230</v>
      </c>
      <c r="V422" s="12"/>
      <c r="W422" s="12"/>
    </row>
    <row r="423" spans="2:23" ht="27">
      <c r="B423" s="26" t="s">
        <v>716</v>
      </c>
      <c r="C423" s="12" t="s">
        <v>228</v>
      </c>
      <c r="D423" s="12" t="s">
        <v>228</v>
      </c>
      <c r="E423" s="12" t="s">
        <v>248</v>
      </c>
      <c r="F423" s="12" t="s">
        <v>249</v>
      </c>
      <c r="G423" s="5" t="s">
        <v>250</v>
      </c>
      <c r="H423" s="12">
        <f t="shared" si="37"/>
        <v>4560</v>
      </c>
      <c r="I423" s="12" t="s">
        <v>1148</v>
      </c>
      <c r="J423" s="12" t="s">
        <v>230</v>
      </c>
      <c r="K423" s="12">
        <f t="shared" si="38"/>
        <v>855</v>
      </c>
      <c r="L423" s="12">
        <f t="shared" si="39"/>
        <v>579.15</v>
      </c>
      <c r="M423" s="12">
        <v>2280</v>
      </c>
      <c r="N423" s="12">
        <v>342</v>
      </c>
      <c r="O423" s="12">
        <v>289.57499999999999</v>
      </c>
      <c r="P423" s="12" t="s">
        <v>717</v>
      </c>
      <c r="Q423" s="12" t="s">
        <v>234</v>
      </c>
      <c r="R423" s="12" t="s">
        <v>235</v>
      </c>
      <c r="T423" s="12" t="s">
        <v>230</v>
      </c>
      <c r="U423" s="12" t="s">
        <v>230</v>
      </c>
      <c r="V423" s="12"/>
      <c r="W423" s="12"/>
    </row>
    <row r="424" spans="2:23" ht="27">
      <c r="B424" s="26" t="s">
        <v>718</v>
      </c>
      <c r="C424" s="12" t="s">
        <v>228</v>
      </c>
      <c r="D424" s="12" t="s">
        <v>228</v>
      </c>
      <c r="E424" s="12" t="s">
        <v>248</v>
      </c>
      <c r="F424" s="12" t="s">
        <v>249</v>
      </c>
      <c r="G424" s="5" t="s">
        <v>250</v>
      </c>
      <c r="H424" s="12">
        <f t="shared" si="37"/>
        <v>4640</v>
      </c>
      <c r="I424" s="12" t="s">
        <v>1148</v>
      </c>
      <c r="J424" s="12" t="s">
        <v>230</v>
      </c>
      <c r="K424" s="12">
        <f t="shared" si="38"/>
        <v>870</v>
      </c>
      <c r="L424" s="12">
        <f t="shared" si="39"/>
        <v>595.35</v>
      </c>
      <c r="M424" s="12">
        <v>2320</v>
      </c>
      <c r="N424" s="12">
        <v>348</v>
      </c>
      <c r="O424" s="12">
        <v>297.67500000000001</v>
      </c>
      <c r="P424" s="12" t="s">
        <v>719</v>
      </c>
      <c r="Q424" s="12" t="s">
        <v>234</v>
      </c>
      <c r="R424" s="12" t="s">
        <v>235</v>
      </c>
      <c r="T424" s="12" t="s">
        <v>230</v>
      </c>
      <c r="U424" s="12" t="s">
        <v>230</v>
      </c>
      <c r="V424" s="12"/>
      <c r="W424" s="12"/>
    </row>
    <row r="425" spans="2:23" ht="27">
      <c r="B425" s="26" t="s">
        <v>720</v>
      </c>
      <c r="C425" s="12" t="s">
        <v>228</v>
      </c>
      <c r="D425" s="12" t="s">
        <v>228</v>
      </c>
      <c r="E425" s="12" t="s">
        <v>248</v>
      </c>
      <c r="F425" s="12" t="s">
        <v>249</v>
      </c>
      <c r="G425" s="5" t="s">
        <v>250</v>
      </c>
      <c r="H425" s="12">
        <f t="shared" si="37"/>
        <v>4720</v>
      </c>
      <c r="I425" s="12" t="s">
        <v>1148</v>
      </c>
      <c r="J425" s="12" t="s">
        <v>230</v>
      </c>
      <c r="K425" s="12">
        <f t="shared" si="38"/>
        <v>885</v>
      </c>
      <c r="L425" s="12">
        <f t="shared" si="39"/>
        <v>611.54999999999995</v>
      </c>
      <c r="M425" s="12">
        <v>2360</v>
      </c>
      <c r="N425" s="12">
        <v>354</v>
      </c>
      <c r="O425" s="12">
        <v>305.77499999999998</v>
      </c>
      <c r="P425" s="12" t="s">
        <v>721</v>
      </c>
      <c r="Q425" s="12" t="s">
        <v>234</v>
      </c>
      <c r="R425" s="12" t="s">
        <v>235</v>
      </c>
      <c r="T425" s="12" t="s">
        <v>230</v>
      </c>
      <c r="U425" s="12" t="s">
        <v>230</v>
      </c>
      <c r="V425" s="12"/>
      <c r="W425" s="12"/>
    </row>
    <row r="426" spans="2:23" ht="27">
      <c r="B426" s="26" t="s">
        <v>722</v>
      </c>
      <c r="C426" s="12" t="s">
        <v>228</v>
      </c>
      <c r="D426" s="12" t="s">
        <v>228</v>
      </c>
      <c r="E426" s="12" t="s">
        <v>248</v>
      </c>
      <c r="F426" s="12" t="s">
        <v>249</v>
      </c>
      <c r="G426" s="5" t="s">
        <v>250</v>
      </c>
      <c r="H426" s="12">
        <f t="shared" si="37"/>
        <v>4800</v>
      </c>
      <c r="I426" s="12" t="s">
        <v>1148</v>
      </c>
      <c r="J426" s="12" t="s">
        <v>230</v>
      </c>
      <c r="K426" s="12">
        <f t="shared" si="38"/>
        <v>900</v>
      </c>
      <c r="L426" s="12">
        <f t="shared" si="39"/>
        <v>627.75</v>
      </c>
      <c r="M426" s="12">
        <v>2400</v>
      </c>
      <c r="N426" s="12">
        <v>360</v>
      </c>
      <c r="O426" s="12">
        <v>313.875</v>
      </c>
      <c r="P426" s="12" t="s">
        <v>723</v>
      </c>
      <c r="Q426" s="12" t="s">
        <v>234</v>
      </c>
      <c r="R426" s="12" t="s">
        <v>235</v>
      </c>
      <c r="T426" s="12" t="s">
        <v>230</v>
      </c>
      <c r="U426" s="12" t="s">
        <v>230</v>
      </c>
      <c r="V426" s="12"/>
      <c r="W426" s="12"/>
    </row>
    <row r="427" spans="2:23" ht="27">
      <c r="B427" s="26" t="s">
        <v>724</v>
      </c>
      <c r="C427" s="12" t="s">
        <v>228</v>
      </c>
      <c r="D427" s="12" t="s">
        <v>228</v>
      </c>
      <c r="E427" s="12" t="s">
        <v>248</v>
      </c>
      <c r="F427" s="12" t="s">
        <v>249</v>
      </c>
      <c r="G427" s="5" t="s">
        <v>250</v>
      </c>
      <c r="H427" s="12">
        <f t="shared" si="37"/>
        <v>4880</v>
      </c>
      <c r="I427" s="12" t="s">
        <v>1148</v>
      </c>
      <c r="J427" s="12" t="s">
        <v>230</v>
      </c>
      <c r="K427" s="12">
        <f t="shared" si="38"/>
        <v>915</v>
      </c>
      <c r="L427" s="12">
        <f t="shared" si="39"/>
        <v>643.94999999999993</v>
      </c>
      <c r="M427" s="12">
        <v>2440</v>
      </c>
      <c r="N427" s="12">
        <v>366</v>
      </c>
      <c r="O427" s="12">
        <v>321.97499999999997</v>
      </c>
      <c r="P427" s="12" t="s">
        <v>725</v>
      </c>
      <c r="Q427" s="12" t="s">
        <v>234</v>
      </c>
      <c r="R427" s="12" t="s">
        <v>235</v>
      </c>
      <c r="T427" s="12" t="s">
        <v>230</v>
      </c>
      <c r="U427" s="12" t="s">
        <v>230</v>
      </c>
      <c r="V427" s="12"/>
      <c r="W427" s="12"/>
    </row>
    <row r="428" spans="2:23" ht="27">
      <c r="B428" s="26" t="s">
        <v>726</v>
      </c>
      <c r="C428" s="12" t="s">
        <v>228</v>
      </c>
      <c r="D428" s="12" t="s">
        <v>228</v>
      </c>
      <c r="E428" s="12" t="s">
        <v>248</v>
      </c>
      <c r="F428" s="12" t="s">
        <v>249</v>
      </c>
      <c r="G428" s="5" t="s">
        <v>250</v>
      </c>
      <c r="H428" s="12">
        <f t="shared" si="37"/>
        <v>4960</v>
      </c>
      <c r="I428" s="12" t="s">
        <v>1148</v>
      </c>
      <c r="J428" s="12" t="s">
        <v>230</v>
      </c>
      <c r="K428" s="12">
        <f t="shared" si="38"/>
        <v>930</v>
      </c>
      <c r="L428" s="12">
        <f t="shared" si="39"/>
        <v>660.15</v>
      </c>
      <c r="M428" s="12">
        <v>2480</v>
      </c>
      <c r="N428" s="12">
        <v>372</v>
      </c>
      <c r="O428" s="12">
        <v>330.07499999999999</v>
      </c>
      <c r="P428" s="12" t="s">
        <v>727</v>
      </c>
      <c r="Q428" s="12" t="s">
        <v>234</v>
      </c>
      <c r="R428" s="12" t="s">
        <v>235</v>
      </c>
      <c r="T428" s="12" t="s">
        <v>230</v>
      </c>
      <c r="U428" s="12" t="s">
        <v>230</v>
      </c>
      <c r="V428" s="12"/>
      <c r="W428" s="12"/>
    </row>
    <row r="429" spans="2:23" ht="27">
      <c r="B429" s="26" t="s">
        <v>728</v>
      </c>
      <c r="C429" s="12" t="s">
        <v>228</v>
      </c>
      <c r="D429" s="12" t="s">
        <v>228</v>
      </c>
      <c r="E429" s="12" t="s">
        <v>248</v>
      </c>
      <c r="F429" s="12" t="s">
        <v>249</v>
      </c>
      <c r="G429" s="5" t="s">
        <v>250</v>
      </c>
      <c r="H429" s="12">
        <f t="shared" si="37"/>
        <v>5040</v>
      </c>
      <c r="I429" s="12" t="s">
        <v>1148</v>
      </c>
      <c r="J429" s="12" t="s">
        <v>230</v>
      </c>
      <c r="K429" s="12">
        <f t="shared" si="38"/>
        <v>945</v>
      </c>
      <c r="L429" s="12">
        <f t="shared" si="39"/>
        <v>676.35</v>
      </c>
      <c r="M429" s="12">
        <v>2520</v>
      </c>
      <c r="N429" s="12">
        <v>378</v>
      </c>
      <c r="O429" s="12">
        <v>338.17500000000001</v>
      </c>
      <c r="P429" s="12" t="s">
        <v>729</v>
      </c>
      <c r="Q429" s="12" t="s">
        <v>234</v>
      </c>
      <c r="R429" s="12" t="s">
        <v>235</v>
      </c>
      <c r="T429" s="12" t="s">
        <v>230</v>
      </c>
      <c r="U429" s="12" t="s">
        <v>230</v>
      </c>
      <c r="V429" s="12"/>
      <c r="W429" s="12"/>
    </row>
    <row r="430" spans="2:23" ht="27">
      <c r="B430" s="26" t="s">
        <v>730</v>
      </c>
      <c r="C430" s="12" t="s">
        <v>228</v>
      </c>
      <c r="D430" s="12" t="s">
        <v>228</v>
      </c>
      <c r="E430" s="12" t="s">
        <v>248</v>
      </c>
      <c r="F430" s="12" t="s">
        <v>249</v>
      </c>
      <c r="G430" s="5" t="s">
        <v>250</v>
      </c>
      <c r="H430" s="12">
        <f t="shared" si="37"/>
        <v>5120</v>
      </c>
      <c r="I430" s="12" t="s">
        <v>1148</v>
      </c>
      <c r="J430" s="12" t="s">
        <v>230</v>
      </c>
      <c r="K430" s="12">
        <f t="shared" si="38"/>
        <v>960</v>
      </c>
      <c r="L430" s="12">
        <f t="shared" si="39"/>
        <v>692.55</v>
      </c>
      <c r="M430" s="12">
        <v>2560</v>
      </c>
      <c r="N430" s="12">
        <v>384</v>
      </c>
      <c r="O430" s="12">
        <v>346.27499999999998</v>
      </c>
      <c r="P430" s="12" t="s">
        <v>731</v>
      </c>
      <c r="Q430" s="12" t="s">
        <v>234</v>
      </c>
      <c r="R430" s="12" t="s">
        <v>235</v>
      </c>
      <c r="T430" s="12" t="s">
        <v>230</v>
      </c>
      <c r="U430" s="12" t="s">
        <v>230</v>
      </c>
      <c r="V430" s="12"/>
      <c r="W430" s="12"/>
    </row>
    <row r="431" spans="2:23" ht="27">
      <c r="B431" s="26" t="s">
        <v>732</v>
      </c>
      <c r="C431" s="12" t="s">
        <v>228</v>
      </c>
      <c r="D431" s="12" t="s">
        <v>228</v>
      </c>
      <c r="E431" s="12" t="s">
        <v>248</v>
      </c>
      <c r="F431" s="12" t="s">
        <v>249</v>
      </c>
      <c r="G431" s="5" t="s">
        <v>250</v>
      </c>
      <c r="H431" s="12">
        <f t="shared" si="37"/>
        <v>5200</v>
      </c>
      <c r="I431" s="12" t="s">
        <v>1148</v>
      </c>
      <c r="J431" s="12" t="s">
        <v>230</v>
      </c>
      <c r="K431" s="12">
        <f t="shared" si="38"/>
        <v>975</v>
      </c>
      <c r="L431" s="12">
        <f t="shared" si="39"/>
        <v>708.75</v>
      </c>
      <c r="M431" s="12">
        <v>2600</v>
      </c>
      <c r="N431" s="12">
        <v>390</v>
      </c>
      <c r="O431" s="12">
        <v>354.375</v>
      </c>
      <c r="P431" s="12" t="s">
        <v>733</v>
      </c>
      <c r="Q431" s="12" t="s">
        <v>234</v>
      </c>
      <c r="R431" s="12" t="s">
        <v>235</v>
      </c>
      <c r="T431" s="12" t="s">
        <v>230</v>
      </c>
      <c r="U431" s="12" t="s">
        <v>230</v>
      </c>
      <c r="V431" s="12"/>
      <c r="W431" s="12"/>
    </row>
    <row r="432" spans="2:23" ht="27">
      <c r="B432" s="26" t="s">
        <v>734</v>
      </c>
      <c r="C432" s="12" t="s">
        <v>228</v>
      </c>
      <c r="D432" s="12" t="s">
        <v>228</v>
      </c>
      <c r="E432" s="12" t="s">
        <v>248</v>
      </c>
      <c r="F432" s="12" t="s">
        <v>249</v>
      </c>
      <c r="G432" s="5" t="s">
        <v>250</v>
      </c>
      <c r="H432" s="12">
        <f t="shared" si="37"/>
        <v>5280</v>
      </c>
      <c r="I432" s="12" t="s">
        <v>1148</v>
      </c>
      <c r="J432" s="12" t="s">
        <v>230</v>
      </c>
      <c r="K432" s="12">
        <f t="shared" si="38"/>
        <v>990</v>
      </c>
      <c r="L432" s="12">
        <f t="shared" si="39"/>
        <v>724.94999999999993</v>
      </c>
      <c r="M432" s="12">
        <v>2640</v>
      </c>
      <c r="N432" s="12">
        <v>396</v>
      </c>
      <c r="O432" s="12">
        <v>362.47499999999997</v>
      </c>
      <c r="P432" s="12" t="s">
        <v>735</v>
      </c>
      <c r="Q432" s="12" t="s">
        <v>234</v>
      </c>
      <c r="R432" s="12" t="s">
        <v>235</v>
      </c>
      <c r="T432" s="12" t="s">
        <v>230</v>
      </c>
      <c r="U432" s="12" t="s">
        <v>230</v>
      </c>
      <c r="V432" s="12"/>
      <c r="W432" s="12"/>
    </row>
    <row r="433" spans="2:23" ht="27">
      <c r="B433" s="26" t="s">
        <v>736</v>
      </c>
      <c r="C433" s="12" t="s">
        <v>228</v>
      </c>
      <c r="D433" s="12" t="s">
        <v>228</v>
      </c>
      <c r="E433" s="12" t="s">
        <v>248</v>
      </c>
      <c r="F433" s="12" t="s">
        <v>249</v>
      </c>
      <c r="G433" s="5" t="s">
        <v>250</v>
      </c>
      <c r="H433" s="12">
        <f t="shared" si="37"/>
        <v>5360</v>
      </c>
      <c r="I433" s="12" t="s">
        <v>1148</v>
      </c>
      <c r="J433" s="12" t="s">
        <v>230</v>
      </c>
      <c r="K433" s="12">
        <f t="shared" si="38"/>
        <v>1005</v>
      </c>
      <c r="L433" s="12">
        <f t="shared" si="39"/>
        <v>741.15</v>
      </c>
      <c r="M433" s="12">
        <v>2680</v>
      </c>
      <c r="N433" s="12">
        <v>402</v>
      </c>
      <c r="O433" s="12">
        <v>370.57499999999999</v>
      </c>
      <c r="P433" s="12" t="s">
        <v>737</v>
      </c>
      <c r="Q433" s="12" t="s">
        <v>234</v>
      </c>
      <c r="R433" s="12" t="s">
        <v>235</v>
      </c>
      <c r="T433" s="12" t="s">
        <v>230</v>
      </c>
      <c r="U433" s="12" t="s">
        <v>230</v>
      </c>
      <c r="V433" s="12"/>
      <c r="W433" s="12"/>
    </row>
    <row r="434" spans="2:23" ht="27">
      <c r="B434" s="26" t="s">
        <v>738</v>
      </c>
      <c r="C434" s="12" t="s">
        <v>228</v>
      </c>
      <c r="D434" s="12" t="s">
        <v>228</v>
      </c>
      <c r="E434" s="12" t="s">
        <v>248</v>
      </c>
      <c r="F434" s="12" t="s">
        <v>249</v>
      </c>
      <c r="G434" s="5" t="s">
        <v>250</v>
      </c>
      <c r="H434" s="12">
        <f t="shared" si="37"/>
        <v>5440</v>
      </c>
      <c r="I434" s="12" t="s">
        <v>1148</v>
      </c>
      <c r="J434" s="12" t="s">
        <v>230</v>
      </c>
      <c r="K434" s="12">
        <f t="shared" si="38"/>
        <v>1020</v>
      </c>
      <c r="L434" s="12">
        <f t="shared" si="39"/>
        <v>757.35</v>
      </c>
      <c r="M434" s="12">
        <v>2720</v>
      </c>
      <c r="N434" s="12">
        <v>408</v>
      </c>
      <c r="O434" s="12">
        <v>378.67500000000001</v>
      </c>
      <c r="P434" s="12" t="s">
        <v>739</v>
      </c>
      <c r="Q434" s="12" t="s">
        <v>234</v>
      </c>
      <c r="R434" s="12" t="s">
        <v>235</v>
      </c>
      <c r="T434" s="12" t="s">
        <v>230</v>
      </c>
      <c r="U434" s="12" t="s">
        <v>230</v>
      </c>
      <c r="V434" s="12"/>
      <c r="W434" s="12"/>
    </row>
    <row r="435" spans="2:23" ht="27">
      <c r="B435" s="26" t="s">
        <v>740</v>
      </c>
      <c r="C435" s="12" t="s">
        <v>228</v>
      </c>
      <c r="D435" s="12" t="s">
        <v>228</v>
      </c>
      <c r="E435" s="12" t="s">
        <v>248</v>
      </c>
      <c r="F435" s="12" t="s">
        <v>249</v>
      </c>
      <c r="G435" s="5" t="s">
        <v>250</v>
      </c>
      <c r="H435" s="12">
        <f t="shared" si="37"/>
        <v>5520</v>
      </c>
      <c r="I435" s="12" t="s">
        <v>1148</v>
      </c>
      <c r="J435" s="12" t="s">
        <v>230</v>
      </c>
      <c r="K435" s="12">
        <f t="shared" si="38"/>
        <v>1035</v>
      </c>
      <c r="L435" s="12">
        <f t="shared" si="39"/>
        <v>773.55</v>
      </c>
      <c r="M435" s="12">
        <v>2760</v>
      </c>
      <c r="N435" s="12">
        <v>414</v>
      </c>
      <c r="O435" s="12">
        <v>386.77499999999998</v>
      </c>
      <c r="P435" s="12" t="s">
        <v>741</v>
      </c>
      <c r="Q435" s="12" t="s">
        <v>234</v>
      </c>
      <c r="R435" s="12" t="s">
        <v>235</v>
      </c>
      <c r="T435" s="12" t="s">
        <v>230</v>
      </c>
      <c r="U435" s="12" t="s">
        <v>230</v>
      </c>
      <c r="V435" s="12"/>
      <c r="W435" s="12"/>
    </row>
    <row r="436" spans="2:23" ht="27">
      <c r="B436" s="26" t="s">
        <v>742</v>
      </c>
      <c r="C436" s="12" t="s">
        <v>228</v>
      </c>
      <c r="D436" s="12" t="s">
        <v>228</v>
      </c>
      <c r="E436" s="12" t="s">
        <v>248</v>
      </c>
      <c r="F436" s="12" t="s">
        <v>249</v>
      </c>
      <c r="G436" s="5" t="s">
        <v>250</v>
      </c>
      <c r="H436" s="12">
        <f t="shared" si="37"/>
        <v>7776</v>
      </c>
      <c r="I436" s="12" t="s">
        <v>1148</v>
      </c>
      <c r="J436" s="12" t="s">
        <v>230</v>
      </c>
      <c r="K436" s="12">
        <f t="shared" si="38"/>
        <v>1440</v>
      </c>
      <c r="L436" s="12">
        <f t="shared" si="39"/>
        <v>1440</v>
      </c>
      <c r="M436" s="12">
        <v>3888</v>
      </c>
      <c r="N436" s="12">
        <v>576</v>
      </c>
      <c r="O436" s="12">
        <v>720</v>
      </c>
      <c r="P436" s="12" t="s">
        <v>743</v>
      </c>
      <c r="Q436" s="12" t="s">
        <v>234</v>
      </c>
      <c r="R436" s="12" t="s">
        <v>235</v>
      </c>
      <c r="T436" s="12" t="s">
        <v>230</v>
      </c>
      <c r="U436" s="12" t="s">
        <v>230</v>
      </c>
      <c r="V436" s="12"/>
      <c r="W436" s="12"/>
    </row>
    <row r="437" spans="2:23" ht="27">
      <c r="B437" s="26" t="s">
        <v>744</v>
      </c>
      <c r="C437" s="12" t="s">
        <v>228</v>
      </c>
      <c r="D437" s="12" t="s">
        <v>228</v>
      </c>
      <c r="E437" s="12" t="s">
        <v>248</v>
      </c>
      <c r="F437" s="12" t="s">
        <v>249</v>
      </c>
      <c r="G437" s="5" t="s">
        <v>250</v>
      </c>
      <c r="H437" s="12">
        <f t="shared" si="37"/>
        <v>0</v>
      </c>
      <c r="I437" s="12" t="s">
        <v>1148</v>
      </c>
      <c r="J437" s="12" t="s">
        <v>230</v>
      </c>
      <c r="K437" s="12">
        <f t="shared" si="38"/>
        <v>0</v>
      </c>
      <c r="L437" s="12">
        <f t="shared" si="39"/>
        <v>0</v>
      </c>
      <c r="M437" s="12"/>
      <c r="N437" s="12"/>
      <c r="O437" s="12"/>
      <c r="P437" s="12" t="s">
        <v>745</v>
      </c>
      <c r="Q437" s="12" t="s">
        <v>234</v>
      </c>
      <c r="R437" s="12" t="s">
        <v>235</v>
      </c>
      <c r="T437" s="12" t="s">
        <v>230</v>
      </c>
      <c r="U437" s="12" t="s">
        <v>230</v>
      </c>
      <c r="V437" s="12"/>
      <c r="W437" s="12"/>
    </row>
    <row r="438" spans="2:23" ht="27">
      <c r="B438" s="26" t="s">
        <v>746</v>
      </c>
      <c r="C438" s="12" t="s">
        <v>228</v>
      </c>
      <c r="D438" s="12" t="s">
        <v>228</v>
      </c>
      <c r="E438" s="12" t="s">
        <v>248</v>
      </c>
      <c r="F438" s="12" t="s">
        <v>249</v>
      </c>
      <c r="G438" s="5" t="s">
        <v>250</v>
      </c>
      <c r="H438" s="12">
        <f t="shared" si="37"/>
        <v>0</v>
      </c>
      <c r="I438" s="12" t="s">
        <v>1148</v>
      </c>
      <c r="J438" s="12" t="s">
        <v>230</v>
      </c>
      <c r="K438" s="12">
        <f t="shared" si="38"/>
        <v>0</v>
      </c>
      <c r="L438" s="12">
        <f t="shared" si="39"/>
        <v>0</v>
      </c>
      <c r="M438" s="12"/>
      <c r="N438" s="12"/>
      <c r="O438" s="12"/>
      <c r="P438" s="12" t="s">
        <v>747</v>
      </c>
      <c r="Q438" s="12" t="s">
        <v>234</v>
      </c>
      <c r="R438" s="12" t="s">
        <v>235</v>
      </c>
      <c r="T438" s="12" t="s">
        <v>230</v>
      </c>
      <c r="U438" s="12" t="s">
        <v>230</v>
      </c>
      <c r="V438" s="12"/>
      <c r="W438" s="12"/>
    </row>
    <row r="439" spans="2:23" ht="27">
      <c r="B439" s="26" t="s">
        <v>748</v>
      </c>
      <c r="C439" s="12" t="s">
        <v>228</v>
      </c>
      <c r="D439" s="12" t="s">
        <v>228</v>
      </c>
      <c r="E439" s="12" t="s">
        <v>248</v>
      </c>
      <c r="F439" s="12" t="s">
        <v>249</v>
      </c>
      <c r="G439" s="5" t="s">
        <v>250</v>
      </c>
      <c r="H439" s="12">
        <f t="shared" si="37"/>
        <v>0</v>
      </c>
      <c r="I439" s="12" t="s">
        <v>1148</v>
      </c>
      <c r="J439" s="12" t="s">
        <v>230</v>
      </c>
      <c r="K439" s="12">
        <f t="shared" si="38"/>
        <v>0</v>
      </c>
      <c r="L439" s="12">
        <f t="shared" si="39"/>
        <v>0</v>
      </c>
      <c r="M439" s="12"/>
      <c r="N439" s="12"/>
      <c r="O439" s="12"/>
      <c r="P439" s="12" t="s">
        <v>749</v>
      </c>
      <c r="Q439" s="12" t="s">
        <v>234</v>
      </c>
      <c r="R439" s="12" t="s">
        <v>235</v>
      </c>
      <c r="T439" s="12" t="s">
        <v>230</v>
      </c>
      <c r="U439" s="12" t="s">
        <v>230</v>
      </c>
      <c r="V439" s="12"/>
      <c r="W439" s="12"/>
    </row>
    <row r="440" spans="2:23">
      <c r="B440" s="26"/>
      <c r="C440" s="12"/>
      <c r="D440" s="12"/>
      <c r="E440" s="12"/>
      <c r="F440" s="12"/>
      <c r="G440" s="5"/>
      <c r="H440" s="12"/>
      <c r="I440" s="12"/>
      <c r="J440" s="12"/>
      <c r="K440" s="12" t="str">
        <f t="shared" si="35"/>
        <v>防</v>
      </c>
      <c r="L440" s="12" t="str">
        <f t="shared" si="36"/>
        <v>攻</v>
      </c>
      <c r="M440" s="12"/>
      <c r="N440" s="12"/>
      <c r="O440" s="12"/>
      <c r="P440" s="12"/>
      <c r="Q440" s="12"/>
      <c r="R440" s="12"/>
      <c r="T440" s="12"/>
      <c r="U440" s="12"/>
      <c r="V440" s="12"/>
      <c r="W440" s="12"/>
    </row>
    <row r="441" spans="2:23" ht="27">
      <c r="B441" s="12" t="s">
        <v>750</v>
      </c>
      <c r="C441" s="12" t="s">
        <v>227</v>
      </c>
      <c r="D441" s="12" t="s">
        <v>235</v>
      </c>
      <c r="E441" s="12" t="s">
        <v>252</v>
      </c>
      <c r="F441" s="12" t="s">
        <v>253</v>
      </c>
      <c r="G441" s="5" t="s">
        <v>254</v>
      </c>
      <c r="H441" s="12">
        <f>M441*$Y$12</f>
        <v>900</v>
      </c>
      <c r="I441" s="12" t="s">
        <v>1148</v>
      </c>
      <c r="J441" s="12" t="s">
        <v>230</v>
      </c>
      <c r="K441" s="12">
        <f>N441*$Y$12</f>
        <v>100</v>
      </c>
      <c r="L441" s="12">
        <f>O441*$X$12</f>
        <v>60</v>
      </c>
      <c r="M441" s="12">
        <v>360</v>
      </c>
      <c r="N441" s="12">
        <v>40</v>
      </c>
      <c r="O441" s="12">
        <v>30</v>
      </c>
      <c r="P441" s="12"/>
      <c r="Q441" s="12"/>
      <c r="R441" s="12"/>
      <c r="T441" s="12"/>
      <c r="U441" s="12"/>
      <c r="V441" s="12"/>
      <c r="W441" s="12"/>
    </row>
    <row r="442" spans="2:23" ht="27">
      <c r="B442" s="12" t="s">
        <v>751</v>
      </c>
      <c r="C442" s="12" t="s">
        <v>227</v>
      </c>
      <c r="D442" s="12" t="s">
        <v>235</v>
      </c>
      <c r="E442" s="12" t="s">
        <v>252</v>
      </c>
      <c r="F442" s="12" t="s">
        <v>253</v>
      </c>
      <c r="G442" s="5" t="s">
        <v>254</v>
      </c>
      <c r="H442" s="12">
        <f t="shared" ref="H442:H488" si="40">M442*$Y$12</f>
        <v>1035</v>
      </c>
      <c r="I442" s="12" t="s">
        <v>1148</v>
      </c>
      <c r="J442" s="12" t="s">
        <v>230</v>
      </c>
      <c r="K442" s="12">
        <f t="shared" ref="K442:K488" si="41">N442*$Y$12</f>
        <v>115</v>
      </c>
      <c r="L442" s="12">
        <f t="shared" ref="L442:L488" si="42">O442*$X$12</f>
        <v>76</v>
      </c>
      <c r="M442" s="12">
        <v>414</v>
      </c>
      <c r="N442" s="12">
        <v>46</v>
      </c>
      <c r="O442" s="12">
        <v>38</v>
      </c>
      <c r="P442" s="12"/>
      <c r="Q442" s="12"/>
      <c r="R442" s="12"/>
      <c r="T442" s="12"/>
      <c r="U442" s="12"/>
      <c r="V442" s="12"/>
      <c r="W442" s="12"/>
    </row>
    <row r="443" spans="2:23" ht="27">
      <c r="B443" s="12" t="s">
        <v>752</v>
      </c>
      <c r="C443" s="12" t="s">
        <v>227</v>
      </c>
      <c r="D443" s="12" t="s">
        <v>235</v>
      </c>
      <c r="E443" s="12" t="s">
        <v>252</v>
      </c>
      <c r="F443" s="12" t="s">
        <v>253</v>
      </c>
      <c r="G443" s="5" t="s">
        <v>254</v>
      </c>
      <c r="H443" s="12">
        <f t="shared" si="40"/>
        <v>1080</v>
      </c>
      <c r="I443" s="12" t="s">
        <v>1148</v>
      </c>
      <c r="J443" s="12" t="s">
        <v>230</v>
      </c>
      <c r="K443" s="12">
        <f t="shared" si="41"/>
        <v>120</v>
      </c>
      <c r="L443" s="12">
        <f t="shared" si="42"/>
        <v>84</v>
      </c>
      <c r="M443" s="12">
        <v>432</v>
      </c>
      <c r="N443" s="12">
        <v>48</v>
      </c>
      <c r="O443" s="12">
        <v>42</v>
      </c>
      <c r="P443" s="12"/>
      <c r="Q443" s="12"/>
      <c r="R443" s="12"/>
      <c r="T443" s="12"/>
      <c r="U443" s="12"/>
      <c r="V443" s="12"/>
      <c r="W443" s="12"/>
    </row>
    <row r="444" spans="2:23" ht="27">
      <c r="B444" s="12" t="s">
        <v>753</v>
      </c>
      <c r="C444" s="12" t="s">
        <v>227</v>
      </c>
      <c r="D444" s="12" t="s">
        <v>235</v>
      </c>
      <c r="E444" s="12" t="s">
        <v>252</v>
      </c>
      <c r="F444" s="12" t="s">
        <v>253</v>
      </c>
      <c r="G444" s="5" t="s">
        <v>254</v>
      </c>
      <c r="H444" s="12">
        <f t="shared" si="40"/>
        <v>1125</v>
      </c>
      <c r="I444" s="12" t="s">
        <v>1148</v>
      </c>
      <c r="J444" s="12" t="s">
        <v>230</v>
      </c>
      <c r="K444" s="12">
        <f t="shared" si="41"/>
        <v>125</v>
      </c>
      <c r="L444" s="12">
        <f t="shared" si="42"/>
        <v>92</v>
      </c>
      <c r="M444" s="12">
        <v>450</v>
      </c>
      <c r="N444" s="12">
        <v>50</v>
      </c>
      <c r="O444" s="12">
        <v>46</v>
      </c>
      <c r="P444" s="12"/>
      <c r="Q444" s="12"/>
      <c r="R444" s="12"/>
      <c r="T444" s="12"/>
      <c r="U444" s="12"/>
      <c r="V444" s="12"/>
      <c r="W444" s="12"/>
    </row>
    <row r="445" spans="2:23" ht="27">
      <c r="B445" s="12" t="s">
        <v>754</v>
      </c>
      <c r="C445" s="12" t="s">
        <v>227</v>
      </c>
      <c r="D445" s="12" t="s">
        <v>235</v>
      </c>
      <c r="E445" s="12" t="s">
        <v>252</v>
      </c>
      <c r="F445" s="12" t="s">
        <v>253</v>
      </c>
      <c r="G445" s="5" t="s">
        <v>254</v>
      </c>
      <c r="H445" s="12">
        <f t="shared" si="40"/>
        <v>1170</v>
      </c>
      <c r="I445" s="12" t="s">
        <v>1148</v>
      </c>
      <c r="J445" s="12" t="s">
        <v>230</v>
      </c>
      <c r="K445" s="12">
        <f t="shared" si="41"/>
        <v>130</v>
      </c>
      <c r="L445" s="12">
        <f t="shared" si="42"/>
        <v>100</v>
      </c>
      <c r="M445" s="12">
        <v>468</v>
      </c>
      <c r="N445" s="12">
        <v>52</v>
      </c>
      <c r="O445" s="12">
        <v>50</v>
      </c>
      <c r="P445" s="12"/>
      <c r="Q445" s="12"/>
      <c r="R445" s="12"/>
      <c r="T445" s="12"/>
      <c r="U445" s="12"/>
      <c r="V445" s="12"/>
      <c r="W445" s="12"/>
    </row>
    <row r="446" spans="2:23" ht="27">
      <c r="B446" s="12" t="s">
        <v>755</v>
      </c>
      <c r="C446" s="12" t="s">
        <v>227</v>
      </c>
      <c r="D446" s="12" t="s">
        <v>235</v>
      </c>
      <c r="E446" s="12" t="s">
        <v>252</v>
      </c>
      <c r="F446" s="12" t="s">
        <v>253</v>
      </c>
      <c r="G446" s="5" t="s">
        <v>254</v>
      </c>
      <c r="H446" s="12">
        <f t="shared" si="40"/>
        <v>1215</v>
      </c>
      <c r="I446" s="12" t="s">
        <v>1148</v>
      </c>
      <c r="J446" s="12" t="s">
        <v>230</v>
      </c>
      <c r="K446" s="12">
        <f t="shared" si="41"/>
        <v>135</v>
      </c>
      <c r="L446" s="12">
        <f t="shared" si="42"/>
        <v>108</v>
      </c>
      <c r="M446" s="12">
        <v>486</v>
      </c>
      <c r="N446" s="12">
        <v>54</v>
      </c>
      <c r="O446" s="12">
        <v>54</v>
      </c>
      <c r="P446" s="12"/>
      <c r="Q446" s="12"/>
      <c r="R446" s="12"/>
      <c r="T446" s="12"/>
      <c r="U446" s="12"/>
      <c r="V446" s="12"/>
      <c r="W446" s="12"/>
    </row>
    <row r="447" spans="2:23" ht="27">
      <c r="B447" s="12" t="s">
        <v>756</v>
      </c>
      <c r="C447" s="12" t="s">
        <v>227</v>
      </c>
      <c r="D447" s="12" t="s">
        <v>235</v>
      </c>
      <c r="E447" s="12" t="s">
        <v>252</v>
      </c>
      <c r="F447" s="12" t="s">
        <v>253</v>
      </c>
      <c r="G447" s="5" t="s">
        <v>254</v>
      </c>
      <c r="H447" s="12">
        <f t="shared" si="40"/>
        <v>1260</v>
      </c>
      <c r="I447" s="12" t="s">
        <v>1148</v>
      </c>
      <c r="J447" s="12" t="s">
        <v>230</v>
      </c>
      <c r="K447" s="12">
        <f t="shared" si="41"/>
        <v>140</v>
      </c>
      <c r="L447" s="12">
        <f t="shared" si="42"/>
        <v>116</v>
      </c>
      <c r="M447" s="12">
        <v>504</v>
      </c>
      <c r="N447" s="12">
        <v>56</v>
      </c>
      <c r="O447" s="12">
        <v>58</v>
      </c>
      <c r="P447" s="12"/>
      <c r="Q447" s="12"/>
      <c r="R447" s="12"/>
      <c r="T447" s="12"/>
      <c r="U447" s="12"/>
      <c r="V447" s="12"/>
      <c r="W447" s="12"/>
    </row>
    <row r="448" spans="2:23" ht="27">
      <c r="B448" s="12" t="s">
        <v>757</v>
      </c>
      <c r="C448" s="12" t="s">
        <v>227</v>
      </c>
      <c r="D448" s="12" t="s">
        <v>235</v>
      </c>
      <c r="E448" s="12" t="s">
        <v>252</v>
      </c>
      <c r="F448" s="12" t="s">
        <v>253</v>
      </c>
      <c r="G448" s="5" t="s">
        <v>254</v>
      </c>
      <c r="H448" s="12">
        <f t="shared" si="40"/>
        <v>1305</v>
      </c>
      <c r="I448" s="12" t="s">
        <v>1148</v>
      </c>
      <c r="J448" s="12" t="s">
        <v>230</v>
      </c>
      <c r="K448" s="12">
        <f t="shared" si="41"/>
        <v>145</v>
      </c>
      <c r="L448" s="12">
        <f t="shared" si="42"/>
        <v>124</v>
      </c>
      <c r="M448" s="12">
        <v>522</v>
      </c>
      <c r="N448" s="12">
        <v>58</v>
      </c>
      <c r="O448" s="12">
        <v>62</v>
      </c>
      <c r="P448" s="12"/>
      <c r="Q448" s="12"/>
      <c r="R448" s="12"/>
      <c r="T448" s="12"/>
      <c r="U448" s="12"/>
      <c r="V448" s="12"/>
      <c r="W448" s="12"/>
    </row>
    <row r="449" spans="2:23" ht="27">
      <c r="B449" s="12" t="s">
        <v>758</v>
      </c>
      <c r="C449" s="12" t="s">
        <v>227</v>
      </c>
      <c r="D449" s="12" t="s">
        <v>235</v>
      </c>
      <c r="E449" s="12" t="s">
        <v>252</v>
      </c>
      <c r="F449" s="12" t="s">
        <v>253</v>
      </c>
      <c r="G449" s="5" t="s">
        <v>254</v>
      </c>
      <c r="H449" s="12">
        <f t="shared" si="40"/>
        <v>1350</v>
      </c>
      <c r="I449" s="12" t="s">
        <v>1148</v>
      </c>
      <c r="J449" s="12" t="s">
        <v>230</v>
      </c>
      <c r="K449" s="12">
        <f t="shared" si="41"/>
        <v>150</v>
      </c>
      <c r="L449" s="12">
        <f t="shared" si="42"/>
        <v>132</v>
      </c>
      <c r="M449" s="12">
        <v>540</v>
      </c>
      <c r="N449" s="12">
        <v>60</v>
      </c>
      <c r="O449" s="12">
        <v>66</v>
      </c>
      <c r="P449" s="12"/>
      <c r="Q449" s="12"/>
      <c r="R449" s="12"/>
      <c r="T449" s="12"/>
      <c r="U449" s="12"/>
      <c r="V449" s="12"/>
      <c r="W449" s="12"/>
    </row>
    <row r="450" spans="2:23" ht="27">
      <c r="B450" s="12" t="s">
        <v>759</v>
      </c>
      <c r="C450" s="12" t="s">
        <v>227</v>
      </c>
      <c r="D450" s="12" t="s">
        <v>235</v>
      </c>
      <c r="E450" s="12" t="s">
        <v>252</v>
      </c>
      <c r="F450" s="12" t="s">
        <v>253</v>
      </c>
      <c r="G450" s="5" t="s">
        <v>254</v>
      </c>
      <c r="H450" s="12">
        <f t="shared" si="40"/>
        <v>1395</v>
      </c>
      <c r="I450" s="12" t="s">
        <v>1148</v>
      </c>
      <c r="J450" s="12" t="s">
        <v>230</v>
      </c>
      <c r="K450" s="12">
        <f t="shared" si="41"/>
        <v>155</v>
      </c>
      <c r="L450" s="12">
        <f t="shared" si="42"/>
        <v>140</v>
      </c>
      <c r="M450" s="12">
        <v>558</v>
      </c>
      <c r="N450" s="12">
        <v>62</v>
      </c>
      <c r="O450" s="12">
        <v>70</v>
      </c>
      <c r="P450" s="12"/>
      <c r="Q450" s="12"/>
      <c r="R450" s="12"/>
      <c r="T450" s="12"/>
      <c r="U450" s="12"/>
      <c r="V450" s="12"/>
      <c r="W450" s="12"/>
    </row>
    <row r="451" spans="2:23" ht="27">
      <c r="B451" s="12" t="s">
        <v>760</v>
      </c>
      <c r="C451" s="12" t="s">
        <v>227</v>
      </c>
      <c r="D451" s="12" t="s">
        <v>235</v>
      </c>
      <c r="E451" s="12" t="s">
        <v>252</v>
      </c>
      <c r="F451" s="12" t="s">
        <v>253</v>
      </c>
      <c r="G451" s="5" t="s">
        <v>254</v>
      </c>
      <c r="H451" s="12">
        <f t="shared" si="40"/>
        <v>1440</v>
      </c>
      <c r="I451" s="12" t="s">
        <v>1148</v>
      </c>
      <c r="J451" s="12" t="s">
        <v>230</v>
      </c>
      <c r="K451" s="12">
        <f t="shared" si="41"/>
        <v>160</v>
      </c>
      <c r="L451" s="12">
        <f t="shared" si="42"/>
        <v>148</v>
      </c>
      <c r="M451" s="12">
        <v>576</v>
      </c>
      <c r="N451" s="12">
        <v>64</v>
      </c>
      <c r="O451" s="12">
        <v>74</v>
      </c>
      <c r="P451" s="12"/>
      <c r="Q451" s="12"/>
      <c r="R451" s="12"/>
      <c r="T451" s="12"/>
      <c r="U451" s="12"/>
      <c r="V451" s="12"/>
      <c r="W451" s="12"/>
    </row>
    <row r="452" spans="2:23" ht="27">
      <c r="B452" s="12" t="s">
        <v>761</v>
      </c>
      <c r="C452" s="12" t="s">
        <v>227</v>
      </c>
      <c r="D452" s="12" t="s">
        <v>235</v>
      </c>
      <c r="E452" s="12" t="s">
        <v>252</v>
      </c>
      <c r="F452" s="12" t="s">
        <v>253</v>
      </c>
      <c r="G452" s="5" t="s">
        <v>254</v>
      </c>
      <c r="H452" s="12">
        <f t="shared" si="40"/>
        <v>1485</v>
      </c>
      <c r="I452" s="12" t="s">
        <v>1148</v>
      </c>
      <c r="J452" s="12" t="s">
        <v>230</v>
      </c>
      <c r="K452" s="12">
        <f t="shared" si="41"/>
        <v>165</v>
      </c>
      <c r="L452" s="12">
        <f t="shared" si="42"/>
        <v>156</v>
      </c>
      <c r="M452" s="12">
        <v>594</v>
      </c>
      <c r="N452" s="12">
        <v>66</v>
      </c>
      <c r="O452" s="12">
        <v>78</v>
      </c>
      <c r="P452" s="12"/>
      <c r="Q452" s="12"/>
      <c r="R452" s="12"/>
      <c r="T452" s="12"/>
      <c r="U452" s="12"/>
      <c r="V452" s="12"/>
      <c r="W452" s="12"/>
    </row>
    <row r="453" spans="2:23" ht="27">
      <c r="B453" s="12" t="s">
        <v>762</v>
      </c>
      <c r="C453" s="12" t="s">
        <v>227</v>
      </c>
      <c r="D453" s="12" t="s">
        <v>235</v>
      </c>
      <c r="E453" s="12" t="s">
        <v>252</v>
      </c>
      <c r="F453" s="12" t="s">
        <v>253</v>
      </c>
      <c r="G453" s="5" t="s">
        <v>254</v>
      </c>
      <c r="H453" s="12">
        <f t="shared" si="40"/>
        <v>1530</v>
      </c>
      <c r="I453" s="12" t="s">
        <v>1148</v>
      </c>
      <c r="J453" s="12" t="s">
        <v>230</v>
      </c>
      <c r="K453" s="12">
        <f t="shared" si="41"/>
        <v>170</v>
      </c>
      <c r="L453" s="12">
        <f t="shared" si="42"/>
        <v>164</v>
      </c>
      <c r="M453" s="12">
        <v>612</v>
      </c>
      <c r="N453" s="12">
        <v>68</v>
      </c>
      <c r="O453" s="12">
        <v>82</v>
      </c>
      <c r="P453" s="12"/>
      <c r="Q453" s="12"/>
      <c r="R453" s="12"/>
      <c r="T453" s="12"/>
      <c r="U453" s="12"/>
      <c r="V453" s="12"/>
      <c r="W453" s="12"/>
    </row>
    <row r="454" spans="2:23" ht="27">
      <c r="B454" s="12" t="s">
        <v>763</v>
      </c>
      <c r="C454" s="12" t="s">
        <v>227</v>
      </c>
      <c r="D454" s="12" t="s">
        <v>235</v>
      </c>
      <c r="E454" s="12" t="s">
        <v>252</v>
      </c>
      <c r="F454" s="12" t="s">
        <v>253</v>
      </c>
      <c r="G454" s="5" t="s">
        <v>254</v>
      </c>
      <c r="H454" s="12">
        <f t="shared" si="40"/>
        <v>1575</v>
      </c>
      <c r="I454" s="12" t="s">
        <v>1148</v>
      </c>
      <c r="J454" s="12" t="s">
        <v>230</v>
      </c>
      <c r="K454" s="12">
        <f t="shared" si="41"/>
        <v>175</v>
      </c>
      <c r="L454" s="12">
        <f t="shared" si="42"/>
        <v>172</v>
      </c>
      <c r="M454" s="12">
        <v>630</v>
      </c>
      <c r="N454" s="12">
        <v>70</v>
      </c>
      <c r="O454" s="12">
        <v>86</v>
      </c>
      <c r="P454" s="12"/>
      <c r="Q454" s="12"/>
      <c r="R454" s="12"/>
      <c r="T454" s="12"/>
      <c r="U454" s="12"/>
      <c r="V454" s="12"/>
      <c r="W454" s="12"/>
    </row>
    <row r="455" spans="2:23" ht="27">
      <c r="B455" s="12" t="s">
        <v>764</v>
      </c>
      <c r="C455" s="12" t="s">
        <v>227</v>
      </c>
      <c r="D455" s="12" t="s">
        <v>235</v>
      </c>
      <c r="E455" s="12" t="s">
        <v>252</v>
      </c>
      <c r="F455" s="12" t="s">
        <v>253</v>
      </c>
      <c r="G455" s="5" t="s">
        <v>254</v>
      </c>
      <c r="H455" s="12">
        <f t="shared" si="40"/>
        <v>2660</v>
      </c>
      <c r="I455" s="12" t="s">
        <v>1148</v>
      </c>
      <c r="J455" s="12" t="s">
        <v>230</v>
      </c>
      <c r="K455" s="12">
        <f t="shared" si="41"/>
        <v>380</v>
      </c>
      <c r="L455" s="12">
        <f t="shared" si="42"/>
        <v>243</v>
      </c>
      <c r="M455" s="12">
        <v>1064</v>
      </c>
      <c r="N455" s="12">
        <v>152</v>
      </c>
      <c r="O455" s="12">
        <v>121.5</v>
      </c>
      <c r="P455" s="12"/>
      <c r="Q455" s="12"/>
      <c r="R455" s="12"/>
      <c r="T455" s="12"/>
      <c r="U455" s="12"/>
      <c r="V455" s="12"/>
      <c r="W455" s="12"/>
    </row>
    <row r="456" spans="2:23" ht="27">
      <c r="B456" s="12" t="s">
        <v>765</v>
      </c>
      <c r="C456" s="12" t="s">
        <v>227</v>
      </c>
      <c r="D456" s="12" t="s">
        <v>235</v>
      </c>
      <c r="E456" s="12" t="s">
        <v>252</v>
      </c>
      <c r="F456" s="12" t="s">
        <v>253</v>
      </c>
      <c r="G456" s="5" t="s">
        <v>254</v>
      </c>
      <c r="H456" s="12">
        <f t="shared" si="40"/>
        <v>2730</v>
      </c>
      <c r="I456" s="12" t="s">
        <v>1148</v>
      </c>
      <c r="J456" s="12" t="s">
        <v>230</v>
      </c>
      <c r="K456" s="12">
        <f t="shared" si="41"/>
        <v>390</v>
      </c>
      <c r="L456" s="12">
        <f t="shared" si="42"/>
        <v>255.14999999999998</v>
      </c>
      <c r="M456" s="12">
        <v>1092</v>
      </c>
      <c r="N456" s="12">
        <v>156</v>
      </c>
      <c r="O456" s="12">
        <v>127.57499999999999</v>
      </c>
      <c r="P456" s="12"/>
      <c r="Q456" s="12"/>
      <c r="R456" s="12"/>
      <c r="T456" s="12"/>
      <c r="U456" s="12"/>
      <c r="V456" s="12"/>
      <c r="W456" s="12"/>
    </row>
    <row r="457" spans="2:23" ht="27">
      <c r="B457" s="12" t="s">
        <v>766</v>
      </c>
      <c r="C457" s="12" t="s">
        <v>227</v>
      </c>
      <c r="D457" s="12" t="s">
        <v>235</v>
      </c>
      <c r="E457" s="12" t="s">
        <v>252</v>
      </c>
      <c r="F457" s="12" t="s">
        <v>253</v>
      </c>
      <c r="G457" s="5" t="s">
        <v>254</v>
      </c>
      <c r="H457" s="12">
        <f t="shared" si="40"/>
        <v>2800</v>
      </c>
      <c r="I457" s="12" t="s">
        <v>1148</v>
      </c>
      <c r="J457" s="12" t="s">
        <v>230</v>
      </c>
      <c r="K457" s="12">
        <f t="shared" si="41"/>
        <v>400</v>
      </c>
      <c r="L457" s="12">
        <f t="shared" si="42"/>
        <v>267.3</v>
      </c>
      <c r="M457" s="12">
        <v>1120</v>
      </c>
      <c r="N457" s="12">
        <v>160</v>
      </c>
      <c r="O457" s="12">
        <v>133.65</v>
      </c>
      <c r="P457" s="12"/>
      <c r="Q457" s="12"/>
      <c r="R457" s="12"/>
      <c r="T457" s="12"/>
      <c r="U457" s="12"/>
      <c r="V457" s="12"/>
      <c r="W457" s="12"/>
    </row>
    <row r="458" spans="2:23" ht="27">
      <c r="B458" s="12" t="s">
        <v>767</v>
      </c>
      <c r="C458" s="12" t="s">
        <v>227</v>
      </c>
      <c r="D458" s="12" t="s">
        <v>235</v>
      </c>
      <c r="E458" s="12" t="s">
        <v>252</v>
      </c>
      <c r="F458" s="12" t="s">
        <v>253</v>
      </c>
      <c r="G458" s="5" t="s">
        <v>254</v>
      </c>
      <c r="H458" s="12">
        <f t="shared" si="40"/>
        <v>2870</v>
      </c>
      <c r="I458" s="12" t="s">
        <v>1148</v>
      </c>
      <c r="J458" s="12" t="s">
        <v>230</v>
      </c>
      <c r="K458" s="12">
        <f t="shared" si="41"/>
        <v>410</v>
      </c>
      <c r="L458" s="12">
        <f t="shared" si="42"/>
        <v>279.45</v>
      </c>
      <c r="M458" s="12">
        <v>1148</v>
      </c>
      <c r="N458" s="12">
        <v>164</v>
      </c>
      <c r="O458" s="12">
        <v>139.72499999999999</v>
      </c>
      <c r="P458" s="12"/>
      <c r="Q458" s="12"/>
      <c r="R458" s="12"/>
      <c r="T458" s="12"/>
      <c r="U458" s="12"/>
      <c r="V458" s="12"/>
      <c r="W458" s="12"/>
    </row>
    <row r="459" spans="2:23" ht="27">
      <c r="B459" s="12" t="s">
        <v>768</v>
      </c>
      <c r="C459" s="12" t="s">
        <v>227</v>
      </c>
      <c r="D459" s="12" t="s">
        <v>235</v>
      </c>
      <c r="E459" s="12" t="s">
        <v>252</v>
      </c>
      <c r="F459" s="12" t="s">
        <v>253</v>
      </c>
      <c r="G459" s="5" t="s">
        <v>254</v>
      </c>
      <c r="H459" s="12">
        <f t="shared" si="40"/>
        <v>2940</v>
      </c>
      <c r="I459" s="12" t="s">
        <v>1148</v>
      </c>
      <c r="J459" s="12" t="s">
        <v>230</v>
      </c>
      <c r="K459" s="12">
        <f t="shared" si="41"/>
        <v>420</v>
      </c>
      <c r="L459" s="12">
        <f t="shared" si="42"/>
        <v>291.59999999999997</v>
      </c>
      <c r="M459" s="12">
        <v>1176</v>
      </c>
      <c r="N459" s="12">
        <v>168</v>
      </c>
      <c r="O459" s="12">
        <v>145.79999999999998</v>
      </c>
      <c r="P459" s="12"/>
      <c r="Q459" s="12"/>
      <c r="R459" s="12"/>
      <c r="T459" s="12"/>
      <c r="U459" s="12"/>
      <c r="V459" s="12"/>
      <c r="W459" s="12"/>
    </row>
    <row r="460" spans="2:23" ht="27">
      <c r="B460" s="12" t="s">
        <v>769</v>
      </c>
      <c r="C460" s="12" t="s">
        <v>227</v>
      </c>
      <c r="D460" s="12" t="s">
        <v>235</v>
      </c>
      <c r="E460" s="12" t="s">
        <v>252</v>
      </c>
      <c r="F460" s="12" t="s">
        <v>253</v>
      </c>
      <c r="G460" s="5" t="s">
        <v>254</v>
      </c>
      <c r="H460" s="12">
        <f t="shared" si="40"/>
        <v>3010</v>
      </c>
      <c r="I460" s="12" t="s">
        <v>1148</v>
      </c>
      <c r="J460" s="12" t="s">
        <v>230</v>
      </c>
      <c r="K460" s="12">
        <f t="shared" si="41"/>
        <v>430</v>
      </c>
      <c r="L460" s="12">
        <f t="shared" si="42"/>
        <v>303.75</v>
      </c>
      <c r="M460" s="12">
        <v>1204</v>
      </c>
      <c r="N460" s="12">
        <v>172</v>
      </c>
      <c r="O460" s="12">
        <v>151.875</v>
      </c>
      <c r="P460" s="12"/>
      <c r="Q460" s="12"/>
      <c r="R460" s="12"/>
      <c r="T460" s="12"/>
      <c r="U460" s="12"/>
      <c r="V460" s="12"/>
      <c r="W460" s="12"/>
    </row>
    <row r="461" spans="2:23" ht="27">
      <c r="B461" s="12" t="s">
        <v>770</v>
      </c>
      <c r="C461" s="12" t="s">
        <v>227</v>
      </c>
      <c r="D461" s="12" t="s">
        <v>235</v>
      </c>
      <c r="E461" s="12" t="s">
        <v>252</v>
      </c>
      <c r="F461" s="12" t="s">
        <v>253</v>
      </c>
      <c r="G461" s="5" t="s">
        <v>254</v>
      </c>
      <c r="H461" s="12">
        <f t="shared" si="40"/>
        <v>3080</v>
      </c>
      <c r="I461" s="12" t="s">
        <v>1148</v>
      </c>
      <c r="J461" s="12" t="s">
        <v>230</v>
      </c>
      <c r="K461" s="12">
        <f t="shared" si="41"/>
        <v>440</v>
      </c>
      <c r="L461" s="12">
        <f t="shared" si="42"/>
        <v>315.89999999999998</v>
      </c>
      <c r="M461" s="12">
        <v>1232</v>
      </c>
      <c r="N461" s="12">
        <v>176</v>
      </c>
      <c r="O461" s="12">
        <v>157.94999999999999</v>
      </c>
      <c r="P461" s="12"/>
      <c r="Q461" s="12"/>
      <c r="R461" s="12"/>
      <c r="T461" s="12"/>
      <c r="U461" s="12"/>
      <c r="V461" s="12"/>
      <c r="W461" s="12"/>
    </row>
    <row r="462" spans="2:23" ht="27">
      <c r="B462" s="12" t="s">
        <v>771</v>
      </c>
      <c r="C462" s="12" t="s">
        <v>227</v>
      </c>
      <c r="D462" s="12" t="s">
        <v>235</v>
      </c>
      <c r="E462" s="12" t="s">
        <v>252</v>
      </c>
      <c r="F462" s="12" t="s">
        <v>253</v>
      </c>
      <c r="G462" s="5" t="s">
        <v>254</v>
      </c>
      <c r="H462" s="12">
        <f t="shared" si="40"/>
        <v>3150</v>
      </c>
      <c r="I462" s="12" t="s">
        <v>1148</v>
      </c>
      <c r="J462" s="12" t="s">
        <v>230</v>
      </c>
      <c r="K462" s="12">
        <f t="shared" si="41"/>
        <v>450</v>
      </c>
      <c r="L462" s="12">
        <f t="shared" si="42"/>
        <v>328.05</v>
      </c>
      <c r="M462" s="12">
        <v>1260</v>
      </c>
      <c r="N462" s="12">
        <v>180</v>
      </c>
      <c r="O462" s="12">
        <v>164.02500000000001</v>
      </c>
      <c r="P462" s="12"/>
      <c r="Q462" s="12"/>
      <c r="R462" s="12"/>
      <c r="T462" s="12"/>
      <c r="U462" s="12"/>
      <c r="V462" s="12"/>
      <c r="W462" s="12"/>
    </row>
    <row r="463" spans="2:23" ht="27">
      <c r="B463" s="12" t="s">
        <v>772</v>
      </c>
      <c r="C463" s="12" t="s">
        <v>227</v>
      </c>
      <c r="D463" s="12" t="s">
        <v>235</v>
      </c>
      <c r="E463" s="12" t="s">
        <v>252</v>
      </c>
      <c r="F463" s="12" t="s">
        <v>253</v>
      </c>
      <c r="G463" s="5" t="s">
        <v>254</v>
      </c>
      <c r="H463" s="12">
        <f t="shared" si="40"/>
        <v>3220</v>
      </c>
      <c r="I463" s="12" t="s">
        <v>1148</v>
      </c>
      <c r="J463" s="12" t="s">
        <v>230</v>
      </c>
      <c r="K463" s="12">
        <f t="shared" si="41"/>
        <v>460</v>
      </c>
      <c r="L463" s="12">
        <f t="shared" si="42"/>
        <v>340.2</v>
      </c>
      <c r="M463" s="12">
        <v>1288</v>
      </c>
      <c r="N463" s="12">
        <v>184</v>
      </c>
      <c r="O463" s="12">
        <v>170.1</v>
      </c>
      <c r="P463" s="12"/>
      <c r="Q463" s="12"/>
      <c r="R463" s="12"/>
      <c r="T463" s="12"/>
      <c r="U463" s="12"/>
      <c r="V463" s="12"/>
      <c r="W463" s="12"/>
    </row>
    <row r="464" spans="2:23" ht="27">
      <c r="B464" s="12" t="s">
        <v>773</v>
      </c>
      <c r="C464" s="12" t="s">
        <v>227</v>
      </c>
      <c r="D464" s="12" t="s">
        <v>235</v>
      </c>
      <c r="E464" s="12" t="s">
        <v>252</v>
      </c>
      <c r="F464" s="12" t="s">
        <v>253</v>
      </c>
      <c r="G464" s="5" t="s">
        <v>254</v>
      </c>
      <c r="H464" s="12">
        <f t="shared" si="40"/>
        <v>3290</v>
      </c>
      <c r="I464" s="12" t="s">
        <v>1148</v>
      </c>
      <c r="J464" s="12" t="s">
        <v>230</v>
      </c>
      <c r="K464" s="12">
        <f t="shared" si="41"/>
        <v>470</v>
      </c>
      <c r="L464" s="12">
        <f t="shared" si="42"/>
        <v>352.34999999999997</v>
      </c>
      <c r="M464" s="12">
        <v>1316</v>
      </c>
      <c r="N464" s="12">
        <v>188</v>
      </c>
      <c r="O464" s="12">
        <v>176.17499999999998</v>
      </c>
      <c r="P464" s="12"/>
      <c r="Q464" s="12"/>
      <c r="R464" s="12"/>
      <c r="T464" s="12"/>
      <c r="U464" s="12"/>
      <c r="V464" s="12"/>
      <c r="W464" s="12"/>
    </row>
    <row r="465" spans="2:23" ht="27">
      <c r="B465" s="12" t="s">
        <v>774</v>
      </c>
      <c r="C465" s="12" t="s">
        <v>227</v>
      </c>
      <c r="D465" s="12" t="s">
        <v>235</v>
      </c>
      <c r="E465" s="12" t="s">
        <v>252</v>
      </c>
      <c r="F465" s="12" t="s">
        <v>253</v>
      </c>
      <c r="G465" s="5" t="s">
        <v>254</v>
      </c>
      <c r="H465" s="12">
        <f t="shared" si="40"/>
        <v>3360</v>
      </c>
      <c r="I465" s="12" t="s">
        <v>1148</v>
      </c>
      <c r="J465" s="12" t="s">
        <v>230</v>
      </c>
      <c r="K465" s="12">
        <f t="shared" si="41"/>
        <v>480</v>
      </c>
      <c r="L465" s="12">
        <f t="shared" si="42"/>
        <v>364.5</v>
      </c>
      <c r="M465" s="12">
        <v>1344</v>
      </c>
      <c r="N465" s="12">
        <v>192</v>
      </c>
      <c r="O465" s="12">
        <v>182.25</v>
      </c>
      <c r="P465" s="12"/>
      <c r="Q465" s="12"/>
      <c r="R465" s="12"/>
      <c r="T465" s="12"/>
      <c r="U465" s="12"/>
      <c r="V465" s="12"/>
      <c r="W465" s="12"/>
    </row>
    <row r="466" spans="2:23" ht="27">
      <c r="B466" s="12" t="s">
        <v>775</v>
      </c>
      <c r="C466" s="12" t="s">
        <v>227</v>
      </c>
      <c r="D466" s="12" t="s">
        <v>235</v>
      </c>
      <c r="E466" s="12" t="s">
        <v>252</v>
      </c>
      <c r="F466" s="12" t="s">
        <v>253</v>
      </c>
      <c r="G466" s="5" t="s">
        <v>254</v>
      </c>
      <c r="H466" s="12">
        <f t="shared" si="40"/>
        <v>3430</v>
      </c>
      <c r="I466" s="12" t="s">
        <v>1148</v>
      </c>
      <c r="J466" s="12" t="s">
        <v>230</v>
      </c>
      <c r="K466" s="12">
        <f t="shared" si="41"/>
        <v>490</v>
      </c>
      <c r="L466" s="12">
        <f t="shared" si="42"/>
        <v>376.65</v>
      </c>
      <c r="M466" s="12">
        <v>1372</v>
      </c>
      <c r="N466" s="12">
        <v>196</v>
      </c>
      <c r="O466" s="12">
        <v>188.32499999999999</v>
      </c>
      <c r="P466" s="12"/>
      <c r="Q466" s="12"/>
      <c r="R466" s="12"/>
      <c r="T466" s="12"/>
      <c r="U466" s="12"/>
      <c r="V466" s="12"/>
      <c r="W466" s="12"/>
    </row>
    <row r="467" spans="2:23" ht="27">
      <c r="B467" s="12" t="s">
        <v>776</v>
      </c>
      <c r="C467" s="12" t="s">
        <v>227</v>
      </c>
      <c r="D467" s="12" t="s">
        <v>235</v>
      </c>
      <c r="E467" s="12" t="s">
        <v>252</v>
      </c>
      <c r="F467" s="12" t="s">
        <v>253</v>
      </c>
      <c r="G467" s="5" t="s">
        <v>254</v>
      </c>
      <c r="H467" s="12">
        <f t="shared" si="40"/>
        <v>3500</v>
      </c>
      <c r="I467" s="12" t="s">
        <v>1148</v>
      </c>
      <c r="J467" s="12" t="s">
        <v>230</v>
      </c>
      <c r="K467" s="12">
        <f t="shared" si="41"/>
        <v>500</v>
      </c>
      <c r="L467" s="12">
        <f t="shared" si="42"/>
        <v>388.79999999999995</v>
      </c>
      <c r="M467" s="12">
        <v>1400</v>
      </c>
      <c r="N467" s="12">
        <v>200</v>
      </c>
      <c r="O467" s="12">
        <v>194.39999999999998</v>
      </c>
      <c r="P467" s="12"/>
      <c r="Q467" s="12"/>
      <c r="R467" s="12"/>
      <c r="T467" s="12"/>
      <c r="U467" s="12"/>
      <c r="V467" s="12"/>
      <c r="W467" s="12"/>
    </row>
    <row r="468" spans="2:23" ht="27">
      <c r="B468" s="12" t="s">
        <v>777</v>
      </c>
      <c r="C468" s="12" t="s">
        <v>227</v>
      </c>
      <c r="D468" s="12" t="s">
        <v>235</v>
      </c>
      <c r="E468" s="12" t="s">
        <v>252</v>
      </c>
      <c r="F468" s="12" t="s">
        <v>253</v>
      </c>
      <c r="G468" s="5" t="s">
        <v>254</v>
      </c>
      <c r="H468" s="12">
        <f t="shared" si="40"/>
        <v>3570</v>
      </c>
      <c r="I468" s="12" t="s">
        <v>1148</v>
      </c>
      <c r="J468" s="12" t="s">
        <v>230</v>
      </c>
      <c r="K468" s="12">
        <f t="shared" si="41"/>
        <v>510</v>
      </c>
      <c r="L468" s="12">
        <f t="shared" si="42"/>
        <v>400.95</v>
      </c>
      <c r="M468" s="12">
        <v>1428</v>
      </c>
      <c r="N468" s="12">
        <v>204</v>
      </c>
      <c r="O468" s="12">
        <v>200.47499999999999</v>
      </c>
      <c r="P468" s="12"/>
      <c r="Q468" s="12"/>
      <c r="R468" s="12"/>
      <c r="T468" s="12"/>
      <c r="U468" s="12"/>
      <c r="V468" s="12"/>
      <c r="W468" s="12"/>
    </row>
    <row r="469" spans="2:23" ht="27">
      <c r="B469" s="12" t="s">
        <v>778</v>
      </c>
      <c r="C469" s="12" t="s">
        <v>227</v>
      </c>
      <c r="D469" s="12" t="s">
        <v>235</v>
      </c>
      <c r="E469" s="12" t="s">
        <v>252</v>
      </c>
      <c r="F469" s="12" t="s">
        <v>253</v>
      </c>
      <c r="G469" s="5" t="s">
        <v>254</v>
      </c>
      <c r="H469" s="12">
        <f t="shared" si="40"/>
        <v>3640</v>
      </c>
      <c r="I469" s="12" t="s">
        <v>1148</v>
      </c>
      <c r="J469" s="12" t="s">
        <v>230</v>
      </c>
      <c r="K469" s="12">
        <f t="shared" si="41"/>
        <v>520</v>
      </c>
      <c r="L469" s="12">
        <f t="shared" si="42"/>
        <v>413.09999999999997</v>
      </c>
      <c r="M469" s="12">
        <v>1456</v>
      </c>
      <c r="N469" s="12">
        <v>208</v>
      </c>
      <c r="O469" s="12">
        <v>206.54999999999998</v>
      </c>
      <c r="P469" s="12"/>
      <c r="Q469" s="12"/>
      <c r="R469" s="12"/>
      <c r="T469" s="12"/>
      <c r="U469" s="12"/>
      <c r="V469" s="12"/>
      <c r="W469" s="12"/>
    </row>
    <row r="470" spans="2:23" ht="27">
      <c r="B470" s="12" t="s">
        <v>779</v>
      </c>
      <c r="C470" s="12" t="s">
        <v>227</v>
      </c>
      <c r="D470" s="12" t="s">
        <v>235</v>
      </c>
      <c r="E470" s="12" t="s">
        <v>252</v>
      </c>
      <c r="F470" s="12" t="s">
        <v>253</v>
      </c>
      <c r="G470" s="5" t="s">
        <v>254</v>
      </c>
      <c r="H470" s="12">
        <f t="shared" si="40"/>
        <v>5500</v>
      </c>
      <c r="I470" s="12" t="s">
        <v>1148</v>
      </c>
      <c r="J470" s="12" t="s">
        <v>230</v>
      </c>
      <c r="K470" s="12">
        <f t="shared" si="41"/>
        <v>825</v>
      </c>
      <c r="L470" s="12">
        <f t="shared" si="42"/>
        <v>546.75</v>
      </c>
      <c r="M470" s="12">
        <v>2200</v>
      </c>
      <c r="N470" s="12">
        <v>330</v>
      </c>
      <c r="O470" s="12">
        <v>273.375</v>
      </c>
      <c r="P470" s="12"/>
      <c r="Q470" s="12"/>
      <c r="R470" s="12"/>
      <c r="T470" s="12"/>
      <c r="U470" s="12"/>
      <c r="V470" s="12"/>
      <c r="W470" s="12"/>
    </row>
    <row r="471" spans="2:23" ht="27">
      <c r="B471" s="12" t="s">
        <v>780</v>
      </c>
      <c r="C471" s="12" t="s">
        <v>227</v>
      </c>
      <c r="D471" s="12" t="s">
        <v>235</v>
      </c>
      <c r="E471" s="12" t="s">
        <v>252</v>
      </c>
      <c r="F471" s="12" t="s">
        <v>253</v>
      </c>
      <c r="G471" s="5" t="s">
        <v>254</v>
      </c>
      <c r="H471" s="12">
        <f t="shared" si="40"/>
        <v>5600</v>
      </c>
      <c r="I471" s="12" t="s">
        <v>1148</v>
      </c>
      <c r="J471" s="12" t="s">
        <v>230</v>
      </c>
      <c r="K471" s="12">
        <f t="shared" si="41"/>
        <v>840</v>
      </c>
      <c r="L471" s="12">
        <f t="shared" si="42"/>
        <v>562.94999999999993</v>
      </c>
      <c r="M471" s="12">
        <v>2240</v>
      </c>
      <c r="N471" s="12">
        <v>336</v>
      </c>
      <c r="O471" s="12">
        <v>281.47499999999997</v>
      </c>
      <c r="P471" s="12"/>
      <c r="Q471" s="12"/>
      <c r="R471" s="12"/>
      <c r="T471" s="12"/>
      <c r="U471" s="12"/>
      <c r="V471" s="12"/>
      <c r="W471" s="12"/>
    </row>
    <row r="472" spans="2:23" ht="27">
      <c r="B472" s="12" t="s">
        <v>781</v>
      </c>
      <c r="C472" s="12" t="s">
        <v>227</v>
      </c>
      <c r="D472" s="12" t="s">
        <v>235</v>
      </c>
      <c r="E472" s="12" t="s">
        <v>252</v>
      </c>
      <c r="F472" s="12" t="s">
        <v>253</v>
      </c>
      <c r="G472" s="5" t="s">
        <v>254</v>
      </c>
      <c r="H472" s="12">
        <f t="shared" si="40"/>
        <v>5700</v>
      </c>
      <c r="I472" s="12" t="s">
        <v>1148</v>
      </c>
      <c r="J472" s="12" t="s">
        <v>230</v>
      </c>
      <c r="K472" s="12">
        <f t="shared" si="41"/>
        <v>855</v>
      </c>
      <c r="L472" s="12">
        <f t="shared" si="42"/>
        <v>579.15</v>
      </c>
      <c r="M472" s="12">
        <v>2280</v>
      </c>
      <c r="N472" s="12">
        <v>342</v>
      </c>
      <c r="O472" s="12">
        <v>289.57499999999999</v>
      </c>
      <c r="P472" s="12"/>
      <c r="Q472" s="12"/>
      <c r="R472" s="12"/>
      <c r="T472" s="12"/>
      <c r="U472" s="12"/>
      <c r="V472" s="12"/>
      <c r="W472" s="12"/>
    </row>
    <row r="473" spans="2:23" ht="27">
      <c r="B473" s="12" t="s">
        <v>782</v>
      </c>
      <c r="C473" s="12" t="s">
        <v>227</v>
      </c>
      <c r="D473" s="12" t="s">
        <v>235</v>
      </c>
      <c r="E473" s="12" t="s">
        <v>252</v>
      </c>
      <c r="F473" s="12" t="s">
        <v>253</v>
      </c>
      <c r="G473" s="5" t="s">
        <v>254</v>
      </c>
      <c r="H473" s="12">
        <f t="shared" si="40"/>
        <v>5800</v>
      </c>
      <c r="I473" s="12" t="s">
        <v>1148</v>
      </c>
      <c r="J473" s="12" t="s">
        <v>230</v>
      </c>
      <c r="K473" s="12">
        <f t="shared" si="41"/>
        <v>870</v>
      </c>
      <c r="L473" s="12">
        <f t="shared" si="42"/>
        <v>595.35</v>
      </c>
      <c r="M473" s="12">
        <v>2320</v>
      </c>
      <c r="N473" s="12">
        <v>348</v>
      </c>
      <c r="O473" s="12">
        <v>297.67500000000001</v>
      </c>
      <c r="P473" s="12"/>
      <c r="Q473" s="12"/>
      <c r="R473" s="12"/>
      <c r="T473" s="12"/>
      <c r="U473" s="12"/>
      <c r="V473" s="12"/>
      <c r="W473" s="12"/>
    </row>
    <row r="474" spans="2:23" ht="27">
      <c r="B474" s="12" t="s">
        <v>783</v>
      </c>
      <c r="C474" s="12" t="s">
        <v>227</v>
      </c>
      <c r="D474" s="12" t="s">
        <v>235</v>
      </c>
      <c r="E474" s="12" t="s">
        <v>252</v>
      </c>
      <c r="F474" s="12" t="s">
        <v>253</v>
      </c>
      <c r="G474" s="5" t="s">
        <v>254</v>
      </c>
      <c r="H474" s="12">
        <f t="shared" si="40"/>
        <v>5900</v>
      </c>
      <c r="I474" s="12" t="s">
        <v>1148</v>
      </c>
      <c r="J474" s="12" t="s">
        <v>230</v>
      </c>
      <c r="K474" s="12">
        <f t="shared" si="41"/>
        <v>885</v>
      </c>
      <c r="L474" s="12">
        <f t="shared" si="42"/>
        <v>611.54999999999995</v>
      </c>
      <c r="M474" s="12">
        <v>2360</v>
      </c>
      <c r="N474" s="12">
        <v>354</v>
      </c>
      <c r="O474" s="12">
        <v>305.77499999999998</v>
      </c>
      <c r="P474" s="12"/>
      <c r="Q474" s="12"/>
      <c r="R474" s="12"/>
      <c r="T474" s="12"/>
      <c r="U474" s="12"/>
      <c r="V474" s="12"/>
      <c r="W474" s="12"/>
    </row>
    <row r="475" spans="2:23" ht="27">
      <c r="B475" s="12" t="s">
        <v>784</v>
      </c>
      <c r="C475" s="12" t="s">
        <v>227</v>
      </c>
      <c r="D475" s="12" t="s">
        <v>235</v>
      </c>
      <c r="E475" s="12" t="s">
        <v>252</v>
      </c>
      <c r="F475" s="12" t="s">
        <v>253</v>
      </c>
      <c r="G475" s="5" t="s">
        <v>254</v>
      </c>
      <c r="H475" s="12">
        <f t="shared" si="40"/>
        <v>6000</v>
      </c>
      <c r="I475" s="12" t="s">
        <v>1148</v>
      </c>
      <c r="J475" s="12" t="s">
        <v>230</v>
      </c>
      <c r="K475" s="12">
        <f t="shared" si="41"/>
        <v>900</v>
      </c>
      <c r="L475" s="12">
        <f t="shared" si="42"/>
        <v>627.75</v>
      </c>
      <c r="M475" s="12">
        <v>2400</v>
      </c>
      <c r="N475" s="12">
        <v>360</v>
      </c>
      <c r="O475" s="12">
        <v>313.875</v>
      </c>
      <c r="P475" s="12"/>
      <c r="Q475" s="12"/>
      <c r="R475" s="12"/>
      <c r="T475" s="12"/>
      <c r="U475" s="12"/>
      <c r="V475" s="12"/>
      <c r="W475" s="12"/>
    </row>
    <row r="476" spans="2:23" ht="27">
      <c r="B476" s="12" t="s">
        <v>785</v>
      </c>
      <c r="C476" s="12" t="s">
        <v>227</v>
      </c>
      <c r="D476" s="12" t="s">
        <v>235</v>
      </c>
      <c r="E476" s="12" t="s">
        <v>252</v>
      </c>
      <c r="F476" s="12" t="s">
        <v>253</v>
      </c>
      <c r="G476" s="5" t="s">
        <v>254</v>
      </c>
      <c r="H476" s="12">
        <f t="shared" si="40"/>
        <v>6100</v>
      </c>
      <c r="I476" s="12" t="s">
        <v>1148</v>
      </c>
      <c r="J476" s="12" t="s">
        <v>230</v>
      </c>
      <c r="K476" s="12">
        <f t="shared" si="41"/>
        <v>915</v>
      </c>
      <c r="L476" s="12">
        <f t="shared" si="42"/>
        <v>643.94999999999993</v>
      </c>
      <c r="M476" s="12">
        <v>2440</v>
      </c>
      <c r="N476" s="12">
        <v>366</v>
      </c>
      <c r="O476" s="12">
        <v>321.97499999999997</v>
      </c>
      <c r="P476" s="12"/>
      <c r="Q476" s="12"/>
      <c r="R476" s="12"/>
      <c r="T476" s="12"/>
      <c r="U476" s="12"/>
      <c r="V476" s="12"/>
      <c r="W476" s="12"/>
    </row>
    <row r="477" spans="2:23" ht="27">
      <c r="B477" s="12" t="s">
        <v>786</v>
      </c>
      <c r="C477" s="12" t="s">
        <v>227</v>
      </c>
      <c r="D477" s="12" t="s">
        <v>235</v>
      </c>
      <c r="E477" s="12" t="s">
        <v>252</v>
      </c>
      <c r="F477" s="12" t="s">
        <v>253</v>
      </c>
      <c r="G477" s="5" t="s">
        <v>254</v>
      </c>
      <c r="H477" s="12">
        <f t="shared" si="40"/>
        <v>6200</v>
      </c>
      <c r="I477" s="12" t="s">
        <v>1148</v>
      </c>
      <c r="J477" s="12" t="s">
        <v>230</v>
      </c>
      <c r="K477" s="12">
        <f t="shared" si="41"/>
        <v>930</v>
      </c>
      <c r="L477" s="12">
        <f t="shared" si="42"/>
        <v>660.15</v>
      </c>
      <c r="M477" s="12">
        <v>2480</v>
      </c>
      <c r="N477" s="12">
        <v>372</v>
      </c>
      <c r="O477" s="12">
        <v>330.07499999999999</v>
      </c>
      <c r="P477" s="12"/>
      <c r="Q477" s="12"/>
      <c r="R477" s="12"/>
      <c r="T477" s="12"/>
      <c r="U477" s="12"/>
      <c r="V477" s="12"/>
      <c r="W477" s="12"/>
    </row>
    <row r="478" spans="2:23" ht="27">
      <c r="B478" s="12" t="s">
        <v>787</v>
      </c>
      <c r="C478" s="12" t="s">
        <v>227</v>
      </c>
      <c r="D478" s="12" t="s">
        <v>235</v>
      </c>
      <c r="E478" s="12" t="s">
        <v>252</v>
      </c>
      <c r="F478" s="12" t="s">
        <v>253</v>
      </c>
      <c r="G478" s="5" t="s">
        <v>254</v>
      </c>
      <c r="H478" s="12">
        <f t="shared" si="40"/>
        <v>6300</v>
      </c>
      <c r="I478" s="12" t="s">
        <v>1148</v>
      </c>
      <c r="J478" s="12" t="s">
        <v>230</v>
      </c>
      <c r="K478" s="12">
        <f t="shared" si="41"/>
        <v>945</v>
      </c>
      <c r="L478" s="12">
        <f t="shared" si="42"/>
        <v>676.35</v>
      </c>
      <c r="M478" s="12">
        <v>2520</v>
      </c>
      <c r="N478" s="12">
        <v>378</v>
      </c>
      <c r="O478" s="12">
        <v>338.17500000000001</v>
      </c>
      <c r="P478" s="12"/>
      <c r="Q478" s="12"/>
      <c r="R478" s="12"/>
      <c r="T478" s="12"/>
      <c r="U478" s="12"/>
      <c r="V478" s="12"/>
      <c r="W478" s="12"/>
    </row>
    <row r="479" spans="2:23" ht="27">
      <c r="B479" s="12" t="s">
        <v>788</v>
      </c>
      <c r="C479" s="12" t="s">
        <v>227</v>
      </c>
      <c r="D479" s="12" t="s">
        <v>235</v>
      </c>
      <c r="E479" s="12" t="s">
        <v>252</v>
      </c>
      <c r="F479" s="12" t="s">
        <v>253</v>
      </c>
      <c r="G479" s="5" t="s">
        <v>254</v>
      </c>
      <c r="H479" s="12">
        <f t="shared" si="40"/>
        <v>6400</v>
      </c>
      <c r="I479" s="12" t="s">
        <v>1148</v>
      </c>
      <c r="J479" s="12" t="s">
        <v>230</v>
      </c>
      <c r="K479" s="12">
        <f t="shared" si="41"/>
        <v>960</v>
      </c>
      <c r="L479" s="12">
        <f t="shared" si="42"/>
        <v>692.55</v>
      </c>
      <c r="M479" s="12">
        <v>2560</v>
      </c>
      <c r="N479" s="12">
        <v>384</v>
      </c>
      <c r="O479" s="12">
        <v>346.27499999999998</v>
      </c>
      <c r="P479" s="12"/>
      <c r="Q479" s="12"/>
      <c r="R479" s="12"/>
      <c r="T479" s="12"/>
      <c r="U479" s="12"/>
      <c r="V479" s="12"/>
      <c r="W479" s="12"/>
    </row>
    <row r="480" spans="2:23" ht="27">
      <c r="B480" s="12" t="s">
        <v>789</v>
      </c>
      <c r="C480" s="12" t="s">
        <v>227</v>
      </c>
      <c r="D480" s="12" t="s">
        <v>235</v>
      </c>
      <c r="E480" s="12" t="s">
        <v>252</v>
      </c>
      <c r="F480" s="12" t="s">
        <v>253</v>
      </c>
      <c r="G480" s="5" t="s">
        <v>254</v>
      </c>
      <c r="H480" s="12">
        <f t="shared" si="40"/>
        <v>6500</v>
      </c>
      <c r="I480" s="12" t="s">
        <v>1148</v>
      </c>
      <c r="J480" s="12" t="s">
        <v>230</v>
      </c>
      <c r="K480" s="12">
        <f t="shared" si="41"/>
        <v>975</v>
      </c>
      <c r="L480" s="12">
        <f t="shared" si="42"/>
        <v>708.75</v>
      </c>
      <c r="M480" s="12">
        <v>2600</v>
      </c>
      <c r="N480" s="12">
        <v>390</v>
      </c>
      <c r="O480" s="12">
        <v>354.375</v>
      </c>
      <c r="P480" s="12"/>
      <c r="Q480" s="12"/>
      <c r="R480" s="12"/>
      <c r="T480" s="12"/>
      <c r="U480" s="12"/>
      <c r="V480" s="12"/>
      <c r="W480" s="12"/>
    </row>
    <row r="481" spans="2:23" ht="27">
      <c r="B481" s="12" t="s">
        <v>790</v>
      </c>
      <c r="C481" s="12" t="s">
        <v>227</v>
      </c>
      <c r="D481" s="12" t="s">
        <v>235</v>
      </c>
      <c r="E481" s="12" t="s">
        <v>252</v>
      </c>
      <c r="F481" s="12" t="s">
        <v>253</v>
      </c>
      <c r="G481" s="5" t="s">
        <v>254</v>
      </c>
      <c r="H481" s="12">
        <f t="shared" si="40"/>
        <v>6600</v>
      </c>
      <c r="I481" s="12" t="s">
        <v>1148</v>
      </c>
      <c r="J481" s="12" t="s">
        <v>230</v>
      </c>
      <c r="K481" s="12">
        <f t="shared" si="41"/>
        <v>990</v>
      </c>
      <c r="L481" s="12">
        <f t="shared" si="42"/>
        <v>724.94999999999993</v>
      </c>
      <c r="M481" s="12">
        <v>2640</v>
      </c>
      <c r="N481" s="12">
        <v>396</v>
      </c>
      <c r="O481" s="12">
        <v>362.47499999999997</v>
      </c>
      <c r="P481" s="12"/>
      <c r="Q481" s="12"/>
      <c r="R481" s="12"/>
      <c r="T481" s="12"/>
      <c r="U481" s="12"/>
      <c r="V481" s="12"/>
      <c r="W481" s="12"/>
    </row>
    <row r="482" spans="2:23" ht="27">
      <c r="B482" s="12" t="s">
        <v>791</v>
      </c>
      <c r="C482" s="12" t="s">
        <v>227</v>
      </c>
      <c r="D482" s="12" t="s">
        <v>235</v>
      </c>
      <c r="E482" s="12" t="s">
        <v>252</v>
      </c>
      <c r="F482" s="12" t="s">
        <v>253</v>
      </c>
      <c r="G482" s="5" t="s">
        <v>254</v>
      </c>
      <c r="H482" s="12">
        <f t="shared" si="40"/>
        <v>6700</v>
      </c>
      <c r="I482" s="12" t="s">
        <v>1148</v>
      </c>
      <c r="J482" s="12" t="s">
        <v>230</v>
      </c>
      <c r="K482" s="12">
        <f t="shared" si="41"/>
        <v>1005</v>
      </c>
      <c r="L482" s="12">
        <f t="shared" si="42"/>
        <v>741.15</v>
      </c>
      <c r="M482" s="12">
        <v>2680</v>
      </c>
      <c r="N482" s="12">
        <v>402</v>
      </c>
      <c r="O482" s="12">
        <v>370.57499999999999</v>
      </c>
      <c r="P482" s="12"/>
      <c r="Q482" s="12"/>
      <c r="R482" s="12"/>
      <c r="T482" s="12"/>
      <c r="U482" s="12"/>
      <c r="V482" s="12"/>
      <c r="W482" s="12"/>
    </row>
    <row r="483" spans="2:23" ht="27">
      <c r="B483" s="12" t="s">
        <v>792</v>
      </c>
      <c r="C483" s="12" t="s">
        <v>227</v>
      </c>
      <c r="D483" s="12" t="s">
        <v>235</v>
      </c>
      <c r="E483" s="12" t="s">
        <v>252</v>
      </c>
      <c r="F483" s="12" t="s">
        <v>253</v>
      </c>
      <c r="G483" s="5" t="s">
        <v>254</v>
      </c>
      <c r="H483" s="12">
        <f t="shared" si="40"/>
        <v>6800</v>
      </c>
      <c r="I483" s="12" t="s">
        <v>1148</v>
      </c>
      <c r="J483" s="12" t="s">
        <v>230</v>
      </c>
      <c r="K483" s="12">
        <f t="shared" si="41"/>
        <v>1020</v>
      </c>
      <c r="L483" s="12">
        <f t="shared" si="42"/>
        <v>757.35</v>
      </c>
      <c r="M483" s="12">
        <v>2720</v>
      </c>
      <c r="N483" s="12">
        <v>408</v>
      </c>
      <c r="O483" s="12">
        <v>378.67500000000001</v>
      </c>
      <c r="P483" s="12"/>
      <c r="Q483" s="12"/>
      <c r="R483" s="12"/>
      <c r="T483" s="12"/>
      <c r="U483" s="12"/>
      <c r="V483" s="12"/>
      <c r="W483" s="12"/>
    </row>
    <row r="484" spans="2:23" ht="27">
      <c r="B484" s="12" t="s">
        <v>793</v>
      </c>
      <c r="C484" s="12" t="s">
        <v>227</v>
      </c>
      <c r="D484" s="12" t="s">
        <v>235</v>
      </c>
      <c r="E484" s="12" t="s">
        <v>252</v>
      </c>
      <c r="F484" s="12" t="s">
        <v>253</v>
      </c>
      <c r="G484" s="5" t="s">
        <v>254</v>
      </c>
      <c r="H484" s="12">
        <f t="shared" si="40"/>
        <v>6900</v>
      </c>
      <c r="I484" s="12" t="s">
        <v>1148</v>
      </c>
      <c r="J484" s="12" t="s">
        <v>230</v>
      </c>
      <c r="K484" s="12">
        <f t="shared" si="41"/>
        <v>1035</v>
      </c>
      <c r="L484" s="12">
        <f t="shared" si="42"/>
        <v>773.55</v>
      </c>
      <c r="M484" s="12">
        <v>2760</v>
      </c>
      <c r="N484" s="12">
        <v>414</v>
      </c>
      <c r="O484" s="12">
        <v>386.77499999999998</v>
      </c>
      <c r="P484" s="12"/>
      <c r="Q484" s="12"/>
      <c r="R484" s="12"/>
      <c r="T484" s="12"/>
      <c r="U484" s="12"/>
      <c r="V484" s="12"/>
      <c r="W484" s="12"/>
    </row>
    <row r="485" spans="2:23" ht="27">
      <c r="B485" s="12" t="s">
        <v>794</v>
      </c>
      <c r="C485" s="12" t="s">
        <v>227</v>
      </c>
      <c r="D485" s="12" t="s">
        <v>235</v>
      </c>
      <c r="E485" s="12" t="s">
        <v>252</v>
      </c>
      <c r="F485" s="12" t="s">
        <v>253</v>
      </c>
      <c r="G485" s="5" t="s">
        <v>254</v>
      </c>
      <c r="H485" s="12">
        <f t="shared" si="40"/>
        <v>9720</v>
      </c>
      <c r="I485" s="12" t="s">
        <v>1148</v>
      </c>
      <c r="J485" s="12" t="s">
        <v>230</v>
      </c>
      <c r="K485" s="12">
        <f t="shared" si="41"/>
        <v>1440</v>
      </c>
      <c r="L485" s="12">
        <f t="shared" si="42"/>
        <v>1440</v>
      </c>
      <c r="M485" s="12">
        <v>3888</v>
      </c>
      <c r="N485" s="12">
        <v>576</v>
      </c>
      <c r="O485" s="12">
        <v>720</v>
      </c>
      <c r="P485" s="12"/>
      <c r="Q485" s="12"/>
      <c r="R485" s="12"/>
      <c r="T485" s="12"/>
      <c r="U485" s="12"/>
      <c r="V485" s="12"/>
      <c r="W485" s="12"/>
    </row>
    <row r="486" spans="2:23" ht="27">
      <c r="B486" s="12" t="s">
        <v>795</v>
      </c>
      <c r="C486" s="12" t="s">
        <v>227</v>
      </c>
      <c r="D486" s="12" t="s">
        <v>235</v>
      </c>
      <c r="E486" s="12" t="s">
        <v>252</v>
      </c>
      <c r="F486" s="12" t="s">
        <v>253</v>
      </c>
      <c r="G486" s="5" t="s">
        <v>254</v>
      </c>
      <c r="H486" s="12">
        <f t="shared" si="40"/>
        <v>0</v>
      </c>
      <c r="I486" s="12" t="s">
        <v>1148</v>
      </c>
      <c r="J486" s="12" t="s">
        <v>230</v>
      </c>
      <c r="K486" s="12">
        <f t="shared" si="41"/>
        <v>0</v>
      </c>
      <c r="L486" s="12">
        <f t="shared" si="42"/>
        <v>0</v>
      </c>
      <c r="M486" s="12"/>
      <c r="N486" s="12"/>
      <c r="O486" s="12"/>
      <c r="P486" s="12"/>
      <c r="Q486" s="12"/>
      <c r="R486" s="12"/>
      <c r="T486" s="12"/>
      <c r="U486" s="12"/>
      <c r="V486" s="12"/>
      <c r="W486" s="12"/>
    </row>
    <row r="487" spans="2:23" ht="27">
      <c r="B487" s="12" t="s">
        <v>796</v>
      </c>
      <c r="C487" s="12" t="s">
        <v>227</v>
      </c>
      <c r="D487" s="12" t="s">
        <v>235</v>
      </c>
      <c r="E487" s="12" t="s">
        <v>252</v>
      </c>
      <c r="F487" s="12" t="s">
        <v>253</v>
      </c>
      <c r="G487" s="5" t="s">
        <v>254</v>
      </c>
      <c r="H487" s="12">
        <f t="shared" si="40"/>
        <v>0</v>
      </c>
      <c r="I487" s="12" t="s">
        <v>1148</v>
      </c>
      <c r="J487" s="12" t="s">
        <v>230</v>
      </c>
      <c r="K487" s="12">
        <f t="shared" si="41"/>
        <v>0</v>
      </c>
      <c r="L487" s="12">
        <f t="shared" si="42"/>
        <v>0</v>
      </c>
      <c r="M487" s="12"/>
      <c r="N487" s="12"/>
      <c r="O487" s="12"/>
      <c r="P487" s="12"/>
      <c r="Q487" s="12"/>
      <c r="R487" s="12"/>
      <c r="T487" s="12"/>
      <c r="U487" s="12"/>
      <c r="V487" s="12"/>
      <c r="W487" s="12"/>
    </row>
    <row r="488" spans="2:23" ht="27">
      <c r="B488" s="12" t="s">
        <v>797</v>
      </c>
      <c r="C488" s="12" t="s">
        <v>227</v>
      </c>
      <c r="D488" s="12" t="s">
        <v>235</v>
      </c>
      <c r="E488" s="12" t="s">
        <v>252</v>
      </c>
      <c r="F488" s="12" t="s">
        <v>253</v>
      </c>
      <c r="G488" s="5" t="s">
        <v>254</v>
      </c>
      <c r="H488" s="12">
        <f t="shared" si="40"/>
        <v>0</v>
      </c>
      <c r="I488" s="12" t="s">
        <v>1148</v>
      </c>
      <c r="J488" s="12" t="s">
        <v>230</v>
      </c>
      <c r="K488" s="12">
        <f t="shared" si="41"/>
        <v>0</v>
      </c>
      <c r="L488" s="12">
        <f t="shared" si="42"/>
        <v>0</v>
      </c>
      <c r="M488" s="12"/>
      <c r="N488" s="12"/>
      <c r="O488" s="12"/>
      <c r="P488" s="12"/>
      <c r="Q488" s="12"/>
      <c r="R488" s="12"/>
      <c r="T488" s="12"/>
      <c r="U488" s="12"/>
      <c r="V488" s="12"/>
      <c r="W488" s="12"/>
    </row>
    <row r="489" spans="2:23">
      <c r="B489" s="12"/>
      <c r="C489" s="12"/>
      <c r="D489" s="12"/>
      <c r="E489" s="12"/>
      <c r="F489" s="12"/>
      <c r="G489" s="5"/>
      <c r="H489" s="12"/>
      <c r="I489" s="12"/>
      <c r="J489" s="12"/>
      <c r="K489" s="12" t="str">
        <f t="shared" ref="K489" si="43">"防"&amp;I489</f>
        <v>防</v>
      </c>
      <c r="L489" s="12" t="str">
        <f t="shared" ref="L489" si="44">"攻"&amp;J489</f>
        <v>攻</v>
      </c>
      <c r="M489" s="12"/>
      <c r="N489" s="12"/>
      <c r="O489" s="12"/>
      <c r="P489" s="12"/>
      <c r="Q489" s="12"/>
      <c r="R489" s="12"/>
      <c r="T489" s="12"/>
      <c r="U489" s="12"/>
      <c r="V489" s="12"/>
      <c r="W489" s="12"/>
    </row>
    <row r="490" spans="2:23">
      <c r="B490" s="12" t="s">
        <v>798</v>
      </c>
      <c r="C490" s="12" t="s">
        <v>228</v>
      </c>
      <c r="D490" s="12" t="s">
        <v>235</v>
      </c>
      <c r="E490" s="12" t="s">
        <v>224</v>
      </c>
      <c r="F490" s="12" t="s">
        <v>255</v>
      </c>
      <c r="G490" s="5" t="s">
        <v>256</v>
      </c>
      <c r="H490" s="12">
        <f>M490*$Z$12</f>
        <v>1080</v>
      </c>
      <c r="I490" s="12" t="s">
        <v>1151</v>
      </c>
      <c r="J490" s="12" t="s">
        <v>230</v>
      </c>
      <c r="K490" s="12">
        <f>N490*$Y$8</f>
        <v>24</v>
      </c>
      <c r="L490" s="12">
        <f>O490*$X$12</f>
        <v>60</v>
      </c>
      <c r="M490" s="12">
        <v>360</v>
      </c>
      <c r="N490" s="12">
        <v>40</v>
      </c>
      <c r="O490" s="12">
        <v>30</v>
      </c>
      <c r="P490" s="12" t="s">
        <v>1152</v>
      </c>
      <c r="Q490" s="12" t="s">
        <v>234</v>
      </c>
      <c r="R490" s="12" t="s">
        <v>223</v>
      </c>
      <c r="T490" s="12" t="s">
        <v>228</v>
      </c>
      <c r="U490" s="12" t="s">
        <v>228</v>
      </c>
      <c r="V490" s="12"/>
      <c r="W490" s="12"/>
    </row>
    <row r="491" spans="2:23">
      <c r="B491" s="12" t="s">
        <v>799</v>
      </c>
      <c r="C491" s="12" t="s">
        <v>228</v>
      </c>
      <c r="D491" s="12" t="s">
        <v>235</v>
      </c>
      <c r="E491" s="12" t="s">
        <v>224</v>
      </c>
      <c r="F491" s="12" t="s">
        <v>255</v>
      </c>
      <c r="G491" s="5" t="s">
        <v>256</v>
      </c>
      <c r="H491" s="12">
        <f t="shared" ref="H491:H537" si="45">M491*$Z$12</f>
        <v>1242</v>
      </c>
      <c r="I491" s="12" t="s">
        <v>1151</v>
      </c>
      <c r="J491" s="12" t="s">
        <v>230</v>
      </c>
      <c r="K491" s="12">
        <f t="shared" ref="K491:K537" si="46">N491*$Y$8</f>
        <v>27.599999999999998</v>
      </c>
      <c r="L491" s="12">
        <f t="shared" ref="L491:L537" si="47">O491*$X$12</f>
        <v>76</v>
      </c>
      <c r="M491" s="12">
        <v>414</v>
      </c>
      <c r="N491" s="12">
        <v>46</v>
      </c>
      <c r="O491" s="12">
        <v>38</v>
      </c>
      <c r="P491" s="12" t="s">
        <v>1152</v>
      </c>
      <c r="Q491" s="12" t="s">
        <v>234</v>
      </c>
      <c r="R491" s="12" t="s">
        <v>223</v>
      </c>
      <c r="T491" s="12" t="s">
        <v>228</v>
      </c>
      <c r="U491" s="12" t="s">
        <v>228</v>
      </c>
      <c r="V491" s="12"/>
      <c r="W491" s="12"/>
    </row>
    <row r="492" spans="2:23">
      <c r="B492" s="12" t="s">
        <v>800</v>
      </c>
      <c r="C492" s="12" t="s">
        <v>228</v>
      </c>
      <c r="D492" s="12" t="s">
        <v>235</v>
      </c>
      <c r="E492" s="12" t="s">
        <v>224</v>
      </c>
      <c r="F492" s="12" t="s">
        <v>255</v>
      </c>
      <c r="G492" s="5" t="s">
        <v>256</v>
      </c>
      <c r="H492" s="12">
        <f t="shared" si="45"/>
        <v>1296</v>
      </c>
      <c r="I492" s="12" t="s">
        <v>1151</v>
      </c>
      <c r="J492" s="12" t="s">
        <v>230</v>
      </c>
      <c r="K492" s="12">
        <f t="shared" si="46"/>
        <v>28.799999999999997</v>
      </c>
      <c r="L492" s="12">
        <f t="shared" si="47"/>
        <v>84</v>
      </c>
      <c r="M492" s="12">
        <v>432</v>
      </c>
      <c r="N492" s="12">
        <v>48</v>
      </c>
      <c r="O492" s="12">
        <v>42</v>
      </c>
      <c r="P492" s="12" t="s">
        <v>1152</v>
      </c>
      <c r="Q492" s="12" t="s">
        <v>234</v>
      </c>
      <c r="R492" s="12" t="s">
        <v>223</v>
      </c>
      <c r="T492" s="12" t="s">
        <v>228</v>
      </c>
      <c r="U492" s="12" t="s">
        <v>228</v>
      </c>
      <c r="V492" s="12"/>
      <c r="W492" s="12"/>
    </row>
    <row r="493" spans="2:23">
      <c r="B493" s="12" t="s">
        <v>801</v>
      </c>
      <c r="C493" s="12" t="s">
        <v>228</v>
      </c>
      <c r="D493" s="12" t="s">
        <v>235</v>
      </c>
      <c r="E493" s="12" t="s">
        <v>224</v>
      </c>
      <c r="F493" s="12" t="s">
        <v>255</v>
      </c>
      <c r="G493" s="5" t="s">
        <v>256</v>
      </c>
      <c r="H493" s="12">
        <f t="shared" si="45"/>
        <v>1350</v>
      </c>
      <c r="I493" s="12" t="s">
        <v>1151</v>
      </c>
      <c r="J493" s="12" t="s">
        <v>230</v>
      </c>
      <c r="K493" s="12">
        <f t="shared" si="46"/>
        <v>30</v>
      </c>
      <c r="L493" s="12">
        <f t="shared" si="47"/>
        <v>92</v>
      </c>
      <c r="M493" s="12">
        <v>450</v>
      </c>
      <c r="N493" s="12">
        <v>50</v>
      </c>
      <c r="O493" s="12">
        <v>46</v>
      </c>
      <c r="P493" s="12" t="s">
        <v>1152</v>
      </c>
      <c r="Q493" s="12" t="s">
        <v>234</v>
      </c>
      <c r="R493" s="12" t="s">
        <v>223</v>
      </c>
      <c r="T493" s="12" t="s">
        <v>228</v>
      </c>
      <c r="U493" s="12" t="s">
        <v>228</v>
      </c>
      <c r="V493" s="12"/>
      <c r="W493" s="12"/>
    </row>
    <row r="494" spans="2:23">
      <c r="B494" s="12" t="s">
        <v>802</v>
      </c>
      <c r="C494" s="12" t="s">
        <v>228</v>
      </c>
      <c r="D494" s="12" t="s">
        <v>235</v>
      </c>
      <c r="E494" s="12" t="s">
        <v>224</v>
      </c>
      <c r="F494" s="12" t="s">
        <v>255</v>
      </c>
      <c r="G494" s="5" t="s">
        <v>256</v>
      </c>
      <c r="H494" s="12">
        <f t="shared" si="45"/>
        <v>1404</v>
      </c>
      <c r="I494" s="12" t="s">
        <v>1151</v>
      </c>
      <c r="J494" s="12" t="s">
        <v>230</v>
      </c>
      <c r="K494" s="12">
        <f t="shared" si="46"/>
        <v>31.2</v>
      </c>
      <c r="L494" s="12">
        <f t="shared" si="47"/>
        <v>100</v>
      </c>
      <c r="M494" s="12">
        <v>468</v>
      </c>
      <c r="N494" s="12">
        <v>52</v>
      </c>
      <c r="O494" s="12">
        <v>50</v>
      </c>
      <c r="P494" s="12" t="s">
        <v>1152</v>
      </c>
      <c r="Q494" s="12" t="s">
        <v>234</v>
      </c>
      <c r="R494" s="12" t="s">
        <v>223</v>
      </c>
      <c r="T494" s="12" t="s">
        <v>228</v>
      </c>
      <c r="U494" s="12" t="s">
        <v>228</v>
      </c>
      <c r="V494" s="12"/>
      <c r="W494" s="12"/>
    </row>
    <row r="495" spans="2:23">
      <c r="B495" s="12" t="s">
        <v>803</v>
      </c>
      <c r="C495" s="12" t="s">
        <v>228</v>
      </c>
      <c r="D495" s="12" t="s">
        <v>235</v>
      </c>
      <c r="E495" s="12" t="s">
        <v>224</v>
      </c>
      <c r="F495" s="12" t="s">
        <v>255</v>
      </c>
      <c r="G495" s="5" t="s">
        <v>256</v>
      </c>
      <c r="H495" s="12">
        <f t="shared" si="45"/>
        <v>1458</v>
      </c>
      <c r="I495" s="12" t="s">
        <v>1151</v>
      </c>
      <c r="J495" s="12" t="s">
        <v>230</v>
      </c>
      <c r="K495" s="12">
        <f t="shared" si="46"/>
        <v>32.4</v>
      </c>
      <c r="L495" s="12">
        <f t="shared" si="47"/>
        <v>108</v>
      </c>
      <c r="M495" s="12">
        <v>486</v>
      </c>
      <c r="N495" s="12">
        <v>54</v>
      </c>
      <c r="O495" s="12">
        <v>54</v>
      </c>
      <c r="P495" s="12" t="s">
        <v>1152</v>
      </c>
      <c r="Q495" s="12" t="s">
        <v>234</v>
      </c>
      <c r="R495" s="12" t="s">
        <v>223</v>
      </c>
      <c r="T495" s="12" t="s">
        <v>228</v>
      </c>
      <c r="U495" s="12" t="s">
        <v>228</v>
      </c>
      <c r="V495" s="12"/>
      <c r="W495" s="12"/>
    </row>
    <row r="496" spans="2:23">
      <c r="B496" s="12" t="s">
        <v>804</v>
      </c>
      <c r="C496" s="12" t="s">
        <v>228</v>
      </c>
      <c r="D496" s="12" t="s">
        <v>235</v>
      </c>
      <c r="E496" s="12" t="s">
        <v>224</v>
      </c>
      <c r="F496" s="12" t="s">
        <v>255</v>
      </c>
      <c r="G496" s="5" t="s">
        <v>256</v>
      </c>
      <c r="H496" s="12">
        <f t="shared" si="45"/>
        <v>1512</v>
      </c>
      <c r="I496" s="12" t="s">
        <v>1151</v>
      </c>
      <c r="J496" s="12" t="s">
        <v>230</v>
      </c>
      <c r="K496" s="12">
        <f t="shared" si="46"/>
        <v>33.6</v>
      </c>
      <c r="L496" s="12">
        <f t="shared" si="47"/>
        <v>116</v>
      </c>
      <c r="M496" s="12">
        <v>504</v>
      </c>
      <c r="N496" s="12">
        <v>56</v>
      </c>
      <c r="O496" s="12">
        <v>58</v>
      </c>
      <c r="P496" s="12" t="s">
        <v>1152</v>
      </c>
      <c r="Q496" s="12" t="s">
        <v>234</v>
      </c>
      <c r="R496" s="12" t="s">
        <v>223</v>
      </c>
      <c r="T496" s="12" t="s">
        <v>228</v>
      </c>
      <c r="U496" s="12" t="s">
        <v>228</v>
      </c>
      <c r="V496" s="12"/>
      <c r="W496" s="12"/>
    </row>
    <row r="497" spans="2:23">
      <c r="B497" s="12" t="s">
        <v>805</v>
      </c>
      <c r="C497" s="12" t="s">
        <v>228</v>
      </c>
      <c r="D497" s="12" t="s">
        <v>235</v>
      </c>
      <c r="E497" s="12" t="s">
        <v>224</v>
      </c>
      <c r="F497" s="12" t="s">
        <v>255</v>
      </c>
      <c r="G497" s="5" t="s">
        <v>256</v>
      </c>
      <c r="H497" s="12">
        <f t="shared" si="45"/>
        <v>1566</v>
      </c>
      <c r="I497" s="12" t="s">
        <v>1151</v>
      </c>
      <c r="J497" s="12" t="s">
        <v>230</v>
      </c>
      <c r="K497" s="12">
        <f t="shared" si="46"/>
        <v>34.799999999999997</v>
      </c>
      <c r="L497" s="12">
        <f t="shared" si="47"/>
        <v>124</v>
      </c>
      <c r="M497" s="12">
        <v>522</v>
      </c>
      <c r="N497" s="12">
        <v>58</v>
      </c>
      <c r="O497" s="12">
        <v>62</v>
      </c>
      <c r="P497" s="12" t="s">
        <v>1152</v>
      </c>
      <c r="Q497" s="12" t="s">
        <v>234</v>
      </c>
      <c r="R497" s="12" t="s">
        <v>223</v>
      </c>
      <c r="T497" s="12" t="s">
        <v>228</v>
      </c>
      <c r="U497" s="12" t="s">
        <v>228</v>
      </c>
      <c r="V497" s="12"/>
      <c r="W497" s="12"/>
    </row>
    <row r="498" spans="2:23">
      <c r="B498" s="12" t="s">
        <v>806</v>
      </c>
      <c r="C498" s="12" t="s">
        <v>228</v>
      </c>
      <c r="D498" s="12" t="s">
        <v>235</v>
      </c>
      <c r="E498" s="12" t="s">
        <v>224</v>
      </c>
      <c r="F498" s="12" t="s">
        <v>255</v>
      </c>
      <c r="G498" s="5" t="s">
        <v>256</v>
      </c>
      <c r="H498" s="12">
        <f t="shared" si="45"/>
        <v>1620</v>
      </c>
      <c r="I498" s="12" t="s">
        <v>1151</v>
      </c>
      <c r="J498" s="12" t="s">
        <v>230</v>
      </c>
      <c r="K498" s="12">
        <f t="shared" si="46"/>
        <v>36</v>
      </c>
      <c r="L498" s="12">
        <f t="shared" si="47"/>
        <v>132</v>
      </c>
      <c r="M498" s="12">
        <v>540</v>
      </c>
      <c r="N498" s="12">
        <v>60</v>
      </c>
      <c r="O498" s="12">
        <v>66</v>
      </c>
      <c r="P498" s="12" t="s">
        <v>1152</v>
      </c>
      <c r="Q498" s="12" t="s">
        <v>234</v>
      </c>
      <c r="R498" s="12" t="s">
        <v>223</v>
      </c>
      <c r="T498" s="12" t="s">
        <v>228</v>
      </c>
      <c r="U498" s="12" t="s">
        <v>228</v>
      </c>
      <c r="V498" s="12"/>
      <c r="W498" s="12"/>
    </row>
    <row r="499" spans="2:23">
      <c r="B499" s="12" t="s">
        <v>807</v>
      </c>
      <c r="C499" s="12" t="s">
        <v>228</v>
      </c>
      <c r="D499" s="12" t="s">
        <v>235</v>
      </c>
      <c r="E499" s="12" t="s">
        <v>224</v>
      </c>
      <c r="F499" s="12" t="s">
        <v>255</v>
      </c>
      <c r="G499" s="5" t="s">
        <v>256</v>
      </c>
      <c r="H499" s="12">
        <f t="shared" si="45"/>
        <v>1674</v>
      </c>
      <c r="I499" s="12" t="s">
        <v>1151</v>
      </c>
      <c r="J499" s="12" t="s">
        <v>230</v>
      </c>
      <c r="K499" s="12">
        <f t="shared" si="46"/>
        <v>37.199999999999996</v>
      </c>
      <c r="L499" s="12">
        <f t="shared" si="47"/>
        <v>140</v>
      </c>
      <c r="M499" s="12">
        <v>558</v>
      </c>
      <c r="N499" s="12">
        <v>62</v>
      </c>
      <c r="O499" s="12">
        <v>70</v>
      </c>
      <c r="P499" s="12" t="s">
        <v>1152</v>
      </c>
      <c r="Q499" s="12" t="s">
        <v>234</v>
      </c>
      <c r="R499" s="12" t="s">
        <v>223</v>
      </c>
      <c r="T499" s="12" t="s">
        <v>228</v>
      </c>
      <c r="U499" s="12" t="s">
        <v>228</v>
      </c>
      <c r="V499" s="12"/>
      <c r="W499" s="12"/>
    </row>
    <row r="500" spans="2:23">
      <c r="B500" s="12" t="s">
        <v>808</v>
      </c>
      <c r="C500" s="12" t="s">
        <v>228</v>
      </c>
      <c r="D500" s="12" t="s">
        <v>235</v>
      </c>
      <c r="E500" s="12" t="s">
        <v>224</v>
      </c>
      <c r="F500" s="12" t="s">
        <v>255</v>
      </c>
      <c r="G500" s="5" t="s">
        <v>256</v>
      </c>
      <c r="H500" s="12">
        <f t="shared" si="45"/>
        <v>1728</v>
      </c>
      <c r="I500" s="12" t="s">
        <v>1151</v>
      </c>
      <c r="J500" s="12" t="s">
        <v>230</v>
      </c>
      <c r="K500" s="12">
        <f t="shared" si="46"/>
        <v>38.4</v>
      </c>
      <c r="L500" s="12">
        <f t="shared" si="47"/>
        <v>148</v>
      </c>
      <c r="M500" s="12">
        <v>576</v>
      </c>
      <c r="N500" s="12">
        <v>64</v>
      </c>
      <c r="O500" s="12">
        <v>74</v>
      </c>
      <c r="P500" s="12" t="s">
        <v>1152</v>
      </c>
      <c r="Q500" s="12" t="s">
        <v>234</v>
      </c>
      <c r="R500" s="12" t="s">
        <v>223</v>
      </c>
      <c r="T500" s="12" t="s">
        <v>228</v>
      </c>
      <c r="U500" s="12" t="s">
        <v>228</v>
      </c>
      <c r="V500" s="12"/>
      <c r="W500" s="12"/>
    </row>
    <row r="501" spans="2:23">
      <c r="B501" s="12" t="s">
        <v>809</v>
      </c>
      <c r="C501" s="12" t="s">
        <v>228</v>
      </c>
      <c r="D501" s="12" t="s">
        <v>235</v>
      </c>
      <c r="E501" s="12" t="s">
        <v>224</v>
      </c>
      <c r="F501" s="12" t="s">
        <v>255</v>
      </c>
      <c r="G501" s="5" t="s">
        <v>256</v>
      </c>
      <c r="H501" s="12">
        <f t="shared" si="45"/>
        <v>1782</v>
      </c>
      <c r="I501" s="12" t="s">
        <v>1151</v>
      </c>
      <c r="J501" s="12" t="s">
        <v>230</v>
      </c>
      <c r="K501" s="12">
        <f t="shared" si="46"/>
        <v>39.6</v>
      </c>
      <c r="L501" s="12">
        <f t="shared" si="47"/>
        <v>156</v>
      </c>
      <c r="M501" s="12">
        <v>594</v>
      </c>
      <c r="N501" s="12">
        <v>66</v>
      </c>
      <c r="O501" s="12">
        <v>78</v>
      </c>
      <c r="P501" s="12" t="s">
        <v>1152</v>
      </c>
      <c r="Q501" s="12" t="s">
        <v>234</v>
      </c>
      <c r="R501" s="12" t="s">
        <v>223</v>
      </c>
      <c r="T501" s="12" t="s">
        <v>228</v>
      </c>
      <c r="U501" s="12" t="s">
        <v>228</v>
      </c>
      <c r="V501" s="12"/>
      <c r="W501" s="12"/>
    </row>
    <row r="502" spans="2:23">
      <c r="B502" s="12" t="s">
        <v>810</v>
      </c>
      <c r="C502" s="12" t="s">
        <v>228</v>
      </c>
      <c r="D502" s="12" t="s">
        <v>235</v>
      </c>
      <c r="E502" s="12" t="s">
        <v>224</v>
      </c>
      <c r="F502" s="12" t="s">
        <v>255</v>
      </c>
      <c r="G502" s="5" t="s">
        <v>256</v>
      </c>
      <c r="H502" s="12">
        <f t="shared" si="45"/>
        <v>1836</v>
      </c>
      <c r="I502" s="12" t="s">
        <v>1151</v>
      </c>
      <c r="J502" s="12" t="s">
        <v>230</v>
      </c>
      <c r="K502" s="12">
        <f t="shared" si="46"/>
        <v>40.799999999999997</v>
      </c>
      <c r="L502" s="12">
        <f t="shared" si="47"/>
        <v>164</v>
      </c>
      <c r="M502" s="12">
        <v>612</v>
      </c>
      <c r="N502" s="12">
        <v>68</v>
      </c>
      <c r="O502" s="12">
        <v>82</v>
      </c>
      <c r="P502" s="12" t="s">
        <v>1152</v>
      </c>
      <c r="Q502" s="12" t="s">
        <v>234</v>
      </c>
      <c r="R502" s="12" t="s">
        <v>223</v>
      </c>
      <c r="T502" s="12" t="s">
        <v>228</v>
      </c>
      <c r="U502" s="12" t="s">
        <v>228</v>
      </c>
      <c r="V502" s="12"/>
      <c r="W502" s="12"/>
    </row>
    <row r="503" spans="2:23">
      <c r="B503" s="12" t="s">
        <v>811</v>
      </c>
      <c r="C503" s="12" t="s">
        <v>228</v>
      </c>
      <c r="D503" s="12" t="s">
        <v>235</v>
      </c>
      <c r="E503" s="12" t="s">
        <v>224</v>
      </c>
      <c r="F503" s="12" t="s">
        <v>255</v>
      </c>
      <c r="G503" s="5" t="s">
        <v>256</v>
      </c>
      <c r="H503" s="12">
        <f t="shared" si="45"/>
        <v>1890</v>
      </c>
      <c r="I503" s="12" t="s">
        <v>1151</v>
      </c>
      <c r="J503" s="12" t="s">
        <v>230</v>
      </c>
      <c r="K503" s="12">
        <f t="shared" si="46"/>
        <v>42</v>
      </c>
      <c r="L503" s="12">
        <f t="shared" si="47"/>
        <v>172</v>
      </c>
      <c r="M503" s="12">
        <v>630</v>
      </c>
      <c r="N503" s="12">
        <v>70</v>
      </c>
      <c r="O503" s="12">
        <v>86</v>
      </c>
      <c r="P503" s="12" t="s">
        <v>1152</v>
      </c>
      <c r="Q503" s="12" t="s">
        <v>234</v>
      </c>
      <c r="R503" s="12" t="s">
        <v>223</v>
      </c>
      <c r="T503" s="12" t="s">
        <v>228</v>
      </c>
      <c r="U503" s="12" t="s">
        <v>228</v>
      </c>
      <c r="V503" s="12"/>
      <c r="W503" s="12"/>
    </row>
    <row r="504" spans="2:23">
      <c r="B504" s="12" t="s">
        <v>812</v>
      </c>
      <c r="C504" s="12" t="s">
        <v>228</v>
      </c>
      <c r="D504" s="12" t="s">
        <v>235</v>
      </c>
      <c r="E504" s="12" t="s">
        <v>224</v>
      </c>
      <c r="F504" s="12" t="s">
        <v>255</v>
      </c>
      <c r="G504" s="5" t="s">
        <v>256</v>
      </c>
      <c r="H504" s="12">
        <f t="shared" si="45"/>
        <v>3192</v>
      </c>
      <c r="I504" s="12" t="s">
        <v>1151</v>
      </c>
      <c r="J504" s="12" t="s">
        <v>230</v>
      </c>
      <c r="K504" s="12">
        <f t="shared" si="46"/>
        <v>91.2</v>
      </c>
      <c r="L504" s="12">
        <f t="shared" si="47"/>
        <v>243</v>
      </c>
      <c r="M504" s="12">
        <v>1064</v>
      </c>
      <c r="N504" s="12">
        <v>152</v>
      </c>
      <c r="O504" s="12">
        <v>121.5</v>
      </c>
      <c r="P504" s="12" t="s">
        <v>1152</v>
      </c>
      <c r="Q504" s="12" t="s">
        <v>234</v>
      </c>
      <c r="R504" s="12" t="s">
        <v>223</v>
      </c>
      <c r="T504" s="12" t="s">
        <v>228</v>
      </c>
      <c r="U504" s="12" t="s">
        <v>228</v>
      </c>
      <c r="V504" s="12"/>
      <c r="W504" s="12"/>
    </row>
    <row r="505" spans="2:23">
      <c r="B505" s="12" t="s">
        <v>813</v>
      </c>
      <c r="C505" s="12" t="s">
        <v>228</v>
      </c>
      <c r="D505" s="12" t="s">
        <v>235</v>
      </c>
      <c r="E505" s="12" t="s">
        <v>224</v>
      </c>
      <c r="F505" s="12" t="s">
        <v>255</v>
      </c>
      <c r="G505" s="5" t="s">
        <v>256</v>
      </c>
      <c r="H505" s="12">
        <f t="shared" si="45"/>
        <v>3276</v>
      </c>
      <c r="I505" s="12" t="s">
        <v>1151</v>
      </c>
      <c r="J505" s="12" t="s">
        <v>230</v>
      </c>
      <c r="K505" s="12">
        <f t="shared" si="46"/>
        <v>93.6</v>
      </c>
      <c r="L505" s="12">
        <f t="shared" si="47"/>
        <v>255.14999999999998</v>
      </c>
      <c r="M505" s="12">
        <v>1092</v>
      </c>
      <c r="N505" s="12">
        <v>156</v>
      </c>
      <c r="O505" s="12">
        <v>127.57499999999999</v>
      </c>
      <c r="P505" s="12" t="s">
        <v>1152</v>
      </c>
      <c r="Q505" s="12" t="s">
        <v>234</v>
      </c>
      <c r="R505" s="12" t="s">
        <v>223</v>
      </c>
      <c r="T505" s="12" t="s">
        <v>228</v>
      </c>
      <c r="U505" s="12" t="s">
        <v>228</v>
      </c>
      <c r="V505" s="12"/>
      <c r="W505" s="12"/>
    </row>
    <row r="506" spans="2:23">
      <c r="B506" s="12" t="s">
        <v>814</v>
      </c>
      <c r="C506" s="12" t="s">
        <v>228</v>
      </c>
      <c r="D506" s="12" t="s">
        <v>235</v>
      </c>
      <c r="E506" s="12" t="s">
        <v>224</v>
      </c>
      <c r="F506" s="12" t="s">
        <v>255</v>
      </c>
      <c r="G506" s="5" t="s">
        <v>256</v>
      </c>
      <c r="H506" s="12">
        <f t="shared" si="45"/>
        <v>3360</v>
      </c>
      <c r="I506" s="12" t="s">
        <v>1151</v>
      </c>
      <c r="J506" s="12" t="s">
        <v>230</v>
      </c>
      <c r="K506" s="12">
        <f t="shared" si="46"/>
        <v>96</v>
      </c>
      <c r="L506" s="12">
        <f t="shared" si="47"/>
        <v>267.3</v>
      </c>
      <c r="M506" s="12">
        <v>1120</v>
      </c>
      <c r="N506" s="12">
        <v>160</v>
      </c>
      <c r="O506" s="12">
        <v>133.65</v>
      </c>
      <c r="P506" s="12" t="s">
        <v>1152</v>
      </c>
      <c r="Q506" s="12" t="s">
        <v>234</v>
      </c>
      <c r="R506" s="12" t="s">
        <v>223</v>
      </c>
      <c r="T506" s="12" t="s">
        <v>228</v>
      </c>
      <c r="U506" s="12" t="s">
        <v>228</v>
      </c>
      <c r="V506" s="12"/>
      <c r="W506" s="12"/>
    </row>
    <row r="507" spans="2:23">
      <c r="B507" s="12" t="s">
        <v>815</v>
      </c>
      <c r="C507" s="12" t="s">
        <v>228</v>
      </c>
      <c r="D507" s="12" t="s">
        <v>235</v>
      </c>
      <c r="E507" s="12" t="s">
        <v>224</v>
      </c>
      <c r="F507" s="12" t="s">
        <v>255</v>
      </c>
      <c r="G507" s="5" t="s">
        <v>256</v>
      </c>
      <c r="H507" s="12">
        <f t="shared" si="45"/>
        <v>3444</v>
      </c>
      <c r="I507" s="12" t="s">
        <v>1151</v>
      </c>
      <c r="J507" s="12" t="s">
        <v>230</v>
      </c>
      <c r="K507" s="12">
        <f t="shared" si="46"/>
        <v>98.399999999999991</v>
      </c>
      <c r="L507" s="12">
        <f t="shared" si="47"/>
        <v>279.45</v>
      </c>
      <c r="M507" s="12">
        <v>1148</v>
      </c>
      <c r="N507" s="12">
        <v>164</v>
      </c>
      <c r="O507" s="12">
        <v>139.72499999999999</v>
      </c>
      <c r="P507" s="12" t="s">
        <v>1152</v>
      </c>
      <c r="Q507" s="12" t="s">
        <v>234</v>
      </c>
      <c r="R507" s="12" t="s">
        <v>223</v>
      </c>
      <c r="T507" s="12" t="s">
        <v>228</v>
      </c>
      <c r="U507" s="12" t="s">
        <v>228</v>
      </c>
      <c r="V507" s="12"/>
      <c r="W507" s="12"/>
    </row>
    <row r="508" spans="2:23">
      <c r="B508" s="12" t="s">
        <v>816</v>
      </c>
      <c r="C508" s="12" t="s">
        <v>228</v>
      </c>
      <c r="D508" s="12" t="s">
        <v>235</v>
      </c>
      <c r="E508" s="12" t="s">
        <v>224</v>
      </c>
      <c r="F508" s="12" t="s">
        <v>255</v>
      </c>
      <c r="G508" s="5" t="s">
        <v>256</v>
      </c>
      <c r="H508" s="12">
        <f t="shared" si="45"/>
        <v>3528</v>
      </c>
      <c r="I508" s="12" t="s">
        <v>1151</v>
      </c>
      <c r="J508" s="12" t="s">
        <v>230</v>
      </c>
      <c r="K508" s="12">
        <f t="shared" si="46"/>
        <v>100.8</v>
      </c>
      <c r="L508" s="12">
        <f t="shared" si="47"/>
        <v>291.59999999999997</v>
      </c>
      <c r="M508" s="12">
        <v>1176</v>
      </c>
      <c r="N508" s="12">
        <v>168</v>
      </c>
      <c r="O508" s="12">
        <v>145.79999999999998</v>
      </c>
      <c r="P508" s="12" t="s">
        <v>1152</v>
      </c>
      <c r="Q508" s="12" t="s">
        <v>234</v>
      </c>
      <c r="R508" s="12" t="s">
        <v>223</v>
      </c>
      <c r="T508" s="12" t="s">
        <v>228</v>
      </c>
      <c r="U508" s="12" t="s">
        <v>228</v>
      </c>
      <c r="V508" s="12"/>
      <c r="W508" s="12"/>
    </row>
    <row r="509" spans="2:23">
      <c r="B509" s="12" t="s">
        <v>817</v>
      </c>
      <c r="C509" s="12" t="s">
        <v>228</v>
      </c>
      <c r="D509" s="12" t="s">
        <v>235</v>
      </c>
      <c r="E509" s="12" t="s">
        <v>224</v>
      </c>
      <c r="F509" s="12" t="s">
        <v>255</v>
      </c>
      <c r="G509" s="5" t="s">
        <v>256</v>
      </c>
      <c r="H509" s="12">
        <f t="shared" si="45"/>
        <v>3612</v>
      </c>
      <c r="I509" s="12" t="s">
        <v>1151</v>
      </c>
      <c r="J509" s="12" t="s">
        <v>230</v>
      </c>
      <c r="K509" s="12">
        <f t="shared" si="46"/>
        <v>103.2</v>
      </c>
      <c r="L509" s="12">
        <f t="shared" si="47"/>
        <v>303.75</v>
      </c>
      <c r="M509" s="12">
        <v>1204</v>
      </c>
      <c r="N509" s="12">
        <v>172</v>
      </c>
      <c r="O509" s="12">
        <v>151.875</v>
      </c>
      <c r="P509" s="12" t="s">
        <v>1152</v>
      </c>
      <c r="Q509" s="12" t="s">
        <v>234</v>
      </c>
      <c r="R509" s="12" t="s">
        <v>223</v>
      </c>
      <c r="T509" s="12" t="s">
        <v>228</v>
      </c>
      <c r="U509" s="12" t="s">
        <v>228</v>
      </c>
      <c r="V509" s="12"/>
      <c r="W509" s="12"/>
    </row>
    <row r="510" spans="2:23">
      <c r="B510" s="12" t="s">
        <v>818</v>
      </c>
      <c r="C510" s="12" t="s">
        <v>228</v>
      </c>
      <c r="D510" s="12" t="s">
        <v>235</v>
      </c>
      <c r="E510" s="12" t="s">
        <v>224</v>
      </c>
      <c r="F510" s="12" t="s">
        <v>255</v>
      </c>
      <c r="G510" s="5" t="s">
        <v>256</v>
      </c>
      <c r="H510" s="12">
        <f t="shared" si="45"/>
        <v>3696</v>
      </c>
      <c r="I510" s="12" t="s">
        <v>1151</v>
      </c>
      <c r="J510" s="12" t="s">
        <v>230</v>
      </c>
      <c r="K510" s="12">
        <f t="shared" si="46"/>
        <v>105.6</v>
      </c>
      <c r="L510" s="12">
        <f t="shared" si="47"/>
        <v>315.89999999999998</v>
      </c>
      <c r="M510" s="12">
        <v>1232</v>
      </c>
      <c r="N510" s="12">
        <v>176</v>
      </c>
      <c r="O510" s="12">
        <v>157.94999999999999</v>
      </c>
      <c r="P510" s="12" t="s">
        <v>1152</v>
      </c>
      <c r="Q510" s="12" t="s">
        <v>234</v>
      </c>
      <c r="R510" s="12" t="s">
        <v>223</v>
      </c>
      <c r="T510" s="12" t="s">
        <v>228</v>
      </c>
      <c r="U510" s="12" t="s">
        <v>228</v>
      </c>
      <c r="V510" s="12"/>
      <c r="W510" s="12"/>
    </row>
    <row r="511" spans="2:23">
      <c r="B511" s="12" t="s">
        <v>819</v>
      </c>
      <c r="C511" s="12" t="s">
        <v>228</v>
      </c>
      <c r="D511" s="12" t="s">
        <v>235</v>
      </c>
      <c r="E511" s="12" t="s">
        <v>224</v>
      </c>
      <c r="F511" s="12" t="s">
        <v>255</v>
      </c>
      <c r="G511" s="5" t="s">
        <v>256</v>
      </c>
      <c r="H511" s="12">
        <f t="shared" si="45"/>
        <v>3780</v>
      </c>
      <c r="I511" s="12" t="s">
        <v>1151</v>
      </c>
      <c r="J511" s="12" t="s">
        <v>230</v>
      </c>
      <c r="K511" s="12">
        <f t="shared" si="46"/>
        <v>108</v>
      </c>
      <c r="L511" s="12">
        <f t="shared" si="47"/>
        <v>328.05</v>
      </c>
      <c r="M511" s="12">
        <v>1260</v>
      </c>
      <c r="N511" s="12">
        <v>180</v>
      </c>
      <c r="O511" s="12">
        <v>164.02500000000001</v>
      </c>
      <c r="P511" s="12" t="s">
        <v>1152</v>
      </c>
      <c r="Q511" s="12" t="s">
        <v>234</v>
      </c>
      <c r="R511" s="12" t="s">
        <v>223</v>
      </c>
      <c r="T511" s="12" t="s">
        <v>228</v>
      </c>
      <c r="U511" s="12" t="s">
        <v>228</v>
      </c>
      <c r="V511" s="12"/>
      <c r="W511" s="12"/>
    </row>
    <row r="512" spans="2:23">
      <c r="B512" s="12" t="s">
        <v>820</v>
      </c>
      <c r="C512" s="12" t="s">
        <v>228</v>
      </c>
      <c r="D512" s="12" t="s">
        <v>235</v>
      </c>
      <c r="E512" s="12" t="s">
        <v>224</v>
      </c>
      <c r="F512" s="12" t="s">
        <v>255</v>
      </c>
      <c r="G512" s="5" t="s">
        <v>256</v>
      </c>
      <c r="H512" s="12">
        <f t="shared" si="45"/>
        <v>3864</v>
      </c>
      <c r="I512" s="12" t="s">
        <v>1151</v>
      </c>
      <c r="J512" s="12" t="s">
        <v>230</v>
      </c>
      <c r="K512" s="12">
        <f t="shared" si="46"/>
        <v>110.39999999999999</v>
      </c>
      <c r="L512" s="12">
        <f t="shared" si="47"/>
        <v>340.2</v>
      </c>
      <c r="M512" s="12">
        <v>1288</v>
      </c>
      <c r="N512" s="12">
        <v>184</v>
      </c>
      <c r="O512" s="12">
        <v>170.1</v>
      </c>
      <c r="P512" s="12" t="s">
        <v>1152</v>
      </c>
      <c r="Q512" s="12" t="s">
        <v>234</v>
      </c>
      <c r="R512" s="12" t="s">
        <v>223</v>
      </c>
      <c r="T512" s="12" t="s">
        <v>228</v>
      </c>
      <c r="U512" s="12" t="s">
        <v>228</v>
      </c>
      <c r="V512" s="12"/>
      <c r="W512" s="12"/>
    </row>
    <row r="513" spans="2:23">
      <c r="B513" s="12" t="s">
        <v>821</v>
      </c>
      <c r="C513" s="12" t="s">
        <v>228</v>
      </c>
      <c r="D513" s="12" t="s">
        <v>235</v>
      </c>
      <c r="E513" s="12" t="s">
        <v>224</v>
      </c>
      <c r="F513" s="12" t="s">
        <v>255</v>
      </c>
      <c r="G513" s="5" t="s">
        <v>256</v>
      </c>
      <c r="H513" s="12">
        <f t="shared" si="45"/>
        <v>3948</v>
      </c>
      <c r="I513" s="12" t="s">
        <v>1151</v>
      </c>
      <c r="J513" s="12" t="s">
        <v>230</v>
      </c>
      <c r="K513" s="12">
        <f t="shared" si="46"/>
        <v>112.8</v>
      </c>
      <c r="L513" s="12">
        <f t="shared" si="47"/>
        <v>352.34999999999997</v>
      </c>
      <c r="M513" s="12">
        <v>1316</v>
      </c>
      <c r="N513" s="12">
        <v>188</v>
      </c>
      <c r="O513" s="12">
        <v>176.17499999999998</v>
      </c>
      <c r="P513" s="12" t="s">
        <v>1152</v>
      </c>
      <c r="Q513" s="12" t="s">
        <v>234</v>
      </c>
      <c r="R513" s="12" t="s">
        <v>223</v>
      </c>
      <c r="T513" s="12" t="s">
        <v>228</v>
      </c>
      <c r="U513" s="12" t="s">
        <v>228</v>
      </c>
      <c r="V513" s="12"/>
      <c r="W513" s="12"/>
    </row>
    <row r="514" spans="2:23">
      <c r="B514" s="12" t="s">
        <v>822</v>
      </c>
      <c r="C514" s="12" t="s">
        <v>228</v>
      </c>
      <c r="D514" s="12" t="s">
        <v>235</v>
      </c>
      <c r="E514" s="12" t="s">
        <v>224</v>
      </c>
      <c r="F514" s="12" t="s">
        <v>255</v>
      </c>
      <c r="G514" s="5" t="s">
        <v>256</v>
      </c>
      <c r="H514" s="12">
        <f t="shared" si="45"/>
        <v>4032</v>
      </c>
      <c r="I514" s="12" t="s">
        <v>1151</v>
      </c>
      <c r="J514" s="12" t="s">
        <v>230</v>
      </c>
      <c r="K514" s="12">
        <f t="shared" si="46"/>
        <v>115.19999999999999</v>
      </c>
      <c r="L514" s="12">
        <f t="shared" si="47"/>
        <v>364.5</v>
      </c>
      <c r="M514" s="12">
        <v>1344</v>
      </c>
      <c r="N514" s="12">
        <v>192</v>
      </c>
      <c r="O514" s="12">
        <v>182.25</v>
      </c>
      <c r="P514" s="12" t="s">
        <v>1152</v>
      </c>
      <c r="Q514" s="12" t="s">
        <v>234</v>
      </c>
      <c r="R514" s="12" t="s">
        <v>223</v>
      </c>
      <c r="T514" s="12" t="s">
        <v>228</v>
      </c>
      <c r="U514" s="12" t="s">
        <v>228</v>
      </c>
      <c r="V514" s="12"/>
      <c r="W514" s="12"/>
    </row>
    <row r="515" spans="2:23">
      <c r="B515" s="12" t="s">
        <v>823</v>
      </c>
      <c r="C515" s="12" t="s">
        <v>228</v>
      </c>
      <c r="D515" s="12" t="s">
        <v>235</v>
      </c>
      <c r="E515" s="12" t="s">
        <v>224</v>
      </c>
      <c r="F515" s="12" t="s">
        <v>255</v>
      </c>
      <c r="G515" s="5" t="s">
        <v>256</v>
      </c>
      <c r="H515" s="12">
        <f t="shared" si="45"/>
        <v>4116</v>
      </c>
      <c r="I515" s="12" t="s">
        <v>1151</v>
      </c>
      <c r="J515" s="12" t="s">
        <v>230</v>
      </c>
      <c r="K515" s="12">
        <f t="shared" si="46"/>
        <v>117.6</v>
      </c>
      <c r="L515" s="12">
        <f t="shared" si="47"/>
        <v>376.65</v>
      </c>
      <c r="M515" s="12">
        <v>1372</v>
      </c>
      <c r="N515" s="12">
        <v>196</v>
      </c>
      <c r="O515" s="12">
        <v>188.32499999999999</v>
      </c>
      <c r="P515" s="12" t="s">
        <v>1152</v>
      </c>
      <c r="Q515" s="12" t="s">
        <v>234</v>
      </c>
      <c r="R515" s="12" t="s">
        <v>223</v>
      </c>
      <c r="T515" s="12" t="s">
        <v>228</v>
      </c>
      <c r="U515" s="12" t="s">
        <v>228</v>
      </c>
      <c r="V515" s="12"/>
      <c r="W515" s="12"/>
    </row>
    <row r="516" spans="2:23">
      <c r="B516" s="12" t="s">
        <v>824</v>
      </c>
      <c r="C516" s="12" t="s">
        <v>228</v>
      </c>
      <c r="D516" s="12" t="s">
        <v>235</v>
      </c>
      <c r="E516" s="12" t="s">
        <v>224</v>
      </c>
      <c r="F516" s="12" t="s">
        <v>255</v>
      </c>
      <c r="G516" s="5" t="s">
        <v>256</v>
      </c>
      <c r="H516" s="12">
        <f t="shared" si="45"/>
        <v>4200</v>
      </c>
      <c r="I516" s="12" t="s">
        <v>1151</v>
      </c>
      <c r="J516" s="12" t="s">
        <v>230</v>
      </c>
      <c r="K516" s="12">
        <f t="shared" si="46"/>
        <v>120</v>
      </c>
      <c r="L516" s="12">
        <f t="shared" si="47"/>
        <v>388.79999999999995</v>
      </c>
      <c r="M516" s="12">
        <v>1400</v>
      </c>
      <c r="N516" s="12">
        <v>200</v>
      </c>
      <c r="O516" s="12">
        <v>194.39999999999998</v>
      </c>
      <c r="P516" s="12" t="s">
        <v>1152</v>
      </c>
      <c r="Q516" s="12" t="s">
        <v>234</v>
      </c>
      <c r="R516" s="12" t="s">
        <v>223</v>
      </c>
      <c r="T516" s="12" t="s">
        <v>228</v>
      </c>
      <c r="U516" s="12" t="s">
        <v>228</v>
      </c>
      <c r="V516" s="12"/>
      <c r="W516" s="12"/>
    </row>
    <row r="517" spans="2:23">
      <c r="B517" s="12" t="s">
        <v>825</v>
      </c>
      <c r="C517" s="12" t="s">
        <v>228</v>
      </c>
      <c r="D517" s="12" t="s">
        <v>235</v>
      </c>
      <c r="E517" s="12" t="s">
        <v>224</v>
      </c>
      <c r="F517" s="12" t="s">
        <v>255</v>
      </c>
      <c r="G517" s="5" t="s">
        <v>256</v>
      </c>
      <c r="H517" s="12">
        <f t="shared" si="45"/>
        <v>4284</v>
      </c>
      <c r="I517" s="12" t="s">
        <v>1151</v>
      </c>
      <c r="J517" s="12" t="s">
        <v>230</v>
      </c>
      <c r="K517" s="12">
        <f t="shared" si="46"/>
        <v>122.39999999999999</v>
      </c>
      <c r="L517" s="12">
        <f t="shared" si="47"/>
        <v>400.95</v>
      </c>
      <c r="M517" s="12">
        <v>1428</v>
      </c>
      <c r="N517" s="12">
        <v>204</v>
      </c>
      <c r="O517" s="12">
        <v>200.47499999999999</v>
      </c>
      <c r="P517" s="12" t="s">
        <v>1152</v>
      </c>
      <c r="Q517" s="12" t="s">
        <v>234</v>
      </c>
      <c r="R517" s="12" t="s">
        <v>223</v>
      </c>
      <c r="T517" s="12" t="s">
        <v>228</v>
      </c>
      <c r="U517" s="12" t="s">
        <v>228</v>
      </c>
      <c r="V517" s="12"/>
      <c r="W517" s="12"/>
    </row>
    <row r="518" spans="2:23">
      <c r="B518" s="12" t="s">
        <v>826</v>
      </c>
      <c r="C518" s="12" t="s">
        <v>228</v>
      </c>
      <c r="D518" s="12" t="s">
        <v>235</v>
      </c>
      <c r="E518" s="12" t="s">
        <v>224</v>
      </c>
      <c r="F518" s="12" t="s">
        <v>255</v>
      </c>
      <c r="G518" s="5" t="s">
        <v>256</v>
      </c>
      <c r="H518" s="12">
        <f t="shared" si="45"/>
        <v>4368</v>
      </c>
      <c r="I518" s="12" t="s">
        <v>1151</v>
      </c>
      <c r="J518" s="12" t="s">
        <v>230</v>
      </c>
      <c r="K518" s="12">
        <f t="shared" si="46"/>
        <v>124.8</v>
      </c>
      <c r="L518" s="12">
        <f t="shared" si="47"/>
        <v>413.09999999999997</v>
      </c>
      <c r="M518" s="12">
        <v>1456</v>
      </c>
      <c r="N518" s="12">
        <v>208</v>
      </c>
      <c r="O518" s="12">
        <v>206.54999999999998</v>
      </c>
      <c r="P518" s="12" t="s">
        <v>1152</v>
      </c>
      <c r="Q518" s="12" t="s">
        <v>234</v>
      </c>
      <c r="R518" s="12" t="s">
        <v>223</v>
      </c>
      <c r="T518" s="12" t="s">
        <v>228</v>
      </c>
      <c r="U518" s="12" t="s">
        <v>228</v>
      </c>
      <c r="V518" s="12"/>
      <c r="W518" s="12"/>
    </row>
    <row r="519" spans="2:23">
      <c r="B519" s="12" t="s">
        <v>827</v>
      </c>
      <c r="C519" s="12" t="s">
        <v>228</v>
      </c>
      <c r="D519" s="12" t="s">
        <v>235</v>
      </c>
      <c r="E519" s="12" t="s">
        <v>224</v>
      </c>
      <c r="F519" s="12" t="s">
        <v>255</v>
      </c>
      <c r="G519" s="5" t="s">
        <v>256</v>
      </c>
      <c r="H519" s="12">
        <f t="shared" si="45"/>
        <v>6600</v>
      </c>
      <c r="I519" s="12" t="s">
        <v>1151</v>
      </c>
      <c r="J519" s="12" t="s">
        <v>230</v>
      </c>
      <c r="K519" s="12">
        <f t="shared" si="46"/>
        <v>198</v>
      </c>
      <c r="L519" s="12">
        <f t="shared" si="47"/>
        <v>546.75</v>
      </c>
      <c r="M519" s="12">
        <v>2200</v>
      </c>
      <c r="N519" s="12">
        <v>330</v>
      </c>
      <c r="O519" s="12">
        <v>273.375</v>
      </c>
      <c r="P519" s="12" t="s">
        <v>1152</v>
      </c>
      <c r="Q519" s="12" t="s">
        <v>234</v>
      </c>
      <c r="R519" s="12" t="s">
        <v>223</v>
      </c>
      <c r="T519" s="12" t="s">
        <v>228</v>
      </c>
      <c r="U519" s="12" t="s">
        <v>228</v>
      </c>
      <c r="V519" s="12"/>
      <c r="W519" s="12"/>
    </row>
    <row r="520" spans="2:23">
      <c r="B520" s="12" t="s">
        <v>828</v>
      </c>
      <c r="C520" s="12" t="s">
        <v>228</v>
      </c>
      <c r="D520" s="12" t="s">
        <v>235</v>
      </c>
      <c r="E520" s="12" t="s">
        <v>224</v>
      </c>
      <c r="F520" s="12" t="s">
        <v>255</v>
      </c>
      <c r="G520" s="5" t="s">
        <v>256</v>
      </c>
      <c r="H520" s="12">
        <f t="shared" si="45"/>
        <v>6720</v>
      </c>
      <c r="I520" s="12" t="s">
        <v>1151</v>
      </c>
      <c r="J520" s="12" t="s">
        <v>230</v>
      </c>
      <c r="K520" s="12">
        <f t="shared" si="46"/>
        <v>201.6</v>
      </c>
      <c r="L520" s="12">
        <f t="shared" si="47"/>
        <v>562.94999999999993</v>
      </c>
      <c r="M520" s="12">
        <v>2240</v>
      </c>
      <c r="N520" s="12">
        <v>336</v>
      </c>
      <c r="O520" s="12">
        <v>281.47499999999997</v>
      </c>
      <c r="P520" s="12" t="s">
        <v>1152</v>
      </c>
      <c r="Q520" s="12" t="s">
        <v>234</v>
      </c>
      <c r="R520" s="12" t="s">
        <v>223</v>
      </c>
      <c r="T520" s="12" t="s">
        <v>228</v>
      </c>
      <c r="U520" s="12" t="s">
        <v>228</v>
      </c>
      <c r="V520" s="12"/>
      <c r="W520" s="12"/>
    </row>
    <row r="521" spans="2:23">
      <c r="B521" s="12" t="s">
        <v>829</v>
      </c>
      <c r="C521" s="12" t="s">
        <v>228</v>
      </c>
      <c r="D521" s="12" t="s">
        <v>235</v>
      </c>
      <c r="E521" s="12" t="s">
        <v>224</v>
      </c>
      <c r="F521" s="12" t="s">
        <v>255</v>
      </c>
      <c r="G521" s="5" t="s">
        <v>256</v>
      </c>
      <c r="H521" s="12">
        <f t="shared" si="45"/>
        <v>6840</v>
      </c>
      <c r="I521" s="12" t="s">
        <v>1151</v>
      </c>
      <c r="J521" s="12" t="s">
        <v>230</v>
      </c>
      <c r="K521" s="12">
        <f t="shared" si="46"/>
        <v>205.2</v>
      </c>
      <c r="L521" s="12">
        <f t="shared" si="47"/>
        <v>579.15</v>
      </c>
      <c r="M521" s="12">
        <v>2280</v>
      </c>
      <c r="N521" s="12">
        <v>342</v>
      </c>
      <c r="O521" s="12">
        <v>289.57499999999999</v>
      </c>
      <c r="P521" s="12" t="s">
        <v>1152</v>
      </c>
      <c r="Q521" s="12" t="s">
        <v>234</v>
      </c>
      <c r="R521" s="12" t="s">
        <v>223</v>
      </c>
      <c r="T521" s="12" t="s">
        <v>228</v>
      </c>
      <c r="U521" s="12" t="s">
        <v>228</v>
      </c>
      <c r="V521" s="12"/>
      <c r="W521" s="12"/>
    </row>
    <row r="522" spans="2:23">
      <c r="B522" s="12" t="s">
        <v>830</v>
      </c>
      <c r="C522" s="12" t="s">
        <v>228</v>
      </c>
      <c r="D522" s="12" t="s">
        <v>235</v>
      </c>
      <c r="E522" s="12" t="s">
        <v>224</v>
      </c>
      <c r="F522" s="12" t="s">
        <v>255</v>
      </c>
      <c r="G522" s="5" t="s">
        <v>256</v>
      </c>
      <c r="H522" s="12">
        <f t="shared" si="45"/>
        <v>6960</v>
      </c>
      <c r="I522" s="12" t="s">
        <v>1151</v>
      </c>
      <c r="J522" s="12" t="s">
        <v>230</v>
      </c>
      <c r="K522" s="12">
        <f t="shared" si="46"/>
        <v>208.79999999999998</v>
      </c>
      <c r="L522" s="12">
        <f t="shared" si="47"/>
        <v>595.35</v>
      </c>
      <c r="M522" s="12">
        <v>2320</v>
      </c>
      <c r="N522" s="12">
        <v>348</v>
      </c>
      <c r="O522" s="12">
        <v>297.67500000000001</v>
      </c>
      <c r="P522" s="12" t="s">
        <v>1152</v>
      </c>
      <c r="Q522" s="12" t="s">
        <v>234</v>
      </c>
      <c r="R522" s="12" t="s">
        <v>223</v>
      </c>
      <c r="T522" s="12" t="s">
        <v>228</v>
      </c>
      <c r="U522" s="12" t="s">
        <v>228</v>
      </c>
      <c r="V522" s="12"/>
      <c r="W522" s="12"/>
    </row>
    <row r="523" spans="2:23">
      <c r="B523" s="12" t="s">
        <v>831</v>
      </c>
      <c r="C523" s="12" t="s">
        <v>228</v>
      </c>
      <c r="D523" s="12" t="s">
        <v>235</v>
      </c>
      <c r="E523" s="12" t="s">
        <v>224</v>
      </c>
      <c r="F523" s="12" t="s">
        <v>255</v>
      </c>
      <c r="G523" s="5" t="s">
        <v>256</v>
      </c>
      <c r="H523" s="12">
        <f t="shared" si="45"/>
        <v>7080</v>
      </c>
      <c r="I523" s="12" t="s">
        <v>1151</v>
      </c>
      <c r="J523" s="12" t="s">
        <v>230</v>
      </c>
      <c r="K523" s="12">
        <f t="shared" si="46"/>
        <v>212.4</v>
      </c>
      <c r="L523" s="12">
        <f t="shared" si="47"/>
        <v>611.54999999999995</v>
      </c>
      <c r="M523" s="12">
        <v>2360</v>
      </c>
      <c r="N523" s="12">
        <v>354</v>
      </c>
      <c r="O523" s="12">
        <v>305.77499999999998</v>
      </c>
      <c r="P523" s="12" t="s">
        <v>1152</v>
      </c>
      <c r="Q523" s="12" t="s">
        <v>234</v>
      </c>
      <c r="R523" s="12" t="s">
        <v>223</v>
      </c>
      <c r="T523" s="12" t="s">
        <v>228</v>
      </c>
      <c r="U523" s="12" t="s">
        <v>228</v>
      </c>
      <c r="V523" s="12"/>
      <c r="W523" s="12"/>
    </row>
    <row r="524" spans="2:23">
      <c r="B524" s="12" t="s">
        <v>832</v>
      </c>
      <c r="C524" s="12" t="s">
        <v>228</v>
      </c>
      <c r="D524" s="12" t="s">
        <v>235</v>
      </c>
      <c r="E524" s="12" t="s">
        <v>224</v>
      </c>
      <c r="F524" s="12" t="s">
        <v>255</v>
      </c>
      <c r="G524" s="5" t="s">
        <v>256</v>
      </c>
      <c r="H524" s="12">
        <f t="shared" si="45"/>
        <v>7200</v>
      </c>
      <c r="I524" s="12" t="s">
        <v>1151</v>
      </c>
      <c r="J524" s="12" t="s">
        <v>230</v>
      </c>
      <c r="K524" s="12">
        <f t="shared" si="46"/>
        <v>216</v>
      </c>
      <c r="L524" s="12">
        <f t="shared" si="47"/>
        <v>627.75</v>
      </c>
      <c r="M524" s="12">
        <v>2400</v>
      </c>
      <c r="N524" s="12">
        <v>360</v>
      </c>
      <c r="O524" s="12">
        <v>313.875</v>
      </c>
      <c r="P524" s="12" t="s">
        <v>1152</v>
      </c>
      <c r="Q524" s="12" t="s">
        <v>234</v>
      </c>
      <c r="R524" s="12" t="s">
        <v>223</v>
      </c>
      <c r="T524" s="12" t="s">
        <v>228</v>
      </c>
      <c r="U524" s="12" t="s">
        <v>228</v>
      </c>
      <c r="V524" s="12"/>
      <c r="W524" s="12"/>
    </row>
    <row r="525" spans="2:23">
      <c r="B525" s="12" t="s">
        <v>833</v>
      </c>
      <c r="C525" s="12" t="s">
        <v>228</v>
      </c>
      <c r="D525" s="12" t="s">
        <v>235</v>
      </c>
      <c r="E525" s="12" t="s">
        <v>224</v>
      </c>
      <c r="F525" s="12" t="s">
        <v>255</v>
      </c>
      <c r="G525" s="5" t="s">
        <v>256</v>
      </c>
      <c r="H525" s="12">
        <f t="shared" si="45"/>
        <v>7320</v>
      </c>
      <c r="I525" s="12" t="s">
        <v>1151</v>
      </c>
      <c r="J525" s="12" t="s">
        <v>230</v>
      </c>
      <c r="K525" s="12">
        <f t="shared" si="46"/>
        <v>219.6</v>
      </c>
      <c r="L525" s="12">
        <f t="shared" si="47"/>
        <v>643.94999999999993</v>
      </c>
      <c r="M525" s="12">
        <v>2440</v>
      </c>
      <c r="N525" s="12">
        <v>366</v>
      </c>
      <c r="O525" s="12">
        <v>321.97499999999997</v>
      </c>
      <c r="P525" s="12" t="s">
        <v>1152</v>
      </c>
      <c r="Q525" s="12" t="s">
        <v>234</v>
      </c>
      <c r="R525" s="12" t="s">
        <v>223</v>
      </c>
      <c r="T525" s="12" t="s">
        <v>228</v>
      </c>
      <c r="U525" s="12" t="s">
        <v>228</v>
      </c>
      <c r="V525" s="12"/>
      <c r="W525" s="12"/>
    </row>
    <row r="526" spans="2:23">
      <c r="B526" s="12" t="s">
        <v>834</v>
      </c>
      <c r="C526" s="12" t="s">
        <v>228</v>
      </c>
      <c r="D526" s="12" t="s">
        <v>235</v>
      </c>
      <c r="E526" s="12" t="s">
        <v>224</v>
      </c>
      <c r="F526" s="12" t="s">
        <v>255</v>
      </c>
      <c r="G526" s="5" t="s">
        <v>256</v>
      </c>
      <c r="H526" s="12">
        <f t="shared" si="45"/>
        <v>7440</v>
      </c>
      <c r="I526" s="12" t="s">
        <v>1151</v>
      </c>
      <c r="J526" s="12" t="s">
        <v>230</v>
      </c>
      <c r="K526" s="12">
        <f t="shared" si="46"/>
        <v>223.2</v>
      </c>
      <c r="L526" s="12">
        <f t="shared" si="47"/>
        <v>660.15</v>
      </c>
      <c r="M526" s="12">
        <v>2480</v>
      </c>
      <c r="N526" s="12">
        <v>372</v>
      </c>
      <c r="O526" s="12">
        <v>330.07499999999999</v>
      </c>
      <c r="P526" s="12" t="s">
        <v>1152</v>
      </c>
      <c r="Q526" s="12" t="s">
        <v>234</v>
      </c>
      <c r="R526" s="12" t="s">
        <v>223</v>
      </c>
      <c r="T526" s="12" t="s">
        <v>228</v>
      </c>
      <c r="U526" s="12" t="s">
        <v>228</v>
      </c>
      <c r="V526" s="12"/>
      <c r="W526" s="12"/>
    </row>
    <row r="527" spans="2:23">
      <c r="B527" s="12" t="s">
        <v>835</v>
      </c>
      <c r="C527" s="12" t="s">
        <v>228</v>
      </c>
      <c r="D527" s="12" t="s">
        <v>235</v>
      </c>
      <c r="E527" s="12" t="s">
        <v>224</v>
      </c>
      <c r="F527" s="12" t="s">
        <v>255</v>
      </c>
      <c r="G527" s="5" t="s">
        <v>256</v>
      </c>
      <c r="H527" s="12">
        <f t="shared" si="45"/>
        <v>7560</v>
      </c>
      <c r="I527" s="12" t="s">
        <v>1151</v>
      </c>
      <c r="J527" s="12" t="s">
        <v>230</v>
      </c>
      <c r="K527" s="12">
        <f t="shared" si="46"/>
        <v>226.79999999999998</v>
      </c>
      <c r="L527" s="12">
        <f t="shared" si="47"/>
        <v>676.35</v>
      </c>
      <c r="M527" s="12">
        <v>2520</v>
      </c>
      <c r="N527" s="12">
        <v>378</v>
      </c>
      <c r="O527" s="12">
        <v>338.17500000000001</v>
      </c>
      <c r="P527" s="12" t="s">
        <v>1152</v>
      </c>
      <c r="Q527" s="12" t="s">
        <v>234</v>
      </c>
      <c r="R527" s="12" t="s">
        <v>223</v>
      </c>
      <c r="T527" s="12" t="s">
        <v>228</v>
      </c>
      <c r="U527" s="12" t="s">
        <v>228</v>
      </c>
      <c r="V527" s="12"/>
      <c r="W527" s="12"/>
    </row>
    <row r="528" spans="2:23">
      <c r="B528" s="12" t="s">
        <v>836</v>
      </c>
      <c r="C528" s="12" t="s">
        <v>228</v>
      </c>
      <c r="D528" s="12" t="s">
        <v>235</v>
      </c>
      <c r="E528" s="12" t="s">
        <v>224</v>
      </c>
      <c r="F528" s="12" t="s">
        <v>255</v>
      </c>
      <c r="G528" s="5" t="s">
        <v>256</v>
      </c>
      <c r="H528" s="12">
        <f t="shared" si="45"/>
        <v>7680</v>
      </c>
      <c r="I528" s="12" t="s">
        <v>1151</v>
      </c>
      <c r="J528" s="12" t="s">
        <v>230</v>
      </c>
      <c r="K528" s="12">
        <f t="shared" si="46"/>
        <v>230.39999999999998</v>
      </c>
      <c r="L528" s="12">
        <f t="shared" si="47"/>
        <v>692.55</v>
      </c>
      <c r="M528" s="12">
        <v>2560</v>
      </c>
      <c r="N528" s="12">
        <v>384</v>
      </c>
      <c r="O528" s="12">
        <v>346.27499999999998</v>
      </c>
      <c r="P528" s="12" t="s">
        <v>1152</v>
      </c>
      <c r="Q528" s="12" t="s">
        <v>234</v>
      </c>
      <c r="R528" s="12" t="s">
        <v>223</v>
      </c>
      <c r="T528" s="12" t="s">
        <v>228</v>
      </c>
      <c r="U528" s="12" t="s">
        <v>228</v>
      </c>
      <c r="V528" s="12"/>
      <c r="W528" s="12"/>
    </row>
    <row r="529" spans="2:23">
      <c r="B529" s="12" t="s">
        <v>837</v>
      </c>
      <c r="C529" s="12" t="s">
        <v>228</v>
      </c>
      <c r="D529" s="12" t="s">
        <v>235</v>
      </c>
      <c r="E529" s="12" t="s">
        <v>224</v>
      </c>
      <c r="F529" s="12" t="s">
        <v>255</v>
      </c>
      <c r="G529" s="5" t="s">
        <v>256</v>
      </c>
      <c r="H529" s="12">
        <f t="shared" si="45"/>
        <v>7800</v>
      </c>
      <c r="I529" s="12" t="s">
        <v>1151</v>
      </c>
      <c r="J529" s="12" t="s">
        <v>230</v>
      </c>
      <c r="K529" s="12">
        <f t="shared" si="46"/>
        <v>234</v>
      </c>
      <c r="L529" s="12">
        <f t="shared" si="47"/>
        <v>708.75</v>
      </c>
      <c r="M529" s="12">
        <v>2600</v>
      </c>
      <c r="N529" s="12">
        <v>390</v>
      </c>
      <c r="O529" s="12">
        <v>354.375</v>
      </c>
      <c r="P529" s="12" t="s">
        <v>1152</v>
      </c>
      <c r="Q529" s="12" t="s">
        <v>234</v>
      </c>
      <c r="R529" s="12" t="s">
        <v>223</v>
      </c>
      <c r="T529" s="12" t="s">
        <v>228</v>
      </c>
      <c r="U529" s="12" t="s">
        <v>228</v>
      </c>
      <c r="V529" s="12"/>
      <c r="W529" s="12"/>
    </row>
    <row r="530" spans="2:23">
      <c r="B530" s="12" t="s">
        <v>838</v>
      </c>
      <c r="C530" s="12" t="s">
        <v>228</v>
      </c>
      <c r="D530" s="12" t="s">
        <v>235</v>
      </c>
      <c r="E530" s="12" t="s">
        <v>224</v>
      </c>
      <c r="F530" s="12" t="s">
        <v>255</v>
      </c>
      <c r="G530" s="5" t="s">
        <v>256</v>
      </c>
      <c r="H530" s="12">
        <f t="shared" si="45"/>
        <v>7920</v>
      </c>
      <c r="I530" s="12" t="s">
        <v>1151</v>
      </c>
      <c r="J530" s="12" t="s">
        <v>230</v>
      </c>
      <c r="K530" s="12">
        <f t="shared" si="46"/>
        <v>237.6</v>
      </c>
      <c r="L530" s="12">
        <f t="shared" si="47"/>
        <v>724.94999999999993</v>
      </c>
      <c r="M530" s="12">
        <v>2640</v>
      </c>
      <c r="N530" s="12">
        <v>396</v>
      </c>
      <c r="O530" s="12">
        <v>362.47499999999997</v>
      </c>
      <c r="P530" s="12" t="s">
        <v>1152</v>
      </c>
      <c r="Q530" s="12" t="s">
        <v>234</v>
      </c>
      <c r="R530" s="12" t="s">
        <v>223</v>
      </c>
      <c r="T530" s="12" t="s">
        <v>228</v>
      </c>
      <c r="U530" s="12" t="s">
        <v>228</v>
      </c>
      <c r="V530" s="12"/>
      <c r="W530" s="12"/>
    </row>
    <row r="531" spans="2:23">
      <c r="B531" s="12" t="s">
        <v>839</v>
      </c>
      <c r="C531" s="12" t="s">
        <v>228</v>
      </c>
      <c r="D531" s="12" t="s">
        <v>235</v>
      </c>
      <c r="E531" s="12" t="s">
        <v>224</v>
      </c>
      <c r="F531" s="12" t="s">
        <v>255</v>
      </c>
      <c r="G531" s="5" t="s">
        <v>256</v>
      </c>
      <c r="H531" s="12">
        <f t="shared" si="45"/>
        <v>8040</v>
      </c>
      <c r="I531" s="12" t="s">
        <v>1151</v>
      </c>
      <c r="J531" s="12" t="s">
        <v>230</v>
      </c>
      <c r="K531" s="12">
        <f t="shared" si="46"/>
        <v>241.2</v>
      </c>
      <c r="L531" s="12">
        <f t="shared" si="47"/>
        <v>741.15</v>
      </c>
      <c r="M531" s="12">
        <v>2680</v>
      </c>
      <c r="N531" s="12">
        <v>402</v>
      </c>
      <c r="O531" s="12">
        <v>370.57499999999999</v>
      </c>
      <c r="P531" s="12" t="s">
        <v>1152</v>
      </c>
      <c r="Q531" s="12" t="s">
        <v>234</v>
      </c>
      <c r="R531" s="12" t="s">
        <v>223</v>
      </c>
      <c r="T531" s="12" t="s">
        <v>228</v>
      </c>
      <c r="U531" s="12" t="s">
        <v>228</v>
      </c>
      <c r="V531" s="12"/>
      <c r="W531" s="12"/>
    </row>
    <row r="532" spans="2:23">
      <c r="B532" s="12" t="s">
        <v>840</v>
      </c>
      <c r="C532" s="12" t="s">
        <v>228</v>
      </c>
      <c r="D532" s="12" t="s">
        <v>235</v>
      </c>
      <c r="E532" s="12" t="s">
        <v>224</v>
      </c>
      <c r="F532" s="12" t="s">
        <v>255</v>
      </c>
      <c r="G532" s="5" t="s">
        <v>256</v>
      </c>
      <c r="H532" s="12">
        <f t="shared" si="45"/>
        <v>8160</v>
      </c>
      <c r="I532" s="12" t="s">
        <v>1151</v>
      </c>
      <c r="J532" s="12" t="s">
        <v>230</v>
      </c>
      <c r="K532" s="12">
        <f t="shared" si="46"/>
        <v>244.79999999999998</v>
      </c>
      <c r="L532" s="12">
        <f t="shared" si="47"/>
        <v>757.35</v>
      </c>
      <c r="M532" s="12">
        <v>2720</v>
      </c>
      <c r="N532" s="12">
        <v>408</v>
      </c>
      <c r="O532" s="12">
        <v>378.67500000000001</v>
      </c>
      <c r="P532" s="12" t="s">
        <v>1152</v>
      </c>
      <c r="Q532" s="12" t="s">
        <v>234</v>
      </c>
      <c r="R532" s="12" t="s">
        <v>223</v>
      </c>
      <c r="T532" s="12" t="s">
        <v>228</v>
      </c>
      <c r="U532" s="12" t="s">
        <v>228</v>
      </c>
      <c r="V532" s="12"/>
      <c r="W532" s="12"/>
    </row>
    <row r="533" spans="2:23">
      <c r="B533" s="12" t="s">
        <v>841</v>
      </c>
      <c r="C533" s="12" t="s">
        <v>228</v>
      </c>
      <c r="D533" s="12" t="s">
        <v>235</v>
      </c>
      <c r="E533" s="12" t="s">
        <v>224</v>
      </c>
      <c r="F533" s="12" t="s">
        <v>255</v>
      </c>
      <c r="G533" s="5" t="s">
        <v>256</v>
      </c>
      <c r="H533" s="12">
        <f t="shared" si="45"/>
        <v>8280</v>
      </c>
      <c r="I533" s="12" t="s">
        <v>1151</v>
      </c>
      <c r="J533" s="12" t="s">
        <v>230</v>
      </c>
      <c r="K533" s="12">
        <f t="shared" si="46"/>
        <v>248.39999999999998</v>
      </c>
      <c r="L533" s="12">
        <f t="shared" si="47"/>
        <v>773.55</v>
      </c>
      <c r="M533" s="12">
        <v>2760</v>
      </c>
      <c r="N533" s="12">
        <v>414</v>
      </c>
      <c r="O533" s="12">
        <v>386.77499999999998</v>
      </c>
      <c r="P533" s="12" t="s">
        <v>1152</v>
      </c>
      <c r="Q533" s="12" t="s">
        <v>234</v>
      </c>
      <c r="R533" s="12" t="s">
        <v>223</v>
      </c>
      <c r="T533" s="12" t="s">
        <v>228</v>
      </c>
      <c r="U533" s="12" t="s">
        <v>228</v>
      </c>
      <c r="V533" s="12"/>
      <c r="W533" s="12"/>
    </row>
    <row r="534" spans="2:23">
      <c r="B534" s="12" t="s">
        <v>842</v>
      </c>
      <c r="C534" s="12" t="s">
        <v>228</v>
      </c>
      <c r="D534" s="12" t="s">
        <v>235</v>
      </c>
      <c r="E534" s="12" t="s">
        <v>224</v>
      </c>
      <c r="F534" s="12" t="s">
        <v>255</v>
      </c>
      <c r="G534" s="5" t="s">
        <v>256</v>
      </c>
      <c r="H534" s="12">
        <f t="shared" si="45"/>
        <v>11664</v>
      </c>
      <c r="I534" s="12" t="s">
        <v>1151</v>
      </c>
      <c r="J534" s="12" t="s">
        <v>230</v>
      </c>
      <c r="K534" s="12">
        <f t="shared" si="46"/>
        <v>345.59999999999997</v>
      </c>
      <c r="L534" s="12">
        <f t="shared" si="47"/>
        <v>1440</v>
      </c>
      <c r="M534" s="12">
        <v>3888</v>
      </c>
      <c r="N534" s="12">
        <v>576</v>
      </c>
      <c r="O534" s="12">
        <v>720</v>
      </c>
      <c r="P534" s="12" t="s">
        <v>1152</v>
      </c>
      <c r="Q534" s="12" t="s">
        <v>234</v>
      </c>
      <c r="R534" s="12" t="s">
        <v>223</v>
      </c>
      <c r="T534" s="12" t="s">
        <v>228</v>
      </c>
      <c r="U534" s="12" t="s">
        <v>228</v>
      </c>
      <c r="V534" s="12"/>
      <c r="W534" s="12"/>
    </row>
    <row r="535" spans="2:23">
      <c r="B535" s="12" t="s">
        <v>843</v>
      </c>
      <c r="C535" s="12" t="s">
        <v>228</v>
      </c>
      <c r="D535" s="12" t="s">
        <v>235</v>
      </c>
      <c r="E535" s="12" t="s">
        <v>224</v>
      </c>
      <c r="F535" s="12" t="s">
        <v>255</v>
      </c>
      <c r="G535" s="5" t="s">
        <v>256</v>
      </c>
      <c r="H535" s="12">
        <f t="shared" si="45"/>
        <v>0</v>
      </c>
      <c r="I535" s="12" t="s">
        <v>1151</v>
      </c>
      <c r="J535" s="12" t="s">
        <v>230</v>
      </c>
      <c r="K535" s="12">
        <f t="shared" si="46"/>
        <v>0</v>
      </c>
      <c r="L535" s="12">
        <f t="shared" si="47"/>
        <v>0</v>
      </c>
      <c r="M535" s="12"/>
      <c r="N535" s="12"/>
      <c r="O535" s="12"/>
      <c r="P535" s="12" t="s">
        <v>1152</v>
      </c>
      <c r="Q535" s="12" t="s">
        <v>234</v>
      </c>
      <c r="R535" s="12" t="s">
        <v>223</v>
      </c>
      <c r="T535" s="12" t="s">
        <v>228</v>
      </c>
      <c r="U535" s="12" t="s">
        <v>228</v>
      </c>
      <c r="V535" s="12"/>
      <c r="W535" s="12"/>
    </row>
    <row r="536" spans="2:23">
      <c r="B536" s="12" t="s">
        <v>844</v>
      </c>
      <c r="C536" s="12" t="s">
        <v>228</v>
      </c>
      <c r="D536" s="12" t="s">
        <v>235</v>
      </c>
      <c r="E536" s="12" t="s">
        <v>224</v>
      </c>
      <c r="F536" s="12" t="s">
        <v>255</v>
      </c>
      <c r="G536" s="5" t="s">
        <v>256</v>
      </c>
      <c r="H536" s="12">
        <f t="shared" si="45"/>
        <v>0</v>
      </c>
      <c r="I536" s="12" t="s">
        <v>1151</v>
      </c>
      <c r="J536" s="12" t="s">
        <v>230</v>
      </c>
      <c r="K536" s="12">
        <f t="shared" si="46"/>
        <v>0</v>
      </c>
      <c r="L536" s="12">
        <f t="shared" si="47"/>
        <v>0</v>
      </c>
      <c r="M536" s="12"/>
      <c r="N536" s="12"/>
      <c r="O536" s="12"/>
      <c r="P536" s="12" t="s">
        <v>1152</v>
      </c>
      <c r="Q536" s="12" t="s">
        <v>234</v>
      </c>
      <c r="R536" s="12" t="s">
        <v>223</v>
      </c>
      <c r="T536" s="12" t="s">
        <v>228</v>
      </c>
      <c r="U536" s="12" t="s">
        <v>228</v>
      </c>
      <c r="V536" s="12"/>
      <c r="W536" s="12"/>
    </row>
    <row r="537" spans="2:23">
      <c r="B537" s="12" t="s">
        <v>845</v>
      </c>
      <c r="C537" s="12" t="s">
        <v>228</v>
      </c>
      <c r="D537" s="12" t="s">
        <v>235</v>
      </c>
      <c r="E537" s="12" t="s">
        <v>224</v>
      </c>
      <c r="F537" s="12" t="s">
        <v>255</v>
      </c>
      <c r="G537" s="5" t="s">
        <v>256</v>
      </c>
      <c r="H537" s="12">
        <f t="shared" si="45"/>
        <v>0</v>
      </c>
      <c r="I537" s="12" t="s">
        <v>1151</v>
      </c>
      <c r="J537" s="12" t="s">
        <v>230</v>
      </c>
      <c r="K537" s="12">
        <f t="shared" si="46"/>
        <v>0</v>
      </c>
      <c r="L537" s="12">
        <f t="shared" si="47"/>
        <v>0</v>
      </c>
      <c r="M537" s="12"/>
      <c r="N537" s="12"/>
      <c r="O537" s="12"/>
      <c r="P537" s="12" t="s">
        <v>1152</v>
      </c>
      <c r="Q537" s="12" t="s">
        <v>234</v>
      </c>
      <c r="R537" s="12" t="s">
        <v>223</v>
      </c>
      <c r="T537" s="12" t="s">
        <v>228</v>
      </c>
      <c r="U537" s="12" t="s">
        <v>228</v>
      </c>
      <c r="V537" s="12"/>
      <c r="W537" s="12"/>
    </row>
    <row r="538" spans="2:23">
      <c r="B538" s="12"/>
      <c r="C538" s="12"/>
      <c r="D538" s="12"/>
      <c r="E538" s="12"/>
      <c r="F538" s="12"/>
      <c r="G538" s="5"/>
      <c r="H538" s="12"/>
      <c r="I538" s="12"/>
      <c r="J538" s="12"/>
      <c r="K538" s="12" t="str">
        <f t="shared" ref="K538" si="48">"防"&amp;I538</f>
        <v>防</v>
      </c>
      <c r="L538" s="12" t="str">
        <f t="shared" ref="L538:L578" si="49">"攻"&amp;J538</f>
        <v>攻</v>
      </c>
      <c r="M538" s="12"/>
      <c r="N538" s="12"/>
      <c r="O538" s="12"/>
      <c r="P538" s="12"/>
      <c r="Q538" s="12"/>
      <c r="R538" s="12"/>
      <c r="T538" s="12"/>
      <c r="U538" s="12"/>
      <c r="V538" s="12"/>
      <c r="W538" s="12"/>
    </row>
    <row r="539" spans="2:23">
      <c r="B539" s="12" t="s">
        <v>846</v>
      </c>
      <c r="C539" s="12" t="s">
        <v>228</v>
      </c>
      <c r="D539" s="12" t="s">
        <v>228</v>
      </c>
      <c r="E539" s="12" t="s">
        <v>224</v>
      </c>
      <c r="F539" s="12" t="s">
        <v>257</v>
      </c>
      <c r="G539" s="5" t="s">
        <v>258</v>
      </c>
      <c r="H539" s="12">
        <f>M539*$X$12</f>
        <v>720</v>
      </c>
      <c r="I539" s="12" t="s">
        <v>1148</v>
      </c>
      <c r="J539" s="12" t="s">
        <v>224</v>
      </c>
      <c r="K539" s="12">
        <f>N539*$Y$12</f>
        <v>100</v>
      </c>
      <c r="L539" s="12" t="str">
        <f t="shared" si="49"/>
        <v>攻无</v>
      </c>
      <c r="M539" s="12">
        <v>360</v>
      </c>
      <c r="N539" s="12">
        <v>40</v>
      </c>
      <c r="O539" s="12">
        <v>30</v>
      </c>
      <c r="P539" s="12" t="s">
        <v>1153</v>
      </c>
      <c r="Q539" s="12" t="s">
        <v>234</v>
      </c>
      <c r="R539" s="12" t="s">
        <v>235</v>
      </c>
      <c r="T539" s="12" t="s">
        <v>230</v>
      </c>
      <c r="U539" s="12" t="s">
        <v>230</v>
      </c>
      <c r="V539" s="12"/>
      <c r="W539" s="12"/>
    </row>
    <row r="540" spans="2:23">
      <c r="B540" s="12" t="s">
        <v>847</v>
      </c>
      <c r="C540" s="12" t="s">
        <v>228</v>
      </c>
      <c r="D540" s="12" t="s">
        <v>228</v>
      </c>
      <c r="E540" s="12" t="s">
        <v>224</v>
      </c>
      <c r="F540" s="12" t="s">
        <v>257</v>
      </c>
      <c r="G540" s="5" t="s">
        <v>258</v>
      </c>
      <c r="H540" s="12">
        <f t="shared" ref="H540:H586" si="50">M540*$X$12</f>
        <v>828</v>
      </c>
      <c r="I540" s="12" t="s">
        <v>1148</v>
      </c>
      <c r="J540" s="12" t="s">
        <v>224</v>
      </c>
      <c r="K540" s="12">
        <f t="shared" ref="K540:K586" si="51">N540*$Y$12</f>
        <v>115</v>
      </c>
      <c r="L540" s="12" t="str">
        <f t="shared" si="49"/>
        <v>攻无</v>
      </c>
      <c r="M540" s="12">
        <v>414</v>
      </c>
      <c r="N540" s="12">
        <v>46</v>
      </c>
      <c r="O540" s="12">
        <v>38</v>
      </c>
      <c r="P540" s="12" t="s">
        <v>1153</v>
      </c>
      <c r="Q540" s="12" t="s">
        <v>234</v>
      </c>
      <c r="R540" s="12" t="s">
        <v>235</v>
      </c>
      <c r="T540" s="12" t="s">
        <v>230</v>
      </c>
      <c r="U540" s="12" t="s">
        <v>230</v>
      </c>
      <c r="V540" s="12"/>
      <c r="W540" s="12"/>
    </row>
    <row r="541" spans="2:23">
      <c r="B541" s="12" t="s">
        <v>848</v>
      </c>
      <c r="C541" s="12" t="s">
        <v>228</v>
      </c>
      <c r="D541" s="12" t="s">
        <v>228</v>
      </c>
      <c r="E541" s="12" t="s">
        <v>224</v>
      </c>
      <c r="F541" s="12" t="s">
        <v>257</v>
      </c>
      <c r="G541" s="5" t="s">
        <v>258</v>
      </c>
      <c r="H541" s="12">
        <f t="shared" si="50"/>
        <v>864</v>
      </c>
      <c r="I541" s="12" t="s">
        <v>1148</v>
      </c>
      <c r="J541" s="12" t="s">
        <v>224</v>
      </c>
      <c r="K541" s="12">
        <f t="shared" si="51"/>
        <v>120</v>
      </c>
      <c r="L541" s="12" t="str">
        <f t="shared" si="49"/>
        <v>攻无</v>
      </c>
      <c r="M541" s="12">
        <v>432</v>
      </c>
      <c r="N541" s="12">
        <v>48</v>
      </c>
      <c r="O541" s="12">
        <v>42</v>
      </c>
      <c r="P541" s="12" t="s">
        <v>1153</v>
      </c>
      <c r="Q541" s="12" t="s">
        <v>234</v>
      </c>
      <c r="R541" s="12" t="s">
        <v>235</v>
      </c>
      <c r="T541" s="12" t="s">
        <v>230</v>
      </c>
      <c r="U541" s="12" t="s">
        <v>230</v>
      </c>
      <c r="V541" s="12"/>
      <c r="W541" s="12"/>
    </row>
    <row r="542" spans="2:23">
      <c r="B542" s="12" t="s">
        <v>849</v>
      </c>
      <c r="C542" s="12" t="s">
        <v>228</v>
      </c>
      <c r="D542" s="12" t="s">
        <v>228</v>
      </c>
      <c r="E542" s="12" t="s">
        <v>224</v>
      </c>
      <c r="F542" s="12" t="s">
        <v>257</v>
      </c>
      <c r="G542" s="5" t="s">
        <v>258</v>
      </c>
      <c r="H542" s="12">
        <f t="shared" si="50"/>
        <v>900</v>
      </c>
      <c r="I542" s="12" t="s">
        <v>1148</v>
      </c>
      <c r="J542" s="12" t="s">
        <v>224</v>
      </c>
      <c r="K542" s="12">
        <f t="shared" si="51"/>
        <v>125</v>
      </c>
      <c r="L542" s="12" t="str">
        <f t="shared" si="49"/>
        <v>攻无</v>
      </c>
      <c r="M542" s="12">
        <v>450</v>
      </c>
      <c r="N542" s="12">
        <v>50</v>
      </c>
      <c r="O542" s="12">
        <v>46</v>
      </c>
      <c r="P542" s="12" t="s">
        <v>1153</v>
      </c>
      <c r="Q542" s="12" t="s">
        <v>234</v>
      </c>
      <c r="R542" s="12" t="s">
        <v>235</v>
      </c>
      <c r="T542" s="12" t="s">
        <v>230</v>
      </c>
      <c r="U542" s="12" t="s">
        <v>230</v>
      </c>
      <c r="V542" s="12"/>
      <c r="W542" s="12"/>
    </row>
    <row r="543" spans="2:23">
      <c r="B543" s="12" t="s">
        <v>850</v>
      </c>
      <c r="C543" s="12" t="s">
        <v>228</v>
      </c>
      <c r="D543" s="12" t="s">
        <v>228</v>
      </c>
      <c r="E543" s="12" t="s">
        <v>224</v>
      </c>
      <c r="F543" s="12" t="s">
        <v>257</v>
      </c>
      <c r="G543" s="5" t="s">
        <v>258</v>
      </c>
      <c r="H543" s="12">
        <f t="shared" si="50"/>
        <v>936</v>
      </c>
      <c r="I543" s="12" t="s">
        <v>1148</v>
      </c>
      <c r="J543" s="12" t="s">
        <v>224</v>
      </c>
      <c r="K543" s="12">
        <f t="shared" si="51"/>
        <v>130</v>
      </c>
      <c r="L543" s="12" t="str">
        <f t="shared" si="49"/>
        <v>攻无</v>
      </c>
      <c r="M543" s="12">
        <v>468</v>
      </c>
      <c r="N543" s="12">
        <v>52</v>
      </c>
      <c r="O543" s="12">
        <v>50</v>
      </c>
      <c r="P543" s="12" t="s">
        <v>1153</v>
      </c>
      <c r="Q543" s="12" t="s">
        <v>234</v>
      </c>
      <c r="R543" s="12" t="s">
        <v>235</v>
      </c>
      <c r="T543" s="12" t="s">
        <v>230</v>
      </c>
      <c r="U543" s="12" t="s">
        <v>230</v>
      </c>
      <c r="V543" s="12"/>
      <c r="W543" s="12"/>
    </row>
    <row r="544" spans="2:23">
      <c r="B544" s="12" t="s">
        <v>851</v>
      </c>
      <c r="C544" s="12" t="s">
        <v>228</v>
      </c>
      <c r="D544" s="12" t="s">
        <v>228</v>
      </c>
      <c r="E544" s="12" t="s">
        <v>224</v>
      </c>
      <c r="F544" s="12" t="s">
        <v>257</v>
      </c>
      <c r="G544" s="5" t="s">
        <v>258</v>
      </c>
      <c r="H544" s="12">
        <f t="shared" si="50"/>
        <v>972</v>
      </c>
      <c r="I544" s="12" t="s">
        <v>1148</v>
      </c>
      <c r="J544" s="12" t="s">
        <v>224</v>
      </c>
      <c r="K544" s="12">
        <f t="shared" si="51"/>
        <v>135</v>
      </c>
      <c r="L544" s="12" t="str">
        <f t="shared" si="49"/>
        <v>攻无</v>
      </c>
      <c r="M544" s="12">
        <v>486</v>
      </c>
      <c r="N544" s="12">
        <v>54</v>
      </c>
      <c r="O544" s="12">
        <v>54</v>
      </c>
      <c r="P544" s="12" t="s">
        <v>1153</v>
      </c>
      <c r="Q544" s="12" t="s">
        <v>234</v>
      </c>
      <c r="R544" s="12" t="s">
        <v>235</v>
      </c>
      <c r="T544" s="12" t="s">
        <v>230</v>
      </c>
      <c r="U544" s="12" t="s">
        <v>230</v>
      </c>
      <c r="V544" s="12"/>
      <c r="W544" s="12"/>
    </row>
    <row r="545" spans="2:23">
      <c r="B545" s="12" t="s">
        <v>852</v>
      </c>
      <c r="C545" s="12" t="s">
        <v>228</v>
      </c>
      <c r="D545" s="12" t="s">
        <v>228</v>
      </c>
      <c r="E545" s="12" t="s">
        <v>224</v>
      </c>
      <c r="F545" s="12" t="s">
        <v>257</v>
      </c>
      <c r="G545" s="5" t="s">
        <v>258</v>
      </c>
      <c r="H545" s="12">
        <f t="shared" si="50"/>
        <v>1008</v>
      </c>
      <c r="I545" s="12" t="s">
        <v>1148</v>
      </c>
      <c r="J545" s="12" t="s">
        <v>224</v>
      </c>
      <c r="K545" s="12">
        <f t="shared" si="51"/>
        <v>140</v>
      </c>
      <c r="L545" s="12" t="str">
        <f t="shared" si="49"/>
        <v>攻无</v>
      </c>
      <c r="M545" s="12">
        <v>504</v>
      </c>
      <c r="N545" s="12">
        <v>56</v>
      </c>
      <c r="O545" s="12">
        <v>58</v>
      </c>
      <c r="P545" s="12" t="s">
        <v>1153</v>
      </c>
      <c r="Q545" s="12" t="s">
        <v>234</v>
      </c>
      <c r="R545" s="12" t="s">
        <v>235</v>
      </c>
      <c r="T545" s="12" t="s">
        <v>230</v>
      </c>
      <c r="U545" s="12" t="s">
        <v>230</v>
      </c>
      <c r="V545" s="12"/>
      <c r="W545" s="12"/>
    </row>
    <row r="546" spans="2:23">
      <c r="B546" s="12" t="s">
        <v>853</v>
      </c>
      <c r="C546" s="12" t="s">
        <v>228</v>
      </c>
      <c r="D546" s="12" t="s">
        <v>228</v>
      </c>
      <c r="E546" s="12" t="s">
        <v>224</v>
      </c>
      <c r="F546" s="12" t="s">
        <v>257</v>
      </c>
      <c r="G546" s="5" t="s">
        <v>258</v>
      </c>
      <c r="H546" s="12">
        <f t="shared" si="50"/>
        <v>1044</v>
      </c>
      <c r="I546" s="12" t="s">
        <v>1148</v>
      </c>
      <c r="J546" s="12" t="s">
        <v>224</v>
      </c>
      <c r="K546" s="12">
        <f t="shared" si="51"/>
        <v>145</v>
      </c>
      <c r="L546" s="12" t="str">
        <f t="shared" si="49"/>
        <v>攻无</v>
      </c>
      <c r="M546" s="12">
        <v>522</v>
      </c>
      <c r="N546" s="12">
        <v>58</v>
      </c>
      <c r="O546" s="12">
        <v>62</v>
      </c>
      <c r="P546" s="12" t="s">
        <v>1153</v>
      </c>
      <c r="Q546" s="12" t="s">
        <v>234</v>
      </c>
      <c r="R546" s="12" t="s">
        <v>235</v>
      </c>
      <c r="T546" s="12" t="s">
        <v>230</v>
      </c>
      <c r="U546" s="12" t="s">
        <v>230</v>
      </c>
      <c r="V546" s="12"/>
      <c r="W546" s="12"/>
    </row>
    <row r="547" spans="2:23">
      <c r="B547" s="12" t="s">
        <v>854</v>
      </c>
      <c r="C547" s="12" t="s">
        <v>228</v>
      </c>
      <c r="D547" s="12" t="s">
        <v>228</v>
      </c>
      <c r="E547" s="12" t="s">
        <v>224</v>
      </c>
      <c r="F547" s="12" t="s">
        <v>257</v>
      </c>
      <c r="G547" s="5" t="s">
        <v>258</v>
      </c>
      <c r="H547" s="12">
        <f t="shared" si="50"/>
        <v>1080</v>
      </c>
      <c r="I547" s="12" t="s">
        <v>1148</v>
      </c>
      <c r="J547" s="12" t="s">
        <v>224</v>
      </c>
      <c r="K547" s="12">
        <f t="shared" si="51"/>
        <v>150</v>
      </c>
      <c r="L547" s="12" t="str">
        <f t="shared" si="49"/>
        <v>攻无</v>
      </c>
      <c r="M547" s="12">
        <v>540</v>
      </c>
      <c r="N547" s="12">
        <v>60</v>
      </c>
      <c r="O547" s="12">
        <v>66</v>
      </c>
      <c r="P547" s="12" t="s">
        <v>1153</v>
      </c>
      <c r="Q547" s="12" t="s">
        <v>234</v>
      </c>
      <c r="R547" s="12" t="s">
        <v>235</v>
      </c>
      <c r="T547" s="12" t="s">
        <v>230</v>
      </c>
      <c r="U547" s="12" t="s">
        <v>230</v>
      </c>
      <c r="V547" s="12"/>
      <c r="W547" s="12"/>
    </row>
    <row r="548" spans="2:23">
      <c r="B548" s="12" t="s">
        <v>855</v>
      </c>
      <c r="C548" s="12" t="s">
        <v>228</v>
      </c>
      <c r="D548" s="12" t="s">
        <v>228</v>
      </c>
      <c r="E548" s="12" t="s">
        <v>224</v>
      </c>
      <c r="F548" s="12" t="s">
        <v>257</v>
      </c>
      <c r="G548" s="5" t="s">
        <v>258</v>
      </c>
      <c r="H548" s="12">
        <f t="shared" si="50"/>
        <v>1116</v>
      </c>
      <c r="I548" s="12" t="s">
        <v>1148</v>
      </c>
      <c r="J548" s="12" t="s">
        <v>224</v>
      </c>
      <c r="K548" s="12">
        <f t="shared" si="51"/>
        <v>155</v>
      </c>
      <c r="L548" s="12" t="str">
        <f t="shared" si="49"/>
        <v>攻无</v>
      </c>
      <c r="M548" s="12">
        <v>558</v>
      </c>
      <c r="N548" s="12">
        <v>62</v>
      </c>
      <c r="O548" s="12">
        <v>70</v>
      </c>
      <c r="P548" s="12" t="s">
        <v>1153</v>
      </c>
      <c r="Q548" s="12" t="s">
        <v>234</v>
      </c>
      <c r="R548" s="12" t="s">
        <v>235</v>
      </c>
      <c r="T548" s="12" t="s">
        <v>230</v>
      </c>
      <c r="U548" s="12" t="s">
        <v>230</v>
      </c>
      <c r="V548" s="12"/>
      <c r="W548" s="12"/>
    </row>
    <row r="549" spans="2:23">
      <c r="B549" s="12" t="s">
        <v>856</v>
      </c>
      <c r="C549" s="12" t="s">
        <v>228</v>
      </c>
      <c r="D549" s="12" t="s">
        <v>228</v>
      </c>
      <c r="E549" s="12" t="s">
        <v>224</v>
      </c>
      <c r="F549" s="12" t="s">
        <v>257</v>
      </c>
      <c r="G549" s="5" t="s">
        <v>258</v>
      </c>
      <c r="H549" s="12">
        <f t="shared" si="50"/>
        <v>1152</v>
      </c>
      <c r="I549" s="12" t="s">
        <v>1148</v>
      </c>
      <c r="J549" s="12" t="s">
        <v>224</v>
      </c>
      <c r="K549" s="12">
        <f t="shared" si="51"/>
        <v>160</v>
      </c>
      <c r="L549" s="12" t="str">
        <f t="shared" si="49"/>
        <v>攻无</v>
      </c>
      <c r="M549" s="12">
        <v>576</v>
      </c>
      <c r="N549" s="12">
        <v>64</v>
      </c>
      <c r="O549" s="12">
        <v>74</v>
      </c>
      <c r="P549" s="12" t="s">
        <v>1153</v>
      </c>
      <c r="Q549" s="12" t="s">
        <v>234</v>
      </c>
      <c r="R549" s="12" t="s">
        <v>235</v>
      </c>
      <c r="T549" s="12" t="s">
        <v>230</v>
      </c>
      <c r="U549" s="12" t="s">
        <v>230</v>
      </c>
      <c r="V549" s="12"/>
      <c r="W549" s="12"/>
    </row>
    <row r="550" spans="2:23">
      <c r="B550" s="12" t="s">
        <v>857</v>
      </c>
      <c r="C550" s="12" t="s">
        <v>228</v>
      </c>
      <c r="D550" s="12" t="s">
        <v>228</v>
      </c>
      <c r="E550" s="12" t="s">
        <v>224</v>
      </c>
      <c r="F550" s="12" t="s">
        <v>257</v>
      </c>
      <c r="G550" s="5" t="s">
        <v>258</v>
      </c>
      <c r="H550" s="12">
        <f t="shared" si="50"/>
        <v>1188</v>
      </c>
      <c r="I550" s="12" t="s">
        <v>1148</v>
      </c>
      <c r="J550" s="12" t="s">
        <v>224</v>
      </c>
      <c r="K550" s="12">
        <f t="shared" si="51"/>
        <v>165</v>
      </c>
      <c r="L550" s="12" t="str">
        <f t="shared" si="49"/>
        <v>攻无</v>
      </c>
      <c r="M550" s="12">
        <v>594</v>
      </c>
      <c r="N550" s="12">
        <v>66</v>
      </c>
      <c r="O550" s="12">
        <v>78</v>
      </c>
      <c r="P550" s="12" t="s">
        <v>1153</v>
      </c>
      <c r="Q550" s="12" t="s">
        <v>234</v>
      </c>
      <c r="R550" s="12" t="s">
        <v>235</v>
      </c>
      <c r="T550" s="12" t="s">
        <v>230</v>
      </c>
      <c r="U550" s="12" t="s">
        <v>230</v>
      </c>
      <c r="V550" s="12"/>
      <c r="W550" s="12"/>
    </row>
    <row r="551" spans="2:23">
      <c r="B551" s="12" t="s">
        <v>858</v>
      </c>
      <c r="C551" s="12" t="s">
        <v>228</v>
      </c>
      <c r="D551" s="12" t="s">
        <v>228</v>
      </c>
      <c r="E551" s="12" t="s">
        <v>224</v>
      </c>
      <c r="F551" s="12" t="s">
        <v>257</v>
      </c>
      <c r="G551" s="5" t="s">
        <v>258</v>
      </c>
      <c r="H551" s="12">
        <f t="shared" si="50"/>
        <v>1224</v>
      </c>
      <c r="I551" s="12" t="s">
        <v>1148</v>
      </c>
      <c r="J551" s="12" t="s">
        <v>224</v>
      </c>
      <c r="K551" s="12">
        <f t="shared" si="51"/>
        <v>170</v>
      </c>
      <c r="L551" s="12" t="str">
        <f t="shared" si="49"/>
        <v>攻无</v>
      </c>
      <c r="M551" s="12">
        <v>612</v>
      </c>
      <c r="N551" s="12">
        <v>68</v>
      </c>
      <c r="O551" s="12">
        <v>82</v>
      </c>
      <c r="P551" s="12" t="s">
        <v>1153</v>
      </c>
      <c r="Q551" s="12" t="s">
        <v>234</v>
      </c>
      <c r="R551" s="12" t="s">
        <v>235</v>
      </c>
      <c r="T551" s="12" t="s">
        <v>230</v>
      </c>
      <c r="U551" s="12" t="s">
        <v>230</v>
      </c>
      <c r="V551" s="12"/>
      <c r="W551" s="12"/>
    </row>
    <row r="552" spans="2:23">
      <c r="B552" s="12" t="s">
        <v>859</v>
      </c>
      <c r="C552" s="12" t="s">
        <v>228</v>
      </c>
      <c r="D552" s="12" t="s">
        <v>228</v>
      </c>
      <c r="E552" s="12" t="s">
        <v>224</v>
      </c>
      <c r="F552" s="12" t="s">
        <v>257</v>
      </c>
      <c r="G552" s="5" t="s">
        <v>258</v>
      </c>
      <c r="H552" s="12">
        <f t="shared" si="50"/>
        <v>1260</v>
      </c>
      <c r="I552" s="12" t="s">
        <v>1148</v>
      </c>
      <c r="J552" s="12" t="s">
        <v>224</v>
      </c>
      <c r="K552" s="12">
        <f t="shared" si="51"/>
        <v>175</v>
      </c>
      <c r="L552" s="12" t="str">
        <f t="shared" si="49"/>
        <v>攻无</v>
      </c>
      <c r="M552" s="12">
        <v>630</v>
      </c>
      <c r="N552" s="12">
        <v>70</v>
      </c>
      <c r="O552" s="12">
        <v>86</v>
      </c>
      <c r="P552" s="12" t="s">
        <v>1153</v>
      </c>
      <c r="Q552" s="12" t="s">
        <v>234</v>
      </c>
      <c r="R552" s="12" t="s">
        <v>235</v>
      </c>
      <c r="T552" s="12" t="s">
        <v>230</v>
      </c>
      <c r="U552" s="12" t="s">
        <v>230</v>
      </c>
      <c r="V552" s="12"/>
      <c r="W552" s="12"/>
    </row>
    <row r="553" spans="2:23">
      <c r="B553" s="12" t="s">
        <v>860</v>
      </c>
      <c r="C553" s="12" t="s">
        <v>228</v>
      </c>
      <c r="D553" s="12" t="s">
        <v>228</v>
      </c>
      <c r="E553" s="12" t="s">
        <v>224</v>
      </c>
      <c r="F553" s="12" t="s">
        <v>257</v>
      </c>
      <c r="G553" s="5" t="s">
        <v>258</v>
      </c>
      <c r="H553" s="12">
        <f t="shared" si="50"/>
        <v>2128</v>
      </c>
      <c r="I553" s="12" t="s">
        <v>1148</v>
      </c>
      <c r="J553" s="12" t="s">
        <v>224</v>
      </c>
      <c r="K553" s="12">
        <f t="shared" si="51"/>
        <v>380</v>
      </c>
      <c r="L553" s="12" t="str">
        <f t="shared" si="49"/>
        <v>攻无</v>
      </c>
      <c r="M553" s="12">
        <v>1064</v>
      </c>
      <c r="N553" s="12">
        <v>152</v>
      </c>
      <c r="O553" s="12">
        <v>121.5</v>
      </c>
      <c r="P553" s="12" t="s">
        <v>1153</v>
      </c>
      <c r="Q553" s="12" t="s">
        <v>234</v>
      </c>
      <c r="R553" s="12" t="s">
        <v>235</v>
      </c>
      <c r="T553" s="12" t="s">
        <v>230</v>
      </c>
      <c r="U553" s="12" t="s">
        <v>230</v>
      </c>
      <c r="V553" s="12"/>
      <c r="W553" s="12"/>
    </row>
    <row r="554" spans="2:23">
      <c r="B554" s="12" t="s">
        <v>861</v>
      </c>
      <c r="C554" s="12" t="s">
        <v>228</v>
      </c>
      <c r="D554" s="12" t="s">
        <v>228</v>
      </c>
      <c r="E554" s="12" t="s">
        <v>224</v>
      </c>
      <c r="F554" s="12" t="s">
        <v>257</v>
      </c>
      <c r="G554" s="5" t="s">
        <v>258</v>
      </c>
      <c r="H554" s="12">
        <f t="shared" si="50"/>
        <v>2184</v>
      </c>
      <c r="I554" s="12" t="s">
        <v>1148</v>
      </c>
      <c r="J554" s="12" t="s">
        <v>224</v>
      </c>
      <c r="K554" s="12">
        <f t="shared" si="51"/>
        <v>390</v>
      </c>
      <c r="L554" s="12" t="str">
        <f t="shared" si="49"/>
        <v>攻无</v>
      </c>
      <c r="M554" s="12">
        <v>1092</v>
      </c>
      <c r="N554" s="12">
        <v>156</v>
      </c>
      <c r="O554" s="12">
        <v>127.57499999999999</v>
      </c>
      <c r="P554" s="12" t="s">
        <v>1153</v>
      </c>
      <c r="Q554" s="12" t="s">
        <v>234</v>
      </c>
      <c r="R554" s="12" t="s">
        <v>235</v>
      </c>
      <c r="T554" s="12" t="s">
        <v>230</v>
      </c>
      <c r="U554" s="12" t="s">
        <v>230</v>
      </c>
      <c r="V554" s="12"/>
      <c r="W554" s="12"/>
    </row>
    <row r="555" spans="2:23">
      <c r="B555" s="12" t="s">
        <v>862</v>
      </c>
      <c r="C555" s="12" t="s">
        <v>228</v>
      </c>
      <c r="D555" s="12" t="s">
        <v>228</v>
      </c>
      <c r="E555" s="12" t="s">
        <v>224</v>
      </c>
      <c r="F555" s="12" t="s">
        <v>257</v>
      </c>
      <c r="G555" s="5" t="s">
        <v>258</v>
      </c>
      <c r="H555" s="12">
        <f t="shared" si="50"/>
        <v>2240</v>
      </c>
      <c r="I555" s="12" t="s">
        <v>1148</v>
      </c>
      <c r="J555" s="12" t="s">
        <v>224</v>
      </c>
      <c r="K555" s="12">
        <f t="shared" si="51"/>
        <v>400</v>
      </c>
      <c r="L555" s="12" t="str">
        <f t="shared" si="49"/>
        <v>攻无</v>
      </c>
      <c r="M555" s="12">
        <v>1120</v>
      </c>
      <c r="N555" s="12">
        <v>160</v>
      </c>
      <c r="O555" s="12">
        <v>133.65</v>
      </c>
      <c r="P555" s="12" t="s">
        <v>1153</v>
      </c>
      <c r="Q555" s="12" t="s">
        <v>234</v>
      </c>
      <c r="R555" s="12" t="s">
        <v>235</v>
      </c>
      <c r="T555" s="12" t="s">
        <v>230</v>
      </c>
      <c r="U555" s="12" t="s">
        <v>230</v>
      </c>
      <c r="V555" s="12"/>
      <c r="W555" s="12"/>
    </row>
    <row r="556" spans="2:23">
      <c r="B556" s="12" t="s">
        <v>863</v>
      </c>
      <c r="C556" s="12" t="s">
        <v>228</v>
      </c>
      <c r="D556" s="12" t="s">
        <v>228</v>
      </c>
      <c r="E556" s="12" t="s">
        <v>224</v>
      </c>
      <c r="F556" s="12" t="s">
        <v>257</v>
      </c>
      <c r="G556" s="5" t="s">
        <v>258</v>
      </c>
      <c r="H556" s="12">
        <f t="shared" si="50"/>
        <v>2296</v>
      </c>
      <c r="I556" s="12" t="s">
        <v>1148</v>
      </c>
      <c r="J556" s="12" t="s">
        <v>224</v>
      </c>
      <c r="K556" s="12">
        <f t="shared" si="51"/>
        <v>410</v>
      </c>
      <c r="L556" s="12" t="str">
        <f t="shared" si="49"/>
        <v>攻无</v>
      </c>
      <c r="M556" s="12">
        <v>1148</v>
      </c>
      <c r="N556" s="12">
        <v>164</v>
      </c>
      <c r="O556" s="12">
        <v>139.72499999999999</v>
      </c>
      <c r="P556" s="12" t="s">
        <v>1153</v>
      </c>
      <c r="Q556" s="12" t="s">
        <v>234</v>
      </c>
      <c r="R556" s="12" t="s">
        <v>235</v>
      </c>
      <c r="T556" s="12" t="s">
        <v>230</v>
      </c>
      <c r="U556" s="12" t="s">
        <v>230</v>
      </c>
      <c r="V556" s="12"/>
      <c r="W556" s="12"/>
    </row>
    <row r="557" spans="2:23">
      <c r="B557" s="12" t="s">
        <v>864</v>
      </c>
      <c r="C557" s="12" t="s">
        <v>228</v>
      </c>
      <c r="D557" s="12" t="s">
        <v>228</v>
      </c>
      <c r="E557" s="12" t="s">
        <v>224</v>
      </c>
      <c r="F557" s="12" t="s">
        <v>257</v>
      </c>
      <c r="G557" s="5" t="s">
        <v>258</v>
      </c>
      <c r="H557" s="12">
        <f t="shared" si="50"/>
        <v>2352</v>
      </c>
      <c r="I557" s="12" t="s">
        <v>1148</v>
      </c>
      <c r="J557" s="12" t="s">
        <v>224</v>
      </c>
      <c r="K557" s="12">
        <f t="shared" si="51"/>
        <v>420</v>
      </c>
      <c r="L557" s="12" t="str">
        <f t="shared" si="49"/>
        <v>攻无</v>
      </c>
      <c r="M557" s="12">
        <v>1176</v>
      </c>
      <c r="N557" s="12">
        <v>168</v>
      </c>
      <c r="O557" s="12">
        <v>145.79999999999998</v>
      </c>
      <c r="P557" s="12" t="s">
        <v>1153</v>
      </c>
      <c r="Q557" s="12" t="s">
        <v>234</v>
      </c>
      <c r="R557" s="12" t="s">
        <v>235</v>
      </c>
      <c r="T557" s="12" t="s">
        <v>230</v>
      </c>
      <c r="U557" s="12" t="s">
        <v>230</v>
      </c>
      <c r="V557" s="12"/>
      <c r="W557" s="12"/>
    </row>
    <row r="558" spans="2:23">
      <c r="B558" s="12" t="s">
        <v>865</v>
      </c>
      <c r="C558" s="12" t="s">
        <v>228</v>
      </c>
      <c r="D558" s="12" t="s">
        <v>228</v>
      </c>
      <c r="E558" s="12" t="s">
        <v>224</v>
      </c>
      <c r="F558" s="12" t="s">
        <v>257</v>
      </c>
      <c r="G558" s="5" t="s">
        <v>258</v>
      </c>
      <c r="H558" s="12">
        <f t="shared" si="50"/>
        <v>2408</v>
      </c>
      <c r="I558" s="12" t="s">
        <v>1148</v>
      </c>
      <c r="J558" s="12" t="s">
        <v>224</v>
      </c>
      <c r="K558" s="12">
        <f t="shared" si="51"/>
        <v>430</v>
      </c>
      <c r="L558" s="12" t="str">
        <f t="shared" si="49"/>
        <v>攻无</v>
      </c>
      <c r="M558" s="12">
        <v>1204</v>
      </c>
      <c r="N558" s="12">
        <v>172</v>
      </c>
      <c r="O558" s="12">
        <v>151.875</v>
      </c>
      <c r="P558" s="12" t="s">
        <v>1153</v>
      </c>
      <c r="Q558" s="12" t="s">
        <v>234</v>
      </c>
      <c r="R558" s="12" t="s">
        <v>235</v>
      </c>
      <c r="T558" s="12" t="s">
        <v>230</v>
      </c>
      <c r="U558" s="12" t="s">
        <v>230</v>
      </c>
      <c r="V558" s="12"/>
      <c r="W558" s="12"/>
    </row>
    <row r="559" spans="2:23">
      <c r="B559" s="12" t="s">
        <v>866</v>
      </c>
      <c r="C559" s="12" t="s">
        <v>228</v>
      </c>
      <c r="D559" s="12" t="s">
        <v>228</v>
      </c>
      <c r="E559" s="12" t="s">
        <v>224</v>
      </c>
      <c r="F559" s="12" t="s">
        <v>257</v>
      </c>
      <c r="G559" s="5" t="s">
        <v>258</v>
      </c>
      <c r="H559" s="12">
        <f t="shared" si="50"/>
        <v>2464</v>
      </c>
      <c r="I559" s="12" t="s">
        <v>1148</v>
      </c>
      <c r="J559" s="12" t="s">
        <v>224</v>
      </c>
      <c r="K559" s="12">
        <f t="shared" si="51"/>
        <v>440</v>
      </c>
      <c r="L559" s="12" t="str">
        <f t="shared" si="49"/>
        <v>攻无</v>
      </c>
      <c r="M559" s="12">
        <v>1232</v>
      </c>
      <c r="N559" s="12">
        <v>176</v>
      </c>
      <c r="O559" s="12">
        <v>157.94999999999999</v>
      </c>
      <c r="P559" s="12" t="s">
        <v>1153</v>
      </c>
      <c r="Q559" s="12" t="s">
        <v>234</v>
      </c>
      <c r="R559" s="12" t="s">
        <v>235</v>
      </c>
      <c r="T559" s="12" t="s">
        <v>230</v>
      </c>
      <c r="U559" s="12" t="s">
        <v>230</v>
      </c>
      <c r="V559" s="12"/>
      <c r="W559" s="12"/>
    </row>
    <row r="560" spans="2:23">
      <c r="B560" s="12" t="s">
        <v>867</v>
      </c>
      <c r="C560" s="12" t="s">
        <v>228</v>
      </c>
      <c r="D560" s="12" t="s">
        <v>228</v>
      </c>
      <c r="E560" s="12" t="s">
        <v>224</v>
      </c>
      <c r="F560" s="12" t="s">
        <v>257</v>
      </c>
      <c r="G560" s="5" t="s">
        <v>258</v>
      </c>
      <c r="H560" s="12">
        <f t="shared" si="50"/>
        <v>2520</v>
      </c>
      <c r="I560" s="12" t="s">
        <v>1148</v>
      </c>
      <c r="J560" s="12" t="s">
        <v>224</v>
      </c>
      <c r="K560" s="12">
        <f t="shared" si="51"/>
        <v>450</v>
      </c>
      <c r="L560" s="12" t="str">
        <f t="shared" si="49"/>
        <v>攻无</v>
      </c>
      <c r="M560" s="12">
        <v>1260</v>
      </c>
      <c r="N560" s="12">
        <v>180</v>
      </c>
      <c r="O560" s="12">
        <v>164.02500000000001</v>
      </c>
      <c r="P560" s="12" t="s">
        <v>1153</v>
      </c>
      <c r="Q560" s="12" t="s">
        <v>234</v>
      </c>
      <c r="R560" s="12" t="s">
        <v>235</v>
      </c>
      <c r="T560" s="12" t="s">
        <v>230</v>
      </c>
      <c r="U560" s="12" t="s">
        <v>230</v>
      </c>
      <c r="V560" s="12"/>
      <c r="W560" s="12"/>
    </row>
    <row r="561" spans="2:23">
      <c r="B561" s="12" t="s">
        <v>868</v>
      </c>
      <c r="C561" s="12" t="s">
        <v>228</v>
      </c>
      <c r="D561" s="12" t="s">
        <v>228</v>
      </c>
      <c r="E561" s="12" t="s">
        <v>224</v>
      </c>
      <c r="F561" s="12" t="s">
        <v>257</v>
      </c>
      <c r="G561" s="5" t="s">
        <v>258</v>
      </c>
      <c r="H561" s="12">
        <f t="shared" si="50"/>
        <v>2576</v>
      </c>
      <c r="I561" s="12" t="s">
        <v>1148</v>
      </c>
      <c r="J561" s="12" t="s">
        <v>224</v>
      </c>
      <c r="K561" s="12">
        <f t="shared" si="51"/>
        <v>460</v>
      </c>
      <c r="L561" s="12" t="str">
        <f t="shared" si="49"/>
        <v>攻无</v>
      </c>
      <c r="M561" s="12">
        <v>1288</v>
      </c>
      <c r="N561" s="12">
        <v>184</v>
      </c>
      <c r="O561" s="12">
        <v>170.1</v>
      </c>
      <c r="P561" s="12" t="s">
        <v>1153</v>
      </c>
      <c r="Q561" s="12" t="s">
        <v>234</v>
      </c>
      <c r="R561" s="12" t="s">
        <v>235</v>
      </c>
      <c r="T561" s="12" t="s">
        <v>230</v>
      </c>
      <c r="U561" s="12" t="s">
        <v>230</v>
      </c>
      <c r="V561" s="12"/>
      <c r="W561" s="12"/>
    </row>
    <row r="562" spans="2:23">
      <c r="B562" s="12" t="s">
        <v>869</v>
      </c>
      <c r="C562" s="12" t="s">
        <v>228</v>
      </c>
      <c r="D562" s="12" t="s">
        <v>228</v>
      </c>
      <c r="E562" s="12" t="s">
        <v>224</v>
      </c>
      <c r="F562" s="12" t="s">
        <v>257</v>
      </c>
      <c r="G562" s="5" t="s">
        <v>258</v>
      </c>
      <c r="H562" s="12">
        <f t="shared" si="50"/>
        <v>2632</v>
      </c>
      <c r="I562" s="12" t="s">
        <v>1148</v>
      </c>
      <c r="J562" s="12" t="s">
        <v>224</v>
      </c>
      <c r="K562" s="12">
        <f t="shared" si="51"/>
        <v>470</v>
      </c>
      <c r="L562" s="12" t="str">
        <f t="shared" si="49"/>
        <v>攻无</v>
      </c>
      <c r="M562" s="12">
        <v>1316</v>
      </c>
      <c r="N562" s="12">
        <v>188</v>
      </c>
      <c r="O562" s="12">
        <v>176.17499999999998</v>
      </c>
      <c r="P562" s="12" t="s">
        <v>1153</v>
      </c>
      <c r="Q562" s="12" t="s">
        <v>234</v>
      </c>
      <c r="R562" s="12" t="s">
        <v>235</v>
      </c>
      <c r="T562" s="12" t="s">
        <v>230</v>
      </c>
      <c r="U562" s="12" t="s">
        <v>230</v>
      </c>
      <c r="V562" s="12"/>
      <c r="W562" s="12"/>
    </row>
    <row r="563" spans="2:23">
      <c r="B563" s="12" t="s">
        <v>870</v>
      </c>
      <c r="C563" s="12" t="s">
        <v>228</v>
      </c>
      <c r="D563" s="12" t="s">
        <v>228</v>
      </c>
      <c r="E563" s="12" t="s">
        <v>224</v>
      </c>
      <c r="F563" s="12" t="s">
        <v>257</v>
      </c>
      <c r="G563" s="5" t="s">
        <v>258</v>
      </c>
      <c r="H563" s="12">
        <f t="shared" si="50"/>
        <v>2688</v>
      </c>
      <c r="I563" s="12" t="s">
        <v>1148</v>
      </c>
      <c r="J563" s="12" t="s">
        <v>224</v>
      </c>
      <c r="K563" s="12">
        <f t="shared" si="51"/>
        <v>480</v>
      </c>
      <c r="L563" s="12" t="str">
        <f t="shared" si="49"/>
        <v>攻无</v>
      </c>
      <c r="M563" s="12">
        <v>1344</v>
      </c>
      <c r="N563" s="12">
        <v>192</v>
      </c>
      <c r="O563" s="12">
        <v>182.25</v>
      </c>
      <c r="P563" s="12" t="s">
        <v>1153</v>
      </c>
      <c r="Q563" s="12" t="s">
        <v>234</v>
      </c>
      <c r="R563" s="12" t="s">
        <v>235</v>
      </c>
      <c r="T563" s="12" t="s">
        <v>230</v>
      </c>
      <c r="U563" s="12" t="s">
        <v>230</v>
      </c>
      <c r="V563" s="12"/>
      <c r="W563" s="12"/>
    </row>
    <row r="564" spans="2:23">
      <c r="B564" s="12" t="s">
        <v>871</v>
      </c>
      <c r="C564" s="12" t="s">
        <v>228</v>
      </c>
      <c r="D564" s="12" t="s">
        <v>228</v>
      </c>
      <c r="E564" s="12" t="s">
        <v>224</v>
      </c>
      <c r="F564" s="12" t="s">
        <v>257</v>
      </c>
      <c r="G564" s="5" t="s">
        <v>258</v>
      </c>
      <c r="H564" s="12">
        <f t="shared" si="50"/>
        <v>2744</v>
      </c>
      <c r="I564" s="12" t="s">
        <v>1148</v>
      </c>
      <c r="J564" s="12" t="s">
        <v>224</v>
      </c>
      <c r="K564" s="12">
        <f t="shared" si="51"/>
        <v>490</v>
      </c>
      <c r="L564" s="12" t="str">
        <f t="shared" si="49"/>
        <v>攻无</v>
      </c>
      <c r="M564" s="12">
        <v>1372</v>
      </c>
      <c r="N564" s="12">
        <v>196</v>
      </c>
      <c r="O564" s="12">
        <v>188.32499999999999</v>
      </c>
      <c r="P564" s="12" t="s">
        <v>1153</v>
      </c>
      <c r="Q564" s="12" t="s">
        <v>234</v>
      </c>
      <c r="R564" s="12" t="s">
        <v>235</v>
      </c>
      <c r="T564" s="12" t="s">
        <v>230</v>
      </c>
      <c r="U564" s="12" t="s">
        <v>230</v>
      </c>
      <c r="V564" s="12"/>
      <c r="W564" s="12"/>
    </row>
    <row r="565" spans="2:23">
      <c r="B565" s="12" t="s">
        <v>872</v>
      </c>
      <c r="C565" s="12" t="s">
        <v>228</v>
      </c>
      <c r="D565" s="12" t="s">
        <v>228</v>
      </c>
      <c r="E565" s="12" t="s">
        <v>224</v>
      </c>
      <c r="F565" s="12" t="s">
        <v>257</v>
      </c>
      <c r="G565" s="5" t="s">
        <v>258</v>
      </c>
      <c r="H565" s="12">
        <f t="shared" si="50"/>
        <v>2800</v>
      </c>
      <c r="I565" s="12" t="s">
        <v>1148</v>
      </c>
      <c r="J565" s="12" t="s">
        <v>224</v>
      </c>
      <c r="K565" s="12">
        <f t="shared" si="51"/>
        <v>500</v>
      </c>
      <c r="L565" s="12" t="str">
        <f t="shared" si="49"/>
        <v>攻无</v>
      </c>
      <c r="M565" s="12">
        <v>1400</v>
      </c>
      <c r="N565" s="12">
        <v>200</v>
      </c>
      <c r="O565" s="12">
        <v>194.39999999999998</v>
      </c>
      <c r="P565" s="12" t="s">
        <v>1153</v>
      </c>
      <c r="Q565" s="12" t="s">
        <v>234</v>
      </c>
      <c r="R565" s="12" t="s">
        <v>235</v>
      </c>
      <c r="T565" s="12" t="s">
        <v>230</v>
      </c>
      <c r="U565" s="12" t="s">
        <v>230</v>
      </c>
      <c r="V565" s="12"/>
      <c r="W565" s="12"/>
    </row>
    <row r="566" spans="2:23">
      <c r="B566" s="12" t="s">
        <v>873</v>
      </c>
      <c r="C566" s="12" t="s">
        <v>228</v>
      </c>
      <c r="D566" s="12" t="s">
        <v>228</v>
      </c>
      <c r="E566" s="12" t="s">
        <v>224</v>
      </c>
      <c r="F566" s="12" t="s">
        <v>257</v>
      </c>
      <c r="G566" s="5" t="s">
        <v>258</v>
      </c>
      <c r="H566" s="12">
        <f t="shared" si="50"/>
        <v>2856</v>
      </c>
      <c r="I566" s="12" t="s">
        <v>1148</v>
      </c>
      <c r="J566" s="12" t="s">
        <v>224</v>
      </c>
      <c r="K566" s="12">
        <f t="shared" si="51"/>
        <v>510</v>
      </c>
      <c r="L566" s="12" t="str">
        <f t="shared" si="49"/>
        <v>攻无</v>
      </c>
      <c r="M566" s="12">
        <v>1428</v>
      </c>
      <c r="N566" s="12">
        <v>204</v>
      </c>
      <c r="O566" s="12">
        <v>200.47499999999999</v>
      </c>
      <c r="P566" s="12" t="s">
        <v>1153</v>
      </c>
      <c r="Q566" s="12" t="s">
        <v>234</v>
      </c>
      <c r="R566" s="12" t="s">
        <v>235</v>
      </c>
      <c r="T566" s="12" t="s">
        <v>230</v>
      </c>
      <c r="U566" s="12" t="s">
        <v>230</v>
      </c>
      <c r="V566" s="12"/>
      <c r="W566" s="12"/>
    </row>
    <row r="567" spans="2:23">
      <c r="B567" s="12" t="s">
        <v>874</v>
      </c>
      <c r="C567" s="12" t="s">
        <v>228</v>
      </c>
      <c r="D567" s="12" t="s">
        <v>228</v>
      </c>
      <c r="E567" s="12" t="s">
        <v>224</v>
      </c>
      <c r="F567" s="12" t="s">
        <v>257</v>
      </c>
      <c r="G567" s="5" t="s">
        <v>258</v>
      </c>
      <c r="H567" s="12">
        <f t="shared" si="50"/>
        <v>2912</v>
      </c>
      <c r="I567" s="12" t="s">
        <v>1148</v>
      </c>
      <c r="J567" s="12" t="s">
        <v>224</v>
      </c>
      <c r="K567" s="12">
        <f t="shared" si="51"/>
        <v>520</v>
      </c>
      <c r="L567" s="12" t="str">
        <f t="shared" si="49"/>
        <v>攻无</v>
      </c>
      <c r="M567" s="12">
        <v>1456</v>
      </c>
      <c r="N567" s="12">
        <v>208</v>
      </c>
      <c r="O567" s="12">
        <v>206.54999999999998</v>
      </c>
      <c r="P567" s="12" t="s">
        <v>1153</v>
      </c>
      <c r="Q567" s="12" t="s">
        <v>234</v>
      </c>
      <c r="R567" s="12" t="s">
        <v>235</v>
      </c>
      <c r="T567" s="12" t="s">
        <v>230</v>
      </c>
      <c r="U567" s="12" t="s">
        <v>230</v>
      </c>
      <c r="V567" s="12"/>
      <c r="W567" s="12"/>
    </row>
    <row r="568" spans="2:23">
      <c r="B568" s="12" t="s">
        <v>875</v>
      </c>
      <c r="C568" s="12" t="s">
        <v>228</v>
      </c>
      <c r="D568" s="12" t="s">
        <v>228</v>
      </c>
      <c r="E568" s="12" t="s">
        <v>224</v>
      </c>
      <c r="F568" s="12" t="s">
        <v>257</v>
      </c>
      <c r="G568" s="5" t="s">
        <v>258</v>
      </c>
      <c r="H568" s="12">
        <f t="shared" si="50"/>
        <v>4400</v>
      </c>
      <c r="I568" s="12" t="s">
        <v>1148</v>
      </c>
      <c r="J568" s="12" t="s">
        <v>224</v>
      </c>
      <c r="K568" s="12">
        <f t="shared" si="51"/>
        <v>825</v>
      </c>
      <c r="L568" s="12" t="str">
        <f t="shared" si="49"/>
        <v>攻无</v>
      </c>
      <c r="M568" s="12">
        <v>2200</v>
      </c>
      <c r="N568" s="12">
        <v>330</v>
      </c>
      <c r="O568" s="12">
        <v>273.375</v>
      </c>
      <c r="P568" s="12" t="s">
        <v>1153</v>
      </c>
      <c r="Q568" s="12" t="s">
        <v>234</v>
      </c>
      <c r="R568" s="12" t="s">
        <v>235</v>
      </c>
      <c r="T568" s="12" t="s">
        <v>230</v>
      </c>
      <c r="U568" s="12" t="s">
        <v>230</v>
      </c>
      <c r="V568" s="12"/>
      <c r="W568" s="12"/>
    </row>
    <row r="569" spans="2:23">
      <c r="B569" s="12" t="s">
        <v>876</v>
      </c>
      <c r="C569" s="12" t="s">
        <v>228</v>
      </c>
      <c r="D569" s="12" t="s">
        <v>228</v>
      </c>
      <c r="E569" s="12" t="s">
        <v>224</v>
      </c>
      <c r="F569" s="12" t="s">
        <v>257</v>
      </c>
      <c r="G569" s="5" t="s">
        <v>258</v>
      </c>
      <c r="H569" s="12">
        <f t="shared" si="50"/>
        <v>4480</v>
      </c>
      <c r="I569" s="12" t="s">
        <v>1148</v>
      </c>
      <c r="J569" s="12" t="s">
        <v>224</v>
      </c>
      <c r="K569" s="12">
        <f t="shared" si="51"/>
        <v>840</v>
      </c>
      <c r="L569" s="12" t="str">
        <f t="shared" si="49"/>
        <v>攻无</v>
      </c>
      <c r="M569" s="12">
        <v>2240</v>
      </c>
      <c r="N569" s="12">
        <v>336</v>
      </c>
      <c r="O569" s="12">
        <v>281.47499999999997</v>
      </c>
      <c r="P569" s="12" t="s">
        <v>1153</v>
      </c>
      <c r="Q569" s="12" t="s">
        <v>234</v>
      </c>
      <c r="R569" s="12" t="s">
        <v>235</v>
      </c>
      <c r="T569" s="12" t="s">
        <v>230</v>
      </c>
      <c r="U569" s="12" t="s">
        <v>230</v>
      </c>
      <c r="V569" s="12"/>
      <c r="W569" s="12"/>
    </row>
    <row r="570" spans="2:23">
      <c r="B570" s="12" t="s">
        <v>877</v>
      </c>
      <c r="C570" s="12" t="s">
        <v>228</v>
      </c>
      <c r="D570" s="12" t="s">
        <v>228</v>
      </c>
      <c r="E570" s="12" t="s">
        <v>224</v>
      </c>
      <c r="F570" s="12" t="s">
        <v>257</v>
      </c>
      <c r="G570" s="5" t="s">
        <v>258</v>
      </c>
      <c r="H570" s="12">
        <f t="shared" si="50"/>
        <v>4560</v>
      </c>
      <c r="I570" s="12" t="s">
        <v>1148</v>
      </c>
      <c r="J570" s="12" t="s">
        <v>224</v>
      </c>
      <c r="K570" s="12">
        <f t="shared" si="51"/>
        <v>855</v>
      </c>
      <c r="L570" s="12" t="str">
        <f t="shared" si="49"/>
        <v>攻无</v>
      </c>
      <c r="M570" s="12">
        <v>2280</v>
      </c>
      <c r="N570" s="12">
        <v>342</v>
      </c>
      <c r="O570" s="12">
        <v>289.57499999999999</v>
      </c>
      <c r="P570" s="12" t="s">
        <v>1153</v>
      </c>
      <c r="Q570" s="12" t="s">
        <v>234</v>
      </c>
      <c r="R570" s="12" t="s">
        <v>235</v>
      </c>
      <c r="T570" s="12" t="s">
        <v>230</v>
      </c>
      <c r="U570" s="12" t="s">
        <v>230</v>
      </c>
      <c r="V570" s="12"/>
      <c r="W570" s="12"/>
    </row>
    <row r="571" spans="2:23">
      <c r="B571" s="12" t="s">
        <v>878</v>
      </c>
      <c r="C571" s="12" t="s">
        <v>228</v>
      </c>
      <c r="D571" s="12" t="s">
        <v>228</v>
      </c>
      <c r="E571" s="12" t="s">
        <v>224</v>
      </c>
      <c r="F571" s="12" t="s">
        <v>257</v>
      </c>
      <c r="G571" s="5" t="s">
        <v>258</v>
      </c>
      <c r="H571" s="12">
        <f t="shared" si="50"/>
        <v>4640</v>
      </c>
      <c r="I571" s="12" t="s">
        <v>1148</v>
      </c>
      <c r="J571" s="12" t="s">
        <v>224</v>
      </c>
      <c r="K571" s="12">
        <f t="shared" si="51"/>
        <v>870</v>
      </c>
      <c r="L571" s="12" t="str">
        <f t="shared" si="49"/>
        <v>攻无</v>
      </c>
      <c r="M571" s="12">
        <v>2320</v>
      </c>
      <c r="N571" s="12">
        <v>348</v>
      </c>
      <c r="O571" s="12">
        <v>297.67500000000001</v>
      </c>
      <c r="P571" s="12" t="s">
        <v>1153</v>
      </c>
      <c r="Q571" s="12" t="s">
        <v>234</v>
      </c>
      <c r="R571" s="12" t="s">
        <v>235</v>
      </c>
      <c r="T571" s="12" t="s">
        <v>230</v>
      </c>
      <c r="U571" s="12" t="s">
        <v>230</v>
      </c>
      <c r="V571" s="12"/>
      <c r="W571" s="12"/>
    </row>
    <row r="572" spans="2:23">
      <c r="B572" s="12" t="s">
        <v>879</v>
      </c>
      <c r="C572" s="12" t="s">
        <v>228</v>
      </c>
      <c r="D572" s="12" t="s">
        <v>228</v>
      </c>
      <c r="E572" s="12" t="s">
        <v>224</v>
      </c>
      <c r="F572" s="12" t="s">
        <v>257</v>
      </c>
      <c r="G572" s="5" t="s">
        <v>258</v>
      </c>
      <c r="H572" s="12">
        <f t="shared" si="50"/>
        <v>4720</v>
      </c>
      <c r="I572" s="12" t="s">
        <v>1148</v>
      </c>
      <c r="J572" s="12" t="s">
        <v>224</v>
      </c>
      <c r="K572" s="12">
        <f t="shared" si="51"/>
        <v>885</v>
      </c>
      <c r="L572" s="12" t="str">
        <f t="shared" si="49"/>
        <v>攻无</v>
      </c>
      <c r="M572" s="12">
        <v>2360</v>
      </c>
      <c r="N572" s="12">
        <v>354</v>
      </c>
      <c r="O572" s="12">
        <v>305.77499999999998</v>
      </c>
      <c r="P572" s="12" t="s">
        <v>1153</v>
      </c>
      <c r="Q572" s="12" t="s">
        <v>234</v>
      </c>
      <c r="R572" s="12" t="s">
        <v>235</v>
      </c>
      <c r="T572" s="12" t="s">
        <v>230</v>
      </c>
      <c r="U572" s="12" t="s">
        <v>230</v>
      </c>
      <c r="V572" s="12"/>
      <c r="W572" s="12"/>
    </row>
    <row r="573" spans="2:23">
      <c r="B573" s="12" t="s">
        <v>880</v>
      </c>
      <c r="C573" s="12" t="s">
        <v>228</v>
      </c>
      <c r="D573" s="12" t="s">
        <v>228</v>
      </c>
      <c r="E573" s="12" t="s">
        <v>224</v>
      </c>
      <c r="F573" s="12" t="s">
        <v>257</v>
      </c>
      <c r="G573" s="5" t="s">
        <v>258</v>
      </c>
      <c r="H573" s="12">
        <f t="shared" si="50"/>
        <v>4800</v>
      </c>
      <c r="I573" s="12" t="s">
        <v>1148</v>
      </c>
      <c r="J573" s="12" t="s">
        <v>224</v>
      </c>
      <c r="K573" s="12">
        <f t="shared" si="51"/>
        <v>900</v>
      </c>
      <c r="L573" s="12" t="str">
        <f t="shared" si="49"/>
        <v>攻无</v>
      </c>
      <c r="M573" s="12">
        <v>2400</v>
      </c>
      <c r="N573" s="12">
        <v>360</v>
      </c>
      <c r="O573" s="12">
        <v>313.875</v>
      </c>
      <c r="P573" s="12" t="s">
        <v>1153</v>
      </c>
      <c r="Q573" s="12" t="s">
        <v>234</v>
      </c>
      <c r="R573" s="12" t="s">
        <v>235</v>
      </c>
      <c r="T573" s="12" t="s">
        <v>230</v>
      </c>
      <c r="U573" s="12" t="s">
        <v>230</v>
      </c>
      <c r="V573" s="12"/>
      <c r="W573" s="12"/>
    </row>
    <row r="574" spans="2:23">
      <c r="B574" s="12" t="s">
        <v>881</v>
      </c>
      <c r="C574" s="12" t="s">
        <v>228</v>
      </c>
      <c r="D574" s="12" t="s">
        <v>228</v>
      </c>
      <c r="E574" s="12" t="s">
        <v>224</v>
      </c>
      <c r="F574" s="12" t="s">
        <v>257</v>
      </c>
      <c r="G574" s="5" t="s">
        <v>258</v>
      </c>
      <c r="H574" s="12">
        <f t="shared" si="50"/>
        <v>4880</v>
      </c>
      <c r="I574" s="12" t="s">
        <v>1148</v>
      </c>
      <c r="J574" s="12" t="s">
        <v>224</v>
      </c>
      <c r="K574" s="12">
        <f t="shared" si="51"/>
        <v>915</v>
      </c>
      <c r="L574" s="12" t="str">
        <f t="shared" si="49"/>
        <v>攻无</v>
      </c>
      <c r="M574" s="12">
        <v>2440</v>
      </c>
      <c r="N574" s="12">
        <v>366</v>
      </c>
      <c r="O574" s="12">
        <v>321.97499999999997</v>
      </c>
      <c r="P574" s="12" t="s">
        <v>1153</v>
      </c>
      <c r="Q574" s="12" t="s">
        <v>234</v>
      </c>
      <c r="R574" s="12" t="s">
        <v>235</v>
      </c>
      <c r="T574" s="12" t="s">
        <v>230</v>
      </c>
      <c r="U574" s="12" t="s">
        <v>230</v>
      </c>
      <c r="V574" s="12"/>
      <c r="W574" s="12"/>
    </row>
    <row r="575" spans="2:23">
      <c r="B575" s="12" t="s">
        <v>882</v>
      </c>
      <c r="C575" s="12" t="s">
        <v>228</v>
      </c>
      <c r="D575" s="12" t="s">
        <v>228</v>
      </c>
      <c r="E575" s="12" t="s">
        <v>224</v>
      </c>
      <c r="F575" s="12" t="s">
        <v>257</v>
      </c>
      <c r="G575" s="5" t="s">
        <v>258</v>
      </c>
      <c r="H575" s="12">
        <f t="shared" si="50"/>
        <v>4960</v>
      </c>
      <c r="I575" s="12" t="s">
        <v>1148</v>
      </c>
      <c r="J575" s="12" t="s">
        <v>224</v>
      </c>
      <c r="K575" s="12">
        <f t="shared" si="51"/>
        <v>930</v>
      </c>
      <c r="L575" s="12" t="str">
        <f t="shared" si="49"/>
        <v>攻无</v>
      </c>
      <c r="M575" s="12">
        <v>2480</v>
      </c>
      <c r="N575" s="12">
        <v>372</v>
      </c>
      <c r="O575" s="12">
        <v>330.07499999999999</v>
      </c>
      <c r="P575" s="12" t="s">
        <v>1153</v>
      </c>
      <c r="Q575" s="12" t="s">
        <v>234</v>
      </c>
      <c r="R575" s="12" t="s">
        <v>235</v>
      </c>
      <c r="T575" s="12" t="s">
        <v>230</v>
      </c>
      <c r="U575" s="12" t="s">
        <v>230</v>
      </c>
      <c r="V575" s="12"/>
      <c r="W575" s="12"/>
    </row>
    <row r="576" spans="2:23">
      <c r="B576" s="12" t="s">
        <v>883</v>
      </c>
      <c r="C576" s="12" t="s">
        <v>228</v>
      </c>
      <c r="D576" s="12" t="s">
        <v>228</v>
      </c>
      <c r="E576" s="12" t="s">
        <v>224</v>
      </c>
      <c r="F576" s="12" t="s">
        <v>257</v>
      </c>
      <c r="G576" s="5" t="s">
        <v>258</v>
      </c>
      <c r="H576" s="12">
        <f t="shared" si="50"/>
        <v>5040</v>
      </c>
      <c r="I576" s="12" t="s">
        <v>1148</v>
      </c>
      <c r="J576" s="12" t="s">
        <v>224</v>
      </c>
      <c r="K576" s="12">
        <f t="shared" si="51"/>
        <v>945</v>
      </c>
      <c r="L576" s="12" t="str">
        <f t="shared" si="49"/>
        <v>攻无</v>
      </c>
      <c r="M576" s="12">
        <v>2520</v>
      </c>
      <c r="N576" s="12">
        <v>378</v>
      </c>
      <c r="O576" s="12">
        <v>338.17500000000001</v>
      </c>
      <c r="P576" s="12" t="s">
        <v>1153</v>
      </c>
      <c r="Q576" s="12" t="s">
        <v>234</v>
      </c>
      <c r="R576" s="12" t="s">
        <v>235</v>
      </c>
      <c r="T576" s="12" t="s">
        <v>230</v>
      </c>
      <c r="U576" s="12" t="s">
        <v>230</v>
      </c>
      <c r="V576" s="12"/>
      <c r="W576" s="12"/>
    </row>
    <row r="577" spans="2:23">
      <c r="B577" s="12" t="s">
        <v>884</v>
      </c>
      <c r="C577" s="12" t="s">
        <v>228</v>
      </c>
      <c r="D577" s="12" t="s">
        <v>228</v>
      </c>
      <c r="E577" s="12" t="s">
        <v>224</v>
      </c>
      <c r="F577" s="12" t="s">
        <v>257</v>
      </c>
      <c r="G577" s="5" t="s">
        <v>258</v>
      </c>
      <c r="H577" s="12">
        <f t="shared" si="50"/>
        <v>5120</v>
      </c>
      <c r="I577" s="12" t="s">
        <v>1148</v>
      </c>
      <c r="J577" s="12" t="s">
        <v>224</v>
      </c>
      <c r="K577" s="12">
        <f t="shared" si="51"/>
        <v>960</v>
      </c>
      <c r="L577" s="12" t="str">
        <f t="shared" si="49"/>
        <v>攻无</v>
      </c>
      <c r="M577" s="12">
        <v>2560</v>
      </c>
      <c r="N577" s="12">
        <v>384</v>
      </c>
      <c r="O577" s="12">
        <v>346.27499999999998</v>
      </c>
      <c r="P577" s="12" t="s">
        <v>1153</v>
      </c>
      <c r="Q577" s="12" t="s">
        <v>234</v>
      </c>
      <c r="R577" s="12" t="s">
        <v>235</v>
      </c>
      <c r="T577" s="12" t="s">
        <v>230</v>
      </c>
      <c r="U577" s="12" t="s">
        <v>230</v>
      </c>
      <c r="V577" s="12"/>
      <c r="W577" s="12"/>
    </row>
    <row r="578" spans="2:23">
      <c r="B578" s="12" t="s">
        <v>885</v>
      </c>
      <c r="C578" s="12" t="s">
        <v>228</v>
      </c>
      <c r="D578" s="12" t="s">
        <v>228</v>
      </c>
      <c r="E578" s="12" t="s">
        <v>224</v>
      </c>
      <c r="F578" s="12" t="s">
        <v>257</v>
      </c>
      <c r="G578" s="5" t="s">
        <v>258</v>
      </c>
      <c r="H578" s="12">
        <f t="shared" si="50"/>
        <v>5200</v>
      </c>
      <c r="I578" s="12" t="s">
        <v>1148</v>
      </c>
      <c r="J578" s="12" t="s">
        <v>224</v>
      </c>
      <c r="K578" s="12">
        <f t="shared" si="51"/>
        <v>975</v>
      </c>
      <c r="L578" s="12" t="str">
        <f t="shared" si="49"/>
        <v>攻无</v>
      </c>
      <c r="M578" s="12">
        <v>2600</v>
      </c>
      <c r="N578" s="12">
        <v>390</v>
      </c>
      <c r="O578" s="12">
        <v>354.375</v>
      </c>
      <c r="P578" s="12" t="s">
        <v>1153</v>
      </c>
      <c r="Q578" s="12" t="s">
        <v>234</v>
      </c>
      <c r="R578" s="12" t="s">
        <v>235</v>
      </c>
      <c r="T578" s="12" t="s">
        <v>230</v>
      </c>
      <c r="U578" s="12" t="s">
        <v>230</v>
      </c>
      <c r="V578" s="12"/>
      <c r="W578" s="12"/>
    </row>
    <row r="579" spans="2:23">
      <c r="B579" s="12" t="s">
        <v>886</v>
      </c>
      <c r="C579" s="12" t="s">
        <v>228</v>
      </c>
      <c r="D579" s="12" t="s">
        <v>228</v>
      </c>
      <c r="E579" s="12" t="s">
        <v>224</v>
      </c>
      <c r="F579" s="12" t="s">
        <v>257</v>
      </c>
      <c r="G579" s="5" t="s">
        <v>258</v>
      </c>
      <c r="H579" s="12">
        <f t="shared" si="50"/>
        <v>5280</v>
      </c>
      <c r="I579" s="12" t="s">
        <v>1148</v>
      </c>
      <c r="J579" s="12" t="s">
        <v>224</v>
      </c>
      <c r="K579" s="12">
        <f t="shared" si="51"/>
        <v>990</v>
      </c>
      <c r="L579" s="12" t="str">
        <f t="shared" ref="L579:L636" si="52">"攻"&amp;J579</f>
        <v>攻无</v>
      </c>
      <c r="M579" s="12">
        <v>2640</v>
      </c>
      <c r="N579" s="12">
        <v>396</v>
      </c>
      <c r="O579" s="12">
        <v>362.47499999999997</v>
      </c>
      <c r="P579" s="12" t="s">
        <v>1153</v>
      </c>
      <c r="Q579" s="12" t="s">
        <v>234</v>
      </c>
      <c r="R579" s="12" t="s">
        <v>235</v>
      </c>
      <c r="T579" s="12" t="s">
        <v>230</v>
      </c>
      <c r="U579" s="12" t="s">
        <v>230</v>
      </c>
      <c r="V579" s="12"/>
      <c r="W579" s="12"/>
    </row>
    <row r="580" spans="2:23">
      <c r="B580" s="12" t="s">
        <v>887</v>
      </c>
      <c r="C580" s="12" t="s">
        <v>228</v>
      </c>
      <c r="D580" s="12" t="s">
        <v>228</v>
      </c>
      <c r="E580" s="12" t="s">
        <v>224</v>
      </c>
      <c r="F580" s="12" t="s">
        <v>257</v>
      </c>
      <c r="G580" s="5" t="s">
        <v>258</v>
      </c>
      <c r="H580" s="12">
        <f t="shared" si="50"/>
        <v>5360</v>
      </c>
      <c r="I580" s="12" t="s">
        <v>1148</v>
      </c>
      <c r="J580" s="12" t="s">
        <v>224</v>
      </c>
      <c r="K580" s="12">
        <f t="shared" si="51"/>
        <v>1005</v>
      </c>
      <c r="L580" s="12" t="str">
        <f t="shared" si="52"/>
        <v>攻无</v>
      </c>
      <c r="M580" s="12">
        <v>2680</v>
      </c>
      <c r="N580" s="12">
        <v>402</v>
      </c>
      <c r="O580" s="12">
        <v>370.57499999999999</v>
      </c>
      <c r="P580" s="12" t="s">
        <v>1153</v>
      </c>
      <c r="Q580" s="12" t="s">
        <v>234</v>
      </c>
      <c r="R580" s="12" t="s">
        <v>235</v>
      </c>
      <c r="T580" s="12" t="s">
        <v>230</v>
      </c>
      <c r="U580" s="12" t="s">
        <v>230</v>
      </c>
      <c r="V580" s="12"/>
      <c r="W580" s="12"/>
    </row>
    <row r="581" spans="2:23">
      <c r="B581" s="12" t="s">
        <v>888</v>
      </c>
      <c r="C581" s="12" t="s">
        <v>228</v>
      </c>
      <c r="D581" s="12" t="s">
        <v>228</v>
      </c>
      <c r="E581" s="12" t="s">
        <v>224</v>
      </c>
      <c r="F581" s="12" t="s">
        <v>257</v>
      </c>
      <c r="G581" s="5" t="s">
        <v>258</v>
      </c>
      <c r="H581" s="12">
        <f t="shared" si="50"/>
        <v>5440</v>
      </c>
      <c r="I581" s="12" t="s">
        <v>1148</v>
      </c>
      <c r="J581" s="12" t="s">
        <v>224</v>
      </c>
      <c r="K581" s="12">
        <f t="shared" si="51"/>
        <v>1020</v>
      </c>
      <c r="L581" s="12" t="str">
        <f t="shared" si="52"/>
        <v>攻无</v>
      </c>
      <c r="M581" s="12">
        <v>2720</v>
      </c>
      <c r="N581" s="12">
        <v>408</v>
      </c>
      <c r="O581" s="12">
        <v>378.67500000000001</v>
      </c>
      <c r="P581" s="12" t="s">
        <v>1153</v>
      </c>
      <c r="Q581" s="12" t="s">
        <v>234</v>
      </c>
      <c r="R581" s="12" t="s">
        <v>235</v>
      </c>
      <c r="T581" s="12" t="s">
        <v>230</v>
      </c>
      <c r="U581" s="12" t="s">
        <v>230</v>
      </c>
      <c r="V581" s="12"/>
      <c r="W581" s="12"/>
    </row>
    <row r="582" spans="2:23">
      <c r="B582" s="12" t="s">
        <v>889</v>
      </c>
      <c r="C582" s="12" t="s">
        <v>228</v>
      </c>
      <c r="D582" s="12" t="s">
        <v>228</v>
      </c>
      <c r="E582" s="12" t="s">
        <v>224</v>
      </c>
      <c r="F582" s="12" t="s">
        <v>257</v>
      </c>
      <c r="G582" s="5" t="s">
        <v>258</v>
      </c>
      <c r="H582" s="12">
        <f t="shared" si="50"/>
        <v>5520</v>
      </c>
      <c r="I582" s="12" t="s">
        <v>1148</v>
      </c>
      <c r="J582" s="12" t="s">
        <v>224</v>
      </c>
      <c r="K582" s="12">
        <f t="shared" si="51"/>
        <v>1035</v>
      </c>
      <c r="L582" s="12" t="str">
        <f t="shared" si="52"/>
        <v>攻无</v>
      </c>
      <c r="M582" s="12">
        <v>2760</v>
      </c>
      <c r="N582" s="12">
        <v>414</v>
      </c>
      <c r="O582" s="12">
        <v>386.77499999999998</v>
      </c>
      <c r="P582" s="12" t="s">
        <v>1153</v>
      </c>
      <c r="Q582" s="12" t="s">
        <v>234</v>
      </c>
      <c r="R582" s="12" t="s">
        <v>235</v>
      </c>
      <c r="T582" s="12" t="s">
        <v>230</v>
      </c>
      <c r="U582" s="12" t="s">
        <v>230</v>
      </c>
      <c r="V582" s="12"/>
      <c r="W582" s="12"/>
    </row>
    <row r="583" spans="2:23">
      <c r="B583" s="12" t="s">
        <v>890</v>
      </c>
      <c r="C583" s="12" t="s">
        <v>228</v>
      </c>
      <c r="D583" s="12" t="s">
        <v>228</v>
      </c>
      <c r="E583" s="12" t="s">
        <v>224</v>
      </c>
      <c r="F583" s="12" t="s">
        <v>257</v>
      </c>
      <c r="G583" s="5" t="s">
        <v>258</v>
      </c>
      <c r="H583" s="12">
        <f t="shared" si="50"/>
        <v>7776</v>
      </c>
      <c r="I583" s="12" t="s">
        <v>1148</v>
      </c>
      <c r="J583" s="12" t="s">
        <v>224</v>
      </c>
      <c r="K583" s="12">
        <f t="shared" si="51"/>
        <v>1440</v>
      </c>
      <c r="L583" s="12" t="str">
        <f t="shared" si="52"/>
        <v>攻无</v>
      </c>
      <c r="M583" s="12">
        <v>3888</v>
      </c>
      <c r="N583" s="12">
        <v>576</v>
      </c>
      <c r="O583" s="12">
        <v>720</v>
      </c>
      <c r="P583" s="12" t="s">
        <v>1153</v>
      </c>
      <c r="Q583" s="12" t="s">
        <v>234</v>
      </c>
      <c r="R583" s="12" t="s">
        <v>235</v>
      </c>
      <c r="T583" s="12" t="s">
        <v>230</v>
      </c>
      <c r="U583" s="12" t="s">
        <v>230</v>
      </c>
      <c r="V583" s="12"/>
      <c r="W583" s="12"/>
    </row>
    <row r="584" spans="2:23">
      <c r="B584" s="12" t="s">
        <v>891</v>
      </c>
      <c r="C584" s="12" t="s">
        <v>228</v>
      </c>
      <c r="D584" s="12" t="s">
        <v>228</v>
      </c>
      <c r="E584" s="12" t="s">
        <v>224</v>
      </c>
      <c r="F584" s="12" t="s">
        <v>257</v>
      </c>
      <c r="G584" s="5" t="s">
        <v>258</v>
      </c>
      <c r="H584" s="12">
        <f t="shared" si="50"/>
        <v>0</v>
      </c>
      <c r="I584" s="12" t="s">
        <v>1148</v>
      </c>
      <c r="J584" s="12" t="s">
        <v>224</v>
      </c>
      <c r="K584" s="12">
        <f t="shared" si="51"/>
        <v>0</v>
      </c>
      <c r="L584" s="12" t="str">
        <f t="shared" si="52"/>
        <v>攻无</v>
      </c>
      <c r="M584" s="12"/>
      <c r="N584" s="12"/>
      <c r="O584" s="12"/>
      <c r="P584" s="12" t="s">
        <v>1153</v>
      </c>
      <c r="Q584" s="12" t="s">
        <v>234</v>
      </c>
      <c r="R584" s="12" t="s">
        <v>235</v>
      </c>
      <c r="T584" s="12" t="s">
        <v>230</v>
      </c>
      <c r="U584" s="12" t="s">
        <v>230</v>
      </c>
      <c r="V584" s="12"/>
      <c r="W584" s="12"/>
    </row>
    <row r="585" spans="2:23">
      <c r="B585" s="12" t="s">
        <v>892</v>
      </c>
      <c r="C585" s="12" t="s">
        <v>228</v>
      </c>
      <c r="D585" s="12" t="s">
        <v>228</v>
      </c>
      <c r="E585" s="12" t="s">
        <v>224</v>
      </c>
      <c r="F585" s="12" t="s">
        <v>257</v>
      </c>
      <c r="G585" s="5" t="s">
        <v>258</v>
      </c>
      <c r="H585" s="12">
        <f t="shared" si="50"/>
        <v>0</v>
      </c>
      <c r="I585" s="12" t="s">
        <v>1148</v>
      </c>
      <c r="J585" s="12" t="s">
        <v>224</v>
      </c>
      <c r="K585" s="12">
        <f t="shared" si="51"/>
        <v>0</v>
      </c>
      <c r="L585" s="12" t="str">
        <f t="shared" si="52"/>
        <v>攻无</v>
      </c>
      <c r="M585" s="12"/>
      <c r="N585" s="12"/>
      <c r="O585" s="12"/>
      <c r="P585" s="12" t="s">
        <v>1153</v>
      </c>
      <c r="Q585" s="12" t="s">
        <v>234</v>
      </c>
      <c r="R585" s="12" t="s">
        <v>235</v>
      </c>
      <c r="T585" s="12" t="s">
        <v>230</v>
      </c>
      <c r="U585" s="12" t="s">
        <v>230</v>
      </c>
      <c r="V585" s="12"/>
      <c r="W585" s="12"/>
    </row>
    <row r="586" spans="2:23">
      <c r="B586" s="12" t="s">
        <v>893</v>
      </c>
      <c r="C586" s="12" t="s">
        <v>228</v>
      </c>
      <c r="D586" s="12" t="s">
        <v>228</v>
      </c>
      <c r="E586" s="12" t="s">
        <v>224</v>
      </c>
      <c r="F586" s="12" t="s">
        <v>257</v>
      </c>
      <c r="G586" s="5" t="s">
        <v>258</v>
      </c>
      <c r="H586" s="12">
        <f t="shared" si="50"/>
        <v>0</v>
      </c>
      <c r="I586" s="12" t="s">
        <v>1148</v>
      </c>
      <c r="J586" s="12" t="s">
        <v>224</v>
      </c>
      <c r="K586" s="12">
        <f t="shared" si="51"/>
        <v>0</v>
      </c>
      <c r="L586" s="12" t="str">
        <f t="shared" si="52"/>
        <v>攻无</v>
      </c>
      <c r="M586" s="12"/>
      <c r="N586" s="12"/>
      <c r="O586" s="12"/>
      <c r="P586" s="12" t="s">
        <v>1153</v>
      </c>
      <c r="Q586" s="12" t="s">
        <v>234</v>
      </c>
      <c r="R586" s="12" t="s">
        <v>235</v>
      </c>
      <c r="T586" s="12" t="s">
        <v>230</v>
      </c>
      <c r="U586" s="12" t="s">
        <v>230</v>
      </c>
      <c r="V586" s="12"/>
      <c r="W586" s="12"/>
    </row>
    <row r="587" spans="2:23">
      <c r="B587" s="12"/>
      <c r="C587" s="12"/>
      <c r="D587" s="12"/>
      <c r="E587" s="12"/>
      <c r="F587" s="12"/>
      <c r="G587" s="5"/>
      <c r="H587" s="12"/>
      <c r="I587" s="12"/>
      <c r="J587" s="12"/>
      <c r="K587" s="12" t="str">
        <f t="shared" ref="K587:K636" si="53">"防"&amp;I587</f>
        <v>防</v>
      </c>
      <c r="L587" s="12" t="str">
        <f t="shared" si="52"/>
        <v>攻</v>
      </c>
      <c r="M587" s="12"/>
      <c r="N587" s="12"/>
      <c r="O587" s="12"/>
      <c r="P587" s="12"/>
      <c r="Q587" s="12"/>
      <c r="R587" s="12"/>
      <c r="T587" s="12"/>
      <c r="U587" s="12"/>
      <c r="V587" s="12"/>
      <c r="W587" s="12"/>
    </row>
    <row r="588" spans="2:23">
      <c r="B588" s="12" t="s">
        <v>894</v>
      </c>
      <c r="C588" s="12" t="s">
        <v>228</v>
      </c>
      <c r="D588" s="12" t="s">
        <v>259</v>
      </c>
      <c r="E588" s="12" t="s">
        <v>224</v>
      </c>
      <c r="F588" s="12" t="s">
        <v>260</v>
      </c>
      <c r="G588" s="5" t="s">
        <v>1155</v>
      </c>
      <c r="H588" s="12">
        <f>M588*$X$8</f>
        <v>144</v>
      </c>
      <c r="I588" s="12" t="s">
        <v>1154</v>
      </c>
      <c r="J588" s="12" t="s">
        <v>238</v>
      </c>
      <c r="K588" s="12">
        <f>N588*$Z$8</f>
        <v>32</v>
      </c>
      <c r="L588" s="12">
        <f>O588*$Z$8</f>
        <v>24</v>
      </c>
      <c r="M588" s="12">
        <v>360</v>
      </c>
      <c r="N588" s="12">
        <v>40</v>
      </c>
      <c r="O588" s="12">
        <v>30</v>
      </c>
      <c r="P588" s="12" t="s">
        <v>261</v>
      </c>
      <c r="Q588" s="12" t="s">
        <v>234</v>
      </c>
      <c r="R588" s="12" t="s">
        <v>228</v>
      </c>
      <c r="T588" s="12" t="s">
        <v>228</v>
      </c>
      <c r="U588" s="12" t="s">
        <v>228</v>
      </c>
      <c r="V588" s="12"/>
      <c r="W588" s="12"/>
    </row>
    <row r="589" spans="2:23">
      <c r="B589" s="12" t="s">
        <v>895</v>
      </c>
      <c r="C589" s="12" t="s">
        <v>228</v>
      </c>
      <c r="D589" s="12" t="s">
        <v>259</v>
      </c>
      <c r="E589" s="12" t="s">
        <v>224</v>
      </c>
      <c r="F589" s="12" t="s">
        <v>260</v>
      </c>
      <c r="G589" s="5" t="s">
        <v>1155</v>
      </c>
      <c r="H589" s="12">
        <f t="shared" ref="H589:H635" si="54">M589*$X$8</f>
        <v>165.60000000000002</v>
      </c>
      <c r="I589" s="12" t="s">
        <v>1154</v>
      </c>
      <c r="J589" s="12" t="s">
        <v>238</v>
      </c>
      <c r="K589" s="12">
        <f t="shared" ref="K589:K635" si="55">N589*$Z$8</f>
        <v>36.800000000000004</v>
      </c>
      <c r="L589" s="12">
        <f t="shared" ref="L589:L635" si="56">O589*$Z$8</f>
        <v>30.400000000000002</v>
      </c>
      <c r="M589" s="12">
        <v>414</v>
      </c>
      <c r="N589" s="12">
        <v>46</v>
      </c>
      <c r="O589" s="12">
        <v>38</v>
      </c>
      <c r="P589" s="12" t="s">
        <v>261</v>
      </c>
      <c r="Q589" s="12" t="s">
        <v>234</v>
      </c>
      <c r="R589" s="12" t="s">
        <v>228</v>
      </c>
      <c r="T589" s="12" t="s">
        <v>228</v>
      </c>
      <c r="U589" s="12" t="s">
        <v>228</v>
      </c>
      <c r="V589" s="12"/>
      <c r="W589" s="12"/>
    </row>
    <row r="590" spans="2:23">
      <c r="B590" s="12" t="s">
        <v>896</v>
      </c>
      <c r="C590" s="12" t="s">
        <v>228</v>
      </c>
      <c r="D590" s="12" t="s">
        <v>259</v>
      </c>
      <c r="E590" s="12" t="s">
        <v>224</v>
      </c>
      <c r="F590" s="12" t="s">
        <v>260</v>
      </c>
      <c r="G590" s="5" t="s">
        <v>1155</v>
      </c>
      <c r="H590" s="12">
        <f t="shared" si="54"/>
        <v>172.8</v>
      </c>
      <c r="I590" s="12" t="s">
        <v>1154</v>
      </c>
      <c r="J590" s="12" t="s">
        <v>238</v>
      </c>
      <c r="K590" s="12">
        <f t="shared" si="55"/>
        <v>38.400000000000006</v>
      </c>
      <c r="L590" s="12">
        <f t="shared" si="56"/>
        <v>33.6</v>
      </c>
      <c r="M590" s="12">
        <v>432</v>
      </c>
      <c r="N590" s="12">
        <v>48</v>
      </c>
      <c r="O590" s="12">
        <v>42</v>
      </c>
      <c r="P590" s="12" t="s">
        <v>261</v>
      </c>
      <c r="Q590" s="12" t="s">
        <v>234</v>
      </c>
      <c r="R590" s="12" t="s">
        <v>228</v>
      </c>
      <c r="T590" s="12" t="s">
        <v>228</v>
      </c>
      <c r="U590" s="12" t="s">
        <v>228</v>
      </c>
      <c r="V590" s="12"/>
      <c r="W590" s="12"/>
    </row>
    <row r="591" spans="2:23">
      <c r="B591" s="12" t="s">
        <v>897</v>
      </c>
      <c r="C591" s="12" t="s">
        <v>228</v>
      </c>
      <c r="D591" s="12" t="s">
        <v>259</v>
      </c>
      <c r="E591" s="12" t="s">
        <v>224</v>
      </c>
      <c r="F591" s="12" t="s">
        <v>260</v>
      </c>
      <c r="G591" s="5" t="s">
        <v>1155</v>
      </c>
      <c r="H591" s="12">
        <f t="shared" si="54"/>
        <v>180</v>
      </c>
      <c r="I591" s="12" t="s">
        <v>1154</v>
      </c>
      <c r="J591" s="12" t="s">
        <v>238</v>
      </c>
      <c r="K591" s="12">
        <f t="shared" si="55"/>
        <v>40</v>
      </c>
      <c r="L591" s="12">
        <f t="shared" si="56"/>
        <v>36.800000000000004</v>
      </c>
      <c r="M591" s="12">
        <v>450</v>
      </c>
      <c r="N591" s="12">
        <v>50</v>
      </c>
      <c r="O591" s="12">
        <v>46</v>
      </c>
      <c r="P591" s="12" t="s">
        <v>261</v>
      </c>
      <c r="Q591" s="12" t="s">
        <v>234</v>
      </c>
      <c r="R591" s="12" t="s">
        <v>228</v>
      </c>
      <c r="T591" s="12" t="s">
        <v>228</v>
      </c>
      <c r="U591" s="12" t="s">
        <v>228</v>
      </c>
      <c r="V591" s="12"/>
      <c r="W591" s="12"/>
    </row>
    <row r="592" spans="2:23">
      <c r="B592" s="12" t="s">
        <v>898</v>
      </c>
      <c r="C592" s="12" t="s">
        <v>228</v>
      </c>
      <c r="D592" s="12" t="s">
        <v>259</v>
      </c>
      <c r="E592" s="12" t="s">
        <v>224</v>
      </c>
      <c r="F592" s="12" t="s">
        <v>260</v>
      </c>
      <c r="G592" s="5" t="s">
        <v>1155</v>
      </c>
      <c r="H592" s="12">
        <f t="shared" si="54"/>
        <v>187.20000000000002</v>
      </c>
      <c r="I592" s="12" t="s">
        <v>1154</v>
      </c>
      <c r="J592" s="12" t="s">
        <v>238</v>
      </c>
      <c r="K592" s="12">
        <f t="shared" si="55"/>
        <v>41.6</v>
      </c>
      <c r="L592" s="12">
        <f t="shared" si="56"/>
        <v>40</v>
      </c>
      <c r="M592" s="12">
        <v>468</v>
      </c>
      <c r="N592" s="12">
        <v>52</v>
      </c>
      <c r="O592" s="12">
        <v>50</v>
      </c>
      <c r="P592" s="12" t="s">
        <v>261</v>
      </c>
      <c r="Q592" s="12" t="s">
        <v>234</v>
      </c>
      <c r="R592" s="12" t="s">
        <v>228</v>
      </c>
      <c r="T592" s="12" t="s">
        <v>228</v>
      </c>
      <c r="U592" s="12" t="s">
        <v>228</v>
      </c>
      <c r="V592" s="12"/>
      <c r="W592" s="12"/>
    </row>
    <row r="593" spans="2:23">
      <c r="B593" s="12" t="s">
        <v>899</v>
      </c>
      <c r="C593" s="12" t="s">
        <v>228</v>
      </c>
      <c r="D593" s="12" t="s">
        <v>259</v>
      </c>
      <c r="E593" s="12" t="s">
        <v>224</v>
      </c>
      <c r="F593" s="12" t="s">
        <v>260</v>
      </c>
      <c r="G593" s="5" t="s">
        <v>1155</v>
      </c>
      <c r="H593" s="12">
        <f t="shared" si="54"/>
        <v>194.4</v>
      </c>
      <c r="I593" s="12" t="s">
        <v>1154</v>
      </c>
      <c r="J593" s="12" t="s">
        <v>238</v>
      </c>
      <c r="K593" s="12">
        <f t="shared" si="55"/>
        <v>43.2</v>
      </c>
      <c r="L593" s="12">
        <f t="shared" si="56"/>
        <v>43.2</v>
      </c>
      <c r="M593" s="12">
        <v>486</v>
      </c>
      <c r="N593" s="12">
        <v>54</v>
      </c>
      <c r="O593" s="12">
        <v>54</v>
      </c>
      <c r="P593" s="12" t="s">
        <v>261</v>
      </c>
      <c r="Q593" s="12" t="s">
        <v>234</v>
      </c>
      <c r="R593" s="12" t="s">
        <v>228</v>
      </c>
      <c r="T593" s="12" t="s">
        <v>228</v>
      </c>
      <c r="U593" s="12" t="s">
        <v>228</v>
      </c>
      <c r="V593" s="12"/>
      <c r="W593" s="12"/>
    </row>
    <row r="594" spans="2:23">
      <c r="B594" s="12" t="s">
        <v>900</v>
      </c>
      <c r="C594" s="12" t="s">
        <v>228</v>
      </c>
      <c r="D594" s="12" t="s">
        <v>259</v>
      </c>
      <c r="E594" s="12" t="s">
        <v>224</v>
      </c>
      <c r="F594" s="12" t="s">
        <v>260</v>
      </c>
      <c r="G594" s="5" t="s">
        <v>1155</v>
      </c>
      <c r="H594" s="12">
        <f t="shared" si="54"/>
        <v>201.60000000000002</v>
      </c>
      <c r="I594" s="12" t="s">
        <v>1154</v>
      </c>
      <c r="J594" s="12" t="s">
        <v>238</v>
      </c>
      <c r="K594" s="12">
        <f t="shared" si="55"/>
        <v>44.800000000000004</v>
      </c>
      <c r="L594" s="12">
        <f t="shared" si="56"/>
        <v>46.400000000000006</v>
      </c>
      <c r="M594" s="12">
        <v>504</v>
      </c>
      <c r="N594" s="12">
        <v>56</v>
      </c>
      <c r="O594" s="12">
        <v>58</v>
      </c>
      <c r="P594" s="12" t="s">
        <v>261</v>
      </c>
      <c r="Q594" s="12" t="s">
        <v>234</v>
      </c>
      <c r="R594" s="12" t="s">
        <v>228</v>
      </c>
      <c r="T594" s="12" t="s">
        <v>228</v>
      </c>
      <c r="U594" s="12" t="s">
        <v>228</v>
      </c>
      <c r="V594" s="12"/>
      <c r="W594" s="12"/>
    </row>
    <row r="595" spans="2:23">
      <c r="B595" s="12" t="s">
        <v>901</v>
      </c>
      <c r="C595" s="12" t="s">
        <v>228</v>
      </c>
      <c r="D595" s="12" t="s">
        <v>259</v>
      </c>
      <c r="E595" s="12" t="s">
        <v>224</v>
      </c>
      <c r="F595" s="12" t="s">
        <v>260</v>
      </c>
      <c r="G595" s="5" t="s">
        <v>1155</v>
      </c>
      <c r="H595" s="12">
        <f t="shared" si="54"/>
        <v>208.8</v>
      </c>
      <c r="I595" s="12" t="s">
        <v>1154</v>
      </c>
      <c r="J595" s="12" t="s">
        <v>238</v>
      </c>
      <c r="K595" s="12">
        <f t="shared" si="55"/>
        <v>46.400000000000006</v>
      </c>
      <c r="L595" s="12">
        <f t="shared" si="56"/>
        <v>49.6</v>
      </c>
      <c r="M595" s="12">
        <v>522</v>
      </c>
      <c r="N595" s="12">
        <v>58</v>
      </c>
      <c r="O595" s="12">
        <v>62</v>
      </c>
      <c r="P595" s="12" t="s">
        <v>261</v>
      </c>
      <c r="Q595" s="12" t="s">
        <v>234</v>
      </c>
      <c r="R595" s="12" t="s">
        <v>228</v>
      </c>
      <c r="T595" s="12" t="s">
        <v>228</v>
      </c>
      <c r="U595" s="12" t="s">
        <v>228</v>
      </c>
      <c r="V595" s="12"/>
      <c r="W595" s="12"/>
    </row>
    <row r="596" spans="2:23">
      <c r="B596" s="12" t="s">
        <v>902</v>
      </c>
      <c r="C596" s="12" t="s">
        <v>228</v>
      </c>
      <c r="D596" s="12" t="s">
        <v>259</v>
      </c>
      <c r="E596" s="12" t="s">
        <v>224</v>
      </c>
      <c r="F596" s="12" t="s">
        <v>260</v>
      </c>
      <c r="G596" s="5" t="s">
        <v>1155</v>
      </c>
      <c r="H596" s="12">
        <f t="shared" si="54"/>
        <v>216</v>
      </c>
      <c r="I596" s="12" t="s">
        <v>1154</v>
      </c>
      <c r="J596" s="12" t="s">
        <v>238</v>
      </c>
      <c r="K596" s="12">
        <f t="shared" si="55"/>
        <v>48</v>
      </c>
      <c r="L596" s="12">
        <f t="shared" si="56"/>
        <v>52.800000000000004</v>
      </c>
      <c r="M596" s="12">
        <v>540</v>
      </c>
      <c r="N596" s="12">
        <v>60</v>
      </c>
      <c r="O596" s="12">
        <v>66</v>
      </c>
      <c r="P596" s="12" t="s">
        <v>261</v>
      </c>
      <c r="Q596" s="12" t="s">
        <v>234</v>
      </c>
      <c r="R596" s="12" t="s">
        <v>228</v>
      </c>
      <c r="T596" s="12" t="s">
        <v>228</v>
      </c>
      <c r="U596" s="12" t="s">
        <v>228</v>
      </c>
      <c r="V596" s="12"/>
      <c r="W596" s="12"/>
    </row>
    <row r="597" spans="2:23">
      <c r="B597" s="12" t="s">
        <v>903</v>
      </c>
      <c r="C597" s="12" t="s">
        <v>228</v>
      </c>
      <c r="D597" s="12" t="s">
        <v>259</v>
      </c>
      <c r="E597" s="12" t="s">
        <v>224</v>
      </c>
      <c r="F597" s="12" t="s">
        <v>260</v>
      </c>
      <c r="G597" s="5" t="s">
        <v>1155</v>
      </c>
      <c r="H597" s="12">
        <f t="shared" si="54"/>
        <v>223.20000000000002</v>
      </c>
      <c r="I597" s="12" t="s">
        <v>1154</v>
      </c>
      <c r="J597" s="12" t="s">
        <v>238</v>
      </c>
      <c r="K597" s="12">
        <f t="shared" si="55"/>
        <v>49.6</v>
      </c>
      <c r="L597" s="12">
        <f t="shared" si="56"/>
        <v>56</v>
      </c>
      <c r="M597" s="12">
        <v>558</v>
      </c>
      <c r="N597" s="12">
        <v>62</v>
      </c>
      <c r="O597" s="12">
        <v>70</v>
      </c>
      <c r="P597" s="12" t="s">
        <v>261</v>
      </c>
      <c r="Q597" s="12" t="s">
        <v>234</v>
      </c>
      <c r="R597" s="12" t="s">
        <v>228</v>
      </c>
      <c r="T597" s="12" t="s">
        <v>228</v>
      </c>
      <c r="U597" s="12" t="s">
        <v>228</v>
      </c>
      <c r="V597" s="12"/>
      <c r="W597" s="12"/>
    </row>
    <row r="598" spans="2:23">
      <c r="B598" s="12" t="s">
        <v>904</v>
      </c>
      <c r="C598" s="12" t="s">
        <v>228</v>
      </c>
      <c r="D598" s="12" t="s">
        <v>259</v>
      </c>
      <c r="E598" s="12" t="s">
        <v>224</v>
      </c>
      <c r="F598" s="12" t="s">
        <v>260</v>
      </c>
      <c r="G598" s="5" t="s">
        <v>1155</v>
      </c>
      <c r="H598" s="12">
        <f t="shared" si="54"/>
        <v>230.4</v>
      </c>
      <c r="I598" s="12" t="s">
        <v>1154</v>
      </c>
      <c r="J598" s="12" t="s">
        <v>238</v>
      </c>
      <c r="K598" s="12">
        <f t="shared" si="55"/>
        <v>51.2</v>
      </c>
      <c r="L598" s="12">
        <f t="shared" si="56"/>
        <v>59.2</v>
      </c>
      <c r="M598" s="12">
        <v>576</v>
      </c>
      <c r="N598" s="12">
        <v>64</v>
      </c>
      <c r="O598" s="12">
        <v>74</v>
      </c>
      <c r="P598" s="12" t="s">
        <v>261</v>
      </c>
      <c r="Q598" s="12" t="s">
        <v>234</v>
      </c>
      <c r="R598" s="12" t="s">
        <v>228</v>
      </c>
      <c r="T598" s="12" t="s">
        <v>228</v>
      </c>
      <c r="U598" s="12" t="s">
        <v>228</v>
      </c>
      <c r="V598" s="12"/>
      <c r="W598" s="12"/>
    </row>
    <row r="599" spans="2:23">
      <c r="B599" s="12" t="s">
        <v>905</v>
      </c>
      <c r="C599" s="12" t="s">
        <v>228</v>
      </c>
      <c r="D599" s="12" t="s">
        <v>259</v>
      </c>
      <c r="E599" s="12" t="s">
        <v>224</v>
      </c>
      <c r="F599" s="12" t="s">
        <v>260</v>
      </c>
      <c r="G599" s="5" t="s">
        <v>1155</v>
      </c>
      <c r="H599" s="12">
        <f t="shared" si="54"/>
        <v>237.60000000000002</v>
      </c>
      <c r="I599" s="12" t="s">
        <v>1154</v>
      </c>
      <c r="J599" s="12" t="s">
        <v>238</v>
      </c>
      <c r="K599" s="12">
        <f t="shared" si="55"/>
        <v>52.800000000000004</v>
      </c>
      <c r="L599" s="12">
        <f t="shared" si="56"/>
        <v>62.400000000000006</v>
      </c>
      <c r="M599" s="12">
        <v>594</v>
      </c>
      <c r="N599" s="12">
        <v>66</v>
      </c>
      <c r="O599" s="12">
        <v>78</v>
      </c>
      <c r="P599" s="12" t="s">
        <v>261</v>
      </c>
      <c r="Q599" s="12" t="s">
        <v>234</v>
      </c>
      <c r="R599" s="12" t="s">
        <v>228</v>
      </c>
      <c r="T599" s="12" t="s">
        <v>228</v>
      </c>
      <c r="U599" s="12" t="s">
        <v>228</v>
      </c>
      <c r="V599" s="12"/>
      <c r="W599" s="12"/>
    </row>
    <row r="600" spans="2:23">
      <c r="B600" s="12" t="s">
        <v>906</v>
      </c>
      <c r="C600" s="12" t="s">
        <v>228</v>
      </c>
      <c r="D600" s="12" t="s">
        <v>259</v>
      </c>
      <c r="E600" s="12" t="s">
        <v>224</v>
      </c>
      <c r="F600" s="12" t="s">
        <v>260</v>
      </c>
      <c r="G600" s="5" t="s">
        <v>1155</v>
      </c>
      <c r="H600" s="12">
        <f t="shared" si="54"/>
        <v>244.8</v>
      </c>
      <c r="I600" s="12" t="s">
        <v>1154</v>
      </c>
      <c r="J600" s="12" t="s">
        <v>238</v>
      </c>
      <c r="K600" s="12">
        <f t="shared" si="55"/>
        <v>54.400000000000006</v>
      </c>
      <c r="L600" s="12">
        <f t="shared" si="56"/>
        <v>65.600000000000009</v>
      </c>
      <c r="M600" s="12">
        <v>612</v>
      </c>
      <c r="N600" s="12">
        <v>68</v>
      </c>
      <c r="O600" s="12">
        <v>82</v>
      </c>
      <c r="P600" s="12" t="s">
        <v>261</v>
      </c>
      <c r="Q600" s="12" t="s">
        <v>234</v>
      </c>
      <c r="R600" s="12" t="s">
        <v>228</v>
      </c>
      <c r="T600" s="12" t="s">
        <v>228</v>
      </c>
      <c r="U600" s="12" t="s">
        <v>228</v>
      </c>
      <c r="V600" s="12"/>
      <c r="W600" s="12"/>
    </row>
    <row r="601" spans="2:23">
      <c r="B601" s="12" t="s">
        <v>907</v>
      </c>
      <c r="C601" s="12" t="s">
        <v>228</v>
      </c>
      <c r="D601" s="12" t="s">
        <v>259</v>
      </c>
      <c r="E601" s="12" t="s">
        <v>224</v>
      </c>
      <c r="F601" s="12" t="s">
        <v>260</v>
      </c>
      <c r="G601" s="5" t="s">
        <v>1155</v>
      </c>
      <c r="H601" s="12">
        <f t="shared" si="54"/>
        <v>252</v>
      </c>
      <c r="I601" s="12" t="s">
        <v>1154</v>
      </c>
      <c r="J601" s="12" t="s">
        <v>238</v>
      </c>
      <c r="K601" s="12">
        <f t="shared" si="55"/>
        <v>56</v>
      </c>
      <c r="L601" s="12">
        <f t="shared" si="56"/>
        <v>68.8</v>
      </c>
      <c r="M601" s="12">
        <v>630</v>
      </c>
      <c r="N601" s="12">
        <v>70</v>
      </c>
      <c r="O601" s="12">
        <v>86</v>
      </c>
      <c r="P601" s="12" t="s">
        <v>261</v>
      </c>
      <c r="Q601" s="12" t="s">
        <v>234</v>
      </c>
      <c r="R601" s="12" t="s">
        <v>228</v>
      </c>
      <c r="T601" s="12" t="s">
        <v>228</v>
      </c>
      <c r="U601" s="12" t="s">
        <v>228</v>
      </c>
      <c r="V601" s="12"/>
      <c r="W601" s="12"/>
    </row>
    <row r="602" spans="2:23">
      <c r="B602" s="12" t="s">
        <v>908</v>
      </c>
      <c r="C602" s="12" t="s">
        <v>228</v>
      </c>
      <c r="D602" s="12" t="s">
        <v>259</v>
      </c>
      <c r="E602" s="12" t="s">
        <v>224</v>
      </c>
      <c r="F602" s="12" t="s">
        <v>260</v>
      </c>
      <c r="G602" s="5" t="s">
        <v>1155</v>
      </c>
      <c r="H602" s="12">
        <f t="shared" si="54"/>
        <v>425.6</v>
      </c>
      <c r="I602" s="12" t="s">
        <v>1154</v>
      </c>
      <c r="J602" s="12" t="s">
        <v>238</v>
      </c>
      <c r="K602" s="12">
        <f t="shared" si="55"/>
        <v>121.60000000000001</v>
      </c>
      <c r="L602" s="12">
        <f t="shared" si="56"/>
        <v>97.2</v>
      </c>
      <c r="M602" s="12">
        <v>1064</v>
      </c>
      <c r="N602" s="12">
        <v>152</v>
      </c>
      <c r="O602" s="12">
        <v>121.5</v>
      </c>
      <c r="P602" s="12" t="s">
        <v>261</v>
      </c>
      <c r="Q602" s="12" t="s">
        <v>234</v>
      </c>
      <c r="R602" s="12" t="s">
        <v>228</v>
      </c>
      <c r="T602" s="12" t="s">
        <v>228</v>
      </c>
      <c r="U602" s="12" t="s">
        <v>228</v>
      </c>
      <c r="V602" s="12"/>
      <c r="W602" s="12"/>
    </row>
    <row r="603" spans="2:23">
      <c r="B603" s="12" t="s">
        <v>909</v>
      </c>
      <c r="C603" s="12" t="s">
        <v>228</v>
      </c>
      <c r="D603" s="12" t="s">
        <v>259</v>
      </c>
      <c r="E603" s="12" t="s">
        <v>224</v>
      </c>
      <c r="F603" s="12" t="s">
        <v>260</v>
      </c>
      <c r="G603" s="5" t="s">
        <v>1155</v>
      </c>
      <c r="H603" s="12">
        <f t="shared" si="54"/>
        <v>436.8</v>
      </c>
      <c r="I603" s="12" t="s">
        <v>1154</v>
      </c>
      <c r="J603" s="12" t="s">
        <v>238</v>
      </c>
      <c r="K603" s="12">
        <f t="shared" si="55"/>
        <v>124.80000000000001</v>
      </c>
      <c r="L603" s="12">
        <f t="shared" si="56"/>
        <v>102.06</v>
      </c>
      <c r="M603" s="12">
        <v>1092</v>
      </c>
      <c r="N603" s="12">
        <v>156</v>
      </c>
      <c r="O603" s="12">
        <v>127.57499999999999</v>
      </c>
      <c r="P603" s="12" t="s">
        <v>261</v>
      </c>
      <c r="Q603" s="12" t="s">
        <v>234</v>
      </c>
      <c r="R603" s="12" t="s">
        <v>228</v>
      </c>
      <c r="T603" s="12" t="s">
        <v>228</v>
      </c>
      <c r="U603" s="12" t="s">
        <v>228</v>
      </c>
      <c r="V603" s="12"/>
      <c r="W603" s="12"/>
    </row>
    <row r="604" spans="2:23">
      <c r="B604" s="12" t="s">
        <v>910</v>
      </c>
      <c r="C604" s="12" t="s">
        <v>228</v>
      </c>
      <c r="D604" s="12" t="s">
        <v>259</v>
      </c>
      <c r="E604" s="12" t="s">
        <v>224</v>
      </c>
      <c r="F604" s="12" t="s">
        <v>260</v>
      </c>
      <c r="G604" s="5" t="s">
        <v>1155</v>
      </c>
      <c r="H604" s="12">
        <f t="shared" si="54"/>
        <v>448</v>
      </c>
      <c r="I604" s="12" t="s">
        <v>1154</v>
      </c>
      <c r="J604" s="12" t="s">
        <v>238</v>
      </c>
      <c r="K604" s="12">
        <f t="shared" si="55"/>
        <v>128</v>
      </c>
      <c r="L604" s="12">
        <f t="shared" si="56"/>
        <v>106.92000000000002</v>
      </c>
      <c r="M604" s="12">
        <v>1120</v>
      </c>
      <c r="N604" s="12">
        <v>160</v>
      </c>
      <c r="O604" s="12">
        <v>133.65</v>
      </c>
      <c r="P604" s="12" t="s">
        <v>261</v>
      </c>
      <c r="Q604" s="12" t="s">
        <v>234</v>
      </c>
      <c r="R604" s="12" t="s">
        <v>228</v>
      </c>
      <c r="T604" s="12" t="s">
        <v>228</v>
      </c>
      <c r="U604" s="12" t="s">
        <v>228</v>
      </c>
      <c r="V604" s="12"/>
      <c r="W604" s="12"/>
    </row>
    <row r="605" spans="2:23">
      <c r="B605" s="12" t="s">
        <v>911</v>
      </c>
      <c r="C605" s="12" t="s">
        <v>228</v>
      </c>
      <c r="D605" s="12" t="s">
        <v>259</v>
      </c>
      <c r="E605" s="12" t="s">
        <v>224</v>
      </c>
      <c r="F605" s="12" t="s">
        <v>260</v>
      </c>
      <c r="G605" s="5" t="s">
        <v>1155</v>
      </c>
      <c r="H605" s="12">
        <f t="shared" si="54"/>
        <v>459.20000000000005</v>
      </c>
      <c r="I605" s="12" t="s">
        <v>1154</v>
      </c>
      <c r="J605" s="12" t="s">
        <v>238</v>
      </c>
      <c r="K605" s="12">
        <f t="shared" si="55"/>
        <v>131.20000000000002</v>
      </c>
      <c r="L605" s="12">
        <f t="shared" si="56"/>
        <v>111.78</v>
      </c>
      <c r="M605" s="12">
        <v>1148</v>
      </c>
      <c r="N605" s="12">
        <v>164</v>
      </c>
      <c r="O605" s="12">
        <v>139.72499999999999</v>
      </c>
      <c r="P605" s="12" t="s">
        <v>261</v>
      </c>
      <c r="Q605" s="12" t="s">
        <v>234</v>
      </c>
      <c r="R605" s="12" t="s">
        <v>228</v>
      </c>
      <c r="T605" s="12" t="s">
        <v>228</v>
      </c>
      <c r="U605" s="12" t="s">
        <v>228</v>
      </c>
      <c r="V605" s="12"/>
      <c r="W605" s="12"/>
    </row>
    <row r="606" spans="2:23">
      <c r="B606" s="12" t="s">
        <v>912</v>
      </c>
      <c r="C606" s="12" t="s">
        <v>228</v>
      </c>
      <c r="D606" s="12" t="s">
        <v>259</v>
      </c>
      <c r="E606" s="12" t="s">
        <v>224</v>
      </c>
      <c r="F606" s="12" t="s">
        <v>260</v>
      </c>
      <c r="G606" s="5" t="s">
        <v>1155</v>
      </c>
      <c r="H606" s="12">
        <f t="shared" si="54"/>
        <v>470.40000000000003</v>
      </c>
      <c r="I606" s="12" t="s">
        <v>1154</v>
      </c>
      <c r="J606" s="12" t="s">
        <v>238</v>
      </c>
      <c r="K606" s="12">
        <f t="shared" si="55"/>
        <v>134.4</v>
      </c>
      <c r="L606" s="12">
        <f t="shared" si="56"/>
        <v>116.63999999999999</v>
      </c>
      <c r="M606" s="12">
        <v>1176</v>
      </c>
      <c r="N606" s="12">
        <v>168</v>
      </c>
      <c r="O606" s="12">
        <v>145.79999999999998</v>
      </c>
      <c r="P606" s="12" t="s">
        <v>261</v>
      </c>
      <c r="Q606" s="12" t="s">
        <v>234</v>
      </c>
      <c r="R606" s="12" t="s">
        <v>228</v>
      </c>
      <c r="T606" s="12" t="s">
        <v>228</v>
      </c>
      <c r="U606" s="12" t="s">
        <v>228</v>
      </c>
      <c r="V606" s="12"/>
      <c r="W606" s="12"/>
    </row>
    <row r="607" spans="2:23">
      <c r="B607" s="12" t="s">
        <v>913</v>
      </c>
      <c r="C607" s="12" t="s">
        <v>228</v>
      </c>
      <c r="D607" s="12" t="s">
        <v>259</v>
      </c>
      <c r="E607" s="12" t="s">
        <v>224</v>
      </c>
      <c r="F607" s="12" t="s">
        <v>260</v>
      </c>
      <c r="G607" s="5" t="s">
        <v>1155</v>
      </c>
      <c r="H607" s="12">
        <f t="shared" si="54"/>
        <v>481.6</v>
      </c>
      <c r="I607" s="12" t="s">
        <v>1154</v>
      </c>
      <c r="J607" s="12" t="s">
        <v>238</v>
      </c>
      <c r="K607" s="12">
        <f t="shared" si="55"/>
        <v>137.6</v>
      </c>
      <c r="L607" s="12">
        <f t="shared" si="56"/>
        <v>121.5</v>
      </c>
      <c r="M607" s="12">
        <v>1204</v>
      </c>
      <c r="N607" s="12">
        <v>172</v>
      </c>
      <c r="O607" s="12">
        <v>151.875</v>
      </c>
      <c r="P607" s="12" t="s">
        <v>261</v>
      </c>
      <c r="Q607" s="12" t="s">
        <v>234</v>
      </c>
      <c r="R607" s="12" t="s">
        <v>228</v>
      </c>
      <c r="T607" s="12" t="s">
        <v>228</v>
      </c>
      <c r="U607" s="12" t="s">
        <v>228</v>
      </c>
      <c r="V607" s="12"/>
      <c r="W607" s="12"/>
    </row>
    <row r="608" spans="2:23">
      <c r="B608" s="12" t="s">
        <v>914</v>
      </c>
      <c r="C608" s="12" t="s">
        <v>228</v>
      </c>
      <c r="D608" s="12" t="s">
        <v>259</v>
      </c>
      <c r="E608" s="12" t="s">
        <v>224</v>
      </c>
      <c r="F608" s="12" t="s">
        <v>260</v>
      </c>
      <c r="G608" s="5" t="s">
        <v>1155</v>
      </c>
      <c r="H608" s="12">
        <f t="shared" si="54"/>
        <v>492.8</v>
      </c>
      <c r="I608" s="12" t="s">
        <v>1154</v>
      </c>
      <c r="J608" s="12" t="s">
        <v>238</v>
      </c>
      <c r="K608" s="12">
        <f t="shared" si="55"/>
        <v>140.80000000000001</v>
      </c>
      <c r="L608" s="12">
        <f t="shared" si="56"/>
        <v>126.36</v>
      </c>
      <c r="M608" s="12">
        <v>1232</v>
      </c>
      <c r="N608" s="12">
        <v>176</v>
      </c>
      <c r="O608" s="12">
        <v>157.94999999999999</v>
      </c>
      <c r="P608" s="12" t="s">
        <v>261</v>
      </c>
      <c r="Q608" s="12" t="s">
        <v>234</v>
      </c>
      <c r="R608" s="12" t="s">
        <v>228</v>
      </c>
      <c r="T608" s="12" t="s">
        <v>228</v>
      </c>
      <c r="U608" s="12" t="s">
        <v>228</v>
      </c>
      <c r="V608" s="12"/>
      <c r="W608" s="12"/>
    </row>
    <row r="609" spans="2:23">
      <c r="B609" s="12" t="s">
        <v>915</v>
      </c>
      <c r="C609" s="12" t="s">
        <v>228</v>
      </c>
      <c r="D609" s="12" t="s">
        <v>259</v>
      </c>
      <c r="E609" s="12" t="s">
        <v>224</v>
      </c>
      <c r="F609" s="12" t="s">
        <v>260</v>
      </c>
      <c r="G609" s="5" t="s">
        <v>1155</v>
      </c>
      <c r="H609" s="12">
        <f t="shared" si="54"/>
        <v>504</v>
      </c>
      <c r="I609" s="12" t="s">
        <v>1154</v>
      </c>
      <c r="J609" s="12" t="s">
        <v>238</v>
      </c>
      <c r="K609" s="12">
        <f t="shared" si="55"/>
        <v>144</v>
      </c>
      <c r="L609" s="12">
        <f t="shared" si="56"/>
        <v>131.22</v>
      </c>
      <c r="M609" s="12">
        <v>1260</v>
      </c>
      <c r="N609" s="12">
        <v>180</v>
      </c>
      <c r="O609" s="12">
        <v>164.02500000000001</v>
      </c>
      <c r="P609" s="12" t="s">
        <v>261</v>
      </c>
      <c r="Q609" s="12" t="s">
        <v>234</v>
      </c>
      <c r="R609" s="12" t="s">
        <v>228</v>
      </c>
      <c r="T609" s="12" t="s">
        <v>228</v>
      </c>
      <c r="U609" s="12" t="s">
        <v>228</v>
      </c>
      <c r="V609" s="12"/>
      <c r="W609" s="12"/>
    </row>
    <row r="610" spans="2:23">
      <c r="B610" s="12" t="s">
        <v>916</v>
      </c>
      <c r="C610" s="12" t="s">
        <v>228</v>
      </c>
      <c r="D610" s="12" t="s">
        <v>259</v>
      </c>
      <c r="E610" s="12" t="s">
        <v>224</v>
      </c>
      <c r="F610" s="12" t="s">
        <v>260</v>
      </c>
      <c r="G610" s="5" t="s">
        <v>1155</v>
      </c>
      <c r="H610" s="12">
        <f t="shared" si="54"/>
        <v>515.20000000000005</v>
      </c>
      <c r="I610" s="12" t="s">
        <v>1154</v>
      </c>
      <c r="J610" s="12" t="s">
        <v>238</v>
      </c>
      <c r="K610" s="12">
        <f t="shared" si="55"/>
        <v>147.20000000000002</v>
      </c>
      <c r="L610" s="12">
        <f t="shared" si="56"/>
        <v>136.08000000000001</v>
      </c>
      <c r="M610" s="12">
        <v>1288</v>
      </c>
      <c r="N610" s="12">
        <v>184</v>
      </c>
      <c r="O610" s="12">
        <v>170.1</v>
      </c>
      <c r="P610" s="12" t="s">
        <v>261</v>
      </c>
      <c r="Q610" s="12" t="s">
        <v>234</v>
      </c>
      <c r="R610" s="12" t="s">
        <v>228</v>
      </c>
      <c r="T610" s="12" t="s">
        <v>228</v>
      </c>
      <c r="U610" s="12" t="s">
        <v>228</v>
      </c>
      <c r="V610" s="12"/>
      <c r="W610" s="12"/>
    </row>
    <row r="611" spans="2:23">
      <c r="B611" s="12" t="s">
        <v>917</v>
      </c>
      <c r="C611" s="12" t="s">
        <v>228</v>
      </c>
      <c r="D611" s="12" t="s">
        <v>259</v>
      </c>
      <c r="E611" s="12" t="s">
        <v>224</v>
      </c>
      <c r="F611" s="12" t="s">
        <v>260</v>
      </c>
      <c r="G611" s="5" t="s">
        <v>1155</v>
      </c>
      <c r="H611" s="12">
        <f t="shared" si="54"/>
        <v>526.4</v>
      </c>
      <c r="I611" s="12" t="s">
        <v>1154</v>
      </c>
      <c r="J611" s="12" t="s">
        <v>238</v>
      </c>
      <c r="K611" s="12">
        <f t="shared" si="55"/>
        <v>150.4</v>
      </c>
      <c r="L611" s="12">
        <f t="shared" si="56"/>
        <v>140.94</v>
      </c>
      <c r="M611" s="12">
        <v>1316</v>
      </c>
      <c r="N611" s="12">
        <v>188</v>
      </c>
      <c r="O611" s="12">
        <v>176.17499999999998</v>
      </c>
      <c r="P611" s="12" t="s">
        <v>261</v>
      </c>
      <c r="Q611" s="12" t="s">
        <v>234</v>
      </c>
      <c r="R611" s="12" t="s">
        <v>228</v>
      </c>
      <c r="T611" s="12" t="s">
        <v>228</v>
      </c>
      <c r="U611" s="12" t="s">
        <v>228</v>
      </c>
      <c r="V611" s="12"/>
      <c r="W611" s="12"/>
    </row>
    <row r="612" spans="2:23">
      <c r="B612" s="12" t="s">
        <v>918</v>
      </c>
      <c r="C612" s="12" t="s">
        <v>228</v>
      </c>
      <c r="D612" s="12" t="s">
        <v>259</v>
      </c>
      <c r="E612" s="12" t="s">
        <v>224</v>
      </c>
      <c r="F612" s="12" t="s">
        <v>260</v>
      </c>
      <c r="G612" s="5" t="s">
        <v>1155</v>
      </c>
      <c r="H612" s="12">
        <f t="shared" si="54"/>
        <v>537.6</v>
      </c>
      <c r="I612" s="12" t="s">
        <v>1154</v>
      </c>
      <c r="J612" s="12" t="s">
        <v>238</v>
      </c>
      <c r="K612" s="12">
        <f t="shared" si="55"/>
        <v>153.60000000000002</v>
      </c>
      <c r="L612" s="12">
        <f t="shared" si="56"/>
        <v>145.80000000000001</v>
      </c>
      <c r="M612" s="12">
        <v>1344</v>
      </c>
      <c r="N612" s="12">
        <v>192</v>
      </c>
      <c r="O612" s="12">
        <v>182.25</v>
      </c>
      <c r="P612" s="12" t="s">
        <v>261</v>
      </c>
      <c r="Q612" s="12" t="s">
        <v>234</v>
      </c>
      <c r="R612" s="12" t="s">
        <v>228</v>
      </c>
      <c r="T612" s="12" t="s">
        <v>228</v>
      </c>
      <c r="U612" s="12" t="s">
        <v>228</v>
      </c>
      <c r="V612" s="12"/>
      <c r="W612" s="12"/>
    </row>
    <row r="613" spans="2:23">
      <c r="B613" s="12" t="s">
        <v>919</v>
      </c>
      <c r="C613" s="12" t="s">
        <v>228</v>
      </c>
      <c r="D613" s="12" t="s">
        <v>259</v>
      </c>
      <c r="E613" s="12" t="s">
        <v>224</v>
      </c>
      <c r="F613" s="12" t="s">
        <v>260</v>
      </c>
      <c r="G613" s="5" t="s">
        <v>1155</v>
      </c>
      <c r="H613" s="12">
        <f t="shared" si="54"/>
        <v>548.80000000000007</v>
      </c>
      <c r="I613" s="12" t="s">
        <v>1154</v>
      </c>
      <c r="J613" s="12" t="s">
        <v>238</v>
      </c>
      <c r="K613" s="12">
        <f t="shared" si="55"/>
        <v>156.80000000000001</v>
      </c>
      <c r="L613" s="12">
        <f t="shared" si="56"/>
        <v>150.66</v>
      </c>
      <c r="M613" s="12">
        <v>1372</v>
      </c>
      <c r="N613" s="12">
        <v>196</v>
      </c>
      <c r="O613" s="12">
        <v>188.32499999999999</v>
      </c>
      <c r="P613" s="12" t="s">
        <v>261</v>
      </c>
      <c r="Q613" s="12" t="s">
        <v>234</v>
      </c>
      <c r="R613" s="12" t="s">
        <v>228</v>
      </c>
      <c r="T613" s="12" t="s">
        <v>228</v>
      </c>
      <c r="U613" s="12" t="s">
        <v>228</v>
      </c>
      <c r="V613" s="12"/>
      <c r="W613" s="12"/>
    </row>
    <row r="614" spans="2:23">
      <c r="B614" s="12" t="s">
        <v>920</v>
      </c>
      <c r="C614" s="12" t="s">
        <v>228</v>
      </c>
      <c r="D614" s="12" t="s">
        <v>259</v>
      </c>
      <c r="E614" s="12" t="s">
        <v>224</v>
      </c>
      <c r="F614" s="12" t="s">
        <v>260</v>
      </c>
      <c r="G614" s="5" t="s">
        <v>1155</v>
      </c>
      <c r="H614" s="12">
        <f t="shared" si="54"/>
        <v>560</v>
      </c>
      <c r="I614" s="12" t="s">
        <v>1154</v>
      </c>
      <c r="J614" s="12" t="s">
        <v>238</v>
      </c>
      <c r="K614" s="12">
        <f t="shared" si="55"/>
        <v>160</v>
      </c>
      <c r="L614" s="12">
        <f t="shared" si="56"/>
        <v>155.51999999999998</v>
      </c>
      <c r="M614" s="12">
        <v>1400</v>
      </c>
      <c r="N614" s="12">
        <v>200</v>
      </c>
      <c r="O614" s="12">
        <v>194.39999999999998</v>
      </c>
      <c r="P614" s="12" t="s">
        <v>261</v>
      </c>
      <c r="Q614" s="12" t="s">
        <v>234</v>
      </c>
      <c r="R614" s="12" t="s">
        <v>228</v>
      </c>
      <c r="T614" s="12" t="s">
        <v>228</v>
      </c>
      <c r="U614" s="12" t="s">
        <v>228</v>
      </c>
      <c r="V614" s="12"/>
      <c r="W614" s="12"/>
    </row>
    <row r="615" spans="2:23">
      <c r="B615" s="12" t="s">
        <v>921</v>
      </c>
      <c r="C615" s="12" t="s">
        <v>228</v>
      </c>
      <c r="D615" s="12" t="s">
        <v>259</v>
      </c>
      <c r="E615" s="12" t="s">
        <v>224</v>
      </c>
      <c r="F615" s="12" t="s">
        <v>260</v>
      </c>
      <c r="G615" s="5" t="s">
        <v>1155</v>
      </c>
      <c r="H615" s="12">
        <f t="shared" si="54"/>
        <v>571.20000000000005</v>
      </c>
      <c r="I615" s="12" t="s">
        <v>1154</v>
      </c>
      <c r="J615" s="12" t="s">
        <v>238</v>
      </c>
      <c r="K615" s="12">
        <f t="shared" si="55"/>
        <v>163.20000000000002</v>
      </c>
      <c r="L615" s="12">
        <f t="shared" si="56"/>
        <v>160.38</v>
      </c>
      <c r="M615" s="12">
        <v>1428</v>
      </c>
      <c r="N615" s="12">
        <v>204</v>
      </c>
      <c r="O615" s="12">
        <v>200.47499999999999</v>
      </c>
      <c r="P615" s="12" t="s">
        <v>261</v>
      </c>
      <c r="Q615" s="12" t="s">
        <v>234</v>
      </c>
      <c r="R615" s="12" t="s">
        <v>228</v>
      </c>
      <c r="T615" s="12" t="s">
        <v>228</v>
      </c>
      <c r="U615" s="12" t="s">
        <v>228</v>
      </c>
      <c r="V615" s="12"/>
      <c r="W615" s="12"/>
    </row>
    <row r="616" spans="2:23">
      <c r="B616" s="12" t="s">
        <v>922</v>
      </c>
      <c r="C616" s="12" t="s">
        <v>228</v>
      </c>
      <c r="D616" s="12" t="s">
        <v>259</v>
      </c>
      <c r="E616" s="12" t="s">
        <v>224</v>
      </c>
      <c r="F616" s="12" t="s">
        <v>260</v>
      </c>
      <c r="G616" s="5" t="s">
        <v>1155</v>
      </c>
      <c r="H616" s="12">
        <f t="shared" si="54"/>
        <v>582.4</v>
      </c>
      <c r="I616" s="12" t="s">
        <v>1154</v>
      </c>
      <c r="J616" s="12" t="s">
        <v>238</v>
      </c>
      <c r="K616" s="12">
        <f t="shared" si="55"/>
        <v>166.4</v>
      </c>
      <c r="L616" s="12">
        <f t="shared" si="56"/>
        <v>165.24</v>
      </c>
      <c r="M616" s="12">
        <v>1456</v>
      </c>
      <c r="N616" s="12">
        <v>208</v>
      </c>
      <c r="O616" s="12">
        <v>206.54999999999998</v>
      </c>
      <c r="P616" s="12" t="s">
        <v>261</v>
      </c>
      <c r="Q616" s="12" t="s">
        <v>234</v>
      </c>
      <c r="R616" s="12" t="s">
        <v>228</v>
      </c>
      <c r="T616" s="12" t="s">
        <v>228</v>
      </c>
      <c r="U616" s="12" t="s">
        <v>228</v>
      </c>
      <c r="V616" s="12"/>
      <c r="W616" s="12"/>
    </row>
    <row r="617" spans="2:23">
      <c r="B617" s="12" t="s">
        <v>923</v>
      </c>
      <c r="C617" s="12" t="s">
        <v>228</v>
      </c>
      <c r="D617" s="12" t="s">
        <v>259</v>
      </c>
      <c r="E617" s="12" t="s">
        <v>224</v>
      </c>
      <c r="F617" s="12" t="s">
        <v>260</v>
      </c>
      <c r="G617" s="5" t="s">
        <v>1155</v>
      </c>
      <c r="H617" s="12">
        <f t="shared" si="54"/>
        <v>880</v>
      </c>
      <c r="I617" s="12" t="s">
        <v>1154</v>
      </c>
      <c r="J617" s="12" t="s">
        <v>238</v>
      </c>
      <c r="K617" s="12">
        <f t="shared" si="55"/>
        <v>264</v>
      </c>
      <c r="L617" s="12">
        <f t="shared" si="56"/>
        <v>218.70000000000002</v>
      </c>
      <c r="M617" s="12">
        <v>2200</v>
      </c>
      <c r="N617" s="12">
        <v>330</v>
      </c>
      <c r="O617" s="12">
        <v>273.375</v>
      </c>
      <c r="P617" s="12" t="s">
        <v>261</v>
      </c>
      <c r="Q617" s="12" t="s">
        <v>234</v>
      </c>
      <c r="R617" s="12" t="s">
        <v>228</v>
      </c>
      <c r="T617" s="12" t="s">
        <v>228</v>
      </c>
      <c r="U617" s="12" t="s">
        <v>228</v>
      </c>
      <c r="V617" s="12"/>
      <c r="W617" s="12"/>
    </row>
    <row r="618" spans="2:23">
      <c r="B618" s="12" t="s">
        <v>924</v>
      </c>
      <c r="C618" s="12" t="s">
        <v>228</v>
      </c>
      <c r="D618" s="12" t="s">
        <v>259</v>
      </c>
      <c r="E618" s="12" t="s">
        <v>224</v>
      </c>
      <c r="F618" s="12" t="s">
        <v>260</v>
      </c>
      <c r="G618" s="5" t="s">
        <v>1155</v>
      </c>
      <c r="H618" s="12">
        <f t="shared" si="54"/>
        <v>896</v>
      </c>
      <c r="I618" s="12" t="s">
        <v>1154</v>
      </c>
      <c r="J618" s="12" t="s">
        <v>238</v>
      </c>
      <c r="K618" s="12">
        <f t="shared" si="55"/>
        <v>268.8</v>
      </c>
      <c r="L618" s="12">
        <f t="shared" si="56"/>
        <v>225.17999999999998</v>
      </c>
      <c r="M618" s="12">
        <v>2240</v>
      </c>
      <c r="N618" s="12">
        <v>336</v>
      </c>
      <c r="O618" s="12">
        <v>281.47499999999997</v>
      </c>
      <c r="P618" s="12" t="s">
        <v>261</v>
      </c>
      <c r="Q618" s="12" t="s">
        <v>234</v>
      </c>
      <c r="R618" s="12" t="s">
        <v>228</v>
      </c>
      <c r="T618" s="12" t="s">
        <v>228</v>
      </c>
      <c r="U618" s="12" t="s">
        <v>228</v>
      </c>
      <c r="V618" s="12"/>
      <c r="W618" s="12"/>
    </row>
    <row r="619" spans="2:23">
      <c r="B619" s="12" t="s">
        <v>925</v>
      </c>
      <c r="C619" s="12" t="s">
        <v>228</v>
      </c>
      <c r="D619" s="12" t="s">
        <v>259</v>
      </c>
      <c r="E619" s="12" t="s">
        <v>224</v>
      </c>
      <c r="F619" s="12" t="s">
        <v>260</v>
      </c>
      <c r="G619" s="5" t="s">
        <v>1155</v>
      </c>
      <c r="H619" s="12">
        <f t="shared" si="54"/>
        <v>912</v>
      </c>
      <c r="I619" s="12" t="s">
        <v>1154</v>
      </c>
      <c r="J619" s="12" t="s">
        <v>238</v>
      </c>
      <c r="K619" s="12">
        <f t="shared" si="55"/>
        <v>273.60000000000002</v>
      </c>
      <c r="L619" s="12">
        <f t="shared" si="56"/>
        <v>231.66</v>
      </c>
      <c r="M619" s="12">
        <v>2280</v>
      </c>
      <c r="N619" s="12">
        <v>342</v>
      </c>
      <c r="O619" s="12">
        <v>289.57499999999999</v>
      </c>
      <c r="P619" s="12" t="s">
        <v>261</v>
      </c>
      <c r="Q619" s="12" t="s">
        <v>234</v>
      </c>
      <c r="R619" s="12" t="s">
        <v>228</v>
      </c>
      <c r="T619" s="12" t="s">
        <v>228</v>
      </c>
      <c r="U619" s="12" t="s">
        <v>228</v>
      </c>
      <c r="V619" s="12"/>
      <c r="W619" s="12"/>
    </row>
    <row r="620" spans="2:23">
      <c r="B620" s="12" t="s">
        <v>926</v>
      </c>
      <c r="C620" s="12" t="s">
        <v>228</v>
      </c>
      <c r="D620" s="12" t="s">
        <v>259</v>
      </c>
      <c r="E620" s="12" t="s">
        <v>224</v>
      </c>
      <c r="F620" s="12" t="s">
        <v>260</v>
      </c>
      <c r="G620" s="5" t="s">
        <v>1155</v>
      </c>
      <c r="H620" s="12">
        <f t="shared" si="54"/>
        <v>928</v>
      </c>
      <c r="I620" s="12" t="s">
        <v>1154</v>
      </c>
      <c r="J620" s="12" t="s">
        <v>238</v>
      </c>
      <c r="K620" s="12">
        <f t="shared" si="55"/>
        <v>278.40000000000003</v>
      </c>
      <c r="L620" s="12">
        <f t="shared" si="56"/>
        <v>238.14000000000001</v>
      </c>
      <c r="M620" s="12">
        <v>2320</v>
      </c>
      <c r="N620" s="12">
        <v>348</v>
      </c>
      <c r="O620" s="12">
        <v>297.67500000000001</v>
      </c>
      <c r="P620" s="12" t="s">
        <v>261</v>
      </c>
      <c r="Q620" s="12" t="s">
        <v>234</v>
      </c>
      <c r="R620" s="12" t="s">
        <v>228</v>
      </c>
      <c r="T620" s="12" t="s">
        <v>228</v>
      </c>
      <c r="U620" s="12" t="s">
        <v>228</v>
      </c>
      <c r="V620" s="12"/>
      <c r="W620" s="12"/>
    </row>
    <row r="621" spans="2:23">
      <c r="B621" s="12" t="s">
        <v>927</v>
      </c>
      <c r="C621" s="12" t="s">
        <v>228</v>
      </c>
      <c r="D621" s="12" t="s">
        <v>259</v>
      </c>
      <c r="E621" s="12" t="s">
        <v>224</v>
      </c>
      <c r="F621" s="12" t="s">
        <v>260</v>
      </c>
      <c r="G621" s="5" t="s">
        <v>1155</v>
      </c>
      <c r="H621" s="12">
        <f t="shared" si="54"/>
        <v>944</v>
      </c>
      <c r="I621" s="12" t="s">
        <v>1154</v>
      </c>
      <c r="J621" s="12" t="s">
        <v>238</v>
      </c>
      <c r="K621" s="12">
        <f t="shared" si="55"/>
        <v>283.2</v>
      </c>
      <c r="L621" s="12">
        <f t="shared" si="56"/>
        <v>244.62</v>
      </c>
      <c r="M621" s="12">
        <v>2360</v>
      </c>
      <c r="N621" s="12">
        <v>354</v>
      </c>
      <c r="O621" s="12">
        <v>305.77499999999998</v>
      </c>
      <c r="P621" s="12" t="s">
        <v>261</v>
      </c>
      <c r="Q621" s="12" t="s">
        <v>234</v>
      </c>
      <c r="R621" s="12" t="s">
        <v>228</v>
      </c>
      <c r="T621" s="12" t="s">
        <v>228</v>
      </c>
      <c r="U621" s="12" t="s">
        <v>228</v>
      </c>
      <c r="V621" s="12"/>
      <c r="W621" s="12"/>
    </row>
    <row r="622" spans="2:23">
      <c r="B622" s="12" t="s">
        <v>928</v>
      </c>
      <c r="C622" s="12" t="s">
        <v>228</v>
      </c>
      <c r="D622" s="12" t="s">
        <v>259</v>
      </c>
      <c r="E622" s="12" t="s">
        <v>224</v>
      </c>
      <c r="F622" s="12" t="s">
        <v>260</v>
      </c>
      <c r="G622" s="5" t="s">
        <v>1155</v>
      </c>
      <c r="H622" s="12">
        <f t="shared" si="54"/>
        <v>960</v>
      </c>
      <c r="I622" s="12" t="s">
        <v>1154</v>
      </c>
      <c r="J622" s="12" t="s">
        <v>238</v>
      </c>
      <c r="K622" s="12">
        <f t="shared" si="55"/>
        <v>288</v>
      </c>
      <c r="L622" s="12">
        <f t="shared" si="56"/>
        <v>251.10000000000002</v>
      </c>
      <c r="M622" s="12">
        <v>2400</v>
      </c>
      <c r="N622" s="12">
        <v>360</v>
      </c>
      <c r="O622" s="12">
        <v>313.875</v>
      </c>
      <c r="P622" s="12" t="s">
        <v>261</v>
      </c>
      <c r="Q622" s="12" t="s">
        <v>234</v>
      </c>
      <c r="R622" s="12" t="s">
        <v>228</v>
      </c>
      <c r="T622" s="12" t="s">
        <v>228</v>
      </c>
      <c r="U622" s="12" t="s">
        <v>228</v>
      </c>
      <c r="V622" s="12"/>
      <c r="W622" s="12"/>
    </row>
    <row r="623" spans="2:23">
      <c r="B623" s="12" t="s">
        <v>929</v>
      </c>
      <c r="C623" s="12" t="s">
        <v>228</v>
      </c>
      <c r="D623" s="12" t="s">
        <v>259</v>
      </c>
      <c r="E623" s="12" t="s">
        <v>224</v>
      </c>
      <c r="F623" s="12" t="s">
        <v>260</v>
      </c>
      <c r="G623" s="5" t="s">
        <v>1155</v>
      </c>
      <c r="H623" s="12">
        <f t="shared" si="54"/>
        <v>976</v>
      </c>
      <c r="I623" s="12" t="s">
        <v>1154</v>
      </c>
      <c r="J623" s="12" t="s">
        <v>238</v>
      </c>
      <c r="K623" s="12">
        <f t="shared" si="55"/>
        <v>292.8</v>
      </c>
      <c r="L623" s="12">
        <f t="shared" si="56"/>
        <v>257.58</v>
      </c>
      <c r="M623" s="12">
        <v>2440</v>
      </c>
      <c r="N623" s="12">
        <v>366</v>
      </c>
      <c r="O623" s="12">
        <v>321.97499999999997</v>
      </c>
      <c r="P623" s="12" t="s">
        <v>261</v>
      </c>
      <c r="Q623" s="12" t="s">
        <v>234</v>
      </c>
      <c r="R623" s="12" t="s">
        <v>228</v>
      </c>
      <c r="T623" s="12" t="s">
        <v>228</v>
      </c>
      <c r="U623" s="12" t="s">
        <v>228</v>
      </c>
      <c r="V623" s="12"/>
      <c r="W623" s="12"/>
    </row>
    <row r="624" spans="2:23">
      <c r="B624" s="12" t="s">
        <v>930</v>
      </c>
      <c r="C624" s="12" t="s">
        <v>228</v>
      </c>
      <c r="D624" s="12" t="s">
        <v>259</v>
      </c>
      <c r="E624" s="12" t="s">
        <v>224</v>
      </c>
      <c r="F624" s="12" t="s">
        <v>260</v>
      </c>
      <c r="G624" s="5" t="s">
        <v>1155</v>
      </c>
      <c r="H624" s="12">
        <f t="shared" si="54"/>
        <v>992</v>
      </c>
      <c r="I624" s="12" t="s">
        <v>1154</v>
      </c>
      <c r="J624" s="12" t="s">
        <v>238</v>
      </c>
      <c r="K624" s="12">
        <f t="shared" si="55"/>
        <v>297.60000000000002</v>
      </c>
      <c r="L624" s="12">
        <f t="shared" si="56"/>
        <v>264.06</v>
      </c>
      <c r="M624" s="12">
        <v>2480</v>
      </c>
      <c r="N624" s="12">
        <v>372</v>
      </c>
      <c r="O624" s="12">
        <v>330.07499999999999</v>
      </c>
      <c r="P624" s="12" t="s">
        <v>261</v>
      </c>
      <c r="Q624" s="12" t="s">
        <v>234</v>
      </c>
      <c r="R624" s="12" t="s">
        <v>228</v>
      </c>
      <c r="T624" s="12" t="s">
        <v>228</v>
      </c>
      <c r="U624" s="12" t="s">
        <v>228</v>
      </c>
      <c r="V624" s="12"/>
      <c r="W624" s="12"/>
    </row>
    <row r="625" spans="2:23">
      <c r="B625" s="12" t="s">
        <v>931</v>
      </c>
      <c r="C625" s="12" t="s">
        <v>228</v>
      </c>
      <c r="D625" s="12" t="s">
        <v>259</v>
      </c>
      <c r="E625" s="12" t="s">
        <v>224</v>
      </c>
      <c r="F625" s="12" t="s">
        <v>260</v>
      </c>
      <c r="G625" s="5" t="s">
        <v>1155</v>
      </c>
      <c r="H625" s="12">
        <f t="shared" si="54"/>
        <v>1008</v>
      </c>
      <c r="I625" s="12" t="s">
        <v>1154</v>
      </c>
      <c r="J625" s="12" t="s">
        <v>238</v>
      </c>
      <c r="K625" s="12">
        <f t="shared" si="55"/>
        <v>302.40000000000003</v>
      </c>
      <c r="L625" s="12">
        <f t="shared" si="56"/>
        <v>270.54000000000002</v>
      </c>
      <c r="M625" s="12">
        <v>2520</v>
      </c>
      <c r="N625" s="12">
        <v>378</v>
      </c>
      <c r="O625" s="12">
        <v>338.17500000000001</v>
      </c>
      <c r="P625" s="12" t="s">
        <v>261</v>
      </c>
      <c r="Q625" s="12" t="s">
        <v>234</v>
      </c>
      <c r="R625" s="12" t="s">
        <v>228</v>
      </c>
      <c r="T625" s="12" t="s">
        <v>228</v>
      </c>
      <c r="U625" s="12" t="s">
        <v>228</v>
      </c>
      <c r="V625" s="12"/>
      <c r="W625" s="12"/>
    </row>
    <row r="626" spans="2:23">
      <c r="B626" s="12" t="s">
        <v>932</v>
      </c>
      <c r="C626" s="12" t="s">
        <v>228</v>
      </c>
      <c r="D626" s="12" t="s">
        <v>259</v>
      </c>
      <c r="E626" s="12" t="s">
        <v>224</v>
      </c>
      <c r="F626" s="12" t="s">
        <v>260</v>
      </c>
      <c r="G626" s="5" t="s">
        <v>1155</v>
      </c>
      <c r="H626" s="12">
        <f t="shared" si="54"/>
        <v>1024</v>
      </c>
      <c r="I626" s="12" t="s">
        <v>1154</v>
      </c>
      <c r="J626" s="12" t="s">
        <v>238</v>
      </c>
      <c r="K626" s="12">
        <f t="shared" si="55"/>
        <v>307.20000000000005</v>
      </c>
      <c r="L626" s="12">
        <f t="shared" si="56"/>
        <v>277.02</v>
      </c>
      <c r="M626" s="12">
        <v>2560</v>
      </c>
      <c r="N626" s="12">
        <v>384</v>
      </c>
      <c r="O626" s="12">
        <v>346.27499999999998</v>
      </c>
      <c r="P626" s="12" t="s">
        <v>261</v>
      </c>
      <c r="Q626" s="12" t="s">
        <v>234</v>
      </c>
      <c r="R626" s="12" t="s">
        <v>228</v>
      </c>
      <c r="T626" s="12" t="s">
        <v>228</v>
      </c>
      <c r="U626" s="12" t="s">
        <v>228</v>
      </c>
      <c r="V626" s="12"/>
      <c r="W626" s="12"/>
    </row>
    <row r="627" spans="2:23">
      <c r="B627" s="12" t="s">
        <v>933</v>
      </c>
      <c r="C627" s="12" t="s">
        <v>228</v>
      </c>
      <c r="D627" s="12" t="s">
        <v>259</v>
      </c>
      <c r="E627" s="12" t="s">
        <v>224</v>
      </c>
      <c r="F627" s="12" t="s">
        <v>260</v>
      </c>
      <c r="G627" s="5" t="s">
        <v>1155</v>
      </c>
      <c r="H627" s="12">
        <f t="shared" si="54"/>
        <v>1040</v>
      </c>
      <c r="I627" s="12" t="s">
        <v>1154</v>
      </c>
      <c r="J627" s="12" t="s">
        <v>238</v>
      </c>
      <c r="K627" s="12">
        <f t="shared" si="55"/>
        <v>312</v>
      </c>
      <c r="L627" s="12">
        <f t="shared" si="56"/>
        <v>283.5</v>
      </c>
      <c r="M627" s="12">
        <v>2600</v>
      </c>
      <c r="N627" s="12">
        <v>390</v>
      </c>
      <c r="O627" s="12">
        <v>354.375</v>
      </c>
      <c r="P627" s="12" t="s">
        <v>261</v>
      </c>
      <c r="Q627" s="12" t="s">
        <v>234</v>
      </c>
      <c r="R627" s="12" t="s">
        <v>228</v>
      </c>
      <c r="T627" s="12" t="s">
        <v>228</v>
      </c>
      <c r="U627" s="12" t="s">
        <v>228</v>
      </c>
      <c r="V627" s="12"/>
      <c r="W627" s="12"/>
    </row>
    <row r="628" spans="2:23">
      <c r="B628" s="12" t="s">
        <v>934</v>
      </c>
      <c r="C628" s="12" t="s">
        <v>228</v>
      </c>
      <c r="D628" s="12" t="s">
        <v>259</v>
      </c>
      <c r="E628" s="12" t="s">
        <v>224</v>
      </c>
      <c r="F628" s="12" t="s">
        <v>260</v>
      </c>
      <c r="G628" s="5" t="s">
        <v>1155</v>
      </c>
      <c r="H628" s="12">
        <f t="shared" si="54"/>
        <v>1056</v>
      </c>
      <c r="I628" s="12" t="s">
        <v>1154</v>
      </c>
      <c r="J628" s="12" t="s">
        <v>238</v>
      </c>
      <c r="K628" s="12">
        <f t="shared" si="55"/>
        <v>316.8</v>
      </c>
      <c r="L628" s="12">
        <f t="shared" si="56"/>
        <v>289.97999999999996</v>
      </c>
      <c r="M628" s="12">
        <v>2640</v>
      </c>
      <c r="N628" s="12">
        <v>396</v>
      </c>
      <c r="O628" s="12">
        <v>362.47499999999997</v>
      </c>
      <c r="P628" s="12" t="s">
        <v>261</v>
      </c>
      <c r="Q628" s="12" t="s">
        <v>234</v>
      </c>
      <c r="R628" s="12" t="s">
        <v>228</v>
      </c>
      <c r="T628" s="12" t="s">
        <v>228</v>
      </c>
      <c r="U628" s="12" t="s">
        <v>228</v>
      </c>
      <c r="V628" s="12"/>
      <c r="W628" s="12"/>
    </row>
    <row r="629" spans="2:23">
      <c r="B629" s="12" t="s">
        <v>935</v>
      </c>
      <c r="C629" s="12" t="s">
        <v>228</v>
      </c>
      <c r="D629" s="12" t="s">
        <v>259</v>
      </c>
      <c r="E629" s="12" t="s">
        <v>224</v>
      </c>
      <c r="F629" s="12" t="s">
        <v>260</v>
      </c>
      <c r="G629" s="5" t="s">
        <v>1155</v>
      </c>
      <c r="H629" s="12">
        <f t="shared" si="54"/>
        <v>1072</v>
      </c>
      <c r="I629" s="12" t="s">
        <v>1154</v>
      </c>
      <c r="J629" s="12" t="s">
        <v>238</v>
      </c>
      <c r="K629" s="12">
        <f t="shared" si="55"/>
        <v>321.60000000000002</v>
      </c>
      <c r="L629" s="12">
        <f t="shared" si="56"/>
        <v>296.45999999999998</v>
      </c>
      <c r="M629" s="12">
        <v>2680</v>
      </c>
      <c r="N629" s="12">
        <v>402</v>
      </c>
      <c r="O629" s="12">
        <v>370.57499999999999</v>
      </c>
      <c r="P629" s="12" t="s">
        <v>261</v>
      </c>
      <c r="Q629" s="12" t="s">
        <v>234</v>
      </c>
      <c r="R629" s="12" t="s">
        <v>228</v>
      </c>
      <c r="T629" s="12" t="s">
        <v>228</v>
      </c>
      <c r="U629" s="12" t="s">
        <v>228</v>
      </c>
      <c r="V629" s="12"/>
      <c r="W629" s="12"/>
    </row>
    <row r="630" spans="2:23">
      <c r="B630" s="12" t="s">
        <v>936</v>
      </c>
      <c r="C630" s="12" t="s">
        <v>228</v>
      </c>
      <c r="D630" s="12" t="s">
        <v>259</v>
      </c>
      <c r="E630" s="12" t="s">
        <v>224</v>
      </c>
      <c r="F630" s="12" t="s">
        <v>260</v>
      </c>
      <c r="G630" s="5" t="s">
        <v>1155</v>
      </c>
      <c r="H630" s="12">
        <f t="shared" si="54"/>
        <v>1088</v>
      </c>
      <c r="I630" s="12" t="s">
        <v>1154</v>
      </c>
      <c r="J630" s="12" t="s">
        <v>238</v>
      </c>
      <c r="K630" s="12">
        <f t="shared" si="55"/>
        <v>326.40000000000003</v>
      </c>
      <c r="L630" s="12">
        <f t="shared" si="56"/>
        <v>302.94</v>
      </c>
      <c r="M630" s="12">
        <v>2720</v>
      </c>
      <c r="N630" s="12">
        <v>408</v>
      </c>
      <c r="O630" s="12">
        <v>378.67500000000001</v>
      </c>
      <c r="P630" s="12" t="s">
        <v>261</v>
      </c>
      <c r="Q630" s="12" t="s">
        <v>234</v>
      </c>
      <c r="R630" s="12" t="s">
        <v>228</v>
      </c>
      <c r="T630" s="12" t="s">
        <v>228</v>
      </c>
      <c r="U630" s="12" t="s">
        <v>228</v>
      </c>
      <c r="V630" s="12"/>
      <c r="W630" s="12"/>
    </row>
    <row r="631" spans="2:23">
      <c r="B631" s="12" t="s">
        <v>937</v>
      </c>
      <c r="C631" s="12" t="s">
        <v>228</v>
      </c>
      <c r="D631" s="12" t="s">
        <v>259</v>
      </c>
      <c r="E631" s="12" t="s">
        <v>224</v>
      </c>
      <c r="F631" s="12" t="s">
        <v>260</v>
      </c>
      <c r="G631" s="5" t="s">
        <v>1155</v>
      </c>
      <c r="H631" s="12">
        <f t="shared" si="54"/>
        <v>1104</v>
      </c>
      <c r="I631" s="12" t="s">
        <v>1154</v>
      </c>
      <c r="J631" s="12" t="s">
        <v>238</v>
      </c>
      <c r="K631" s="12">
        <f t="shared" si="55"/>
        <v>331.20000000000005</v>
      </c>
      <c r="L631" s="12">
        <f t="shared" si="56"/>
        <v>309.42</v>
      </c>
      <c r="M631" s="12">
        <v>2760</v>
      </c>
      <c r="N631" s="12">
        <v>414</v>
      </c>
      <c r="O631" s="12">
        <v>386.77499999999998</v>
      </c>
      <c r="P631" s="12" t="s">
        <v>261</v>
      </c>
      <c r="Q631" s="12" t="s">
        <v>234</v>
      </c>
      <c r="R631" s="12" t="s">
        <v>228</v>
      </c>
      <c r="T631" s="12" t="s">
        <v>228</v>
      </c>
      <c r="U631" s="12" t="s">
        <v>228</v>
      </c>
      <c r="V631" s="12"/>
      <c r="W631" s="12"/>
    </row>
    <row r="632" spans="2:23">
      <c r="B632" s="12" t="s">
        <v>938</v>
      </c>
      <c r="C632" s="12" t="s">
        <v>228</v>
      </c>
      <c r="D632" s="12" t="s">
        <v>259</v>
      </c>
      <c r="E632" s="12" t="s">
        <v>224</v>
      </c>
      <c r="F632" s="12" t="s">
        <v>260</v>
      </c>
      <c r="G632" s="5" t="s">
        <v>1155</v>
      </c>
      <c r="H632" s="12">
        <f t="shared" si="54"/>
        <v>1555.2</v>
      </c>
      <c r="I632" s="12" t="s">
        <v>1154</v>
      </c>
      <c r="J632" s="12" t="s">
        <v>238</v>
      </c>
      <c r="K632" s="12">
        <f t="shared" si="55"/>
        <v>460.8</v>
      </c>
      <c r="L632" s="12">
        <f t="shared" si="56"/>
        <v>576</v>
      </c>
      <c r="M632" s="12">
        <v>3888</v>
      </c>
      <c r="N632" s="12">
        <v>576</v>
      </c>
      <c r="O632" s="12">
        <v>720</v>
      </c>
      <c r="P632" s="12" t="s">
        <v>261</v>
      </c>
      <c r="Q632" s="12" t="s">
        <v>234</v>
      </c>
      <c r="R632" s="12" t="s">
        <v>228</v>
      </c>
      <c r="T632" s="12" t="s">
        <v>228</v>
      </c>
      <c r="U632" s="12" t="s">
        <v>228</v>
      </c>
      <c r="V632" s="12"/>
      <c r="W632" s="12"/>
    </row>
    <row r="633" spans="2:23">
      <c r="B633" s="12" t="s">
        <v>939</v>
      </c>
      <c r="C633" s="12" t="s">
        <v>228</v>
      </c>
      <c r="D633" s="12" t="s">
        <v>259</v>
      </c>
      <c r="E633" s="12" t="s">
        <v>224</v>
      </c>
      <c r="F633" s="12" t="s">
        <v>260</v>
      </c>
      <c r="G633" s="5" t="s">
        <v>1155</v>
      </c>
      <c r="H633" s="12">
        <f t="shared" si="54"/>
        <v>0</v>
      </c>
      <c r="I633" s="12" t="s">
        <v>1154</v>
      </c>
      <c r="J633" s="12" t="s">
        <v>238</v>
      </c>
      <c r="K633" s="12">
        <f t="shared" si="55"/>
        <v>0</v>
      </c>
      <c r="L633" s="12">
        <f t="shared" si="56"/>
        <v>0</v>
      </c>
      <c r="M633" s="12"/>
      <c r="N633" s="12"/>
      <c r="O633" s="12"/>
      <c r="P633" s="12" t="s">
        <v>261</v>
      </c>
      <c r="Q633" s="12" t="s">
        <v>234</v>
      </c>
      <c r="R633" s="12" t="s">
        <v>228</v>
      </c>
      <c r="T633" s="12" t="s">
        <v>228</v>
      </c>
      <c r="U633" s="12" t="s">
        <v>228</v>
      </c>
      <c r="V633" s="12"/>
      <c r="W633" s="12"/>
    </row>
    <row r="634" spans="2:23">
      <c r="B634" s="12" t="s">
        <v>940</v>
      </c>
      <c r="C634" s="12" t="s">
        <v>228</v>
      </c>
      <c r="D634" s="12" t="s">
        <v>259</v>
      </c>
      <c r="E634" s="12" t="s">
        <v>224</v>
      </c>
      <c r="F634" s="12" t="s">
        <v>260</v>
      </c>
      <c r="G634" s="5" t="s">
        <v>1155</v>
      </c>
      <c r="H634" s="12">
        <f t="shared" si="54"/>
        <v>0</v>
      </c>
      <c r="I634" s="12" t="s">
        <v>1154</v>
      </c>
      <c r="J634" s="12" t="s">
        <v>238</v>
      </c>
      <c r="K634" s="12">
        <f t="shared" si="55"/>
        <v>0</v>
      </c>
      <c r="L634" s="12">
        <f t="shared" si="56"/>
        <v>0</v>
      </c>
      <c r="M634" s="12"/>
      <c r="N634" s="12"/>
      <c r="O634" s="12"/>
      <c r="P634" s="12" t="s">
        <v>261</v>
      </c>
      <c r="Q634" s="12" t="s">
        <v>234</v>
      </c>
      <c r="R634" s="12" t="s">
        <v>228</v>
      </c>
      <c r="T634" s="12" t="s">
        <v>228</v>
      </c>
      <c r="U634" s="12" t="s">
        <v>228</v>
      </c>
      <c r="V634" s="12"/>
      <c r="W634" s="12"/>
    </row>
    <row r="635" spans="2:23">
      <c r="B635" s="12" t="s">
        <v>941</v>
      </c>
      <c r="C635" s="12" t="s">
        <v>228</v>
      </c>
      <c r="D635" s="12" t="s">
        <v>259</v>
      </c>
      <c r="E635" s="12" t="s">
        <v>224</v>
      </c>
      <c r="F635" s="12" t="s">
        <v>260</v>
      </c>
      <c r="G635" s="5" t="s">
        <v>1155</v>
      </c>
      <c r="H635" s="12">
        <f t="shared" si="54"/>
        <v>0</v>
      </c>
      <c r="I635" s="12" t="s">
        <v>1154</v>
      </c>
      <c r="J635" s="12" t="s">
        <v>238</v>
      </c>
      <c r="K635" s="12">
        <f t="shared" si="55"/>
        <v>0</v>
      </c>
      <c r="L635" s="12">
        <f t="shared" si="56"/>
        <v>0</v>
      </c>
      <c r="M635" s="12"/>
      <c r="N635" s="12"/>
      <c r="O635" s="12"/>
      <c r="P635" s="12" t="s">
        <v>261</v>
      </c>
      <c r="Q635" s="12" t="s">
        <v>234</v>
      </c>
      <c r="R635" s="12" t="s">
        <v>228</v>
      </c>
      <c r="T635" s="12" t="s">
        <v>228</v>
      </c>
      <c r="U635" s="12" t="s">
        <v>228</v>
      </c>
      <c r="V635" s="12"/>
      <c r="W635" s="12"/>
    </row>
    <row r="636" spans="2:23">
      <c r="B636" s="12"/>
      <c r="C636" s="12"/>
      <c r="D636" s="12"/>
      <c r="E636" s="12"/>
      <c r="F636" s="12"/>
      <c r="G636" s="5"/>
      <c r="H636" s="12"/>
      <c r="I636" s="12"/>
      <c r="J636" s="12"/>
      <c r="K636" s="12" t="str">
        <f t="shared" si="53"/>
        <v>防</v>
      </c>
      <c r="L636" s="12" t="str">
        <f t="shared" si="52"/>
        <v>攻</v>
      </c>
      <c r="M636" s="12"/>
      <c r="N636" s="12"/>
      <c r="O636" s="12"/>
      <c r="P636" s="12"/>
      <c r="Q636" s="12"/>
      <c r="R636" s="12"/>
      <c r="T636" s="12"/>
      <c r="U636" s="12"/>
      <c r="V636" s="12"/>
      <c r="W636" s="12"/>
    </row>
    <row r="637" spans="2:23">
      <c r="B637" s="12" t="s">
        <v>942</v>
      </c>
      <c r="C637" s="12" t="s">
        <v>228</v>
      </c>
      <c r="D637" s="12" t="s">
        <v>262</v>
      </c>
      <c r="E637" s="12" t="s">
        <v>224</v>
      </c>
      <c r="F637" s="12" t="s">
        <v>263</v>
      </c>
      <c r="G637" s="5" t="s">
        <v>264</v>
      </c>
      <c r="H637" s="12">
        <f>M637*$Z$8</f>
        <v>288</v>
      </c>
      <c r="I637" s="12" t="s">
        <v>1139</v>
      </c>
      <c r="J637" s="12" t="s">
        <v>228</v>
      </c>
      <c r="K637" s="12">
        <f>N637*$X$10</f>
        <v>38</v>
      </c>
      <c r="L637" s="12">
        <f>O637*$X$10</f>
        <v>28.5</v>
      </c>
      <c r="M637" s="12">
        <v>360</v>
      </c>
      <c r="N637" s="12">
        <v>40</v>
      </c>
      <c r="O637" s="12">
        <v>30</v>
      </c>
      <c r="P637" s="12" t="s">
        <v>261</v>
      </c>
      <c r="Q637" s="12"/>
      <c r="R637" s="12"/>
      <c r="T637" s="12" t="s">
        <v>228</v>
      </c>
      <c r="U637" s="12" t="s">
        <v>228</v>
      </c>
      <c r="V637" s="12"/>
      <c r="W637" s="12"/>
    </row>
    <row r="638" spans="2:23">
      <c r="B638" s="12" t="s">
        <v>943</v>
      </c>
      <c r="C638" s="12" t="s">
        <v>228</v>
      </c>
      <c r="D638" s="12" t="s">
        <v>262</v>
      </c>
      <c r="E638" s="12" t="s">
        <v>224</v>
      </c>
      <c r="F638" s="12" t="s">
        <v>263</v>
      </c>
      <c r="G638" s="5" t="s">
        <v>264</v>
      </c>
      <c r="H638" s="12">
        <f t="shared" ref="H638:H684" si="57">M638*$Z$8</f>
        <v>331.20000000000005</v>
      </c>
      <c r="I638" s="12" t="s">
        <v>1139</v>
      </c>
      <c r="J638" s="12" t="s">
        <v>228</v>
      </c>
      <c r="K638" s="12">
        <f t="shared" ref="K638:K684" si="58">N638*$X$10</f>
        <v>43.699999999999996</v>
      </c>
      <c r="L638" s="12">
        <f t="shared" ref="L638:L684" si="59">O638*$X$10</f>
        <v>36.1</v>
      </c>
      <c r="M638" s="12">
        <v>414</v>
      </c>
      <c r="N638" s="12">
        <v>46</v>
      </c>
      <c r="O638" s="12">
        <v>38</v>
      </c>
      <c r="P638" s="12" t="s">
        <v>261</v>
      </c>
      <c r="Q638" s="12"/>
      <c r="R638" s="12"/>
      <c r="T638" s="12" t="s">
        <v>228</v>
      </c>
      <c r="U638" s="12" t="s">
        <v>228</v>
      </c>
      <c r="V638" s="12"/>
      <c r="W638" s="12"/>
    </row>
    <row r="639" spans="2:23">
      <c r="B639" s="12" t="s">
        <v>944</v>
      </c>
      <c r="C639" s="12" t="s">
        <v>228</v>
      </c>
      <c r="D639" s="12" t="s">
        <v>262</v>
      </c>
      <c r="E639" s="12" t="s">
        <v>224</v>
      </c>
      <c r="F639" s="12" t="s">
        <v>263</v>
      </c>
      <c r="G639" s="5" t="s">
        <v>264</v>
      </c>
      <c r="H639" s="12">
        <f t="shared" si="57"/>
        <v>345.6</v>
      </c>
      <c r="I639" s="12" t="s">
        <v>1139</v>
      </c>
      <c r="J639" s="12" t="s">
        <v>228</v>
      </c>
      <c r="K639" s="12">
        <f t="shared" si="58"/>
        <v>45.599999999999994</v>
      </c>
      <c r="L639" s="12">
        <f t="shared" si="59"/>
        <v>39.9</v>
      </c>
      <c r="M639" s="12">
        <v>432</v>
      </c>
      <c r="N639" s="12">
        <v>48</v>
      </c>
      <c r="O639" s="12">
        <v>42</v>
      </c>
      <c r="P639" s="12" t="s">
        <v>261</v>
      </c>
      <c r="Q639" s="12"/>
      <c r="R639" s="12"/>
      <c r="T639" s="12" t="s">
        <v>228</v>
      </c>
      <c r="U639" s="12" t="s">
        <v>228</v>
      </c>
      <c r="V639" s="12"/>
      <c r="W639" s="12"/>
    </row>
    <row r="640" spans="2:23">
      <c r="B640" s="12" t="s">
        <v>945</v>
      </c>
      <c r="C640" s="12" t="s">
        <v>228</v>
      </c>
      <c r="D640" s="12" t="s">
        <v>262</v>
      </c>
      <c r="E640" s="12" t="s">
        <v>224</v>
      </c>
      <c r="F640" s="12" t="s">
        <v>263</v>
      </c>
      <c r="G640" s="5" t="s">
        <v>264</v>
      </c>
      <c r="H640" s="12">
        <f t="shared" si="57"/>
        <v>360</v>
      </c>
      <c r="I640" s="12" t="s">
        <v>1139</v>
      </c>
      <c r="J640" s="12" t="s">
        <v>228</v>
      </c>
      <c r="K640" s="12">
        <f t="shared" si="58"/>
        <v>47.5</v>
      </c>
      <c r="L640" s="12">
        <f t="shared" si="59"/>
        <v>43.699999999999996</v>
      </c>
      <c r="M640" s="12">
        <v>450</v>
      </c>
      <c r="N640" s="12">
        <v>50</v>
      </c>
      <c r="O640" s="12">
        <v>46</v>
      </c>
      <c r="P640" s="12" t="s">
        <v>261</v>
      </c>
      <c r="Q640" s="12"/>
      <c r="R640" s="12"/>
      <c r="T640" s="12" t="s">
        <v>228</v>
      </c>
      <c r="U640" s="12" t="s">
        <v>228</v>
      </c>
      <c r="V640" s="12"/>
      <c r="W640" s="12"/>
    </row>
    <row r="641" spans="2:23">
      <c r="B641" s="12" t="s">
        <v>946</v>
      </c>
      <c r="C641" s="12" t="s">
        <v>228</v>
      </c>
      <c r="D641" s="12" t="s">
        <v>262</v>
      </c>
      <c r="E641" s="12" t="s">
        <v>224</v>
      </c>
      <c r="F641" s="12" t="s">
        <v>263</v>
      </c>
      <c r="G641" s="5" t="s">
        <v>264</v>
      </c>
      <c r="H641" s="12">
        <f t="shared" si="57"/>
        <v>374.40000000000003</v>
      </c>
      <c r="I641" s="12" t="s">
        <v>1139</v>
      </c>
      <c r="J641" s="12" t="s">
        <v>228</v>
      </c>
      <c r="K641" s="12">
        <f t="shared" si="58"/>
        <v>49.4</v>
      </c>
      <c r="L641" s="12">
        <f t="shared" si="59"/>
        <v>47.5</v>
      </c>
      <c r="M641" s="12">
        <v>468</v>
      </c>
      <c r="N641" s="12">
        <v>52</v>
      </c>
      <c r="O641" s="12">
        <v>50</v>
      </c>
      <c r="P641" s="12" t="s">
        <v>261</v>
      </c>
      <c r="Q641" s="12"/>
      <c r="R641" s="12"/>
      <c r="T641" s="12" t="s">
        <v>228</v>
      </c>
      <c r="U641" s="12" t="s">
        <v>228</v>
      </c>
      <c r="V641" s="12"/>
      <c r="W641" s="12"/>
    </row>
    <row r="642" spans="2:23">
      <c r="B642" s="12" t="s">
        <v>947</v>
      </c>
      <c r="C642" s="12" t="s">
        <v>228</v>
      </c>
      <c r="D642" s="12" t="s">
        <v>262</v>
      </c>
      <c r="E642" s="12" t="s">
        <v>224</v>
      </c>
      <c r="F642" s="12" t="s">
        <v>263</v>
      </c>
      <c r="G642" s="5" t="s">
        <v>264</v>
      </c>
      <c r="H642" s="12">
        <f t="shared" si="57"/>
        <v>388.8</v>
      </c>
      <c r="I642" s="12" t="s">
        <v>1139</v>
      </c>
      <c r="J642" s="12" t="s">
        <v>228</v>
      </c>
      <c r="K642" s="12">
        <f t="shared" si="58"/>
        <v>51.3</v>
      </c>
      <c r="L642" s="12">
        <f t="shared" si="59"/>
        <v>51.3</v>
      </c>
      <c r="M642" s="12">
        <v>486</v>
      </c>
      <c r="N642" s="12">
        <v>54</v>
      </c>
      <c r="O642" s="12">
        <v>54</v>
      </c>
      <c r="P642" s="12" t="s">
        <v>261</v>
      </c>
      <c r="Q642" s="12"/>
      <c r="R642" s="12"/>
      <c r="T642" s="12" t="s">
        <v>228</v>
      </c>
      <c r="U642" s="12" t="s">
        <v>228</v>
      </c>
      <c r="V642" s="12"/>
      <c r="W642" s="12"/>
    </row>
    <row r="643" spans="2:23">
      <c r="B643" s="12" t="s">
        <v>948</v>
      </c>
      <c r="C643" s="12" t="s">
        <v>228</v>
      </c>
      <c r="D643" s="12" t="s">
        <v>262</v>
      </c>
      <c r="E643" s="12" t="s">
        <v>224</v>
      </c>
      <c r="F643" s="12" t="s">
        <v>263</v>
      </c>
      <c r="G643" s="5" t="s">
        <v>264</v>
      </c>
      <c r="H643" s="12">
        <f t="shared" si="57"/>
        <v>403.20000000000005</v>
      </c>
      <c r="I643" s="12" t="s">
        <v>1139</v>
      </c>
      <c r="J643" s="12" t="s">
        <v>228</v>
      </c>
      <c r="K643" s="12">
        <f t="shared" si="58"/>
        <v>53.199999999999996</v>
      </c>
      <c r="L643" s="12">
        <f t="shared" si="59"/>
        <v>55.099999999999994</v>
      </c>
      <c r="M643" s="12">
        <v>504</v>
      </c>
      <c r="N643" s="12">
        <v>56</v>
      </c>
      <c r="O643" s="12">
        <v>58</v>
      </c>
      <c r="P643" s="12" t="s">
        <v>261</v>
      </c>
      <c r="Q643" s="12"/>
      <c r="R643" s="12"/>
      <c r="T643" s="12" t="s">
        <v>228</v>
      </c>
      <c r="U643" s="12" t="s">
        <v>228</v>
      </c>
      <c r="V643" s="12"/>
      <c r="W643" s="12"/>
    </row>
    <row r="644" spans="2:23">
      <c r="B644" s="12" t="s">
        <v>949</v>
      </c>
      <c r="C644" s="12" t="s">
        <v>228</v>
      </c>
      <c r="D644" s="12" t="s">
        <v>262</v>
      </c>
      <c r="E644" s="12" t="s">
        <v>224</v>
      </c>
      <c r="F644" s="12" t="s">
        <v>263</v>
      </c>
      <c r="G644" s="5" t="s">
        <v>264</v>
      </c>
      <c r="H644" s="12">
        <f t="shared" si="57"/>
        <v>417.6</v>
      </c>
      <c r="I644" s="12" t="s">
        <v>1139</v>
      </c>
      <c r="J644" s="12" t="s">
        <v>228</v>
      </c>
      <c r="K644" s="12">
        <f t="shared" si="58"/>
        <v>55.099999999999994</v>
      </c>
      <c r="L644" s="12">
        <f t="shared" si="59"/>
        <v>58.9</v>
      </c>
      <c r="M644" s="12">
        <v>522</v>
      </c>
      <c r="N644" s="12">
        <v>58</v>
      </c>
      <c r="O644" s="12">
        <v>62</v>
      </c>
      <c r="P644" s="12" t="s">
        <v>261</v>
      </c>
      <c r="Q644" s="12"/>
      <c r="R644" s="12"/>
      <c r="T644" s="12" t="s">
        <v>228</v>
      </c>
      <c r="U644" s="12" t="s">
        <v>228</v>
      </c>
      <c r="V644" s="12"/>
      <c r="W644" s="12"/>
    </row>
    <row r="645" spans="2:23">
      <c r="B645" s="12" t="s">
        <v>950</v>
      </c>
      <c r="C645" s="12" t="s">
        <v>228</v>
      </c>
      <c r="D645" s="12" t="s">
        <v>262</v>
      </c>
      <c r="E645" s="12" t="s">
        <v>224</v>
      </c>
      <c r="F645" s="12" t="s">
        <v>263</v>
      </c>
      <c r="G645" s="5" t="s">
        <v>264</v>
      </c>
      <c r="H645" s="12">
        <f t="shared" si="57"/>
        <v>432</v>
      </c>
      <c r="I645" s="12" t="s">
        <v>1139</v>
      </c>
      <c r="J645" s="12" t="s">
        <v>228</v>
      </c>
      <c r="K645" s="12">
        <f t="shared" si="58"/>
        <v>57</v>
      </c>
      <c r="L645" s="12">
        <f t="shared" si="59"/>
        <v>62.699999999999996</v>
      </c>
      <c r="M645" s="12">
        <v>540</v>
      </c>
      <c r="N645" s="12">
        <v>60</v>
      </c>
      <c r="O645" s="12">
        <v>66</v>
      </c>
      <c r="P645" s="12" t="s">
        <v>261</v>
      </c>
      <c r="Q645" s="12"/>
      <c r="R645" s="12"/>
      <c r="T645" s="12" t="s">
        <v>228</v>
      </c>
      <c r="U645" s="12" t="s">
        <v>228</v>
      </c>
      <c r="V645" s="12"/>
      <c r="W645" s="12"/>
    </row>
    <row r="646" spans="2:23">
      <c r="B646" s="12" t="s">
        <v>951</v>
      </c>
      <c r="C646" s="12" t="s">
        <v>228</v>
      </c>
      <c r="D646" s="12" t="s">
        <v>262</v>
      </c>
      <c r="E646" s="12" t="s">
        <v>224</v>
      </c>
      <c r="F646" s="12" t="s">
        <v>263</v>
      </c>
      <c r="G646" s="5" t="s">
        <v>264</v>
      </c>
      <c r="H646" s="12">
        <f t="shared" si="57"/>
        <v>446.40000000000003</v>
      </c>
      <c r="I646" s="12" t="s">
        <v>1139</v>
      </c>
      <c r="J646" s="12" t="s">
        <v>228</v>
      </c>
      <c r="K646" s="12">
        <f t="shared" si="58"/>
        <v>58.9</v>
      </c>
      <c r="L646" s="12">
        <f t="shared" si="59"/>
        <v>66.5</v>
      </c>
      <c r="M646" s="12">
        <v>558</v>
      </c>
      <c r="N646" s="12">
        <v>62</v>
      </c>
      <c r="O646" s="12">
        <v>70</v>
      </c>
      <c r="P646" s="12" t="s">
        <v>261</v>
      </c>
      <c r="Q646" s="12"/>
      <c r="R646" s="12"/>
      <c r="T646" s="12" t="s">
        <v>228</v>
      </c>
      <c r="U646" s="12" t="s">
        <v>228</v>
      </c>
      <c r="V646" s="12"/>
      <c r="W646" s="12"/>
    </row>
    <row r="647" spans="2:23">
      <c r="B647" s="12" t="s">
        <v>952</v>
      </c>
      <c r="C647" s="12" t="s">
        <v>228</v>
      </c>
      <c r="D647" s="12" t="s">
        <v>262</v>
      </c>
      <c r="E647" s="12" t="s">
        <v>224</v>
      </c>
      <c r="F647" s="12" t="s">
        <v>263</v>
      </c>
      <c r="G647" s="5" t="s">
        <v>264</v>
      </c>
      <c r="H647" s="12">
        <f t="shared" si="57"/>
        <v>460.8</v>
      </c>
      <c r="I647" s="12" t="s">
        <v>1139</v>
      </c>
      <c r="J647" s="12" t="s">
        <v>228</v>
      </c>
      <c r="K647" s="12">
        <f t="shared" si="58"/>
        <v>60.8</v>
      </c>
      <c r="L647" s="12">
        <f t="shared" si="59"/>
        <v>70.3</v>
      </c>
      <c r="M647" s="12">
        <v>576</v>
      </c>
      <c r="N647" s="12">
        <v>64</v>
      </c>
      <c r="O647" s="12">
        <v>74</v>
      </c>
      <c r="P647" s="12" t="s">
        <v>261</v>
      </c>
      <c r="Q647" s="12"/>
      <c r="R647" s="12"/>
      <c r="T647" s="12" t="s">
        <v>228</v>
      </c>
      <c r="U647" s="12" t="s">
        <v>228</v>
      </c>
      <c r="V647" s="12"/>
      <c r="W647" s="12"/>
    </row>
    <row r="648" spans="2:23">
      <c r="B648" s="12" t="s">
        <v>953</v>
      </c>
      <c r="C648" s="12" t="s">
        <v>228</v>
      </c>
      <c r="D648" s="12" t="s">
        <v>262</v>
      </c>
      <c r="E648" s="12" t="s">
        <v>224</v>
      </c>
      <c r="F648" s="12" t="s">
        <v>263</v>
      </c>
      <c r="G648" s="5" t="s">
        <v>264</v>
      </c>
      <c r="H648" s="12">
        <f t="shared" si="57"/>
        <v>475.20000000000005</v>
      </c>
      <c r="I648" s="12" t="s">
        <v>1139</v>
      </c>
      <c r="J648" s="12" t="s">
        <v>228</v>
      </c>
      <c r="K648" s="12">
        <f t="shared" si="58"/>
        <v>62.699999999999996</v>
      </c>
      <c r="L648" s="12">
        <f t="shared" si="59"/>
        <v>74.099999999999994</v>
      </c>
      <c r="M648" s="12">
        <v>594</v>
      </c>
      <c r="N648" s="12">
        <v>66</v>
      </c>
      <c r="O648" s="12">
        <v>78</v>
      </c>
      <c r="P648" s="12" t="s">
        <v>261</v>
      </c>
      <c r="Q648" s="12"/>
      <c r="R648" s="12"/>
      <c r="T648" s="12" t="s">
        <v>228</v>
      </c>
      <c r="U648" s="12" t="s">
        <v>228</v>
      </c>
      <c r="V648" s="12"/>
      <c r="W648" s="12"/>
    </row>
    <row r="649" spans="2:23">
      <c r="B649" s="12" t="s">
        <v>954</v>
      </c>
      <c r="C649" s="12" t="s">
        <v>228</v>
      </c>
      <c r="D649" s="12" t="s">
        <v>262</v>
      </c>
      <c r="E649" s="12" t="s">
        <v>224</v>
      </c>
      <c r="F649" s="12" t="s">
        <v>263</v>
      </c>
      <c r="G649" s="5" t="s">
        <v>264</v>
      </c>
      <c r="H649" s="12">
        <f t="shared" si="57"/>
        <v>489.6</v>
      </c>
      <c r="I649" s="12" t="s">
        <v>1139</v>
      </c>
      <c r="J649" s="12" t="s">
        <v>228</v>
      </c>
      <c r="K649" s="12">
        <f t="shared" si="58"/>
        <v>64.599999999999994</v>
      </c>
      <c r="L649" s="12">
        <f t="shared" si="59"/>
        <v>77.899999999999991</v>
      </c>
      <c r="M649" s="12">
        <v>612</v>
      </c>
      <c r="N649" s="12">
        <v>68</v>
      </c>
      <c r="O649" s="12">
        <v>82</v>
      </c>
      <c r="P649" s="12" t="s">
        <v>261</v>
      </c>
      <c r="Q649" s="12"/>
      <c r="R649" s="12"/>
      <c r="T649" s="12" t="s">
        <v>228</v>
      </c>
      <c r="U649" s="12" t="s">
        <v>228</v>
      </c>
      <c r="V649" s="12"/>
      <c r="W649" s="12"/>
    </row>
    <row r="650" spans="2:23">
      <c r="B650" s="12" t="s">
        <v>955</v>
      </c>
      <c r="C650" s="12" t="s">
        <v>228</v>
      </c>
      <c r="D650" s="12" t="s">
        <v>262</v>
      </c>
      <c r="E650" s="12" t="s">
        <v>224</v>
      </c>
      <c r="F650" s="12" t="s">
        <v>263</v>
      </c>
      <c r="G650" s="5" t="s">
        <v>264</v>
      </c>
      <c r="H650" s="12">
        <f t="shared" si="57"/>
        <v>504</v>
      </c>
      <c r="I650" s="12" t="s">
        <v>1139</v>
      </c>
      <c r="J650" s="12" t="s">
        <v>228</v>
      </c>
      <c r="K650" s="12">
        <f t="shared" si="58"/>
        <v>66.5</v>
      </c>
      <c r="L650" s="12">
        <f t="shared" si="59"/>
        <v>81.7</v>
      </c>
      <c r="M650" s="12">
        <v>630</v>
      </c>
      <c r="N650" s="12">
        <v>70</v>
      </c>
      <c r="O650" s="12">
        <v>86</v>
      </c>
      <c r="P650" s="12" t="s">
        <v>261</v>
      </c>
      <c r="Q650" s="12"/>
      <c r="R650" s="12"/>
      <c r="T650" s="12" t="s">
        <v>228</v>
      </c>
      <c r="U650" s="12" t="s">
        <v>228</v>
      </c>
      <c r="V650" s="12"/>
      <c r="W650" s="12"/>
    </row>
    <row r="651" spans="2:23">
      <c r="B651" s="12" t="s">
        <v>956</v>
      </c>
      <c r="C651" s="12" t="s">
        <v>228</v>
      </c>
      <c r="D651" s="12" t="s">
        <v>262</v>
      </c>
      <c r="E651" s="12" t="s">
        <v>224</v>
      </c>
      <c r="F651" s="12" t="s">
        <v>263</v>
      </c>
      <c r="G651" s="5" t="s">
        <v>264</v>
      </c>
      <c r="H651" s="12">
        <f t="shared" si="57"/>
        <v>851.2</v>
      </c>
      <c r="I651" s="12" t="s">
        <v>1139</v>
      </c>
      <c r="J651" s="12" t="s">
        <v>228</v>
      </c>
      <c r="K651" s="12">
        <f t="shared" si="58"/>
        <v>144.4</v>
      </c>
      <c r="L651" s="12">
        <f t="shared" si="59"/>
        <v>115.425</v>
      </c>
      <c r="M651" s="12">
        <v>1064</v>
      </c>
      <c r="N651" s="12">
        <v>152</v>
      </c>
      <c r="O651" s="12">
        <v>121.5</v>
      </c>
      <c r="P651" s="12" t="s">
        <v>261</v>
      </c>
      <c r="Q651" s="12"/>
      <c r="R651" s="12"/>
      <c r="T651" s="12" t="s">
        <v>228</v>
      </c>
      <c r="U651" s="12" t="s">
        <v>228</v>
      </c>
      <c r="V651" s="12"/>
      <c r="W651" s="12"/>
    </row>
    <row r="652" spans="2:23">
      <c r="B652" s="12" t="s">
        <v>957</v>
      </c>
      <c r="C652" s="12" t="s">
        <v>228</v>
      </c>
      <c r="D652" s="12" t="s">
        <v>262</v>
      </c>
      <c r="E652" s="12" t="s">
        <v>224</v>
      </c>
      <c r="F652" s="12" t="s">
        <v>263</v>
      </c>
      <c r="G652" s="5" t="s">
        <v>264</v>
      </c>
      <c r="H652" s="12">
        <f t="shared" si="57"/>
        <v>873.6</v>
      </c>
      <c r="I652" s="12" t="s">
        <v>1139</v>
      </c>
      <c r="J652" s="12" t="s">
        <v>228</v>
      </c>
      <c r="K652" s="12">
        <f t="shared" si="58"/>
        <v>148.19999999999999</v>
      </c>
      <c r="L652" s="12">
        <f t="shared" si="59"/>
        <v>121.19624999999998</v>
      </c>
      <c r="M652" s="12">
        <v>1092</v>
      </c>
      <c r="N652" s="12">
        <v>156</v>
      </c>
      <c r="O652" s="12">
        <v>127.57499999999999</v>
      </c>
      <c r="P652" s="12" t="s">
        <v>261</v>
      </c>
      <c r="Q652" s="12"/>
      <c r="R652" s="12"/>
      <c r="T652" s="12" t="s">
        <v>228</v>
      </c>
      <c r="U652" s="12" t="s">
        <v>228</v>
      </c>
      <c r="V652" s="12"/>
      <c r="W652" s="12"/>
    </row>
    <row r="653" spans="2:23">
      <c r="B653" s="12" t="s">
        <v>958</v>
      </c>
      <c r="C653" s="12" t="s">
        <v>228</v>
      </c>
      <c r="D653" s="12" t="s">
        <v>262</v>
      </c>
      <c r="E653" s="12" t="s">
        <v>224</v>
      </c>
      <c r="F653" s="12" t="s">
        <v>263</v>
      </c>
      <c r="G653" s="5" t="s">
        <v>264</v>
      </c>
      <c r="H653" s="12">
        <f t="shared" si="57"/>
        <v>896</v>
      </c>
      <c r="I653" s="12" t="s">
        <v>1139</v>
      </c>
      <c r="J653" s="12" t="s">
        <v>228</v>
      </c>
      <c r="K653" s="12">
        <f t="shared" si="58"/>
        <v>152</v>
      </c>
      <c r="L653" s="12">
        <f t="shared" si="59"/>
        <v>126.9675</v>
      </c>
      <c r="M653" s="12">
        <v>1120</v>
      </c>
      <c r="N653" s="12">
        <v>160</v>
      </c>
      <c r="O653" s="12">
        <v>133.65</v>
      </c>
      <c r="P653" s="12" t="s">
        <v>261</v>
      </c>
      <c r="Q653" s="12"/>
      <c r="R653" s="12"/>
      <c r="T653" s="12" t="s">
        <v>228</v>
      </c>
      <c r="U653" s="12" t="s">
        <v>228</v>
      </c>
      <c r="V653" s="12"/>
      <c r="W653" s="12"/>
    </row>
    <row r="654" spans="2:23">
      <c r="B654" s="12" t="s">
        <v>959</v>
      </c>
      <c r="C654" s="12" t="s">
        <v>228</v>
      </c>
      <c r="D654" s="12" t="s">
        <v>262</v>
      </c>
      <c r="E654" s="12" t="s">
        <v>224</v>
      </c>
      <c r="F654" s="12" t="s">
        <v>263</v>
      </c>
      <c r="G654" s="5" t="s">
        <v>264</v>
      </c>
      <c r="H654" s="12">
        <f t="shared" si="57"/>
        <v>918.40000000000009</v>
      </c>
      <c r="I654" s="12" t="s">
        <v>1139</v>
      </c>
      <c r="J654" s="12" t="s">
        <v>228</v>
      </c>
      <c r="K654" s="12">
        <f t="shared" si="58"/>
        <v>155.79999999999998</v>
      </c>
      <c r="L654" s="12">
        <f t="shared" si="59"/>
        <v>132.73874999999998</v>
      </c>
      <c r="M654" s="12">
        <v>1148</v>
      </c>
      <c r="N654" s="12">
        <v>164</v>
      </c>
      <c r="O654" s="12">
        <v>139.72499999999999</v>
      </c>
      <c r="P654" s="12" t="s">
        <v>261</v>
      </c>
      <c r="Q654" s="12"/>
      <c r="R654" s="12"/>
      <c r="T654" s="12" t="s">
        <v>228</v>
      </c>
      <c r="U654" s="12" t="s">
        <v>228</v>
      </c>
      <c r="V654" s="12"/>
      <c r="W654" s="12"/>
    </row>
    <row r="655" spans="2:23">
      <c r="B655" s="12" t="s">
        <v>960</v>
      </c>
      <c r="C655" s="12" t="s">
        <v>228</v>
      </c>
      <c r="D655" s="12" t="s">
        <v>262</v>
      </c>
      <c r="E655" s="12" t="s">
        <v>224</v>
      </c>
      <c r="F655" s="12" t="s">
        <v>263</v>
      </c>
      <c r="G655" s="5" t="s">
        <v>264</v>
      </c>
      <c r="H655" s="12">
        <f t="shared" si="57"/>
        <v>940.80000000000007</v>
      </c>
      <c r="I655" s="12" t="s">
        <v>1139</v>
      </c>
      <c r="J655" s="12" t="s">
        <v>228</v>
      </c>
      <c r="K655" s="12">
        <f t="shared" si="58"/>
        <v>159.6</v>
      </c>
      <c r="L655" s="12">
        <f t="shared" si="59"/>
        <v>138.51</v>
      </c>
      <c r="M655" s="12">
        <v>1176</v>
      </c>
      <c r="N655" s="12">
        <v>168</v>
      </c>
      <c r="O655" s="12">
        <v>145.79999999999998</v>
      </c>
      <c r="P655" s="12" t="s">
        <v>261</v>
      </c>
      <c r="Q655" s="12"/>
      <c r="R655" s="12"/>
      <c r="T655" s="12" t="s">
        <v>228</v>
      </c>
      <c r="U655" s="12" t="s">
        <v>228</v>
      </c>
      <c r="V655" s="12"/>
      <c r="W655" s="12"/>
    </row>
    <row r="656" spans="2:23">
      <c r="B656" s="12" t="s">
        <v>961</v>
      </c>
      <c r="C656" s="12" t="s">
        <v>228</v>
      </c>
      <c r="D656" s="12" t="s">
        <v>262</v>
      </c>
      <c r="E656" s="12" t="s">
        <v>224</v>
      </c>
      <c r="F656" s="12" t="s">
        <v>263</v>
      </c>
      <c r="G656" s="5" t="s">
        <v>264</v>
      </c>
      <c r="H656" s="12">
        <f t="shared" si="57"/>
        <v>963.2</v>
      </c>
      <c r="I656" s="12" t="s">
        <v>1139</v>
      </c>
      <c r="J656" s="12" t="s">
        <v>228</v>
      </c>
      <c r="K656" s="12">
        <f t="shared" si="58"/>
        <v>163.4</v>
      </c>
      <c r="L656" s="12">
        <f t="shared" si="59"/>
        <v>144.28125</v>
      </c>
      <c r="M656" s="12">
        <v>1204</v>
      </c>
      <c r="N656" s="12">
        <v>172</v>
      </c>
      <c r="O656" s="12">
        <v>151.875</v>
      </c>
      <c r="P656" s="12" t="s">
        <v>261</v>
      </c>
      <c r="Q656" s="12"/>
      <c r="R656" s="12"/>
      <c r="T656" s="12" t="s">
        <v>228</v>
      </c>
      <c r="U656" s="12" t="s">
        <v>228</v>
      </c>
      <c r="V656" s="12"/>
      <c r="W656" s="12"/>
    </row>
    <row r="657" spans="2:23">
      <c r="B657" s="12" t="s">
        <v>962</v>
      </c>
      <c r="C657" s="12" t="s">
        <v>228</v>
      </c>
      <c r="D657" s="12" t="s">
        <v>262</v>
      </c>
      <c r="E657" s="12" t="s">
        <v>224</v>
      </c>
      <c r="F657" s="12" t="s">
        <v>263</v>
      </c>
      <c r="G657" s="5" t="s">
        <v>264</v>
      </c>
      <c r="H657" s="12">
        <f t="shared" si="57"/>
        <v>985.6</v>
      </c>
      <c r="I657" s="12" t="s">
        <v>1139</v>
      </c>
      <c r="J657" s="12" t="s">
        <v>228</v>
      </c>
      <c r="K657" s="12">
        <f t="shared" si="58"/>
        <v>167.2</v>
      </c>
      <c r="L657" s="12">
        <f t="shared" si="59"/>
        <v>150.05249999999998</v>
      </c>
      <c r="M657" s="12">
        <v>1232</v>
      </c>
      <c r="N657" s="12">
        <v>176</v>
      </c>
      <c r="O657" s="12">
        <v>157.94999999999999</v>
      </c>
      <c r="P657" s="12" t="s">
        <v>261</v>
      </c>
      <c r="Q657" s="12"/>
      <c r="R657" s="12"/>
      <c r="T657" s="12" t="s">
        <v>228</v>
      </c>
      <c r="U657" s="12" t="s">
        <v>228</v>
      </c>
      <c r="V657" s="12"/>
      <c r="W657" s="12"/>
    </row>
    <row r="658" spans="2:23">
      <c r="B658" s="12" t="s">
        <v>963</v>
      </c>
      <c r="C658" s="12" t="s">
        <v>228</v>
      </c>
      <c r="D658" s="12" t="s">
        <v>262</v>
      </c>
      <c r="E658" s="12" t="s">
        <v>224</v>
      </c>
      <c r="F658" s="12" t="s">
        <v>263</v>
      </c>
      <c r="G658" s="5" t="s">
        <v>264</v>
      </c>
      <c r="H658" s="12">
        <f t="shared" si="57"/>
        <v>1008</v>
      </c>
      <c r="I658" s="12" t="s">
        <v>1139</v>
      </c>
      <c r="J658" s="12" t="s">
        <v>228</v>
      </c>
      <c r="K658" s="12">
        <f t="shared" si="58"/>
        <v>171</v>
      </c>
      <c r="L658" s="12">
        <f t="shared" si="59"/>
        <v>155.82374999999999</v>
      </c>
      <c r="M658" s="12">
        <v>1260</v>
      </c>
      <c r="N658" s="12">
        <v>180</v>
      </c>
      <c r="O658" s="12">
        <v>164.02500000000001</v>
      </c>
      <c r="P658" s="12" t="s">
        <v>261</v>
      </c>
      <c r="Q658" s="12"/>
      <c r="R658" s="12"/>
      <c r="T658" s="12" t="s">
        <v>228</v>
      </c>
      <c r="U658" s="12" t="s">
        <v>228</v>
      </c>
      <c r="V658" s="12"/>
      <c r="W658" s="12"/>
    </row>
    <row r="659" spans="2:23">
      <c r="B659" s="12" t="s">
        <v>964</v>
      </c>
      <c r="C659" s="12" t="s">
        <v>228</v>
      </c>
      <c r="D659" s="12" t="s">
        <v>262</v>
      </c>
      <c r="E659" s="12" t="s">
        <v>224</v>
      </c>
      <c r="F659" s="12" t="s">
        <v>263</v>
      </c>
      <c r="G659" s="5" t="s">
        <v>264</v>
      </c>
      <c r="H659" s="12">
        <f t="shared" si="57"/>
        <v>1030.4000000000001</v>
      </c>
      <c r="I659" s="12" t="s">
        <v>1139</v>
      </c>
      <c r="J659" s="12" t="s">
        <v>228</v>
      </c>
      <c r="K659" s="12">
        <f t="shared" si="58"/>
        <v>174.79999999999998</v>
      </c>
      <c r="L659" s="12">
        <f t="shared" si="59"/>
        <v>161.595</v>
      </c>
      <c r="M659" s="12">
        <v>1288</v>
      </c>
      <c r="N659" s="12">
        <v>184</v>
      </c>
      <c r="O659" s="12">
        <v>170.1</v>
      </c>
      <c r="P659" s="12" t="s">
        <v>261</v>
      </c>
      <c r="Q659" s="12"/>
      <c r="R659" s="12"/>
      <c r="T659" s="12" t="s">
        <v>228</v>
      </c>
      <c r="U659" s="12" t="s">
        <v>228</v>
      </c>
      <c r="V659" s="12"/>
      <c r="W659" s="12"/>
    </row>
    <row r="660" spans="2:23">
      <c r="B660" s="12" t="s">
        <v>965</v>
      </c>
      <c r="C660" s="12" t="s">
        <v>228</v>
      </c>
      <c r="D660" s="12" t="s">
        <v>262</v>
      </c>
      <c r="E660" s="12" t="s">
        <v>224</v>
      </c>
      <c r="F660" s="12" t="s">
        <v>263</v>
      </c>
      <c r="G660" s="5" t="s">
        <v>264</v>
      </c>
      <c r="H660" s="12">
        <f t="shared" si="57"/>
        <v>1052.8</v>
      </c>
      <c r="I660" s="12" t="s">
        <v>1139</v>
      </c>
      <c r="J660" s="12" t="s">
        <v>228</v>
      </c>
      <c r="K660" s="12">
        <f t="shared" si="58"/>
        <v>178.6</v>
      </c>
      <c r="L660" s="12">
        <f t="shared" si="59"/>
        <v>167.36624999999998</v>
      </c>
      <c r="M660" s="12">
        <v>1316</v>
      </c>
      <c r="N660" s="12">
        <v>188</v>
      </c>
      <c r="O660" s="12">
        <v>176.17499999999998</v>
      </c>
      <c r="P660" s="12" t="s">
        <v>261</v>
      </c>
      <c r="Q660" s="12"/>
      <c r="R660" s="12"/>
      <c r="T660" s="12" t="s">
        <v>228</v>
      </c>
      <c r="U660" s="12" t="s">
        <v>228</v>
      </c>
      <c r="V660" s="12"/>
      <c r="W660" s="12"/>
    </row>
    <row r="661" spans="2:23">
      <c r="B661" s="12" t="s">
        <v>966</v>
      </c>
      <c r="C661" s="12" t="s">
        <v>228</v>
      </c>
      <c r="D661" s="12" t="s">
        <v>262</v>
      </c>
      <c r="E661" s="12" t="s">
        <v>224</v>
      </c>
      <c r="F661" s="12" t="s">
        <v>263</v>
      </c>
      <c r="G661" s="5" t="s">
        <v>264</v>
      </c>
      <c r="H661" s="12">
        <f t="shared" si="57"/>
        <v>1075.2</v>
      </c>
      <c r="I661" s="12" t="s">
        <v>1139</v>
      </c>
      <c r="J661" s="12" t="s">
        <v>228</v>
      </c>
      <c r="K661" s="12">
        <f t="shared" si="58"/>
        <v>182.39999999999998</v>
      </c>
      <c r="L661" s="12">
        <f t="shared" si="59"/>
        <v>173.13749999999999</v>
      </c>
      <c r="M661" s="12">
        <v>1344</v>
      </c>
      <c r="N661" s="12">
        <v>192</v>
      </c>
      <c r="O661" s="12">
        <v>182.25</v>
      </c>
      <c r="P661" s="12" t="s">
        <v>261</v>
      </c>
      <c r="Q661" s="12"/>
      <c r="R661" s="12"/>
      <c r="T661" s="12" t="s">
        <v>228</v>
      </c>
      <c r="U661" s="12" t="s">
        <v>228</v>
      </c>
      <c r="V661" s="12"/>
      <c r="W661" s="12"/>
    </row>
    <row r="662" spans="2:23">
      <c r="B662" s="12" t="s">
        <v>967</v>
      </c>
      <c r="C662" s="12" t="s">
        <v>228</v>
      </c>
      <c r="D662" s="12" t="s">
        <v>262</v>
      </c>
      <c r="E662" s="12" t="s">
        <v>224</v>
      </c>
      <c r="F662" s="12" t="s">
        <v>263</v>
      </c>
      <c r="G662" s="5" t="s">
        <v>264</v>
      </c>
      <c r="H662" s="12">
        <f t="shared" si="57"/>
        <v>1097.6000000000001</v>
      </c>
      <c r="I662" s="12" t="s">
        <v>1139</v>
      </c>
      <c r="J662" s="12" t="s">
        <v>228</v>
      </c>
      <c r="K662" s="12">
        <f t="shared" si="58"/>
        <v>186.2</v>
      </c>
      <c r="L662" s="12">
        <f t="shared" si="59"/>
        <v>178.90874999999997</v>
      </c>
      <c r="M662" s="12">
        <v>1372</v>
      </c>
      <c r="N662" s="12">
        <v>196</v>
      </c>
      <c r="O662" s="12">
        <v>188.32499999999999</v>
      </c>
      <c r="P662" s="12" t="s">
        <v>261</v>
      </c>
      <c r="Q662" s="12"/>
      <c r="R662" s="12"/>
      <c r="T662" s="12" t="s">
        <v>228</v>
      </c>
      <c r="U662" s="12" t="s">
        <v>228</v>
      </c>
      <c r="V662" s="12"/>
      <c r="W662" s="12"/>
    </row>
    <row r="663" spans="2:23">
      <c r="B663" s="12" t="s">
        <v>968</v>
      </c>
      <c r="C663" s="12" t="s">
        <v>228</v>
      </c>
      <c r="D663" s="12" t="s">
        <v>262</v>
      </c>
      <c r="E663" s="12" t="s">
        <v>224</v>
      </c>
      <c r="F663" s="12" t="s">
        <v>263</v>
      </c>
      <c r="G663" s="5" t="s">
        <v>264</v>
      </c>
      <c r="H663" s="12">
        <f t="shared" si="57"/>
        <v>1120</v>
      </c>
      <c r="I663" s="12" t="s">
        <v>1139</v>
      </c>
      <c r="J663" s="12" t="s">
        <v>228</v>
      </c>
      <c r="K663" s="12">
        <f t="shared" si="58"/>
        <v>190</v>
      </c>
      <c r="L663" s="12">
        <f t="shared" si="59"/>
        <v>184.67999999999998</v>
      </c>
      <c r="M663" s="12">
        <v>1400</v>
      </c>
      <c r="N663" s="12">
        <v>200</v>
      </c>
      <c r="O663" s="12">
        <v>194.39999999999998</v>
      </c>
      <c r="P663" s="12" t="s">
        <v>261</v>
      </c>
      <c r="Q663" s="12"/>
      <c r="R663" s="12"/>
      <c r="T663" s="12" t="s">
        <v>228</v>
      </c>
      <c r="U663" s="12" t="s">
        <v>228</v>
      </c>
      <c r="V663" s="12"/>
      <c r="W663" s="12"/>
    </row>
    <row r="664" spans="2:23">
      <c r="B664" s="12" t="s">
        <v>969</v>
      </c>
      <c r="C664" s="12" t="s">
        <v>228</v>
      </c>
      <c r="D664" s="12" t="s">
        <v>262</v>
      </c>
      <c r="E664" s="12" t="s">
        <v>224</v>
      </c>
      <c r="F664" s="12" t="s">
        <v>263</v>
      </c>
      <c r="G664" s="5" t="s">
        <v>264</v>
      </c>
      <c r="H664" s="12">
        <f t="shared" si="57"/>
        <v>1142.4000000000001</v>
      </c>
      <c r="I664" s="12" t="s">
        <v>1139</v>
      </c>
      <c r="J664" s="12" t="s">
        <v>228</v>
      </c>
      <c r="K664" s="12">
        <f t="shared" si="58"/>
        <v>193.79999999999998</v>
      </c>
      <c r="L664" s="12">
        <f t="shared" si="59"/>
        <v>190.45124999999999</v>
      </c>
      <c r="M664" s="12">
        <v>1428</v>
      </c>
      <c r="N664" s="12">
        <v>204</v>
      </c>
      <c r="O664" s="12">
        <v>200.47499999999999</v>
      </c>
      <c r="P664" s="12" t="s">
        <v>261</v>
      </c>
      <c r="Q664" s="12"/>
      <c r="R664" s="12"/>
      <c r="T664" s="12" t="s">
        <v>228</v>
      </c>
      <c r="U664" s="12" t="s">
        <v>228</v>
      </c>
      <c r="V664" s="12"/>
      <c r="W664" s="12"/>
    </row>
    <row r="665" spans="2:23">
      <c r="B665" s="12" t="s">
        <v>970</v>
      </c>
      <c r="C665" s="12" t="s">
        <v>228</v>
      </c>
      <c r="D665" s="12" t="s">
        <v>262</v>
      </c>
      <c r="E665" s="12" t="s">
        <v>224</v>
      </c>
      <c r="F665" s="12" t="s">
        <v>263</v>
      </c>
      <c r="G665" s="5" t="s">
        <v>264</v>
      </c>
      <c r="H665" s="12">
        <f t="shared" si="57"/>
        <v>1164.8</v>
      </c>
      <c r="I665" s="12" t="s">
        <v>1139</v>
      </c>
      <c r="J665" s="12" t="s">
        <v>228</v>
      </c>
      <c r="K665" s="12">
        <f t="shared" si="58"/>
        <v>197.6</v>
      </c>
      <c r="L665" s="12">
        <f t="shared" si="59"/>
        <v>196.22249999999997</v>
      </c>
      <c r="M665" s="12">
        <v>1456</v>
      </c>
      <c r="N665" s="12">
        <v>208</v>
      </c>
      <c r="O665" s="12">
        <v>206.54999999999998</v>
      </c>
      <c r="P665" s="12" t="s">
        <v>261</v>
      </c>
      <c r="Q665" s="12"/>
      <c r="R665" s="12"/>
      <c r="T665" s="12" t="s">
        <v>228</v>
      </c>
      <c r="U665" s="12" t="s">
        <v>228</v>
      </c>
      <c r="V665" s="12"/>
      <c r="W665" s="12"/>
    </row>
    <row r="666" spans="2:23">
      <c r="B666" s="12" t="s">
        <v>971</v>
      </c>
      <c r="C666" s="12" t="s">
        <v>228</v>
      </c>
      <c r="D666" s="12" t="s">
        <v>262</v>
      </c>
      <c r="E666" s="12" t="s">
        <v>224</v>
      </c>
      <c r="F666" s="12" t="s">
        <v>263</v>
      </c>
      <c r="G666" s="5" t="s">
        <v>264</v>
      </c>
      <c r="H666" s="12">
        <f t="shared" si="57"/>
        <v>1760</v>
      </c>
      <c r="I666" s="12" t="s">
        <v>1139</v>
      </c>
      <c r="J666" s="12" t="s">
        <v>228</v>
      </c>
      <c r="K666" s="12">
        <f t="shared" si="58"/>
        <v>313.5</v>
      </c>
      <c r="L666" s="12">
        <f t="shared" si="59"/>
        <v>259.70625000000001</v>
      </c>
      <c r="M666" s="12">
        <v>2200</v>
      </c>
      <c r="N666" s="12">
        <v>330</v>
      </c>
      <c r="O666" s="12">
        <v>273.375</v>
      </c>
      <c r="P666" s="12" t="s">
        <v>261</v>
      </c>
      <c r="Q666" s="12"/>
      <c r="R666" s="12"/>
      <c r="T666" s="12" t="s">
        <v>228</v>
      </c>
      <c r="U666" s="12" t="s">
        <v>228</v>
      </c>
      <c r="V666" s="12"/>
      <c r="W666" s="12"/>
    </row>
    <row r="667" spans="2:23">
      <c r="B667" s="12" t="s">
        <v>972</v>
      </c>
      <c r="C667" s="12" t="s">
        <v>228</v>
      </c>
      <c r="D667" s="12" t="s">
        <v>262</v>
      </c>
      <c r="E667" s="12" t="s">
        <v>224</v>
      </c>
      <c r="F667" s="12" t="s">
        <v>263</v>
      </c>
      <c r="G667" s="5" t="s">
        <v>264</v>
      </c>
      <c r="H667" s="12">
        <f t="shared" si="57"/>
        <v>1792</v>
      </c>
      <c r="I667" s="12" t="s">
        <v>1139</v>
      </c>
      <c r="J667" s="12" t="s">
        <v>228</v>
      </c>
      <c r="K667" s="12">
        <f t="shared" si="58"/>
        <v>319.2</v>
      </c>
      <c r="L667" s="12">
        <f t="shared" si="59"/>
        <v>267.40124999999995</v>
      </c>
      <c r="M667" s="12">
        <v>2240</v>
      </c>
      <c r="N667" s="12">
        <v>336</v>
      </c>
      <c r="O667" s="12">
        <v>281.47499999999997</v>
      </c>
      <c r="P667" s="12" t="s">
        <v>261</v>
      </c>
      <c r="Q667" s="12"/>
      <c r="R667" s="12"/>
      <c r="T667" s="12" t="s">
        <v>228</v>
      </c>
      <c r="U667" s="12" t="s">
        <v>228</v>
      </c>
      <c r="V667" s="12"/>
      <c r="W667" s="12"/>
    </row>
    <row r="668" spans="2:23">
      <c r="B668" s="12" t="s">
        <v>973</v>
      </c>
      <c r="C668" s="12" t="s">
        <v>228</v>
      </c>
      <c r="D668" s="12" t="s">
        <v>262</v>
      </c>
      <c r="E668" s="12" t="s">
        <v>224</v>
      </c>
      <c r="F668" s="12" t="s">
        <v>263</v>
      </c>
      <c r="G668" s="5" t="s">
        <v>264</v>
      </c>
      <c r="H668" s="12">
        <f t="shared" si="57"/>
        <v>1824</v>
      </c>
      <c r="I668" s="12" t="s">
        <v>1139</v>
      </c>
      <c r="J668" s="12" t="s">
        <v>228</v>
      </c>
      <c r="K668" s="12">
        <f t="shared" si="58"/>
        <v>324.89999999999998</v>
      </c>
      <c r="L668" s="12">
        <f t="shared" si="59"/>
        <v>275.09625</v>
      </c>
      <c r="M668" s="12">
        <v>2280</v>
      </c>
      <c r="N668" s="12">
        <v>342</v>
      </c>
      <c r="O668" s="12">
        <v>289.57499999999999</v>
      </c>
      <c r="P668" s="12" t="s">
        <v>261</v>
      </c>
      <c r="Q668" s="12"/>
      <c r="R668" s="12"/>
      <c r="T668" s="12" t="s">
        <v>228</v>
      </c>
      <c r="U668" s="12" t="s">
        <v>228</v>
      </c>
      <c r="V668" s="12"/>
      <c r="W668" s="12"/>
    </row>
    <row r="669" spans="2:23">
      <c r="B669" s="12" t="s">
        <v>974</v>
      </c>
      <c r="C669" s="12" t="s">
        <v>228</v>
      </c>
      <c r="D669" s="12" t="s">
        <v>262</v>
      </c>
      <c r="E669" s="12" t="s">
        <v>224</v>
      </c>
      <c r="F669" s="12" t="s">
        <v>263</v>
      </c>
      <c r="G669" s="5" t="s">
        <v>264</v>
      </c>
      <c r="H669" s="12">
        <f t="shared" si="57"/>
        <v>1856</v>
      </c>
      <c r="I669" s="12" t="s">
        <v>1139</v>
      </c>
      <c r="J669" s="12" t="s">
        <v>228</v>
      </c>
      <c r="K669" s="12">
        <f t="shared" si="58"/>
        <v>330.59999999999997</v>
      </c>
      <c r="L669" s="12">
        <f t="shared" si="59"/>
        <v>282.79124999999999</v>
      </c>
      <c r="M669" s="12">
        <v>2320</v>
      </c>
      <c r="N669" s="12">
        <v>348</v>
      </c>
      <c r="O669" s="12">
        <v>297.67500000000001</v>
      </c>
      <c r="P669" s="12" t="s">
        <v>261</v>
      </c>
      <c r="Q669" s="12"/>
      <c r="R669" s="12"/>
      <c r="T669" s="12" t="s">
        <v>228</v>
      </c>
      <c r="U669" s="12" t="s">
        <v>228</v>
      </c>
      <c r="V669" s="12"/>
      <c r="W669" s="12"/>
    </row>
    <row r="670" spans="2:23">
      <c r="B670" s="12" t="s">
        <v>975</v>
      </c>
      <c r="C670" s="12" t="s">
        <v>228</v>
      </c>
      <c r="D670" s="12" t="s">
        <v>262</v>
      </c>
      <c r="E670" s="12" t="s">
        <v>224</v>
      </c>
      <c r="F670" s="12" t="s">
        <v>263</v>
      </c>
      <c r="G670" s="5" t="s">
        <v>264</v>
      </c>
      <c r="H670" s="12">
        <f t="shared" si="57"/>
        <v>1888</v>
      </c>
      <c r="I670" s="12" t="s">
        <v>1139</v>
      </c>
      <c r="J670" s="12" t="s">
        <v>228</v>
      </c>
      <c r="K670" s="12">
        <f t="shared" si="58"/>
        <v>336.3</v>
      </c>
      <c r="L670" s="12">
        <f t="shared" si="59"/>
        <v>290.48624999999998</v>
      </c>
      <c r="M670" s="12">
        <v>2360</v>
      </c>
      <c r="N670" s="12">
        <v>354</v>
      </c>
      <c r="O670" s="12">
        <v>305.77499999999998</v>
      </c>
      <c r="P670" s="12" t="s">
        <v>261</v>
      </c>
      <c r="Q670" s="12"/>
      <c r="R670" s="12"/>
      <c r="T670" s="12" t="s">
        <v>228</v>
      </c>
      <c r="U670" s="12" t="s">
        <v>228</v>
      </c>
      <c r="V670" s="12"/>
      <c r="W670" s="12"/>
    </row>
    <row r="671" spans="2:23">
      <c r="B671" s="12" t="s">
        <v>976</v>
      </c>
      <c r="C671" s="12" t="s">
        <v>228</v>
      </c>
      <c r="D671" s="12" t="s">
        <v>262</v>
      </c>
      <c r="E671" s="12" t="s">
        <v>224</v>
      </c>
      <c r="F671" s="12" t="s">
        <v>263</v>
      </c>
      <c r="G671" s="5" t="s">
        <v>264</v>
      </c>
      <c r="H671" s="12">
        <f t="shared" si="57"/>
        <v>1920</v>
      </c>
      <c r="I671" s="12" t="s">
        <v>1139</v>
      </c>
      <c r="J671" s="12" t="s">
        <v>228</v>
      </c>
      <c r="K671" s="12">
        <f t="shared" si="58"/>
        <v>342</v>
      </c>
      <c r="L671" s="12">
        <f t="shared" si="59"/>
        <v>298.18124999999998</v>
      </c>
      <c r="M671" s="12">
        <v>2400</v>
      </c>
      <c r="N671" s="12">
        <v>360</v>
      </c>
      <c r="O671" s="12">
        <v>313.875</v>
      </c>
      <c r="P671" s="12" t="s">
        <v>261</v>
      </c>
      <c r="Q671" s="12"/>
      <c r="R671" s="12"/>
      <c r="T671" s="12" t="s">
        <v>228</v>
      </c>
      <c r="U671" s="12" t="s">
        <v>228</v>
      </c>
      <c r="V671" s="12"/>
      <c r="W671" s="12"/>
    </row>
    <row r="672" spans="2:23">
      <c r="B672" s="12" t="s">
        <v>977</v>
      </c>
      <c r="C672" s="12" t="s">
        <v>228</v>
      </c>
      <c r="D672" s="12" t="s">
        <v>262</v>
      </c>
      <c r="E672" s="12" t="s">
        <v>224</v>
      </c>
      <c r="F672" s="12" t="s">
        <v>263</v>
      </c>
      <c r="G672" s="5" t="s">
        <v>264</v>
      </c>
      <c r="H672" s="12">
        <f t="shared" si="57"/>
        <v>1952</v>
      </c>
      <c r="I672" s="12" t="s">
        <v>1139</v>
      </c>
      <c r="J672" s="12" t="s">
        <v>228</v>
      </c>
      <c r="K672" s="12">
        <f t="shared" si="58"/>
        <v>347.7</v>
      </c>
      <c r="L672" s="12">
        <f t="shared" si="59"/>
        <v>305.87624999999997</v>
      </c>
      <c r="M672" s="12">
        <v>2440</v>
      </c>
      <c r="N672" s="12">
        <v>366</v>
      </c>
      <c r="O672" s="12">
        <v>321.97499999999997</v>
      </c>
      <c r="P672" s="12" t="s">
        <v>261</v>
      </c>
      <c r="Q672" s="12"/>
      <c r="R672" s="12"/>
      <c r="T672" s="12" t="s">
        <v>228</v>
      </c>
      <c r="U672" s="12" t="s">
        <v>228</v>
      </c>
      <c r="V672" s="12"/>
      <c r="W672" s="12"/>
    </row>
    <row r="673" spans="2:23">
      <c r="B673" s="12" t="s">
        <v>978</v>
      </c>
      <c r="C673" s="12" t="s">
        <v>228</v>
      </c>
      <c r="D673" s="12" t="s">
        <v>262</v>
      </c>
      <c r="E673" s="12" t="s">
        <v>224</v>
      </c>
      <c r="F673" s="12" t="s">
        <v>263</v>
      </c>
      <c r="G673" s="5" t="s">
        <v>264</v>
      </c>
      <c r="H673" s="12">
        <f t="shared" si="57"/>
        <v>1984</v>
      </c>
      <c r="I673" s="12" t="s">
        <v>1139</v>
      </c>
      <c r="J673" s="12" t="s">
        <v>228</v>
      </c>
      <c r="K673" s="12">
        <f t="shared" si="58"/>
        <v>353.4</v>
      </c>
      <c r="L673" s="12">
        <f t="shared" si="59"/>
        <v>313.57124999999996</v>
      </c>
      <c r="M673" s="12">
        <v>2480</v>
      </c>
      <c r="N673" s="12">
        <v>372</v>
      </c>
      <c r="O673" s="12">
        <v>330.07499999999999</v>
      </c>
      <c r="P673" s="12" t="s">
        <v>261</v>
      </c>
      <c r="Q673" s="12"/>
      <c r="R673" s="12"/>
      <c r="T673" s="12" t="s">
        <v>228</v>
      </c>
      <c r="U673" s="12" t="s">
        <v>228</v>
      </c>
      <c r="V673" s="12"/>
      <c r="W673" s="12"/>
    </row>
    <row r="674" spans="2:23">
      <c r="B674" s="12" t="s">
        <v>979</v>
      </c>
      <c r="C674" s="12" t="s">
        <v>228</v>
      </c>
      <c r="D674" s="12" t="s">
        <v>262</v>
      </c>
      <c r="E674" s="12" t="s">
        <v>224</v>
      </c>
      <c r="F674" s="12" t="s">
        <v>263</v>
      </c>
      <c r="G674" s="5" t="s">
        <v>264</v>
      </c>
      <c r="H674" s="12">
        <f t="shared" si="57"/>
        <v>2016</v>
      </c>
      <c r="I674" s="12" t="s">
        <v>1139</v>
      </c>
      <c r="J674" s="12" t="s">
        <v>228</v>
      </c>
      <c r="K674" s="12">
        <f t="shared" si="58"/>
        <v>359.09999999999997</v>
      </c>
      <c r="L674" s="12">
        <f t="shared" si="59"/>
        <v>321.26625000000001</v>
      </c>
      <c r="M674" s="12">
        <v>2520</v>
      </c>
      <c r="N674" s="12">
        <v>378</v>
      </c>
      <c r="O674" s="12">
        <v>338.17500000000001</v>
      </c>
      <c r="P674" s="12" t="s">
        <v>261</v>
      </c>
      <c r="Q674" s="12"/>
      <c r="R674" s="12"/>
      <c r="T674" s="12" t="s">
        <v>228</v>
      </c>
      <c r="U674" s="12" t="s">
        <v>228</v>
      </c>
      <c r="V674" s="12"/>
      <c r="W674" s="12"/>
    </row>
    <row r="675" spans="2:23">
      <c r="B675" s="12" t="s">
        <v>980</v>
      </c>
      <c r="C675" s="12" t="s">
        <v>228</v>
      </c>
      <c r="D675" s="12" t="s">
        <v>262</v>
      </c>
      <c r="E675" s="12" t="s">
        <v>224</v>
      </c>
      <c r="F675" s="12" t="s">
        <v>263</v>
      </c>
      <c r="G675" s="5" t="s">
        <v>264</v>
      </c>
      <c r="H675" s="12">
        <f t="shared" si="57"/>
        <v>2048</v>
      </c>
      <c r="I675" s="12" t="s">
        <v>1139</v>
      </c>
      <c r="J675" s="12" t="s">
        <v>228</v>
      </c>
      <c r="K675" s="12">
        <f t="shared" si="58"/>
        <v>364.79999999999995</v>
      </c>
      <c r="L675" s="12">
        <f t="shared" si="59"/>
        <v>328.96124999999995</v>
      </c>
      <c r="M675" s="12">
        <v>2560</v>
      </c>
      <c r="N675" s="12">
        <v>384</v>
      </c>
      <c r="O675" s="12">
        <v>346.27499999999998</v>
      </c>
      <c r="P675" s="12" t="s">
        <v>261</v>
      </c>
      <c r="Q675" s="12"/>
      <c r="R675" s="12"/>
      <c r="T675" s="12" t="s">
        <v>228</v>
      </c>
      <c r="U675" s="12" t="s">
        <v>228</v>
      </c>
      <c r="V675" s="12"/>
      <c r="W675" s="12"/>
    </row>
    <row r="676" spans="2:23">
      <c r="B676" s="12" t="s">
        <v>981</v>
      </c>
      <c r="C676" s="12" t="s">
        <v>228</v>
      </c>
      <c r="D676" s="12" t="s">
        <v>262</v>
      </c>
      <c r="E676" s="12" t="s">
        <v>224</v>
      </c>
      <c r="F676" s="12" t="s">
        <v>263</v>
      </c>
      <c r="G676" s="5" t="s">
        <v>264</v>
      </c>
      <c r="H676" s="12">
        <f t="shared" si="57"/>
        <v>2080</v>
      </c>
      <c r="I676" s="12" t="s">
        <v>1139</v>
      </c>
      <c r="J676" s="12" t="s">
        <v>228</v>
      </c>
      <c r="K676" s="12">
        <f t="shared" si="58"/>
        <v>370.5</v>
      </c>
      <c r="L676" s="12">
        <f t="shared" si="59"/>
        <v>336.65625</v>
      </c>
      <c r="M676" s="12">
        <v>2600</v>
      </c>
      <c r="N676" s="12">
        <v>390</v>
      </c>
      <c r="O676" s="12">
        <v>354.375</v>
      </c>
      <c r="P676" s="12" t="s">
        <v>261</v>
      </c>
      <c r="Q676" s="12"/>
      <c r="R676" s="12"/>
      <c r="T676" s="12" t="s">
        <v>228</v>
      </c>
      <c r="U676" s="12" t="s">
        <v>228</v>
      </c>
      <c r="V676" s="12"/>
      <c r="W676" s="12"/>
    </row>
    <row r="677" spans="2:23">
      <c r="B677" s="12" t="s">
        <v>982</v>
      </c>
      <c r="C677" s="12" t="s">
        <v>228</v>
      </c>
      <c r="D677" s="12" t="s">
        <v>262</v>
      </c>
      <c r="E677" s="12" t="s">
        <v>224</v>
      </c>
      <c r="F677" s="12" t="s">
        <v>263</v>
      </c>
      <c r="G677" s="5" t="s">
        <v>264</v>
      </c>
      <c r="H677" s="12">
        <f t="shared" si="57"/>
        <v>2112</v>
      </c>
      <c r="I677" s="12" t="s">
        <v>1139</v>
      </c>
      <c r="J677" s="12" t="s">
        <v>228</v>
      </c>
      <c r="K677" s="12">
        <f t="shared" si="58"/>
        <v>376.2</v>
      </c>
      <c r="L677" s="12">
        <f t="shared" si="59"/>
        <v>344.35124999999994</v>
      </c>
      <c r="M677" s="12">
        <v>2640</v>
      </c>
      <c r="N677" s="12">
        <v>396</v>
      </c>
      <c r="O677" s="12">
        <v>362.47499999999997</v>
      </c>
      <c r="P677" s="12" t="s">
        <v>261</v>
      </c>
      <c r="Q677" s="12"/>
      <c r="R677" s="12"/>
      <c r="T677" s="12" t="s">
        <v>228</v>
      </c>
      <c r="U677" s="12" t="s">
        <v>228</v>
      </c>
      <c r="V677" s="12"/>
      <c r="W677" s="12"/>
    </row>
    <row r="678" spans="2:23">
      <c r="B678" s="12" t="s">
        <v>983</v>
      </c>
      <c r="C678" s="12" t="s">
        <v>228</v>
      </c>
      <c r="D678" s="12" t="s">
        <v>262</v>
      </c>
      <c r="E678" s="12" t="s">
        <v>224</v>
      </c>
      <c r="F678" s="12" t="s">
        <v>263</v>
      </c>
      <c r="G678" s="5" t="s">
        <v>264</v>
      </c>
      <c r="H678" s="12">
        <f t="shared" si="57"/>
        <v>2144</v>
      </c>
      <c r="I678" s="12" t="s">
        <v>1139</v>
      </c>
      <c r="J678" s="12" t="s">
        <v>228</v>
      </c>
      <c r="K678" s="12">
        <f t="shared" si="58"/>
        <v>381.9</v>
      </c>
      <c r="L678" s="12">
        <f t="shared" si="59"/>
        <v>352.04624999999999</v>
      </c>
      <c r="M678" s="12">
        <v>2680</v>
      </c>
      <c r="N678" s="12">
        <v>402</v>
      </c>
      <c r="O678" s="12">
        <v>370.57499999999999</v>
      </c>
      <c r="P678" s="12" t="s">
        <v>261</v>
      </c>
      <c r="Q678" s="12"/>
      <c r="R678" s="12"/>
      <c r="T678" s="12" t="s">
        <v>228</v>
      </c>
      <c r="U678" s="12" t="s">
        <v>228</v>
      </c>
      <c r="V678" s="12"/>
      <c r="W678" s="12"/>
    </row>
    <row r="679" spans="2:23">
      <c r="B679" s="12" t="s">
        <v>984</v>
      </c>
      <c r="C679" s="12" t="s">
        <v>228</v>
      </c>
      <c r="D679" s="12" t="s">
        <v>262</v>
      </c>
      <c r="E679" s="12" t="s">
        <v>224</v>
      </c>
      <c r="F679" s="12" t="s">
        <v>263</v>
      </c>
      <c r="G679" s="5" t="s">
        <v>264</v>
      </c>
      <c r="H679" s="12">
        <f t="shared" si="57"/>
        <v>2176</v>
      </c>
      <c r="I679" s="12" t="s">
        <v>1139</v>
      </c>
      <c r="J679" s="12" t="s">
        <v>228</v>
      </c>
      <c r="K679" s="12">
        <f t="shared" si="58"/>
        <v>387.59999999999997</v>
      </c>
      <c r="L679" s="12">
        <f t="shared" si="59"/>
        <v>359.74124999999998</v>
      </c>
      <c r="M679" s="12">
        <v>2720</v>
      </c>
      <c r="N679" s="12">
        <v>408</v>
      </c>
      <c r="O679" s="12">
        <v>378.67500000000001</v>
      </c>
      <c r="P679" s="12" t="s">
        <v>261</v>
      </c>
      <c r="Q679" s="12"/>
      <c r="R679" s="12"/>
      <c r="T679" s="12" t="s">
        <v>228</v>
      </c>
      <c r="U679" s="12" t="s">
        <v>228</v>
      </c>
      <c r="V679" s="12"/>
      <c r="W679" s="12"/>
    </row>
    <row r="680" spans="2:23">
      <c r="B680" s="12" t="s">
        <v>985</v>
      </c>
      <c r="C680" s="12" t="s">
        <v>228</v>
      </c>
      <c r="D680" s="12" t="s">
        <v>262</v>
      </c>
      <c r="E680" s="12" t="s">
        <v>224</v>
      </c>
      <c r="F680" s="12" t="s">
        <v>263</v>
      </c>
      <c r="G680" s="5" t="s">
        <v>264</v>
      </c>
      <c r="H680" s="12">
        <f t="shared" si="57"/>
        <v>2208</v>
      </c>
      <c r="I680" s="12" t="s">
        <v>1139</v>
      </c>
      <c r="J680" s="12" t="s">
        <v>228</v>
      </c>
      <c r="K680" s="12">
        <f t="shared" si="58"/>
        <v>393.29999999999995</v>
      </c>
      <c r="L680" s="12">
        <f t="shared" si="59"/>
        <v>367.43624999999997</v>
      </c>
      <c r="M680" s="12">
        <v>2760</v>
      </c>
      <c r="N680" s="12">
        <v>414</v>
      </c>
      <c r="O680" s="12">
        <v>386.77499999999998</v>
      </c>
      <c r="P680" s="12" t="s">
        <v>261</v>
      </c>
      <c r="Q680" s="12"/>
      <c r="R680" s="12"/>
      <c r="T680" s="12" t="s">
        <v>228</v>
      </c>
      <c r="U680" s="12" t="s">
        <v>228</v>
      </c>
      <c r="V680" s="12"/>
      <c r="W680" s="12"/>
    </row>
    <row r="681" spans="2:23">
      <c r="B681" s="12" t="s">
        <v>986</v>
      </c>
      <c r="C681" s="12" t="s">
        <v>228</v>
      </c>
      <c r="D681" s="12" t="s">
        <v>262</v>
      </c>
      <c r="E681" s="12" t="s">
        <v>224</v>
      </c>
      <c r="F681" s="12" t="s">
        <v>263</v>
      </c>
      <c r="G681" s="5" t="s">
        <v>264</v>
      </c>
      <c r="H681" s="12">
        <f t="shared" si="57"/>
        <v>3110.4</v>
      </c>
      <c r="I681" s="12" t="s">
        <v>1139</v>
      </c>
      <c r="J681" s="12" t="s">
        <v>228</v>
      </c>
      <c r="K681" s="12">
        <f t="shared" si="58"/>
        <v>547.19999999999993</v>
      </c>
      <c r="L681" s="12">
        <f t="shared" si="59"/>
        <v>684</v>
      </c>
      <c r="M681" s="12">
        <v>3888</v>
      </c>
      <c r="N681" s="12">
        <v>576</v>
      </c>
      <c r="O681" s="12">
        <v>720</v>
      </c>
      <c r="P681" s="12" t="s">
        <v>261</v>
      </c>
      <c r="Q681" s="12"/>
      <c r="R681" s="12"/>
      <c r="T681" s="12" t="s">
        <v>228</v>
      </c>
      <c r="U681" s="12" t="s">
        <v>228</v>
      </c>
      <c r="V681" s="12"/>
      <c r="W681" s="12"/>
    </row>
    <row r="682" spans="2:23">
      <c r="B682" s="12" t="s">
        <v>987</v>
      </c>
      <c r="C682" s="12" t="s">
        <v>228</v>
      </c>
      <c r="D682" s="12" t="s">
        <v>262</v>
      </c>
      <c r="E682" s="12" t="s">
        <v>224</v>
      </c>
      <c r="F682" s="12" t="s">
        <v>263</v>
      </c>
      <c r="G682" s="5" t="s">
        <v>264</v>
      </c>
      <c r="H682" s="12">
        <f t="shared" si="57"/>
        <v>0</v>
      </c>
      <c r="I682" s="12" t="s">
        <v>1139</v>
      </c>
      <c r="J682" s="12" t="s">
        <v>228</v>
      </c>
      <c r="K682" s="12">
        <f t="shared" si="58"/>
        <v>0</v>
      </c>
      <c r="L682" s="12">
        <f t="shared" si="59"/>
        <v>0</v>
      </c>
      <c r="M682" s="12"/>
      <c r="N682" s="12"/>
      <c r="O682" s="12"/>
      <c r="P682" s="12" t="s">
        <v>261</v>
      </c>
      <c r="Q682" s="12"/>
      <c r="R682" s="12"/>
      <c r="T682" s="12" t="s">
        <v>228</v>
      </c>
      <c r="U682" s="12" t="s">
        <v>228</v>
      </c>
      <c r="V682" s="12"/>
      <c r="W682" s="12"/>
    </row>
    <row r="683" spans="2:23">
      <c r="B683" s="12" t="s">
        <v>988</v>
      </c>
      <c r="C683" s="12" t="s">
        <v>228</v>
      </c>
      <c r="D683" s="12" t="s">
        <v>262</v>
      </c>
      <c r="E683" s="12" t="s">
        <v>224</v>
      </c>
      <c r="F683" s="12" t="s">
        <v>263</v>
      </c>
      <c r="G683" s="5" t="s">
        <v>264</v>
      </c>
      <c r="H683" s="12">
        <f t="shared" si="57"/>
        <v>0</v>
      </c>
      <c r="I683" s="12" t="s">
        <v>1139</v>
      </c>
      <c r="J683" s="12" t="s">
        <v>228</v>
      </c>
      <c r="K683" s="12">
        <f t="shared" si="58"/>
        <v>0</v>
      </c>
      <c r="L683" s="12">
        <f t="shared" si="59"/>
        <v>0</v>
      </c>
      <c r="M683" s="12"/>
      <c r="N683" s="12"/>
      <c r="O683" s="12"/>
      <c r="P683" s="12" t="s">
        <v>261</v>
      </c>
      <c r="Q683" s="12"/>
      <c r="R683" s="12"/>
      <c r="T683" s="12" t="s">
        <v>228</v>
      </c>
      <c r="U683" s="12" t="s">
        <v>228</v>
      </c>
      <c r="V683" s="12"/>
      <c r="W683" s="12"/>
    </row>
    <row r="684" spans="2:23">
      <c r="B684" s="12" t="s">
        <v>989</v>
      </c>
      <c r="C684" s="12" t="s">
        <v>228</v>
      </c>
      <c r="D684" s="12" t="s">
        <v>262</v>
      </c>
      <c r="E684" s="12" t="s">
        <v>224</v>
      </c>
      <c r="F684" s="12" t="s">
        <v>263</v>
      </c>
      <c r="G684" s="5" t="s">
        <v>264</v>
      </c>
      <c r="H684" s="12">
        <f t="shared" si="57"/>
        <v>0</v>
      </c>
      <c r="I684" s="12" t="s">
        <v>1139</v>
      </c>
      <c r="J684" s="12" t="s">
        <v>228</v>
      </c>
      <c r="K684" s="12">
        <f t="shared" si="58"/>
        <v>0</v>
      </c>
      <c r="L684" s="12">
        <f t="shared" si="59"/>
        <v>0</v>
      </c>
      <c r="M684" s="12"/>
      <c r="N684" s="12"/>
      <c r="O684" s="12"/>
      <c r="P684" s="12" t="s">
        <v>261</v>
      </c>
      <c r="Q684" s="12"/>
      <c r="R684" s="12"/>
      <c r="T684" s="12" t="s">
        <v>228</v>
      </c>
      <c r="U684" s="12" t="s">
        <v>228</v>
      </c>
      <c r="V684" s="12"/>
      <c r="W684" s="12"/>
    </row>
    <row r="685" spans="2:23">
      <c r="B685" s="12"/>
      <c r="C685" s="12"/>
      <c r="D685" s="12"/>
      <c r="E685" s="12"/>
      <c r="F685" s="12"/>
      <c r="G685" s="5"/>
      <c r="H685" s="12"/>
      <c r="I685" s="12"/>
      <c r="J685" s="12"/>
      <c r="K685" s="12" t="str">
        <f t="shared" ref="K685" si="60">"防"&amp;I685</f>
        <v>防</v>
      </c>
      <c r="L685" s="12" t="str">
        <f t="shared" ref="L685" si="61">"攻"&amp;J685</f>
        <v>攻</v>
      </c>
      <c r="M685" s="12"/>
      <c r="N685" s="12"/>
      <c r="O685" s="12"/>
      <c r="P685" s="12"/>
      <c r="Q685" s="12"/>
      <c r="R685" s="12"/>
      <c r="T685" s="12"/>
      <c r="U685" s="12"/>
      <c r="V685" s="12"/>
      <c r="W685" s="12"/>
    </row>
    <row r="686" spans="2:23" ht="27">
      <c r="B686" s="26" t="s">
        <v>990</v>
      </c>
      <c r="C686" s="12" t="s">
        <v>228</v>
      </c>
      <c r="D686" s="12" t="s">
        <v>228</v>
      </c>
      <c r="E686" s="12" t="s">
        <v>265</v>
      </c>
      <c r="F686" s="12" t="s">
        <v>266</v>
      </c>
      <c r="G686" s="5" t="s">
        <v>1143</v>
      </c>
      <c r="H686" s="12">
        <f>M686*$Z$8</f>
        <v>288</v>
      </c>
      <c r="I686" s="12" t="s">
        <v>1151</v>
      </c>
      <c r="J686" s="12" t="s">
        <v>267</v>
      </c>
      <c r="K686" s="12">
        <f>N686*$Y$8</f>
        <v>24</v>
      </c>
      <c r="L686" s="12">
        <f>O686*$Z$8</f>
        <v>24</v>
      </c>
      <c r="M686" s="12">
        <v>360</v>
      </c>
      <c r="N686" s="12">
        <v>40</v>
      </c>
      <c r="O686" s="12">
        <v>30</v>
      </c>
      <c r="P686" s="12" t="s">
        <v>1142</v>
      </c>
      <c r="Q686" s="12" t="s">
        <v>234</v>
      </c>
      <c r="R686" s="12" t="s">
        <v>228</v>
      </c>
      <c r="T686" s="12" t="s">
        <v>230</v>
      </c>
      <c r="U686" s="12" t="s">
        <v>230</v>
      </c>
      <c r="V686" s="12"/>
      <c r="W686" s="12"/>
    </row>
    <row r="687" spans="2:23" ht="27">
      <c r="B687" s="26" t="s">
        <v>991</v>
      </c>
      <c r="C687" s="12" t="s">
        <v>228</v>
      </c>
      <c r="D687" s="12" t="s">
        <v>228</v>
      </c>
      <c r="E687" s="12" t="s">
        <v>265</v>
      </c>
      <c r="F687" s="12" t="s">
        <v>266</v>
      </c>
      <c r="G687" s="5" t="s">
        <v>1143</v>
      </c>
      <c r="H687" s="12">
        <f t="shared" ref="H687:H733" si="62">M687*$Z$8</f>
        <v>331.20000000000005</v>
      </c>
      <c r="I687" s="12" t="s">
        <v>1151</v>
      </c>
      <c r="J687" s="12" t="s">
        <v>267</v>
      </c>
      <c r="K687" s="12">
        <f t="shared" ref="K687:K733" si="63">N687*$Y$8</f>
        <v>27.599999999999998</v>
      </c>
      <c r="L687" s="12">
        <f t="shared" ref="L687:L733" si="64">O687*$Z$8</f>
        <v>30.400000000000002</v>
      </c>
      <c r="M687" s="12">
        <v>414</v>
      </c>
      <c r="N687" s="12">
        <v>46</v>
      </c>
      <c r="O687" s="12">
        <v>38</v>
      </c>
      <c r="P687" s="12" t="s">
        <v>1142</v>
      </c>
      <c r="Q687" s="12" t="s">
        <v>234</v>
      </c>
      <c r="R687" s="12" t="s">
        <v>228</v>
      </c>
      <c r="T687" s="12" t="s">
        <v>230</v>
      </c>
      <c r="U687" s="12" t="s">
        <v>230</v>
      </c>
      <c r="V687" s="12"/>
      <c r="W687" s="12"/>
    </row>
    <row r="688" spans="2:23" ht="27">
      <c r="B688" s="26" t="s">
        <v>992</v>
      </c>
      <c r="C688" s="12" t="s">
        <v>228</v>
      </c>
      <c r="D688" s="12" t="s">
        <v>228</v>
      </c>
      <c r="E688" s="12" t="s">
        <v>265</v>
      </c>
      <c r="F688" s="12" t="s">
        <v>266</v>
      </c>
      <c r="G688" s="5" t="s">
        <v>1143</v>
      </c>
      <c r="H688" s="12">
        <f t="shared" si="62"/>
        <v>345.6</v>
      </c>
      <c r="I688" s="12" t="s">
        <v>1151</v>
      </c>
      <c r="J688" s="12" t="s">
        <v>267</v>
      </c>
      <c r="K688" s="12">
        <f t="shared" si="63"/>
        <v>28.799999999999997</v>
      </c>
      <c r="L688" s="12">
        <f t="shared" si="64"/>
        <v>33.6</v>
      </c>
      <c r="M688" s="12">
        <v>432</v>
      </c>
      <c r="N688" s="12">
        <v>48</v>
      </c>
      <c r="O688" s="12">
        <v>42</v>
      </c>
      <c r="P688" s="12" t="s">
        <v>1142</v>
      </c>
      <c r="Q688" s="12" t="s">
        <v>234</v>
      </c>
      <c r="R688" s="12" t="s">
        <v>228</v>
      </c>
      <c r="T688" s="12" t="s">
        <v>230</v>
      </c>
      <c r="U688" s="12" t="s">
        <v>230</v>
      </c>
      <c r="V688" s="12"/>
      <c r="W688" s="12"/>
    </row>
    <row r="689" spans="2:23" ht="27">
      <c r="B689" s="26" t="s">
        <v>993</v>
      </c>
      <c r="C689" s="12" t="s">
        <v>228</v>
      </c>
      <c r="D689" s="12" t="s">
        <v>228</v>
      </c>
      <c r="E689" s="12" t="s">
        <v>265</v>
      </c>
      <c r="F689" s="12" t="s">
        <v>266</v>
      </c>
      <c r="G689" s="5" t="s">
        <v>1143</v>
      </c>
      <c r="H689" s="12">
        <f t="shared" si="62"/>
        <v>360</v>
      </c>
      <c r="I689" s="12" t="s">
        <v>1151</v>
      </c>
      <c r="J689" s="12" t="s">
        <v>267</v>
      </c>
      <c r="K689" s="12">
        <f t="shared" si="63"/>
        <v>30</v>
      </c>
      <c r="L689" s="12">
        <f t="shared" si="64"/>
        <v>36.800000000000004</v>
      </c>
      <c r="M689" s="12">
        <v>450</v>
      </c>
      <c r="N689" s="12">
        <v>50</v>
      </c>
      <c r="O689" s="12">
        <v>46</v>
      </c>
      <c r="P689" s="12" t="s">
        <v>1142</v>
      </c>
      <c r="Q689" s="12" t="s">
        <v>234</v>
      </c>
      <c r="R689" s="12" t="s">
        <v>228</v>
      </c>
      <c r="T689" s="12" t="s">
        <v>230</v>
      </c>
      <c r="U689" s="12" t="s">
        <v>230</v>
      </c>
      <c r="V689" s="12"/>
      <c r="W689" s="12"/>
    </row>
    <row r="690" spans="2:23" ht="27">
      <c r="B690" s="26" t="s">
        <v>994</v>
      </c>
      <c r="C690" s="12" t="s">
        <v>228</v>
      </c>
      <c r="D690" s="12" t="s">
        <v>228</v>
      </c>
      <c r="E690" s="12" t="s">
        <v>265</v>
      </c>
      <c r="F690" s="12" t="s">
        <v>266</v>
      </c>
      <c r="G690" s="5" t="s">
        <v>1143</v>
      </c>
      <c r="H690" s="12">
        <f t="shared" si="62"/>
        <v>374.40000000000003</v>
      </c>
      <c r="I690" s="12" t="s">
        <v>1151</v>
      </c>
      <c r="J690" s="12" t="s">
        <v>267</v>
      </c>
      <c r="K690" s="12">
        <f t="shared" si="63"/>
        <v>31.2</v>
      </c>
      <c r="L690" s="12">
        <f t="shared" si="64"/>
        <v>40</v>
      </c>
      <c r="M690" s="12">
        <v>468</v>
      </c>
      <c r="N690" s="12">
        <v>52</v>
      </c>
      <c r="O690" s="12">
        <v>50</v>
      </c>
      <c r="P690" s="12" t="s">
        <v>1142</v>
      </c>
      <c r="Q690" s="12" t="s">
        <v>234</v>
      </c>
      <c r="R690" s="12" t="s">
        <v>228</v>
      </c>
      <c r="T690" s="12" t="s">
        <v>230</v>
      </c>
      <c r="U690" s="12" t="s">
        <v>230</v>
      </c>
      <c r="V690" s="12"/>
      <c r="W690" s="12"/>
    </row>
    <row r="691" spans="2:23" ht="27">
      <c r="B691" s="26" t="s">
        <v>995</v>
      </c>
      <c r="C691" s="12" t="s">
        <v>228</v>
      </c>
      <c r="D691" s="12" t="s">
        <v>228</v>
      </c>
      <c r="E691" s="12" t="s">
        <v>265</v>
      </c>
      <c r="F691" s="12" t="s">
        <v>266</v>
      </c>
      <c r="G691" s="5" t="s">
        <v>1143</v>
      </c>
      <c r="H691" s="12">
        <f t="shared" si="62"/>
        <v>388.8</v>
      </c>
      <c r="I691" s="12" t="s">
        <v>1151</v>
      </c>
      <c r="J691" s="12" t="s">
        <v>267</v>
      </c>
      <c r="K691" s="12">
        <f t="shared" si="63"/>
        <v>32.4</v>
      </c>
      <c r="L691" s="12">
        <f t="shared" si="64"/>
        <v>43.2</v>
      </c>
      <c r="M691" s="12">
        <v>486</v>
      </c>
      <c r="N691" s="12">
        <v>54</v>
      </c>
      <c r="O691" s="12">
        <v>54</v>
      </c>
      <c r="P691" s="12" t="s">
        <v>1142</v>
      </c>
      <c r="Q691" s="12" t="s">
        <v>234</v>
      </c>
      <c r="R691" s="12" t="s">
        <v>228</v>
      </c>
      <c r="T691" s="12" t="s">
        <v>230</v>
      </c>
      <c r="U691" s="12" t="s">
        <v>230</v>
      </c>
      <c r="V691" s="12"/>
      <c r="W691" s="12"/>
    </row>
    <row r="692" spans="2:23" ht="27">
      <c r="B692" s="26" t="s">
        <v>996</v>
      </c>
      <c r="C692" s="12" t="s">
        <v>228</v>
      </c>
      <c r="D692" s="12" t="s">
        <v>228</v>
      </c>
      <c r="E692" s="12" t="s">
        <v>265</v>
      </c>
      <c r="F692" s="12" t="s">
        <v>266</v>
      </c>
      <c r="G692" s="5" t="s">
        <v>1143</v>
      </c>
      <c r="H692" s="12">
        <f t="shared" si="62"/>
        <v>403.20000000000005</v>
      </c>
      <c r="I692" s="12" t="s">
        <v>1151</v>
      </c>
      <c r="J692" s="12" t="s">
        <v>267</v>
      </c>
      <c r="K692" s="12">
        <f t="shared" si="63"/>
        <v>33.6</v>
      </c>
      <c r="L692" s="12">
        <f t="shared" si="64"/>
        <v>46.400000000000006</v>
      </c>
      <c r="M692" s="12">
        <v>504</v>
      </c>
      <c r="N692" s="12">
        <v>56</v>
      </c>
      <c r="O692" s="12">
        <v>58</v>
      </c>
      <c r="P692" s="12" t="s">
        <v>1142</v>
      </c>
      <c r="Q692" s="12" t="s">
        <v>234</v>
      </c>
      <c r="R692" s="12" t="s">
        <v>228</v>
      </c>
      <c r="T692" s="12" t="s">
        <v>230</v>
      </c>
      <c r="U692" s="12" t="s">
        <v>230</v>
      </c>
      <c r="V692" s="12"/>
      <c r="W692" s="12"/>
    </row>
    <row r="693" spans="2:23" ht="27">
      <c r="B693" s="26" t="s">
        <v>997</v>
      </c>
      <c r="C693" s="12" t="s">
        <v>228</v>
      </c>
      <c r="D693" s="12" t="s">
        <v>228</v>
      </c>
      <c r="E693" s="12" t="s">
        <v>265</v>
      </c>
      <c r="F693" s="12" t="s">
        <v>266</v>
      </c>
      <c r="G693" s="5" t="s">
        <v>1143</v>
      </c>
      <c r="H693" s="12">
        <f t="shared" si="62"/>
        <v>417.6</v>
      </c>
      <c r="I693" s="12" t="s">
        <v>1151</v>
      </c>
      <c r="J693" s="12" t="s">
        <v>267</v>
      </c>
      <c r="K693" s="12">
        <f t="shared" si="63"/>
        <v>34.799999999999997</v>
      </c>
      <c r="L693" s="12">
        <f t="shared" si="64"/>
        <v>49.6</v>
      </c>
      <c r="M693" s="12">
        <v>522</v>
      </c>
      <c r="N693" s="12">
        <v>58</v>
      </c>
      <c r="O693" s="12">
        <v>62</v>
      </c>
      <c r="P693" s="12" t="s">
        <v>1142</v>
      </c>
      <c r="Q693" s="12" t="s">
        <v>234</v>
      </c>
      <c r="R693" s="12" t="s">
        <v>228</v>
      </c>
      <c r="T693" s="12" t="s">
        <v>230</v>
      </c>
      <c r="U693" s="12" t="s">
        <v>230</v>
      </c>
      <c r="V693" s="12"/>
      <c r="W693" s="12"/>
    </row>
    <row r="694" spans="2:23" ht="27">
      <c r="B694" s="26" t="s">
        <v>998</v>
      </c>
      <c r="C694" s="12" t="s">
        <v>228</v>
      </c>
      <c r="D694" s="12" t="s">
        <v>228</v>
      </c>
      <c r="E694" s="12" t="s">
        <v>265</v>
      </c>
      <c r="F694" s="12" t="s">
        <v>266</v>
      </c>
      <c r="G694" s="5" t="s">
        <v>1143</v>
      </c>
      <c r="H694" s="12">
        <f t="shared" si="62"/>
        <v>432</v>
      </c>
      <c r="I694" s="12" t="s">
        <v>1151</v>
      </c>
      <c r="J694" s="12" t="s">
        <v>267</v>
      </c>
      <c r="K694" s="12">
        <f t="shared" si="63"/>
        <v>36</v>
      </c>
      <c r="L694" s="12">
        <f t="shared" si="64"/>
        <v>52.800000000000004</v>
      </c>
      <c r="M694" s="12">
        <v>540</v>
      </c>
      <c r="N694" s="12">
        <v>60</v>
      </c>
      <c r="O694" s="12">
        <v>66</v>
      </c>
      <c r="P694" s="12" t="s">
        <v>1142</v>
      </c>
      <c r="Q694" s="12" t="s">
        <v>234</v>
      </c>
      <c r="R694" s="12" t="s">
        <v>228</v>
      </c>
      <c r="T694" s="12" t="s">
        <v>230</v>
      </c>
      <c r="U694" s="12" t="s">
        <v>230</v>
      </c>
      <c r="V694" s="12"/>
      <c r="W694" s="12"/>
    </row>
    <row r="695" spans="2:23" ht="27">
      <c r="B695" s="26" t="s">
        <v>999</v>
      </c>
      <c r="C695" s="12" t="s">
        <v>228</v>
      </c>
      <c r="D695" s="12" t="s">
        <v>228</v>
      </c>
      <c r="E695" s="12" t="s">
        <v>265</v>
      </c>
      <c r="F695" s="12" t="s">
        <v>266</v>
      </c>
      <c r="G695" s="5" t="s">
        <v>1143</v>
      </c>
      <c r="H695" s="12">
        <f t="shared" si="62"/>
        <v>446.40000000000003</v>
      </c>
      <c r="I695" s="12" t="s">
        <v>1151</v>
      </c>
      <c r="J695" s="12" t="s">
        <v>267</v>
      </c>
      <c r="K695" s="12">
        <f t="shared" si="63"/>
        <v>37.199999999999996</v>
      </c>
      <c r="L695" s="12">
        <f t="shared" si="64"/>
        <v>56</v>
      </c>
      <c r="M695" s="12">
        <v>558</v>
      </c>
      <c r="N695" s="12">
        <v>62</v>
      </c>
      <c r="O695" s="12">
        <v>70</v>
      </c>
      <c r="P695" s="12" t="s">
        <v>1142</v>
      </c>
      <c r="Q695" s="12" t="s">
        <v>234</v>
      </c>
      <c r="R695" s="12" t="s">
        <v>228</v>
      </c>
      <c r="T695" s="12" t="s">
        <v>230</v>
      </c>
      <c r="U695" s="12" t="s">
        <v>230</v>
      </c>
      <c r="V695" s="12"/>
      <c r="W695" s="12"/>
    </row>
    <row r="696" spans="2:23" ht="27">
      <c r="B696" s="26" t="s">
        <v>1000</v>
      </c>
      <c r="C696" s="12" t="s">
        <v>228</v>
      </c>
      <c r="D696" s="12" t="s">
        <v>228</v>
      </c>
      <c r="E696" s="12" t="s">
        <v>265</v>
      </c>
      <c r="F696" s="12" t="s">
        <v>266</v>
      </c>
      <c r="G696" s="5" t="s">
        <v>1143</v>
      </c>
      <c r="H696" s="12">
        <f t="shared" si="62"/>
        <v>460.8</v>
      </c>
      <c r="I696" s="12" t="s">
        <v>1151</v>
      </c>
      <c r="J696" s="12" t="s">
        <v>267</v>
      </c>
      <c r="K696" s="12">
        <f t="shared" si="63"/>
        <v>38.4</v>
      </c>
      <c r="L696" s="12">
        <f t="shared" si="64"/>
        <v>59.2</v>
      </c>
      <c r="M696" s="12">
        <v>576</v>
      </c>
      <c r="N696" s="12">
        <v>64</v>
      </c>
      <c r="O696" s="12">
        <v>74</v>
      </c>
      <c r="P696" s="12" t="s">
        <v>1142</v>
      </c>
      <c r="Q696" s="12" t="s">
        <v>234</v>
      </c>
      <c r="R696" s="12" t="s">
        <v>228</v>
      </c>
      <c r="T696" s="12" t="s">
        <v>230</v>
      </c>
      <c r="U696" s="12" t="s">
        <v>230</v>
      </c>
      <c r="V696" s="12"/>
      <c r="W696" s="12"/>
    </row>
    <row r="697" spans="2:23" ht="27">
      <c r="B697" s="26" t="s">
        <v>1001</v>
      </c>
      <c r="C697" s="12" t="s">
        <v>228</v>
      </c>
      <c r="D697" s="12" t="s">
        <v>228</v>
      </c>
      <c r="E697" s="12" t="s">
        <v>265</v>
      </c>
      <c r="F697" s="12" t="s">
        <v>266</v>
      </c>
      <c r="G697" s="5" t="s">
        <v>1143</v>
      </c>
      <c r="H697" s="12">
        <f t="shared" si="62"/>
        <v>475.20000000000005</v>
      </c>
      <c r="I697" s="12" t="s">
        <v>1151</v>
      </c>
      <c r="J697" s="12" t="s">
        <v>267</v>
      </c>
      <c r="K697" s="12">
        <f t="shared" si="63"/>
        <v>39.6</v>
      </c>
      <c r="L697" s="12">
        <f t="shared" si="64"/>
        <v>62.400000000000006</v>
      </c>
      <c r="M697" s="12">
        <v>594</v>
      </c>
      <c r="N697" s="12">
        <v>66</v>
      </c>
      <c r="O697" s="12">
        <v>78</v>
      </c>
      <c r="P697" s="12" t="s">
        <v>1142</v>
      </c>
      <c r="Q697" s="12" t="s">
        <v>234</v>
      </c>
      <c r="R697" s="12" t="s">
        <v>228</v>
      </c>
      <c r="T697" s="12" t="s">
        <v>230</v>
      </c>
      <c r="U697" s="12" t="s">
        <v>230</v>
      </c>
      <c r="V697" s="12"/>
      <c r="W697" s="12"/>
    </row>
    <row r="698" spans="2:23" ht="27">
      <c r="B698" s="26" t="s">
        <v>1002</v>
      </c>
      <c r="C698" s="12" t="s">
        <v>228</v>
      </c>
      <c r="D698" s="12" t="s">
        <v>228</v>
      </c>
      <c r="E698" s="12" t="s">
        <v>265</v>
      </c>
      <c r="F698" s="12" t="s">
        <v>266</v>
      </c>
      <c r="G698" s="5" t="s">
        <v>1143</v>
      </c>
      <c r="H698" s="12">
        <f t="shared" si="62"/>
        <v>489.6</v>
      </c>
      <c r="I698" s="12" t="s">
        <v>1151</v>
      </c>
      <c r="J698" s="12" t="s">
        <v>267</v>
      </c>
      <c r="K698" s="12">
        <f t="shared" si="63"/>
        <v>40.799999999999997</v>
      </c>
      <c r="L698" s="12">
        <f t="shared" si="64"/>
        <v>65.600000000000009</v>
      </c>
      <c r="M698" s="12">
        <v>612</v>
      </c>
      <c r="N698" s="12">
        <v>68</v>
      </c>
      <c r="O698" s="12">
        <v>82</v>
      </c>
      <c r="P698" s="12" t="s">
        <v>1142</v>
      </c>
      <c r="Q698" s="12" t="s">
        <v>234</v>
      </c>
      <c r="R698" s="12" t="s">
        <v>228</v>
      </c>
      <c r="T698" s="12" t="s">
        <v>230</v>
      </c>
      <c r="U698" s="12" t="s">
        <v>230</v>
      </c>
      <c r="V698" s="12"/>
      <c r="W698" s="12"/>
    </row>
    <row r="699" spans="2:23" ht="27">
      <c r="B699" s="26" t="s">
        <v>1003</v>
      </c>
      <c r="C699" s="12" t="s">
        <v>228</v>
      </c>
      <c r="D699" s="12" t="s">
        <v>228</v>
      </c>
      <c r="E699" s="12" t="s">
        <v>265</v>
      </c>
      <c r="F699" s="12" t="s">
        <v>266</v>
      </c>
      <c r="G699" s="5" t="s">
        <v>1143</v>
      </c>
      <c r="H699" s="12">
        <f t="shared" si="62"/>
        <v>504</v>
      </c>
      <c r="I699" s="12" t="s">
        <v>1151</v>
      </c>
      <c r="J699" s="12" t="s">
        <v>267</v>
      </c>
      <c r="K699" s="12">
        <f t="shared" si="63"/>
        <v>42</v>
      </c>
      <c r="L699" s="12">
        <f t="shared" si="64"/>
        <v>68.8</v>
      </c>
      <c r="M699" s="12">
        <v>630</v>
      </c>
      <c r="N699" s="12">
        <v>70</v>
      </c>
      <c r="O699" s="12">
        <v>86</v>
      </c>
      <c r="P699" s="12" t="s">
        <v>1142</v>
      </c>
      <c r="Q699" s="12" t="s">
        <v>234</v>
      </c>
      <c r="R699" s="12" t="s">
        <v>228</v>
      </c>
      <c r="T699" s="12" t="s">
        <v>230</v>
      </c>
      <c r="U699" s="12" t="s">
        <v>230</v>
      </c>
      <c r="V699" s="12"/>
      <c r="W699" s="12"/>
    </row>
    <row r="700" spans="2:23" ht="27">
      <c r="B700" s="26" t="s">
        <v>1004</v>
      </c>
      <c r="C700" s="12" t="s">
        <v>228</v>
      </c>
      <c r="D700" s="12" t="s">
        <v>228</v>
      </c>
      <c r="E700" s="12" t="s">
        <v>265</v>
      </c>
      <c r="F700" s="12" t="s">
        <v>266</v>
      </c>
      <c r="G700" s="5" t="s">
        <v>1143</v>
      </c>
      <c r="H700" s="12">
        <f t="shared" si="62"/>
        <v>851.2</v>
      </c>
      <c r="I700" s="12" t="s">
        <v>1151</v>
      </c>
      <c r="J700" s="12" t="s">
        <v>267</v>
      </c>
      <c r="K700" s="12">
        <f t="shared" si="63"/>
        <v>91.2</v>
      </c>
      <c r="L700" s="12">
        <f t="shared" si="64"/>
        <v>97.2</v>
      </c>
      <c r="M700" s="12">
        <v>1064</v>
      </c>
      <c r="N700" s="12">
        <v>152</v>
      </c>
      <c r="O700" s="12">
        <v>121.5</v>
      </c>
      <c r="P700" s="12" t="s">
        <v>1142</v>
      </c>
      <c r="Q700" s="12" t="s">
        <v>234</v>
      </c>
      <c r="R700" s="12" t="s">
        <v>228</v>
      </c>
      <c r="T700" s="12" t="s">
        <v>230</v>
      </c>
      <c r="U700" s="12" t="s">
        <v>230</v>
      </c>
      <c r="V700" s="12"/>
      <c r="W700" s="12"/>
    </row>
    <row r="701" spans="2:23" ht="27">
      <c r="B701" s="26" t="s">
        <v>1005</v>
      </c>
      <c r="C701" s="12" t="s">
        <v>228</v>
      </c>
      <c r="D701" s="12" t="s">
        <v>228</v>
      </c>
      <c r="E701" s="12" t="s">
        <v>265</v>
      </c>
      <c r="F701" s="12" t="s">
        <v>266</v>
      </c>
      <c r="G701" s="5" t="s">
        <v>1143</v>
      </c>
      <c r="H701" s="12">
        <f t="shared" si="62"/>
        <v>873.6</v>
      </c>
      <c r="I701" s="12" t="s">
        <v>1151</v>
      </c>
      <c r="J701" s="12" t="s">
        <v>267</v>
      </c>
      <c r="K701" s="12">
        <f t="shared" si="63"/>
        <v>93.6</v>
      </c>
      <c r="L701" s="12">
        <f t="shared" si="64"/>
        <v>102.06</v>
      </c>
      <c r="M701" s="12">
        <v>1092</v>
      </c>
      <c r="N701" s="12">
        <v>156</v>
      </c>
      <c r="O701" s="12">
        <v>127.57499999999999</v>
      </c>
      <c r="P701" s="12" t="s">
        <v>1142</v>
      </c>
      <c r="Q701" s="12" t="s">
        <v>234</v>
      </c>
      <c r="R701" s="12" t="s">
        <v>228</v>
      </c>
      <c r="T701" s="12" t="s">
        <v>230</v>
      </c>
      <c r="U701" s="12" t="s">
        <v>230</v>
      </c>
      <c r="V701" s="12"/>
      <c r="W701" s="12"/>
    </row>
    <row r="702" spans="2:23" ht="27">
      <c r="B702" s="26" t="s">
        <v>1006</v>
      </c>
      <c r="C702" s="12" t="s">
        <v>228</v>
      </c>
      <c r="D702" s="12" t="s">
        <v>228</v>
      </c>
      <c r="E702" s="12" t="s">
        <v>265</v>
      </c>
      <c r="F702" s="12" t="s">
        <v>266</v>
      </c>
      <c r="G702" s="5" t="s">
        <v>1143</v>
      </c>
      <c r="H702" s="12">
        <f t="shared" si="62"/>
        <v>896</v>
      </c>
      <c r="I702" s="12" t="s">
        <v>1151</v>
      </c>
      <c r="J702" s="12" t="s">
        <v>267</v>
      </c>
      <c r="K702" s="12">
        <f t="shared" si="63"/>
        <v>96</v>
      </c>
      <c r="L702" s="12">
        <f t="shared" si="64"/>
        <v>106.92000000000002</v>
      </c>
      <c r="M702" s="12">
        <v>1120</v>
      </c>
      <c r="N702" s="12">
        <v>160</v>
      </c>
      <c r="O702" s="12">
        <v>133.65</v>
      </c>
      <c r="P702" s="12" t="s">
        <v>1142</v>
      </c>
      <c r="Q702" s="12" t="s">
        <v>234</v>
      </c>
      <c r="R702" s="12" t="s">
        <v>228</v>
      </c>
      <c r="T702" s="12" t="s">
        <v>230</v>
      </c>
      <c r="U702" s="12" t="s">
        <v>230</v>
      </c>
      <c r="V702" s="12"/>
      <c r="W702" s="12"/>
    </row>
    <row r="703" spans="2:23" ht="27">
      <c r="B703" s="26" t="s">
        <v>1007</v>
      </c>
      <c r="C703" s="12" t="s">
        <v>228</v>
      </c>
      <c r="D703" s="12" t="s">
        <v>228</v>
      </c>
      <c r="E703" s="12" t="s">
        <v>265</v>
      </c>
      <c r="F703" s="12" t="s">
        <v>266</v>
      </c>
      <c r="G703" s="5" t="s">
        <v>1143</v>
      </c>
      <c r="H703" s="12">
        <f t="shared" si="62"/>
        <v>918.40000000000009</v>
      </c>
      <c r="I703" s="12" t="s">
        <v>1151</v>
      </c>
      <c r="J703" s="12" t="s">
        <v>267</v>
      </c>
      <c r="K703" s="12">
        <f t="shared" si="63"/>
        <v>98.399999999999991</v>
      </c>
      <c r="L703" s="12">
        <f t="shared" si="64"/>
        <v>111.78</v>
      </c>
      <c r="M703" s="12">
        <v>1148</v>
      </c>
      <c r="N703" s="12">
        <v>164</v>
      </c>
      <c r="O703" s="12">
        <v>139.72499999999999</v>
      </c>
      <c r="P703" s="12" t="s">
        <v>1142</v>
      </c>
      <c r="Q703" s="12" t="s">
        <v>234</v>
      </c>
      <c r="R703" s="12" t="s">
        <v>228</v>
      </c>
      <c r="T703" s="12" t="s">
        <v>230</v>
      </c>
      <c r="U703" s="12" t="s">
        <v>230</v>
      </c>
      <c r="V703" s="12"/>
      <c r="W703" s="12"/>
    </row>
    <row r="704" spans="2:23" ht="27">
      <c r="B704" s="26" t="s">
        <v>1008</v>
      </c>
      <c r="C704" s="12" t="s">
        <v>228</v>
      </c>
      <c r="D704" s="12" t="s">
        <v>228</v>
      </c>
      <c r="E704" s="12" t="s">
        <v>265</v>
      </c>
      <c r="F704" s="12" t="s">
        <v>266</v>
      </c>
      <c r="G704" s="5" t="s">
        <v>1143</v>
      </c>
      <c r="H704" s="12">
        <f t="shared" si="62"/>
        <v>940.80000000000007</v>
      </c>
      <c r="I704" s="12" t="s">
        <v>1151</v>
      </c>
      <c r="J704" s="12" t="s">
        <v>267</v>
      </c>
      <c r="K704" s="12">
        <f t="shared" si="63"/>
        <v>100.8</v>
      </c>
      <c r="L704" s="12">
        <f t="shared" si="64"/>
        <v>116.63999999999999</v>
      </c>
      <c r="M704" s="12">
        <v>1176</v>
      </c>
      <c r="N704" s="12">
        <v>168</v>
      </c>
      <c r="O704" s="12">
        <v>145.79999999999998</v>
      </c>
      <c r="P704" s="12" t="s">
        <v>1142</v>
      </c>
      <c r="Q704" s="12" t="s">
        <v>234</v>
      </c>
      <c r="R704" s="12" t="s">
        <v>228</v>
      </c>
      <c r="T704" s="12" t="s">
        <v>230</v>
      </c>
      <c r="U704" s="12" t="s">
        <v>230</v>
      </c>
      <c r="V704" s="12"/>
      <c r="W704" s="12"/>
    </row>
    <row r="705" spans="2:23" ht="27">
      <c r="B705" s="26" t="s">
        <v>1009</v>
      </c>
      <c r="C705" s="12" t="s">
        <v>228</v>
      </c>
      <c r="D705" s="12" t="s">
        <v>228</v>
      </c>
      <c r="E705" s="12" t="s">
        <v>265</v>
      </c>
      <c r="F705" s="12" t="s">
        <v>266</v>
      </c>
      <c r="G705" s="5" t="s">
        <v>1143</v>
      </c>
      <c r="H705" s="12">
        <f t="shared" si="62"/>
        <v>963.2</v>
      </c>
      <c r="I705" s="12" t="s">
        <v>1151</v>
      </c>
      <c r="J705" s="12" t="s">
        <v>267</v>
      </c>
      <c r="K705" s="12">
        <f t="shared" si="63"/>
        <v>103.2</v>
      </c>
      <c r="L705" s="12">
        <f t="shared" si="64"/>
        <v>121.5</v>
      </c>
      <c r="M705" s="12">
        <v>1204</v>
      </c>
      <c r="N705" s="12">
        <v>172</v>
      </c>
      <c r="O705" s="12">
        <v>151.875</v>
      </c>
      <c r="P705" s="12" t="s">
        <v>1142</v>
      </c>
      <c r="Q705" s="12" t="s">
        <v>234</v>
      </c>
      <c r="R705" s="12" t="s">
        <v>228</v>
      </c>
      <c r="T705" s="12" t="s">
        <v>230</v>
      </c>
      <c r="U705" s="12" t="s">
        <v>230</v>
      </c>
      <c r="V705" s="12"/>
      <c r="W705" s="12"/>
    </row>
    <row r="706" spans="2:23" ht="27">
      <c r="B706" s="26" t="s">
        <v>1010</v>
      </c>
      <c r="C706" s="12" t="s">
        <v>228</v>
      </c>
      <c r="D706" s="12" t="s">
        <v>228</v>
      </c>
      <c r="E706" s="12" t="s">
        <v>265</v>
      </c>
      <c r="F706" s="12" t="s">
        <v>266</v>
      </c>
      <c r="G706" s="5" t="s">
        <v>1143</v>
      </c>
      <c r="H706" s="12">
        <f t="shared" si="62"/>
        <v>985.6</v>
      </c>
      <c r="I706" s="12" t="s">
        <v>1151</v>
      </c>
      <c r="J706" s="12" t="s">
        <v>267</v>
      </c>
      <c r="K706" s="12">
        <f t="shared" si="63"/>
        <v>105.6</v>
      </c>
      <c r="L706" s="12">
        <f t="shared" si="64"/>
        <v>126.36</v>
      </c>
      <c r="M706" s="12">
        <v>1232</v>
      </c>
      <c r="N706" s="12">
        <v>176</v>
      </c>
      <c r="O706" s="12">
        <v>157.94999999999999</v>
      </c>
      <c r="P706" s="12" t="s">
        <v>1142</v>
      </c>
      <c r="Q706" s="12" t="s">
        <v>234</v>
      </c>
      <c r="R706" s="12" t="s">
        <v>228</v>
      </c>
      <c r="T706" s="12" t="s">
        <v>230</v>
      </c>
      <c r="U706" s="12" t="s">
        <v>230</v>
      </c>
      <c r="V706" s="12"/>
      <c r="W706" s="12"/>
    </row>
    <row r="707" spans="2:23" ht="27">
      <c r="B707" s="26" t="s">
        <v>1011</v>
      </c>
      <c r="C707" s="12" t="s">
        <v>228</v>
      </c>
      <c r="D707" s="12" t="s">
        <v>228</v>
      </c>
      <c r="E707" s="12" t="s">
        <v>265</v>
      </c>
      <c r="F707" s="12" t="s">
        <v>266</v>
      </c>
      <c r="G707" s="5" t="s">
        <v>1143</v>
      </c>
      <c r="H707" s="12">
        <f t="shared" si="62"/>
        <v>1008</v>
      </c>
      <c r="I707" s="12" t="s">
        <v>1151</v>
      </c>
      <c r="J707" s="12" t="s">
        <v>267</v>
      </c>
      <c r="K707" s="12">
        <f t="shared" si="63"/>
        <v>108</v>
      </c>
      <c r="L707" s="12">
        <f t="shared" si="64"/>
        <v>131.22</v>
      </c>
      <c r="M707" s="12">
        <v>1260</v>
      </c>
      <c r="N707" s="12">
        <v>180</v>
      </c>
      <c r="O707" s="12">
        <v>164.02500000000001</v>
      </c>
      <c r="P707" s="12" t="s">
        <v>1142</v>
      </c>
      <c r="Q707" s="12" t="s">
        <v>234</v>
      </c>
      <c r="R707" s="12" t="s">
        <v>228</v>
      </c>
      <c r="T707" s="12" t="s">
        <v>230</v>
      </c>
      <c r="U707" s="12" t="s">
        <v>230</v>
      </c>
      <c r="V707" s="12"/>
      <c r="W707" s="12"/>
    </row>
    <row r="708" spans="2:23" ht="27">
      <c r="B708" s="26" t="s">
        <v>1012</v>
      </c>
      <c r="C708" s="12" t="s">
        <v>228</v>
      </c>
      <c r="D708" s="12" t="s">
        <v>228</v>
      </c>
      <c r="E708" s="12" t="s">
        <v>265</v>
      </c>
      <c r="F708" s="12" t="s">
        <v>266</v>
      </c>
      <c r="G708" s="5" t="s">
        <v>1143</v>
      </c>
      <c r="H708" s="12">
        <f t="shared" si="62"/>
        <v>1030.4000000000001</v>
      </c>
      <c r="I708" s="12" t="s">
        <v>1151</v>
      </c>
      <c r="J708" s="12" t="s">
        <v>267</v>
      </c>
      <c r="K708" s="12">
        <f t="shared" si="63"/>
        <v>110.39999999999999</v>
      </c>
      <c r="L708" s="12">
        <f t="shared" si="64"/>
        <v>136.08000000000001</v>
      </c>
      <c r="M708" s="12">
        <v>1288</v>
      </c>
      <c r="N708" s="12">
        <v>184</v>
      </c>
      <c r="O708" s="12">
        <v>170.1</v>
      </c>
      <c r="P708" s="12" t="s">
        <v>1142</v>
      </c>
      <c r="Q708" s="12" t="s">
        <v>234</v>
      </c>
      <c r="R708" s="12" t="s">
        <v>228</v>
      </c>
      <c r="T708" s="12" t="s">
        <v>230</v>
      </c>
      <c r="U708" s="12" t="s">
        <v>230</v>
      </c>
      <c r="V708" s="12"/>
      <c r="W708" s="12"/>
    </row>
    <row r="709" spans="2:23" ht="27">
      <c r="B709" s="26" t="s">
        <v>1013</v>
      </c>
      <c r="C709" s="12" t="s">
        <v>228</v>
      </c>
      <c r="D709" s="12" t="s">
        <v>228</v>
      </c>
      <c r="E709" s="12" t="s">
        <v>265</v>
      </c>
      <c r="F709" s="12" t="s">
        <v>266</v>
      </c>
      <c r="G709" s="5" t="s">
        <v>1143</v>
      </c>
      <c r="H709" s="12">
        <f t="shared" si="62"/>
        <v>1052.8</v>
      </c>
      <c r="I709" s="12" t="s">
        <v>1151</v>
      </c>
      <c r="J709" s="12" t="s">
        <v>267</v>
      </c>
      <c r="K709" s="12">
        <f t="shared" si="63"/>
        <v>112.8</v>
      </c>
      <c r="L709" s="12">
        <f t="shared" si="64"/>
        <v>140.94</v>
      </c>
      <c r="M709" s="12">
        <v>1316</v>
      </c>
      <c r="N709" s="12">
        <v>188</v>
      </c>
      <c r="O709" s="12">
        <v>176.17499999999998</v>
      </c>
      <c r="P709" s="12" t="s">
        <v>1142</v>
      </c>
      <c r="Q709" s="12" t="s">
        <v>234</v>
      </c>
      <c r="R709" s="12" t="s">
        <v>228</v>
      </c>
      <c r="T709" s="12" t="s">
        <v>230</v>
      </c>
      <c r="U709" s="12" t="s">
        <v>230</v>
      </c>
      <c r="V709" s="12"/>
      <c r="W709" s="12"/>
    </row>
    <row r="710" spans="2:23" ht="27">
      <c r="B710" s="26" t="s">
        <v>1014</v>
      </c>
      <c r="C710" s="12" t="s">
        <v>228</v>
      </c>
      <c r="D710" s="12" t="s">
        <v>228</v>
      </c>
      <c r="E710" s="12" t="s">
        <v>265</v>
      </c>
      <c r="F710" s="12" t="s">
        <v>266</v>
      </c>
      <c r="G710" s="5" t="s">
        <v>1143</v>
      </c>
      <c r="H710" s="12">
        <f t="shared" si="62"/>
        <v>1075.2</v>
      </c>
      <c r="I710" s="12" t="s">
        <v>1151</v>
      </c>
      <c r="J710" s="12" t="s">
        <v>267</v>
      </c>
      <c r="K710" s="12">
        <f t="shared" si="63"/>
        <v>115.19999999999999</v>
      </c>
      <c r="L710" s="12">
        <f t="shared" si="64"/>
        <v>145.80000000000001</v>
      </c>
      <c r="M710" s="12">
        <v>1344</v>
      </c>
      <c r="N710" s="12">
        <v>192</v>
      </c>
      <c r="O710" s="12">
        <v>182.25</v>
      </c>
      <c r="P710" s="12" t="s">
        <v>1142</v>
      </c>
      <c r="Q710" s="12" t="s">
        <v>234</v>
      </c>
      <c r="R710" s="12" t="s">
        <v>228</v>
      </c>
      <c r="T710" s="12" t="s">
        <v>230</v>
      </c>
      <c r="U710" s="12" t="s">
        <v>230</v>
      </c>
      <c r="V710" s="12"/>
      <c r="W710" s="12"/>
    </row>
    <row r="711" spans="2:23" ht="27">
      <c r="B711" s="26" t="s">
        <v>1015</v>
      </c>
      <c r="C711" s="12" t="s">
        <v>228</v>
      </c>
      <c r="D711" s="12" t="s">
        <v>228</v>
      </c>
      <c r="E711" s="12" t="s">
        <v>265</v>
      </c>
      <c r="F711" s="12" t="s">
        <v>266</v>
      </c>
      <c r="G711" s="5" t="s">
        <v>1143</v>
      </c>
      <c r="H711" s="12">
        <f t="shared" si="62"/>
        <v>1097.6000000000001</v>
      </c>
      <c r="I711" s="12" t="s">
        <v>1151</v>
      </c>
      <c r="J711" s="12" t="s">
        <v>267</v>
      </c>
      <c r="K711" s="12">
        <f t="shared" si="63"/>
        <v>117.6</v>
      </c>
      <c r="L711" s="12">
        <f t="shared" si="64"/>
        <v>150.66</v>
      </c>
      <c r="M711" s="12">
        <v>1372</v>
      </c>
      <c r="N711" s="12">
        <v>196</v>
      </c>
      <c r="O711" s="12">
        <v>188.32499999999999</v>
      </c>
      <c r="P711" s="12" t="s">
        <v>1142</v>
      </c>
      <c r="Q711" s="12" t="s">
        <v>234</v>
      </c>
      <c r="R711" s="12" t="s">
        <v>228</v>
      </c>
      <c r="T711" s="12" t="s">
        <v>230</v>
      </c>
      <c r="U711" s="12" t="s">
        <v>230</v>
      </c>
      <c r="V711" s="12"/>
      <c r="W711" s="12"/>
    </row>
    <row r="712" spans="2:23" ht="27">
      <c r="B712" s="26" t="s">
        <v>1016</v>
      </c>
      <c r="C712" s="12" t="s">
        <v>228</v>
      </c>
      <c r="D712" s="12" t="s">
        <v>228</v>
      </c>
      <c r="E712" s="12" t="s">
        <v>265</v>
      </c>
      <c r="F712" s="12" t="s">
        <v>266</v>
      </c>
      <c r="G712" s="5" t="s">
        <v>1143</v>
      </c>
      <c r="H712" s="12">
        <f t="shared" si="62"/>
        <v>1120</v>
      </c>
      <c r="I712" s="12" t="s">
        <v>1151</v>
      </c>
      <c r="J712" s="12" t="s">
        <v>267</v>
      </c>
      <c r="K712" s="12">
        <f t="shared" si="63"/>
        <v>120</v>
      </c>
      <c r="L712" s="12">
        <f t="shared" si="64"/>
        <v>155.51999999999998</v>
      </c>
      <c r="M712" s="12">
        <v>1400</v>
      </c>
      <c r="N712" s="12">
        <v>200</v>
      </c>
      <c r="O712" s="12">
        <v>194.39999999999998</v>
      </c>
      <c r="P712" s="12" t="s">
        <v>1142</v>
      </c>
      <c r="Q712" s="12" t="s">
        <v>234</v>
      </c>
      <c r="R712" s="12" t="s">
        <v>228</v>
      </c>
      <c r="T712" s="12" t="s">
        <v>230</v>
      </c>
      <c r="U712" s="12" t="s">
        <v>230</v>
      </c>
      <c r="V712" s="12"/>
      <c r="W712" s="12"/>
    </row>
    <row r="713" spans="2:23" ht="27">
      <c r="B713" s="26" t="s">
        <v>1017</v>
      </c>
      <c r="C713" s="12" t="s">
        <v>228</v>
      </c>
      <c r="D713" s="12" t="s">
        <v>228</v>
      </c>
      <c r="E713" s="12" t="s">
        <v>265</v>
      </c>
      <c r="F713" s="12" t="s">
        <v>266</v>
      </c>
      <c r="G713" s="5" t="s">
        <v>1143</v>
      </c>
      <c r="H713" s="12">
        <f t="shared" si="62"/>
        <v>1142.4000000000001</v>
      </c>
      <c r="I713" s="12" t="s">
        <v>1151</v>
      </c>
      <c r="J713" s="12" t="s">
        <v>267</v>
      </c>
      <c r="K713" s="12">
        <f t="shared" si="63"/>
        <v>122.39999999999999</v>
      </c>
      <c r="L713" s="12">
        <f t="shared" si="64"/>
        <v>160.38</v>
      </c>
      <c r="M713" s="12">
        <v>1428</v>
      </c>
      <c r="N713" s="12">
        <v>204</v>
      </c>
      <c r="O713" s="12">
        <v>200.47499999999999</v>
      </c>
      <c r="P713" s="12" t="s">
        <v>1142</v>
      </c>
      <c r="Q713" s="12" t="s">
        <v>234</v>
      </c>
      <c r="R713" s="12" t="s">
        <v>228</v>
      </c>
      <c r="T713" s="12" t="s">
        <v>230</v>
      </c>
      <c r="U713" s="12" t="s">
        <v>230</v>
      </c>
      <c r="V713" s="12"/>
      <c r="W713" s="12"/>
    </row>
    <row r="714" spans="2:23" ht="27">
      <c r="B714" s="26" t="s">
        <v>1018</v>
      </c>
      <c r="C714" s="12" t="s">
        <v>228</v>
      </c>
      <c r="D714" s="12" t="s">
        <v>228</v>
      </c>
      <c r="E714" s="12" t="s">
        <v>265</v>
      </c>
      <c r="F714" s="12" t="s">
        <v>266</v>
      </c>
      <c r="G714" s="5" t="s">
        <v>1143</v>
      </c>
      <c r="H714" s="12">
        <f t="shared" si="62"/>
        <v>1164.8</v>
      </c>
      <c r="I714" s="12" t="s">
        <v>1151</v>
      </c>
      <c r="J714" s="12" t="s">
        <v>267</v>
      </c>
      <c r="K714" s="12">
        <f t="shared" si="63"/>
        <v>124.8</v>
      </c>
      <c r="L714" s="12">
        <f t="shared" si="64"/>
        <v>165.24</v>
      </c>
      <c r="M714" s="12">
        <v>1456</v>
      </c>
      <c r="N714" s="12">
        <v>208</v>
      </c>
      <c r="O714" s="12">
        <v>206.54999999999998</v>
      </c>
      <c r="P714" s="12" t="s">
        <v>1142</v>
      </c>
      <c r="Q714" s="12" t="s">
        <v>234</v>
      </c>
      <c r="R714" s="12" t="s">
        <v>228</v>
      </c>
      <c r="T714" s="12" t="s">
        <v>230</v>
      </c>
      <c r="U714" s="12" t="s">
        <v>230</v>
      </c>
      <c r="V714" s="12"/>
      <c r="W714" s="12"/>
    </row>
    <row r="715" spans="2:23" ht="27">
      <c r="B715" s="26" t="s">
        <v>1019</v>
      </c>
      <c r="C715" s="12" t="s">
        <v>228</v>
      </c>
      <c r="D715" s="12" t="s">
        <v>228</v>
      </c>
      <c r="E715" s="12" t="s">
        <v>265</v>
      </c>
      <c r="F715" s="12" t="s">
        <v>266</v>
      </c>
      <c r="G715" s="5" t="s">
        <v>1143</v>
      </c>
      <c r="H715" s="12">
        <f t="shared" si="62"/>
        <v>1760</v>
      </c>
      <c r="I715" s="12" t="s">
        <v>1151</v>
      </c>
      <c r="J715" s="12" t="s">
        <v>267</v>
      </c>
      <c r="K715" s="12">
        <f t="shared" si="63"/>
        <v>198</v>
      </c>
      <c r="L715" s="12">
        <f t="shared" si="64"/>
        <v>218.70000000000002</v>
      </c>
      <c r="M715" s="12">
        <v>2200</v>
      </c>
      <c r="N715" s="12">
        <v>330</v>
      </c>
      <c r="O715" s="12">
        <v>273.375</v>
      </c>
      <c r="P715" s="12" t="s">
        <v>1142</v>
      </c>
      <c r="Q715" s="12" t="s">
        <v>234</v>
      </c>
      <c r="R715" s="12" t="s">
        <v>228</v>
      </c>
      <c r="T715" s="12" t="s">
        <v>230</v>
      </c>
      <c r="U715" s="12" t="s">
        <v>230</v>
      </c>
      <c r="V715" s="12"/>
      <c r="W715" s="12"/>
    </row>
    <row r="716" spans="2:23" ht="27">
      <c r="B716" s="26" t="s">
        <v>1020</v>
      </c>
      <c r="C716" s="12" t="s">
        <v>228</v>
      </c>
      <c r="D716" s="12" t="s">
        <v>228</v>
      </c>
      <c r="E716" s="12" t="s">
        <v>265</v>
      </c>
      <c r="F716" s="12" t="s">
        <v>266</v>
      </c>
      <c r="G716" s="5" t="s">
        <v>1143</v>
      </c>
      <c r="H716" s="12">
        <f t="shared" si="62"/>
        <v>1792</v>
      </c>
      <c r="I716" s="12" t="s">
        <v>1151</v>
      </c>
      <c r="J716" s="12" t="s">
        <v>267</v>
      </c>
      <c r="K716" s="12">
        <f t="shared" si="63"/>
        <v>201.6</v>
      </c>
      <c r="L716" s="12">
        <f t="shared" si="64"/>
        <v>225.17999999999998</v>
      </c>
      <c r="M716" s="12">
        <v>2240</v>
      </c>
      <c r="N716" s="12">
        <v>336</v>
      </c>
      <c r="O716" s="12">
        <v>281.47499999999997</v>
      </c>
      <c r="P716" s="12" t="s">
        <v>1142</v>
      </c>
      <c r="Q716" s="12" t="s">
        <v>234</v>
      </c>
      <c r="R716" s="12" t="s">
        <v>228</v>
      </c>
      <c r="T716" s="12" t="s">
        <v>230</v>
      </c>
      <c r="U716" s="12" t="s">
        <v>230</v>
      </c>
      <c r="V716" s="12"/>
      <c r="W716" s="12"/>
    </row>
    <row r="717" spans="2:23" ht="27">
      <c r="B717" s="26" t="s">
        <v>1021</v>
      </c>
      <c r="C717" s="12" t="s">
        <v>228</v>
      </c>
      <c r="D717" s="12" t="s">
        <v>228</v>
      </c>
      <c r="E717" s="12" t="s">
        <v>265</v>
      </c>
      <c r="F717" s="12" t="s">
        <v>266</v>
      </c>
      <c r="G717" s="5" t="s">
        <v>1143</v>
      </c>
      <c r="H717" s="12">
        <f t="shared" si="62"/>
        <v>1824</v>
      </c>
      <c r="I717" s="12" t="s">
        <v>1151</v>
      </c>
      <c r="J717" s="12" t="s">
        <v>267</v>
      </c>
      <c r="K717" s="12">
        <f t="shared" si="63"/>
        <v>205.2</v>
      </c>
      <c r="L717" s="12">
        <f t="shared" si="64"/>
        <v>231.66</v>
      </c>
      <c r="M717" s="12">
        <v>2280</v>
      </c>
      <c r="N717" s="12">
        <v>342</v>
      </c>
      <c r="O717" s="12">
        <v>289.57499999999999</v>
      </c>
      <c r="P717" s="12" t="s">
        <v>1142</v>
      </c>
      <c r="Q717" s="12" t="s">
        <v>234</v>
      </c>
      <c r="R717" s="12" t="s">
        <v>228</v>
      </c>
      <c r="T717" s="12" t="s">
        <v>230</v>
      </c>
      <c r="U717" s="12" t="s">
        <v>230</v>
      </c>
      <c r="V717" s="12"/>
      <c r="W717" s="12"/>
    </row>
    <row r="718" spans="2:23" ht="27">
      <c r="B718" s="26" t="s">
        <v>1022</v>
      </c>
      <c r="C718" s="12" t="s">
        <v>228</v>
      </c>
      <c r="D718" s="12" t="s">
        <v>228</v>
      </c>
      <c r="E718" s="12" t="s">
        <v>265</v>
      </c>
      <c r="F718" s="12" t="s">
        <v>266</v>
      </c>
      <c r="G718" s="5" t="s">
        <v>1143</v>
      </c>
      <c r="H718" s="12">
        <f t="shared" si="62"/>
        <v>1856</v>
      </c>
      <c r="I718" s="12" t="s">
        <v>1151</v>
      </c>
      <c r="J718" s="12" t="s">
        <v>267</v>
      </c>
      <c r="K718" s="12">
        <f t="shared" si="63"/>
        <v>208.79999999999998</v>
      </c>
      <c r="L718" s="12">
        <f t="shared" si="64"/>
        <v>238.14000000000001</v>
      </c>
      <c r="M718" s="12">
        <v>2320</v>
      </c>
      <c r="N718" s="12">
        <v>348</v>
      </c>
      <c r="O718" s="12">
        <v>297.67500000000001</v>
      </c>
      <c r="P718" s="12" t="s">
        <v>1142</v>
      </c>
      <c r="Q718" s="12" t="s">
        <v>234</v>
      </c>
      <c r="R718" s="12" t="s">
        <v>228</v>
      </c>
      <c r="T718" s="12" t="s">
        <v>230</v>
      </c>
      <c r="U718" s="12" t="s">
        <v>230</v>
      </c>
      <c r="V718" s="12"/>
      <c r="W718" s="12"/>
    </row>
    <row r="719" spans="2:23" ht="27">
      <c r="B719" s="26" t="s">
        <v>1023</v>
      </c>
      <c r="C719" s="12" t="s">
        <v>228</v>
      </c>
      <c r="D719" s="12" t="s">
        <v>228</v>
      </c>
      <c r="E719" s="12" t="s">
        <v>265</v>
      </c>
      <c r="F719" s="12" t="s">
        <v>266</v>
      </c>
      <c r="G719" s="5" t="s">
        <v>1143</v>
      </c>
      <c r="H719" s="12">
        <f t="shared" si="62"/>
        <v>1888</v>
      </c>
      <c r="I719" s="12" t="s">
        <v>1151</v>
      </c>
      <c r="J719" s="12" t="s">
        <v>267</v>
      </c>
      <c r="K719" s="12">
        <f t="shared" si="63"/>
        <v>212.4</v>
      </c>
      <c r="L719" s="12">
        <f t="shared" si="64"/>
        <v>244.62</v>
      </c>
      <c r="M719" s="12">
        <v>2360</v>
      </c>
      <c r="N719" s="12">
        <v>354</v>
      </c>
      <c r="O719" s="12">
        <v>305.77499999999998</v>
      </c>
      <c r="P719" s="12" t="s">
        <v>1142</v>
      </c>
      <c r="Q719" s="12" t="s">
        <v>234</v>
      </c>
      <c r="R719" s="12" t="s">
        <v>228</v>
      </c>
      <c r="T719" s="12" t="s">
        <v>230</v>
      </c>
      <c r="U719" s="12" t="s">
        <v>230</v>
      </c>
      <c r="V719" s="12"/>
      <c r="W719" s="12"/>
    </row>
    <row r="720" spans="2:23" ht="27">
      <c r="B720" s="26" t="s">
        <v>1024</v>
      </c>
      <c r="C720" s="12" t="s">
        <v>228</v>
      </c>
      <c r="D720" s="12" t="s">
        <v>228</v>
      </c>
      <c r="E720" s="12" t="s">
        <v>265</v>
      </c>
      <c r="F720" s="12" t="s">
        <v>266</v>
      </c>
      <c r="G720" s="5" t="s">
        <v>1143</v>
      </c>
      <c r="H720" s="12">
        <f t="shared" si="62"/>
        <v>1920</v>
      </c>
      <c r="I720" s="12" t="s">
        <v>1151</v>
      </c>
      <c r="J720" s="12" t="s">
        <v>267</v>
      </c>
      <c r="K720" s="12">
        <f t="shared" si="63"/>
        <v>216</v>
      </c>
      <c r="L720" s="12">
        <f t="shared" si="64"/>
        <v>251.10000000000002</v>
      </c>
      <c r="M720" s="12">
        <v>2400</v>
      </c>
      <c r="N720" s="12">
        <v>360</v>
      </c>
      <c r="O720" s="12">
        <v>313.875</v>
      </c>
      <c r="P720" s="12" t="s">
        <v>1142</v>
      </c>
      <c r="Q720" s="12" t="s">
        <v>234</v>
      </c>
      <c r="R720" s="12" t="s">
        <v>228</v>
      </c>
      <c r="T720" s="12" t="s">
        <v>230</v>
      </c>
      <c r="U720" s="12" t="s">
        <v>230</v>
      </c>
      <c r="V720" s="12"/>
      <c r="W720" s="12"/>
    </row>
    <row r="721" spans="2:23" ht="27">
      <c r="B721" s="26" t="s">
        <v>1025</v>
      </c>
      <c r="C721" s="12" t="s">
        <v>228</v>
      </c>
      <c r="D721" s="12" t="s">
        <v>228</v>
      </c>
      <c r="E721" s="12" t="s">
        <v>265</v>
      </c>
      <c r="F721" s="12" t="s">
        <v>266</v>
      </c>
      <c r="G721" s="5" t="s">
        <v>1143</v>
      </c>
      <c r="H721" s="12">
        <f t="shared" si="62"/>
        <v>1952</v>
      </c>
      <c r="I721" s="12" t="s">
        <v>1151</v>
      </c>
      <c r="J721" s="12" t="s">
        <v>267</v>
      </c>
      <c r="K721" s="12">
        <f t="shared" si="63"/>
        <v>219.6</v>
      </c>
      <c r="L721" s="12">
        <f t="shared" si="64"/>
        <v>257.58</v>
      </c>
      <c r="M721" s="12">
        <v>2440</v>
      </c>
      <c r="N721" s="12">
        <v>366</v>
      </c>
      <c r="O721" s="12">
        <v>321.97499999999997</v>
      </c>
      <c r="P721" s="12" t="s">
        <v>1142</v>
      </c>
      <c r="Q721" s="12" t="s">
        <v>234</v>
      </c>
      <c r="R721" s="12" t="s">
        <v>228</v>
      </c>
      <c r="T721" s="12" t="s">
        <v>230</v>
      </c>
      <c r="U721" s="12" t="s">
        <v>230</v>
      </c>
      <c r="V721" s="12"/>
      <c r="W721" s="12"/>
    </row>
    <row r="722" spans="2:23" ht="27">
      <c r="B722" s="26" t="s">
        <v>1026</v>
      </c>
      <c r="C722" s="12" t="s">
        <v>228</v>
      </c>
      <c r="D722" s="12" t="s">
        <v>228</v>
      </c>
      <c r="E722" s="12" t="s">
        <v>265</v>
      </c>
      <c r="F722" s="12" t="s">
        <v>266</v>
      </c>
      <c r="G722" s="5" t="s">
        <v>1143</v>
      </c>
      <c r="H722" s="12">
        <f t="shared" si="62"/>
        <v>1984</v>
      </c>
      <c r="I722" s="12" t="s">
        <v>1151</v>
      </c>
      <c r="J722" s="12" t="s">
        <v>267</v>
      </c>
      <c r="K722" s="12">
        <f t="shared" si="63"/>
        <v>223.2</v>
      </c>
      <c r="L722" s="12">
        <f t="shared" si="64"/>
        <v>264.06</v>
      </c>
      <c r="M722" s="12">
        <v>2480</v>
      </c>
      <c r="N722" s="12">
        <v>372</v>
      </c>
      <c r="O722" s="12">
        <v>330.07499999999999</v>
      </c>
      <c r="P722" s="12" t="s">
        <v>1142</v>
      </c>
      <c r="Q722" s="12" t="s">
        <v>234</v>
      </c>
      <c r="R722" s="12" t="s">
        <v>228</v>
      </c>
      <c r="T722" s="12" t="s">
        <v>230</v>
      </c>
      <c r="U722" s="12" t="s">
        <v>230</v>
      </c>
      <c r="V722" s="12"/>
      <c r="W722" s="12"/>
    </row>
    <row r="723" spans="2:23" ht="27">
      <c r="B723" s="26" t="s">
        <v>1027</v>
      </c>
      <c r="C723" s="12" t="s">
        <v>228</v>
      </c>
      <c r="D723" s="12" t="s">
        <v>228</v>
      </c>
      <c r="E723" s="12" t="s">
        <v>265</v>
      </c>
      <c r="F723" s="12" t="s">
        <v>266</v>
      </c>
      <c r="G723" s="5" t="s">
        <v>1143</v>
      </c>
      <c r="H723" s="12">
        <f t="shared" si="62"/>
        <v>2016</v>
      </c>
      <c r="I723" s="12" t="s">
        <v>1151</v>
      </c>
      <c r="J723" s="12" t="s">
        <v>267</v>
      </c>
      <c r="K723" s="12">
        <f t="shared" si="63"/>
        <v>226.79999999999998</v>
      </c>
      <c r="L723" s="12">
        <f t="shared" si="64"/>
        <v>270.54000000000002</v>
      </c>
      <c r="M723" s="12">
        <v>2520</v>
      </c>
      <c r="N723" s="12">
        <v>378</v>
      </c>
      <c r="O723" s="12">
        <v>338.17500000000001</v>
      </c>
      <c r="P723" s="12" t="s">
        <v>1142</v>
      </c>
      <c r="Q723" s="12" t="s">
        <v>234</v>
      </c>
      <c r="R723" s="12" t="s">
        <v>228</v>
      </c>
      <c r="T723" s="12" t="s">
        <v>230</v>
      </c>
      <c r="U723" s="12" t="s">
        <v>230</v>
      </c>
      <c r="V723" s="12"/>
      <c r="W723" s="12"/>
    </row>
    <row r="724" spans="2:23" ht="27">
      <c r="B724" s="26" t="s">
        <v>1028</v>
      </c>
      <c r="C724" s="12" t="s">
        <v>228</v>
      </c>
      <c r="D724" s="12" t="s">
        <v>228</v>
      </c>
      <c r="E724" s="12" t="s">
        <v>265</v>
      </c>
      <c r="F724" s="12" t="s">
        <v>266</v>
      </c>
      <c r="G724" s="5" t="s">
        <v>1143</v>
      </c>
      <c r="H724" s="12">
        <f t="shared" si="62"/>
        <v>2048</v>
      </c>
      <c r="I724" s="12" t="s">
        <v>1151</v>
      </c>
      <c r="J724" s="12" t="s">
        <v>267</v>
      </c>
      <c r="K724" s="12">
        <f t="shared" si="63"/>
        <v>230.39999999999998</v>
      </c>
      <c r="L724" s="12">
        <f t="shared" si="64"/>
        <v>277.02</v>
      </c>
      <c r="M724" s="12">
        <v>2560</v>
      </c>
      <c r="N724" s="12">
        <v>384</v>
      </c>
      <c r="O724" s="12">
        <v>346.27499999999998</v>
      </c>
      <c r="P724" s="12" t="s">
        <v>1142</v>
      </c>
      <c r="Q724" s="12" t="s">
        <v>234</v>
      </c>
      <c r="R724" s="12" t="s">
        <v>228</v>
      </c>
      <c r="T724" s="12" t="s">
        <v>230</v>
      </c>
      <c r="U724" s="12" t="s">
        <v>230</v>
      </c>
      <c r="V724" s="12"/>
      <c r="W724" s="12"/>
    </row>
    <row r="725" spans="2:23" ht="27">
      <c r="B725" s="26" t="s">
        <v>1029</v>
      </c>
      <c r="C725" s="12" t="s">
        <v>228</v>
      </c>
      <c r="D725" s="12" t="s">
        <v>228</v>
      </c>
      <c r="E725" s="12" t="s">
        <v>265</v>
      </c>
      <c r="F725" s="12" t="s">
        <v>266</v>
      </c>
      <c r="G725" s="5" t="s">
        <v>1143</v>
      </c>
      <c r="H725" s="12">
        <f t="shared" si="62"/>
        <v>2080</v>
      </c>
      <c r="I725" s="12" t="s">
        <v>1151</v>
      </c>
      <c r="J725" s="12" t="s">
        <v>267</v>
      </c>
      <c r="K725" s="12">
        <f t="shared" si="63"/>
        <v>234</v>
      </c>
      <c r="L725" s="12">
        <f t="shared" si="64"/>
        <v>283.5</v>
      </c>
      <c r="M725" s="12">
        <v>2600</v>
      </c>
      <c r="N725" s="12">
        <v>390</v>
      </c>
      <c r="O725" s="12">
        <v>354.375</v>
      </c>
      <c r="P725" s="12" t="s">
        <v>1142</v>
      </c>
      <c r="Q725" s="12" t="s">
        <v>234</v>
      </c>
      <c r="R725" s="12" t="s">
        <v>228</v>
      </c>
      <c r="T725" s="12" t="s">
        <v>230</v>
      </c>
      <c r="U725" s="12" t="s">
        <v>230</v>
      </c>
      <c r="V725" s="12"/>
      <c r="W725" s="12"/>
    </row>
    <row r="726" spans="2:23" ht="27">
      <c r="B726" s="26" t="s">
        <v>1030</v>
      </c>
      <c r="C726" s="12" t="s">
        <v>228</v>
      </c>
      <c r="D726" s="12" t="s">
        <v>228</v>
      </c>
      <c r="E726" s="12" t="s">
        <v>265</v>
      </c>
      <c r="F726" s="12" t="s">
        <v>266</v>
      </c>
      <c r="G726" s="5" t="s">
        <v>1143</v>
      </c>
      <c r="H726" s="12">
        <f t="shared" si="62"/>
        <v>2112</v>
      </c>
      <c r="I726" s="12" t="s">
        <v>1151</v>
      </c>
      <c r="J726" s="12" t="s">
        <v>267</v>
      </c>
      <c r="K726" s="12">
        <f t="shared" si="63"/>
        <v>237.6</v>
      </c>
      <c r="L726" s="12">
        <f t="shared" si="64"/>
        <v>289.97999999999996</v>
      </c>
      <c r="M726" s="12">
        <v>2640</v>
      </c>
      <c r="N726" s="12">
        <v>396</v>
      </c>
      <c r="O726" s="12">
        <v>362.47499999999997</v>
      </c>
      <c r="P726" s="12" t="s">
        <v>1142</v>
      </c>
      <c r="Q726" s="12" t="s">
        <v>234</v>
      </c>
      <c r="R726" s="12" t="s">
        <v>228</v>
      </c>
      <c r="T726" s="12" t="s">
        <v>230</v>
      </c>
      <c r="U726" s="12" t="s">
        <v>230</v>
      </c>
      <c r="V726" s="12"/>
      <c r="W726" s="12"/>
    </row>
    <row r="727" spans="2:23" ht="27">
      <c r="B727" s="26" t="s">
        <v>1031</v>
      </c>
      <c r="C727" s="12" t="s">
        <v>228</v>
      </c>
      <c r="D727" s="12" t="s">
        <v>228</v>
      </c>
      <c r="E727" s="12" t="s">
        <v>265</v>
      </c>
      <c r="F727" s="12" t="s">
        <v>266</v>
      </c>
      <c r="G727" s="5" t="s">
        <v>1143</v>
      </c>
      <c r="H727" s="12">
        <f t="shared" si="62"/>
        <v>2144</v>
      </c>
      <c r="I727" s="12" t="s">
        <v>1151</v>
      </c>
      <c r="J727" s="12" t="s">
        <v>267</v>
      </c>
      <c r="K727" s="12">
        <f t="shared" si="63"/>
        <v>241.2</v>
      </c>
      <c r="L727" s="12">
        <f t="shared" si="64"/>
        <v>296.45999999999998</v>
      </c>
      <c r="M727" s="12">
        <v>2680</v>
      </c>
      <c r="N727" s="12">
        <v>402</v>
      </c>
      <c r="O727" s="12">
        <v>370.57499999999999</v>
      </c>
      <c r="P727" s="12" t="s">
        <v>1142</v>
      </c>
      <c r="Q727" s="12" t="s">
        <v>234</v>
      </c>
      <c r="R727" s="12" t="s">
        <v>228</v>
      </c>
      <c r="T727" s="12" t="s">
        <v>230</v>
      </c>
      <c r="U727" s="12" t="s">
        <v>230</v>
      </c>
      <c r="V727" s="12"/>
      <c r="W727" s="12"/>
    </row>
    <row r="728" spans="2:23" ht="27">
      <c r="B728" s="26" t="s">
        <v>1032</v>
      </c>
      <c r="C728" s="12" t="s">
        <v>228</v>
      </c>
      <c r="D728" s="12" t="s">
        <v>228</v>
      </c>
      <c r="E728" s="12" t="s">
        <v>265</v>
      </c>
      <c r="F728" s="12" t="s">
        <v>266</v>
      </c>
      <c r="G728" s="5" t="s">
        <v>1143</v>
      </c>
      <c r="H728" s="12">
        <f t="shared" si="62"/>
        <v>2176</v>
      </c>
      <c r="I728" s="12" t="s">
        <v>1151</v>
      </c>
      <c r="J728" s="12" t="s">
        <v>267</v>
      </c>
      <c r="K728" s="12">
        <f t="shared" si="63"/>
        <v>244.79999999999998</v>
      </c>
      <c r="L728" s="12">
        <f t="shared" si="64"/>
        <v>302.94</v>
      </c>
      <c r="M728" s="12">
        <v>2720</v>
      </c>
      <c r="N728" s="12">
        <v>408</v>
      </c>
      <c r="O728" s="12">
        <v>378.67500000000001</v>
      </c>
      <c r="P728" s="12" t="s">
        <v>1142</v>
      </c>
      <c r="Q728" s="12" t="s">
        <v>234</v>
      </c>
      <c r="R728" s="12" t="s">
        <v>228</v>
      </c>
      <c r="T728" s="12" t="s">
        <v>230</v>
      </c>
      <c r="U728" s="12" t="s">
        <v>230</v>
      </c>
      <c r="V728" s="12"/>
      <c r="W728" s="12"/>
    </row>
    <row r="729" spans="2:23" ht="27">
      <c r="B729" s="26" t="s">
        <v>1033</v>
      </c>
      <c r="C729" s="12" t="s">
        <v>228</v>
      </c>
      <c r="D729" s="12" t="s">
        <v>228</v>
      </c>
      <c r="E729" s="12" t="s">
        <v>265</v>
      </c>
      <c r="F729" s="12" t="s">
        <v>266</v>
      </c>
      <c r="G729" s="5" t="s">
        <v>1143</v>
      </c>
      <c r="H729" s="12">
        <f t="shared" si="62"/>
        <v>2208</v>
      </c>
      <c r="I729" s="12" t="s">
        <v>1151</v>
      </c>
      <c r="J729" s="12" t="s">
        <v>267</v>
      </c>
      <c r="K729" s="12">
        <f t="shared" si="63"/>
        <v>248.39999999999998</v>
      </c>
      <c r="L729" s="12">
        <f t="shared" si="64"/>
        <v>309.42</v>
      </c>
      <c r="M729" s="12">
        <v>2760</v>
      </c>
      <c r="N729" s="12">
        <v>414</v>
      </c>
      <c r="O729" s="12">
        <v>386.77499999999998</v>
      </c>
      <c r="P729" s="12" t="s">
        <v>1142</v>
      </c>
      <c r="Q729" s="12" t="s">
        <v>234</v>
      </c>
      <c r="R729" s="12" t="s">
        <v>228</v>
      </c>
      <c r="T729" s="12" t="s">
        <v>230</v>
      </c>
      <c r="U729" s="12" t="s">
        <v>230</v>
      </c>
      <c r="V729" s="12"/>
      <c r="W729" s="12"/>
    </row>
    <row r="730" spans="2:23" ht="27">
      <c r="B730" s="26" t="s">
        <v>1034</v>
      </c>
      <c r="C730" s="12" t="s">
        <v>228</v>
      </c>
      <c r="D730" s="12" t="s">
        <v>228</v>
      </c>
      <c r="E730" s="12" t="s">
        <v>265</v>
      </c>
      <c r="F730" s="12" t="s">
        <v>266</v>
      </c>
      <c r="G730" s="5" t="s">
        <v>1143</v>
      </c>
      <c r="H730" s="12">
        <f t="shared" si="62"/>
        <v>3110.4</v>
      </c>
      <c r="I730" s="12" t="s">
        <v>1151</v>
      </c>
      <c r="J730" s="12" t="s">
        <v>267</v>
      </c>
      <c r="K730" s="12">
        <f t="shared" si="63"/>
        <v>345.59999999999997</v>
      </c>
      <c r="L730" s="12">
        <f t="shared" si="64"/>
        <v>576</v>
      </c>
      <c r="M730" s="12">
        <v>3888</v>
      </c>
      <c r="N730" s="12">
        <v>576</v>
      </c>
      <c r="O730" s="12">
        <v>720</v>
      </c>
      <c r="P730" s="12" t="s">
        <v>1142</v>
      </c>
      <c r="Q730" s="12" t="s">
        <v>234</v>
      </c>
      <c r="R730" s="12" t="s">
        <v>228</v>
      </c>
      <c r="T730" s="12" t="s">
        <v>230</v>
      </c>
      <c r="U730" s="12" t="s">
        <v>230</v>
      </c>
      <c r="V730" s="12"/>
      <c r="W730" s="12"/>
    </row>
    <row r="731" spans="2:23" ht="27">
      <c r="B731" s="26" t="s">
        <v>1035</v>
      </c>
      <c r="C731" s="12" t="s">
        <v>228</v>
      </c>
      <c r="D731" s="12" t="s">
        <v>228</v>
      </c>
      <c r="E731" s="12" t="s">
        <v>265</v>
      </c>
      <c r="F731" s="12" t="s">
        <v>266</v>
      </c>
      <c r="G731" s="5" t="s">
        <v>1143</v>
      </c>
      <c r="H731" s="12">
        <f t="shared" si="62"/>
        <v>0</v>
      </c>
      <c r="I731" s="12" t="s">
        <v>1151</v>
      </c>
      <c r="J731" s="12" t="s">
        <v>267</v>
      </c>
      <c r="K731" s="12">
        <f t="shared" si="63"/>
        <v>0</v>
      </c>
      <c r="L731" s="12">
        <f t="shared" si="64"/>
        <v>0</v>
      </c>
      <c r="M731" s="12"/>
      <c r="N731" s="12"/>
      <c r="O731" s="12"/>
      <c r="P731" s="12" t="s">
        <v>1142</v>
      </c>
      <c r="Q731" s="12" t="s">
        <v>234</v>
      </c>
      <c r="R731" s="12" t="s">
        <v>228</v>
      </c>
      <c r="T731" s="12" t="s">
        <v>230</v>
      </c>
      <c r="U731" s="12" t="s">
        <v>230</v>
      </c>
      <c r="V731" s="12"/>
      <c r="W731" s="12"/>
    </row>
    <row r="732" spans="2:23" ht="27">
      <c r="B732" s="26" t="s">
        <v>1036</v>
      </c>
      <c r="C732" s="12" t="s">
        <v>228</v>
      </c>
      <c r="D732" s="12" t="s">
        <v>228</v>
      </c>
      <c r="E732" s="12" t="s">
        <v>265</v>
      </c>
      <c r="F732" s="12" t="s">
        <v>266</v>
      </c>
      <c r="G732" s="5" t="s">
        <v>1143</v>
      </c>
      <c r="H732" s="12">
        <f t="shared" si="62"/>
        <v>0</v>
      </c>
      <c r="I732" s="12" t="s">
        <v>1151</v>
      </c>
      <c r="J732" s="12" t="s">
        <v>267</v>
      </c>
      <c r="K732" s="12">
        <f t="shared" si="63"/>
        <v>0</v>
      </c>
      <c r="L732" s="12">
        <f t="shared" si="64"/>
        <v>0</v>
      </c>
      <c r="M732" s="12"/>
      <c r="N732" s="12"/>
      <c r="O732" s="12"/>
      <c r="P732" s="12" t="s">
        <v>1142</v>
      </c>
      <c r="Q732" s="12" t="s">
        <v>234</v>
      </c>
      <c r="R732" s="12" t="s">
        <v>228</v>
      </c>
      <c r="T732" s="12" t="s">
        <v>230</v>
      </c>
      <c r="U732" s="12" t="s">
        <v>230</v>
      </c>
      <c r="V732" s="12"/>
      <c r="W732" s="12"/>
    </row>
    <row r="733" spans="2:23" ht="27">
      <c r="B733" s="26" t="s">
        <v>1037</v>
      </c>
      <c r="C733" s="12" t="s">
        <v>228</v>
      </c>
      <c r="D733" s="12" t="s">
        <v>228</v>
      </c>
      <c r="E733" s="12" t="s">
        <v>265</v>
      </c>
      <c r="F733" s="12" t="s">
        <v>266</v>
      </c>
      <c r="G733" s="5" t="s">
        <v>1143</v>
      </c>
      <c r="H733" s="12">
        <f t="shared" si="62"/>
        <v>0</v>
      </c>
      <c r="I733" s="12" t="s">
        <v>1151</v>
      </c>
      <c r="J733" s="12" t="s">
        <v>267</v>
      </c>
      <c r="K733" s="12">
        <f t="shared" si="63"/>
        <v>0</v>
      </c>
      <c r="L733" s="12">
        <f t="shared" si="64"/>
        <v>0</v>
      </c>
      <c r="M733" s="12"/>
      <c r="N733" s="12"/>
      <c r="O733" s="12"/>
      <c r="P733" s="12" t="s">
        <v>1142</v>
      </c>
      <c r="Q733" s="12" t="s">
        <v>234</v>
      </c>
      <c r="R733" s="12" t="s">
        <v>228</v>
      </c>
      <c r="T733" s="12" t="s">
        <v>230</v>
      </c>
      <c r="U733" s="12" t="s">
        <v>230</v>
      </c>
      <c r="V733" s="12"/>
      <c r="W733" s="12"/>
    </row>
    <row r="734" spans="2:23">
      <c r="B734" s="26"/>
      <c r="C734" s="12"/>
      <c r="D734" s="12"/>
      <c r="E734" s="12"/>
      <c r="F734" s="12"/>
      <c r="G734" s="5"/>
      <c r="H734" s="12"/>
      <c r="I734" s="12"/>
      <c r="J734" s="12"/>
      <c r="K734" s="12" t="str">
        <f t="shared" ref="K734" si="65">"防"&amp;I734</f>
        <v>防</v>
      </c>
      <c r="L734" s="12" t="str">
        <f t="shared" ref="L734" si="66">"攻"&amp;J734</f>
        <v>攻</v>
      </c>
      <c r="M734" s="12"/>
      <c r="N734" s="12"/>
      <c r="O734" s="12"/>
      <c r="P734" s="12"/>
      <c r="Q734" s="12"/>
      <c r="R734" s="12"/>
      <c r="T734" s="12"/>
      <c r="U734" s="12"/>
      <c r="V734" s="12"/>
      <c r="W734" s="12"/>
    </row>
    <row r="735" spans="2:23">
      <c r="B735" s="12" t="s">
        <v>1038</v>
      </c>
      <c r="C735" s="12" t="s">
        <v>228</v>
      </c>
      <c r="D735" s="12" t="s">
        <v>228</v>
      </c>
      <c r="E735" s="12" t="s">
        <v>268</v>
      </c>
      <c r="F735" s="12"/>
      <c r="G735" s="5"/>
      <c r="H735" s="12">
        <f>M735*$X$8</f>
        <v>144</v>
      </c>
      <c r="I735" s="12" t="s">
        <v>1139</v>
      </c>
      <c r="J735" s="12" t="s">
        <v>1148</v>
      </c>
      <c r="K735" s="12">
        <f>N735*$X$10</f>
        <v>38</v>
      </c>
      <c r="L735" s="12">
        <f>O735*$Y$12</f>
        <v>75</v>
      </c>
      <c r="M735" s="12">
        <v>360</v>
      </c>
      <c r="N735" s="12">
        <v>40</v>
      </c>
      <c r="O735" s="12">
        <v>30</v>
      </c>
      <c r="P735" s="12" t="s">
        <v>1142</v>
      </c>
      <c r="Q735" s="12"/>
      <c r="R735" s="12"/>
      <c r="T735" s="12"/>
      <c r="U735" s="12"/>
      <c r="V735" s="12"/>
      <c r="W735" s="12"/>
    </row>
    <row r="736" spans="2:23">
      <c r="B736" s="12" t="s">
        <v>1039</v>
      </c>
      <c r="C736" s="12" t="s">
        <v>228</v>
      </c>
      <c r="D736" s="12" t="s">
        <v>228</v>
      </c>
      <c r="E736" s="12" t="s">
        <v>268</v>
      </c>
      <c r="F736" s="12"/>
      <c r="G736" s="5"/>
      <c r="H736" s="12">
        <f t="shared" ref="H736:H782" si="67">M736*$X$8</f>
        <v>165.60000000000002</v>
      </c>
      <c r="I736" s="12" t="s">
        <v>1139</v>
      </c>
      <c r="J736" s="12" t="s">
        <v>1148</v>
      </c>
      <c r="K736" s="12">
        <f t="shared" ref="K736:K782" si="68">N736*$X$10</f>
        <v>43.699999999999996</v>
      </c>
      <c r="L736" s="12">
        <f t="shared" ref="L736:L782" si="69">O736*$Y$12</f>
        <v>95</v>
      </c>
      <c r="M736" s="12">
        <v>414</v>
      </c>
      <c r="N736" s="12">
        <v>46</v>
      </c>
      <c r="O736" s="12">
        <v>38</v>
      </c>
      <c r="P736" s="12" t="s">
        <v>1142</v>
      </c>
      <c r="Q736" s="12"/>
      <c r="R736" s="12"/>
      <c r="T736" s="12"/>
      <c r="U736" s="12"/>
      <c r="V736" s="12"/>
      <c r="W736" s="12"/>
    </row>
    <row r="737" spans="2:23">
      <c r="B737" s="12" t="s">
        <v>1040</v>
      </c>
      <c r="C737" s="12" t="s">
        <v>228</v>
      </c>
      <c r="D737" s="12" t="s">
        <v>228</v>
      </c>
      <c r="E737" s="12" t="s">
        <v>268</v>
      </c>
      <c r="F737" s="12"/>
      <c r="G737" s="5"/>
      <c r="H737" s="12">
        <f t="shared" si="67"/>
        <v>172.8</v>
      </c>
      <c r="I737" s="12" t="s">
        <v>1139</v>
      </c>
      <c r="J737" s="12" t="s">
        <v>1148</v>
      </c>
      <c r="K737" s="12">
        <f t="shared" si="68"/>
        <v>45.599999999999994</v>
      </c>
      <c r="L737" s="12">
        <f t="shared" si="69"/>
        <v>105</v>
      </c>
      <c r="M737" s="12">
        <v>432</v>
      </c>
      <c r="N737" s="12">
        <v>48</v>
      </c>
      <c r="O737" s="12">
        <v>42</v>
      </c>
      <c r="P737" s="12" t="s">
        <v>1142</v>
      </c>
      <c r="Q737" s="12"/>
      <c r="R737" s="12"/>
      <c r="T737" s="12"/>
      <c r="U737" s="12"/>
      <c r="V737" s="12"/>
      <c r="W737" s="12"/>
    </row>
    <row r="738" spans="2:23">
      <c r="B738" s="12" t="s">
        <v>1041</v>
      </c>
      <c r="C738" s="12" t="s">
        <v>228</v>
      </c>
      <c r="D738" s="12" t="s">
        <v>228</v>
      </c>
      <c r="E738" s="12" t="s">
        <v>268</v>
      </c>
      <c r="F738" s="12"/>
      <c r="G738" s="5"/>
      <c r="H738" s="12">
        <f t="shared" si="67"/>
        <v>180</v>
      </c>
      <c r="I738" s="12" t="s">
        <v>1139</v>
      </c>
      <c r="J738" s="12" t="s">
        <v>1148</v>
      </c>
      <c r="K738" s="12">
        <f t="shared" si="68"/>
        <v>47.5</v>
      </c>
      <c r="L738" s="12">
        <f t="shared" si="69"/>
        <v>115</v>
      </c>
      <c r="M738" s="12">
        <v>450</v>
      </c>
      <c r="N738" s="12">
        <v>50</v>
      </c>
      <c r="O738" s="12">
        <v>46</v>
      </c>
      <c r="P738" s="12" t="s">
        <v>1142</v>
      </c>
      <c r="Q738" s="12"/>
      <c r="R738" s="12"/>
      <c r="T738" s="12"/>
      <c r="U738" s="12"/>
      <c r="V738" s="12"/>
      <c r="W738" s="12"/>
    </row>
    <row r="739" spans="2:23">
      <c r="B739" s="12" t="s">
        <v>1042</v>
      </c>
      <c r="C739" s="12" t="s">
        <v>228</v>
      </c>
      <c r="D739" s="12" t="s">
        <v>228</v>
      </c>
      <c r="E739" s="12" t="s">
        <v>268</v>
      </c>
      <c r="F739" s="12"/>
      <c r="G739" s="5"/>
      <c r="H739" s="12">
        <f t="shared" si="67"/>
        <v>187.20000000000002</v>
      </c>
      <c r="I739" s="12" t="s">
        <v>1139</v>
      </c>
      <c r="J739" s="12" t="s">
        <v>1148</v>
      </c>
      <c r="K739" s="12">
        <f t="shared" si="68"/>
        <v>49.4</v>
      </c>
      <c r="L739" s="12">
        <f t="shared" si="69"/>
        <v>125</v>
      </c>
      <c r="M739" s="12">
        <v>468</v>
      </c>
      <c r="N739" s="12">
        <v>52</v>
      </c>
      <c r="O739" s="12">
        <v>50</v>
      </c>
      <c r="P739" s="12" t="s">
        <v>1142</v>
      </c>
      <c r="Q739" s="12"/>
      <c r="R739" s="12"/>
      <c r="T739" s="12"/>
      <c r="U739" s="12"/>
      <c r="V739" s="12"/>
      <c r="W739" s="12"/>
    </row>
    <row r="740" spans="2:23">
      <c r="B740" s="12" t="s">
        <v>1043</v>
      </c>
      <c r="C740" s="12" t="s">
        <v>228</v>
      </c>
      <c r="D740" s="12" t="s">
        <v>228</v>
      </c>
      <c r="E740" s="12" t="s">
        <v>268</v>
      </c>
      <c r="F740" s="12"/>
      <c r="G740" s="5"/>
      <c r="H740" s="12">
        <f t="shared" si="67"/>
        <v>194.4</v>
      </c>
      <c r="I740" s="12" t="s">
        <v>1139</v>
      </c>
      <c r="J740" s="12" t="s">
        <v>1148</v>
      </c>
      <c r="K740" s="12">
        <f t="shared" si="68"/>
        <v>51.3</v>
      </c>
      <c r="L740" s="12">
        <f t="shared" si="69"/>
        <v>135</v>
      </c>
      <c r="M740" s="12">
        <v>486</v>
      </c>
      <c r="N740" s="12">
        <v>54</v>
      </c>
      <c r="O740" s="12">
        <v>54</v>
      </c>
      <c r="P740" s="12" t="s">
        <v>1142</v>
      </c>
      <c r="Q740" s="12"/>
      <c r="R740" s="12"/>
      <c r="T740" s="12"/>
      <c r="U740" s="12"/>
      <c r="V740" s="12"/>
      <c r="W740" s="12"/>
    </row>
    <row r="741" spans="2:23">
      <c r="B741" s="12" t="s">
        <v>1044</v>
      </c>
      <c r="C741" s="12" t="s">
        <v>228</v>
      </c>
      <c r="D741" s="12" t="s">
        <v>228</v>
      </c>
      <c r="E741" s="12" t="s">
        <v>268</v>
      </c>
      <c r="F741" s="12"/>
      <c r="G741" s="5"/>
      <c r="H741" s="12">
        <f t="shared" si="67"/>
        <v>201.60000000000002</v>
      </c>
      <c r="I741" s="12" t="s">
        <v>1139</v>
      </c>
      <c r="J741" s="12" t="s">
        <v>1148</v>
      </c>
      <c r="K741" s="12">
        <f t="shared" si="68"/>
        <v>53.199999999999996</v>
      </c>
      <c r="L741" s="12">
        <f t="shared" si="69"/>
        <v>145</v>
      </c>
      <c r="M741" s="12">
        <v>504</v>
      </c>
      <c r="N741" s="12">
        <v>56</v>
      </c>
      <c r="O741" s="12">
        <v>58</v>
      </c>
      <c r="P741" s="12" t="s">
        <v>1142</v>
      </c>
      <c r="Q741" s="12"/>
      <c r="R741" s="12"/>
      <c r="T741" s="12"/>
      <c r="U741" s="12"/>
      <c r="V741" s="12"/>
      <c r="W741" s="12"/>
    </row>
    <row r="742" spans="2:23">
      <c r="B742" s="12" t="s">
        <v>1045</v>
      </c>
      <c r="C742" s="12" t="s">
        <v>228</v>
      </c>
      <c r="D742" s="12" t="s">
        <v>228</v>
      </c>
      <c r="E742" s="12" t="s">
        <v>268</v>
      </c>
      <c r="F742" s="12"/>
      <c r="G742" s="5"/>
      <c r="H742" s="12">
        <f t="shared" si="67"/>
        <v>208.8</v>
      </c>
      <c r="I742" s="12" t="s">
        <v>1139</v>
      </c>
      <c r="J742" s="12" t="s">
        <v>1148</v>
      </c>
      <c r="K742" s="12">
        <f t="shared" si="68"/>
        <v>55.099999999999994</v>
      </c>
      <c r="L742" s="12">
        <f t="shared" si="69"/>
        <v>155</v>
      </c>
      <c r="M742" s="12">
        <v>522</v>
      </c>
      <c r="N742" s="12">
        <v>58</v>
      </c>
      <c r="O742" s="12">
        <v>62</v>
      </c>
      <c r="P742" s="12" t="s">
        <v>1142</v>
      </c>
      <c r="Q742" s="12"/>
      <c r="R742" s="12"/>
      <c r="T742" s="12"/>
      <c r="U742" s="12"/>
      <c r="V742" s="12"/>
      <c r="W742" s="12"/>
    </row>
    <row r="743" spans="2:23">
      <c r="B743" s="12" t="s">
        <v>1046</v>
      </c>
      <c r="C743" s="12" t="s">
        <v>228</v>
      </c>
      <c r="D743" s="12" t="s">
        <v>228</v>
      </c>
      <c r="E743" s="12" t="s">
        <v>268</v>
      </c>
      <c r="F743" s="12"/>
      <c r="G743" s="5"/>
      <c r="H743" s="12">
        <f t="shared" si="67"/>
        <v>216</v>
      </c>
      <c r="I743" s="12" t="s">
        <v>1139</v>
      </c>
      <c r="J743" s="12" t="s">
        <v>1148</v>
      </c>
      <c r="K743" s="12">
        <f t="shared" si="68"/>
        <v>57</v>
      </c>
      <c r="L743" s="12">
        <f t="shared" si="69"/>
        <v>165</v>
      </c>
      <c r="M743" s="12">
        <v>540</v>
      </c>
      <c r="N743" s="12">
        <v>60</v>
      </c>
      <c r="O743" s="12">
        <v>66</v>
      </c>
      <c r="P743" s="12" t="s">
        <v>1142</v>
      </c>
      <c r="Q743" s="12"/>
      <c r="R743" s="12"/>
      <c r="T743" s="12"/>
      <c r="U743" s="12"/>
      <c r="V743" s="12"/>
      <c r="W743" s="12"/>
    </row>
    <row r="744" spans="2:23">
      <c r="B744" s="12" t="s">
        <v>1047</v>
      </c>
      <c r="C744" s="12" t="s">
        <v>228</v>
      </c>
      <c r="D744" s="12" t="s">
        <v>228</v>
      </c>
      <c r="E744" s="12" t="s">
        <v>268</v>
      </c>
      <c r="F744" s="12"/>
      <c r="G744" s="5"/>
      <c r="H744" s="12">
        <f t="shared" si="67"/>
        <v>223.20000000000002</v>
      </c>
      <c r="I744" s="12" t="s">
        <v>1139</v>
      </c>
      <c r="J744" s="12" t="s">
        <v>1148</v>
      </c>
      <c r="K744" s="12">
        <f t="shared" si="68"/>
        <v>58.9</v>
      </c>
      <c r="L744" s="12">
        <f t="shared" si="69"/>
        <v>175</v>
      </c>
      <c r="M744" s="12">
        <v>558</v>
      </c>
      <c r="N744" s="12">
        <v>62</v>
      </c>
      <c r="O744" s="12">
        <v>70</v>
      </c>
      <c r="P744" s="12" t="s">
        <v>1142</v>
      </c>
      <c r="Q744" s="12"/>
      <c r="R744" s="12"/>
      <c r="T744" s="12"/>
      <c r="U744" s="12"/>
      <c r="V744" s="12"/>
      <c r="W744" s="12"/>
    </row>
    <row r="745" spans="2:23">
      <c r="B745" s="12" t="s">
        <v>1048</v>
      </c>
      <c r="C745" s="12" t="s">
        <v>228</v>
      </c>
      <c r="D745" s="12" t="s">
        <v>228</v>
      </c>
      <c r="E745" s="12" t="s">
        <v>268</v>
      </c>
      <c r="F745" s="12"/>
      <c r="G745" s="5"/>
      <c r="H745" s="12">
        <f t="shared" si="67"/>
        <v>230.4</v>
      </c>
      <c r="I745" s="12" t="s">
        <v>1139</v>
      </c>
      <c r="J745" s="12" t="s">
        <v>1148</v>
      </c>
      <c r="K745" s="12">
        <f t="shared" si="68"/>
        <v>60.8</v>
      </c>
      <c r="L745" s="12">
        <f t="shared" si="69"/>
        <v>185</v>
      </c>
      <c r="M745" s="12">
        <v>576</v>
      </c>
      <c r="N745" s="12">
        <v>64</v>
      </c>
      <c r="O745" s="12">
        <v>74</v>
      </c>
      <c r="P745" s="12" t="s">
        <v>1142</v>
      </c>
      <c r="Q745" s="12"/>
      <c r="R745" s="12"/>
      <c r="T745" s="12"/>
      <c r="U745" s="12"/>
      <c r="V745" s="12"/>
      <c r="W745" s="12"/>
    </row>
    <row r="746" spans="2:23">
      <c r="B746" s="12" t="s">
        <v>1049</v>
      </c>
      <c r="C746" s="12" t="s">
        <v>228</v>
      </c>
      <c r="D746" s="12" t="s">
        <v>228</v>
      </c>
      <c r="E746" s="12" t="s">
        <v>268</v>
      </c>
      <c r="F746" s="12"/>
      <c r="G746" s="5"/>
      <c r="H746" s="12">
        <f t="shared" si="67"/>
        <v>237.60000000000002</v>
      </c>
      <c r="I746" s="12" t="s">
        <v>1139</v>
      </c>
      <c r="J746" s="12" t="s">
        <v>1148</v>
      </c>
      <c r="K746" s="12">
        <f t="shared" si="68"/>
        <v>62.699999999999996</v>
      </c>
      <c r="L746" s="12">
        <f t="shared" si="69"/>
        <v>195</v>
      </c>
      <c r="M746" s="12">
        <v>594</v>
      </c>
      <c r="N746" s="12">
        <v>66</v>
      </c>
      <c r="O746" s="12">
        <v>78</v>
      </c>
      <c r="P746" s="12" t="s">
        <v>1142</v>
      </c>
      <c r="Q746" s="12"/>
      <c r="R746" s="12"/>
      <c r="T746" s="12"/>
      <c r="U746" s="12"/>
      <c r="V746" s="12"/>
      <c r="W746" s="12"/>
    </row>
    <row r="747" spans="2:23">
      <c r="B747" s="12" t="s">
        <v>1050</v>
      </c>
      <c r="C747" s="12" t="s">
        <v>228</v>
      </c>
      <c r="D747" s="12" t="s">
        <v>228</v>
      </c>
      <c r="E747" s="12" t="s">
        <v>268</v>
      </c>
      <c r="F747" s="12"/>
      <c r="G747" s="5"/>
      <c r="H747" s="12">
        <f t="shared" si="67"/>
        <v>244.8</v>
      </c>
      <c r="I747" s="12" t="s">
        <v>1139</v>
      </c>
      <c r="J747" s="12" t="s">
        <v>1148</v>
      </c>
      <c r="K747" s="12">
        <f t="shared" si="68"/>
        <v>64.599999999999994</v>
      </c>
      <c r="L747" s="12">
        <f t="shared" si="69"/>
        <v>205</v>
      </c>
      <c r="M747" s="12">
        <v>612</v>
      </c>
      <c r="N747" s="12">
        <v>68</v>
      </c>
      <c r="O747" s="12">
        <v>82</v>
      </c>
      <c r="P747" s="12" t="s">
        <v>1142</v>
      </c>
      <c r="Q747" s="12"/>
      <c r="R747" s="12"/>
      <c r="T747" s="12"/>
      <c r="U747" s="12"/>
      <c r="V747" s="12"/>
      <c r="W747" s="12"/>
    </row>
    <row r="748" spans="2:23">
      <c r="B748" s="12" t="s">
        <v>1051</v>
      </c>
      <c r="C748" s="12" t="s">
        <v>228</v>
      </c>
      <c r="D748" s="12" t="s">
        <v>228</v>
      </c>
      <c r="E748" s="12" t="s">
        <v>268</v>
      </c>
      <c r="F748" s="12"/>
      <c r="G748" s="5"/>
      <c r="H748" s="12">
        <f t="shared" si="67"/>
        <v>252</v>
      </c>
      <c r="I748" s="12" t="s">
        <v>1139</v>
      </c>
      <c r="J748" s="12" t="s">
        <v>1148</v>
      </c>
      <c r="K748" s="12">
        <f t="shared" si="68"/>
        <v>66.5</v>
      </c>
      <c r="L748" s="12">
        <f t="shared" si="69"/>
        <v>215</v>
      </c>
      <c r="M748" s="12">
        <v>630</v>
      </c>
      <c r="N748" s="12">
        <v>70</v>
      </c>
      <c r="O748" s="12">
        <v>86</v>
      </c>
      <c r="P748" s="12" t="s">
        <v>1142</v>
      </c>
      <c r="Q748" s="12"/>
      <c r="R748" s="12"/>
      <c r="T748" s="12"/>
      <c r="U748" s="12"/>
      <c r="V748" s="12"/>
      <c r="W748" s="12"/>
    </row>
    <row r="749" spans="2:23">
      <c r="B749" s="12" t="s">
        <v>1052</v>
      </c>
      <c r="C749" s="12" t="s">
        <v>228</v>
      </c>
      <c r="D749" s="12" t="s">
        <v>228</v>
      </c>
      <c r="E749" s="12" t="s">
        <v>268</v>
      </c>
      <c r="F749" s="12"/>
      <c r="G749" s="5"/>
      <c r="H749" s="12">
        <f t="shared" si="67"/>
        <v>425.6</v>
      </c>
      <c r="I749" s="12" t="s">
        <v>1139</v>
      </c>
      <c r="J749" s="12" t="s">
        <v>1148</v>
      </c>
      <c r="K749" s="12">
        <f t="shared" si="68"/>
        <v>144.4</v>
      </c>
      <c r="L749" s="12">
        <f t="shared" si="69"/>
        <v>303.75</v>
      </c>
      <c r="M749" s="12">
        <v>1064</v>
      </c>
      <c r="N749" s="12">
        <v>152</v>
      </c>
      <c r="O749" s="12">
        <v>121.5</v>
      </c>
      <c r="P749" s="12" t="s">
        <v>1142</v>
      </c>
      <c r="Q749" s="12"/>
      <c r="R749" s="12"/>
      <c r="T749" s="12"/>
      <c r="U749" s="12"/>
      <c r="V749" s="12"/>
      <c r="W749" s="12"/>
    </row>
    <row r="750" spans="2:23">
      <c r="B750" s="12" t="s">
        <v>1053</v>
      </c>
      <c r="C750" s="12" t="s">
        <v>228</v>
      </c>
      <c r="D750" s="12" t="s">
        <v>228</v>
      </c>
      <c r="E750" s="12" t="s">
        <v>268</v>
      </c>
      <c r="F750" s="12"/>
      <c r="G750" s="5"/>
      <c r="H750" s="12">
        <f t="shared" si="67"/>
        <v>436.8</v>
      </c>
      <c r="I750" s="12" t="s">
        <v>1139</v>
      </c>
      <c r="J750" s="12" t="s">
        <v>1148</v>
      </c>
      <c r="K750" s="12">
        <f t="shared" si="68"/>
        <v>148.19999999999999</v>
      </c>
      <c r="L750" s="12">
        <f t="shared" si="69"/>
        <v>318.9375</v>
      </c>
      <c r="M750" s="12">
        <v>1092</v>
      </c>
      <c r="N750" s="12">
        <v>156</v>
      </c>
      <c r="O750" s="12">
        <v>127.57499999999999</v>
      </c>
      <c r="P750" s="12" t="s">
        <v>1142</v>
      </c>
      <c r="Q750" s="12"/>
      <c r="R750" s="12"/>
      <c r="T750" s="12"/>
      <c r="U750" s="12"/>
      <c r="V750" s="12"/>
      <c r="W750" s="12"/>
    </row>
    <row r="751" spans="2:23">
      <c r="B751" s="12" t="s">
        <v>1054</v>
      </c>
      <c r="C751" s="12" t="s">
        <v>228</v>
      </c>
      <c r="D751" s="12" t="s">
        <v>228</v>
      </c>
      <c r="E751" s="12" t="s">
        <v>268</v>
      </c>
      <c r="F751" s="12"/>
      <c r="G751" s="5"/>
      <c r="H751" s="12">
        <f t="shared" si="67"/>
        <v>448</v>
      </c>
      <c r="I751" s="12" t="s">
        <v>1139</v>
      </c>
      <c r="J751" s="12" t="s">
        <v>1148</v>
      </c>
      <c r="K751" s="12">
        <f t="shared" si="68"/>
        <v>152</v>
      </c>
      <c r="L751" s="12">
        <f t="shared" si="69"/>
        <v>334.125</v>
      </c>
      <c r="M751" s="12">
        <v>1120</v>
      </c>
      <c r="N751" s="12">
        <v>160</v>
      </c>
      <c r="O751" s="12">
        <v>133.65</v>
      </c>
      <c r="P751" s="12" t="s">
        <v>1142</v>
      </c>
      <c r="Q751" s="12"/>
      <c r="R751" s="12"/>
      <c r="T751" s="12"/>
      <c r="U751" s="12"/>
      <c r="V751" s="12"/>
      <c r="W751" s="12"/>
    </row>
    <row r="752" spans="2:23">
      <c r="B752" s="12" t="s">
        <v>1055</v>
      </c>
      <c r="C752" s="12" t="s">
        <v>228</v>
      </c>
      <c r="D752" s="12" t="s">
        <v>228</v>
      </c>
      <c r="E752" s="12" t="s">
        <v>268</v>
      </c>
      <c r="F752" s="12"/>
      <c r="G752" s="5"/>
      <c r="H752" s="12">
        <f t="shared" si="67"/>
        <v>459.20000000000005</v>
      </c>
      <c r="I752" s="12" t="s">
        <v>1139</v>
      </c>
      <c r="J752" s="12" t="s">
        <v>1148</v>
      </c>
      <c r="K752" s="12">
        <f t="shared" si="68"/>
        <v>155.79999999999998</v>
      </c>
      <c r="L752" s="12">
        <f t="shared" si="69"/>
        <v>349.3125</v>
      </c>
      <c r="M752" s="12">
        <v>1148</v>
      </c>
      <c r="N752" s="12">
        <v>164</v>
      </c>
      <c r="O752" s="12">
        <v>139.72499999999999</v>
      </c>
      <c r="P752" s="12" t="s">
        <v>1142</v>
      </c>
      <c r="Q752" s="12"/>
      <c r="R752" s="12"/>
      <c r="T752" s="12"/>
      <c r="U752" s="12"/>
      <c r="V752" s="12"/>
      <c r="W752" s="12"/>
    </row>
    <row r="753" spans="2:23">
      <c r="B753" s="12" t="s">
        <v>1056</v>
      </c>
      <c r="C753" s="12" t="s">
        <v>228</v>
      </c>
      <c r="D753" s="12" t="s">
        <v>228</v>
      </c>
      <c r="E753" s="12" t="s">
        <v>268</v>
      </c>
      <c r="F753" s="12"/>
      <c r="G753" s="5"/>
      <c r="H753" s="12">
        <f t="shared" si="67"/>
        <v>470.40000000000003</v>
      </c>
      <c r="I753" s="12" t="s">
        <v>1139</v>
      </c>
      <c r="J753" s="12" t="s">
        <v>1148</v>
      </c>
      <c r="K753" s="12">
        <f t="shared" si="68"/>
        <v>159.6</v>
      </c>
      <c r="L753" s="12">
        <f t="shared" si="69"/>
        <v>364.49999999999994</v>
      </c>
      <c r="M753" s="12">
        <v>1176</v>
      </c>
      <c r="N753" s="12">
        <v>168</v>
      </c>
      <c r="O753" s="12">
        <v>145.79999999999998</v>
      </c>
      <c r="P753" s="12" t="s">
        <v>1142</v>
      </c>
      <c r="Q753" s="12"/>
      <c r="R753" s="12"/>
      <c r="T753" s="12"/>
      <c r="U753" s="12"/>
      <c r="V753" s="12"/>
      <c r="W753" s="12"/>
    </row>
    <row r="754" spans="2:23">
      <c r="B754" s="12" t="s">
        <v>1057</v>
      </c>
      <c r="C754" s="12" t="s">
        <v>228</v>
      </c>
      <c r="D754" s="12" t="s">
        <v>228</v>
      </c>
      <c r="E754" s="12" t="s">
        <v>268</v>
      </c>
      <c r="F754" s="12"/>
      <c r="G754" s="5"/>
      <c r="H754" s="12">
        <f t="shared" si="67"/>
        <v>481.6</v>
      </c>
      <c r="I754" s="12" t="s">
        <v>1139</v>
      </c>
      <c r="J754" s="12" t="s">
        <v>1148</v>
      </c>
      <c r="K754" s="12">
        <f t="shared" si="68"/>
        <v>163.4</v>
      </c>
      <c r="L754" s="12">
        <f t="shared" si="69"/>
        <v>379.6875</v>
      </c>
      <c r="M754" s="12">
        <v>1204</v>
      </c>
      <c r="N754" s="12">
        <v>172</v>
      </c>
      <c r="O754" s="12">
        <v>151.875</v>
      </c>
      <c r="P754" s="12" t="s">
        <v>1142</v>
      </c>
      <c r="Q754" s="12"/>
      <c r="R754" s="12"/>
      <c r="T754" s="12"/>
      <c r="U754" s="12"/>
      <c r="V754" s="12"/>
      <c r="W754" s="12"/>
    </row>
    <row r="755" spans="2:23">
      <c r="B755" s="12" t="s">
        <v>1058</v>
      </c>
      <c r="C755" s="12" t="s">
        <v>228</v>
      </c>
      <c r="D755" s="12" t="s">
        <v>228</v>
      </c>
      <c r="E755" s="12" t="s">
        <v>268</v>
      </c>
      <c r="F755" s="12"/>
      <c r="G755" s="5"/>
      <c r="H755" s="12">
        <f t="shared" si="67"/>
        <v>492.8</v>
      </c>
      <c r="I755" s="12" t="s">
        <v>1139</v>
      </c>
      <c r="J755" s="12" t="s">
        <v>1148</v>
      </c>
      <c r="K755" s="12">
        <f t="shared" si="68"/>
        <v>167.2</v>
      </c>
      <c r="L755" s="12">
        <f t="shared" si="69"/>
        <v>394.875</v>
      </c>
      <c r="M755" s="12">
        <v>1232</v>
      </c>
      <c r="N755" s="12">
        <v>176</v>
      </c>
      <c r="O755" s="12">
        <v>157.94999999999999</v>
      </c>
      <c r="P755" s="12" t="s">
        <v>1142</v>
      </c>
      <c r="Q755" s="12"/>
      <c r="R755" s="12"/>
      <c r="T755" s="12"/>
      <c r="U755" s="12"/>
      <c r="V755" s="12"/>
      <c r="W755" s="12"/>
    </row>
    <row r="756" spans="2:23">
      <c r="B756" s="12" t="s">
        <v>1059</v>
      </c>
      <c r="C756" s="12" t="s">
        <v>228</v>
      </c>
      <c r="D756" s="12" t="s">
        <v>228</v>
      </c>
      <c r="E756" s="12" t="s">
        <v>268</v>
      </c>
      <c r="F756" s="12"/>
      <c r="G756" s="5"/>
      <c r="H756" s="12">
        <f t="shared" si="67"/>
        <v>504</v>
      </c>
      <c r="I756" s="12" t="s">
        <v>1139</v>
      </c>
      <c r="J756" s="12" t="s">
        <v>1148</v>
      </c>
      <c r="K756" s="12">
        <f t="shared" si="68"/>
        <v>171</v>
      </c>
      <c r="L756" s="12">
        <f t="shared" si="69"/>
        <v>410.0625</v>
      </c>
      <c r="M756" s="12">
        <v>1260</v>
      </c>
      <c r="N756" s="12">
        <v>180</v>
      </c>
      <c r="O756" s="12">
        <v>164.02500000000001</v>
      </c>
      <c r="P756" s="12" t="s">
        <v>1142</v>
      </c>
      <c r="Q756" s="12"/>
      <c r="R756" s="12"/>
      <c r="T756" s="12"/>
      <c r="U756" s="12"/>
      <c r="V756" s="12"/>
      <c r="W756" s="12"/>
    </row>
    <row r="757" spans="2:23">
      <c r="B757" s="12" t="s">
        <v>1060</v>
      </c>
      <c r="C757" s="12" t="s">
        <v>228</v>
      </c>
      <c r="D757" s="12" t="s">
        <v>228</v>
      </c>
      <c r="E757" s="12" t="s">
        <v>268</v>
      </c>
      <c r="F757" s="12"/>
      <c r="G757" s="5"/>
      <c r="H757" s="12">
        <f t="shared" si="67"/>
        <v>515.20000000000005</v>
      </c>
      <c r="I757" s="12" t="s">
        <v>1139</v>
      </c>
      <c r="J757" s="12" t="s">
        <v>1148</v>
      </c>
      <c r="K757" s="12">
        <f t="shared" si="68"/>
        <v>174.79999999999998</v>
      </c>
      <c r="L757" s="12">
        <f t="shared" si="69"/>
        <v>425.25</v>
      </c>
      <c r="M757" s="12">
        <v>1288</v>
      </c>
      <c r="N757" s="12">
        <v>184</v>
      </c>
      <c r="O757" s="12">
        <v>170.1</v>
      </c>
      <c r="P757" s="12" t="s">
        <v>1142</v>
      </c>
      <c r="Q757" s="12"/>
      <c r="R757" s="12"/>
      <c r="T757" s="12"/>
      <c r="U757" s="12"/>
      <c r="V757" s="12"/>
      <c r="W757" s="12"/>
    </row>
    <row r="758" spans="2:23">
      <c r="B758" s="12" t="s">
        <v>1061</v>
      </c>
      <c r="C758" s="12" t="s">
        <v>228</v>
      </c>
      <c r="D758" s="12" t="s">
        <v>228</v>
      </c>
      <c r="E758" s="12" t="s">
        <v>268</v>
      </c>
      <c r="F758" s="12"/>
      <c r="G758" s="5"/>
      <c r="H758" s="12">
        <f t="shared" si="67"/>
        <v>526.4</v>
      </c>
      <c r="I758" s="12" t="s">
        <v>1139</v>
      </c>
      <c r="J758" s="12" t="s">
        <v>1148</v>
      </c>
      <c r="K758" s="12">
        <f t="shared" si="68"/>
        <v>178.6</v>
      </c>
      <c r="L758" s="12">
        <f t="shared" si="69"/>
        <v>440.43749999999994</v>
      </c>
      <c r="M758" s="12">
        <v>1316</v>
      </c>
      <c r="N758" s="12">
        <v>188</v>
      </c>
      <c r="O758" s="12">
        <v>176.17499999999998</v>
      </c>
      <c r="P758" s="12" t="s">
        <v>1142</v>
      </c>
      <c r="Q758" s="12"/>
      <c r="R758" s="12"/>
      <c r="T758" s="12"/>
      <c r="U758" s="12"/>
      <c r="V758" s="12"/>
      <c r="W758" s="12"/>
    </row>
    <row r="759" spans="2:23">
      <c r="B759" s="12" t="s">
        <v>1062</v>
      </c>
      <c r="C759" s="12" t="s">
        <v>228</v>
      </c>
      <c r="D759" s="12" t="s">
        <v>228</v>
      </c>
      <c r="E759" s="12" t="s">
        <v>268</v>
      </c>
      <c r="F759" s="12"/>
      <c r="G759" s="5"/>
      <c r="H759" s="12">
        <f t="shared" si="67"/>
        <v>537.6</v>
      </c>
      <c r="I759" s="12" t="s">
        <v>1139</v>
      </c>
      <c r="J759" s="12" t="s">
        <v>1148</v>
      </c>
      <c r="K759" s="12">
        <f t="shared" si="68"/>
        <v>182.39999999999998</v>
      </c>
      <c r="L759" s="12">
        <f t="shared" si="69"/>
        <v>455.625</v>
      </c>
      <c r="M759" s="12">
        <v>1344</v>
      </c>
      <c r="N759" s="12">
        <v>192</v>
      </c>
      <c r="O759" s="12">
        <v>182.25</v>
      </c>
      <c r="P759" s="12" t="s">
        <v>1142</v>
      </c>
      <c r="Q759" s="12"/>
      <c r="R759" s="12"/>
      <c r="T759" s="12"/>
      <c r="U759" s="12"/>
      <c r="V759" s="12"/>
      <c r="W759" s="12"/>
    </row>
    <row r="760" spans="2:23">
      <c r="B760" s="12" t="s">
        <v>1063</v>
      </c>
      <c r="C760" s="12" t="s">
        <v>228</v>
      </c>
      <c r="D760" s="12" t="s">
        <v>228</v>
      </c>
      <c r="E760" s="12" t="s">
        <v>268</v>
      </c>
      <c r="F760" s="12"/>
      <c r="G760" s="5"/>
      <c r="H760" s="12">
        <f t="shared" si="67"/>
        <v>548.80000000000007</v>
      </c>
      <c r="I760" s="12" t="s">
        <v>1139</v>
      </c>
      <c r="J760" s="12" t="s">
        <v>1148</v>
      </c>
      <c r="K760" s="12">
        <f t="shared" si="68"/>
        <v>186.2</v>
      </c>
      <c r="L760" s="12">
        <f t="shared" si="69"/>
        <v>470.8125</v>
      </c>
      <c r="M760" s="12">
        <v>1372</v>
      </c>
      <c r="N760" s="12">
        <v>196</v>
      </c>
      <c r="O760" s="12">
        <v>188.32499999999999</v>
      </c>
      <c r="P760" s="12" t="s">
        <v>1142</v>
      </c>
      <c r="Q760" s="12"/>
      <c r="R760" s="12"/>
      <c r="T760" s="12"/>
      <c r="U760" s="12"/>
      <c r="V760" s="12"/>
      <c r="W760" s="12"/>
    </row>
    <row r="761" spans="2:23">
      <c r="B761" s="12" t="s">
        <v>1064</v>
      </c>
      <c r="C761" s="12" t="s">
        <v>228</v>
      </c>
      <c r="D761" s="12" t="s">
        <v>228</v>
      </c>
      <c r="E761" s="12" t="s">
        <v>268</v>
      </c>
      <c r="F761" s="12"/>
      <c r="G761" s="5"/>
      <c r="H761" s="12">
        <f t="shared" si="67"/>
        <v>560</v>
      </c>
      <c r="I761" s="12" t="s">
        <v>1139</v>
      </c>
      <c r="J761" s="12" t="s">
        <v>1148</v>
      </c>
      <c r="K761" s="12">
        <f t="shared" si="68"/>
        <v>190</v>
      </c>
      <c r="L761" s="12">
        <f t="shared" si="69"/>
        <v>485.99999999999994</v>
      </c>
      <c r="M761" s="12">
        <v>1400</v>
      </c>
      <c r="N761" s="12">
        <v>200</v>
      </c>
      <c r="O761" s="12">
        <v>194.39999999999998</v>
      </c>
      <c r="P761" s="12" t="s">
        <v>1142</v>
      </c>
      <c r="Q761" s="12"/>
      <c r="R761" s="12"/>
      <c r="T761" s="12"/>
      <c r="U761" s="12"/>
      <c r="V761" s="12"/>
      <c r="W761" s="12"/>
    </row>
    <row r="762" spans="2:23">
      <c r="B762" s="12" t="s">
        <v>1065</v>
      </c>
      <c r="C762" s="12" t="s">
        <v>228</v>
      </c>
      <c r="D762" s="12" t="s">
        <v>228</v>
      </c>
      <c r="E762" s="12" t="s">
        <v>268</v>
      </c>
      <c r="F762" s="12"/>
      <c r="G762" s="5"/>
      <c r="H762" s="12">
        <f t="shared" si="67"/>
        <v>571.20000000000005</v>
      </c>
      <c r="I762" s="12" t="s">
        <v>1139</v>
      </c>
      <c r="J762" s="12" t="s">
        <v>1148</v>
      </c>
      <c r="K762" s="12">
        <f t="shared" si="68"/>
        <v>193.79999999999998</v>
      </c>
      <c r="L762" s="12">
        <f t="shared" si="69"/>
        <v>501.1875</v>
      </c>
      <c r="M762" s="12">
        <v>1428</v>
      </c>
      <c r="N762" s="12">
        <v>204</v>
      </c>
      <c r="O762" s="12">
        <v>200.47499999999999</v>
      </c>
      <c r="P762" s="12" t="s">
        <v>1142</v>
      </c>
      <c r="Q762" s="12"/>
      <c r="R762" s="12"/>
      <c r="T762" s="12"/>
      <c r="U762" s="12"/>
      <c r="V762" s="12"/>
      <c r="W762" s="12"/>
    </row>
    <row r="763" spans="2:23">
      <c r="B763" s="12" t="s">
        <v>1066</v>
      </c>
      <c r="C763" s="12" t="s">
        <v>228</v>
      </c>
      <c r="D763" s="12" t="s">
        <v>228</v>
      </c>
      <c r="E763" s="12" t="s">
        <v>268</v>
      </c>
      <c r="F763" s="12"/>
      <c r="G763" s="5"/>
      <c r="H763" s="12">
        <f t="shared" si="67"/>
        <v>582.4</v>
      </c>
      <c r="I763" s="12" t="s">
        <v>1139</v>
      </c>
      <c r="J763" s="12" t="s">
        <v>1148</v>
      </c>
      <c r="K763" s="12">
        <f t="shared" si="68"/>
        <v>197.6</v>
      </c>
      <c r="L763" s="12">
        <f t="shared" si="69"/>
        <v>516.375</v>
      </c>
      <c r="M763" s="12">
        <v>1456</v>
      </c>
      <c r="N763" s="12">
        <v>208</v>
      </c>
      <c r="O763" s="12">
        <v>206.54999999999998</v>
      </c>
      <c r="P763" s="12" t="s">
        <v>1142</v>
      </c>
      <c r="Q763" s="12"/>
      <c r="R763" s="12"/>
      <c r="T763" s="12"/>
      <c r="U763" s="12"/>
      <c r="V763" s="12"/>
      <c r="W763" s="12"/>
    </row>
    <row r="764" spans="2:23">
      <c r="B764" s="12" t="s">
        <v>1067</v>
      </c>
      <c r="C764" s="12" t="s">
        <v>228</v>
      </c>
      <c r="D764" s="12" t="s">
        <v>228</v>
      </c>
      <c r="E764" s="12" t="s">
        <v>268</v>
      </c>
      <c r="F764" s="12"/>
      <c r="G764" s="5"/>
      <c r="H764" s="12">
        <f t="shared" si="67"/>
        <v>880</v>
      </c>
      <c r="I764" s="12" t="s">
        <v>1139</v>
      </c>
      <c r="J764" s="12" t="s">
        <v>1148</v>
      </c>
      <c r="K764" s="12">
        <f t="shared" si="68"/>
        <v>313.5</v>
      </c>
      <c r="L764" s="12">
        <f t="shared" si="69"/>
        <v>683.4375</v>
      </c>
      <c r="M764" s="12">
        <v>2200</v>
      </c>
      <c r="N764" s="12">
        <v>330</v>
      </c>
      <c r="O764" s="12">
        <v>273.375</v>
      </c>
      <c r="P764" s="12" t="s">
        <v>1142</v>
      </c>
      <c r="Q764" s="12"/>
      <c r="R764" s="12"/>
      <c r="T764" s="12"/>
      <c r="U764" s="12"/>
      <c r="V764" s="12"/>
      <c r="W764" s="12"/>
    </row>
    <row r="765" spans="2:23">
      <c r="B765" s="12" t="s">
        <v>1068</v>
      </c>
      <c r="C765" s="12" t="s">
        <v>228</v>
      </c>
      <c r="D765" s="12" t="s">
        <v>228</v>
      </c>
      <c r="E765" s="12" t="s">
        <v>268</v>
      </c>
      <c r="F765" s="12"/>
      <c r="G765" s="5"/>
      <c r="H765" s="12">
        <f t="shared" si="67"/>
        <v>896</v>
      </c>
      <c r="I765" s="12" t="s">
        <v>1139</v>
      </c>
      <c r="J765" s="12" t="s">
        <v>1148</v>
      </c>
      <c r="K765" s="12">
        <f t="shared" si="68"/>
        <v>319.2</v>
      </c>
      <c r="L765" s="12">
        <f t="shared" si="69"/>
        <v>703.68749999999989</v>
      </c>
      <c r="M765" s="12">
        <v>2240</v>
      </c>
      <c r="N765" s="12">
        <v>336</v>
      </c>
      <c r="O765" s="12">
        <v>281.47499999999997</v>
      </c>
      <c r="P765" s="12" t="s">
        <v>1142</v>
      </c>
      <c r="Q765" s="12"/>
      <c r="R765" s="12"/>
      <c r="T765" s="12"/>
      <c r="U765" s="12"/>
      <c r="V765" s="12"/>
      <c r="W765" s="12"/>
    </row>
    <row r="766" spans="2:23">
      <c r="B766" s="12" t="s">
        <v>1069</v>
      </c>
      <c r="C766" s="12" t="s">
        <v>228</v>
      </c>
      <c r="D766" s="12" t="s">
        <v>228</v>
      </c>
      <c r="E766" s="12" t="s">
        <v>268</v>
      </c>
      <c r="F766" s="12"/>
      <c r="G766" s="5"/>
      <c r="H766" s="12">
        <f t="shared" si="67"/>
        <v>912</v>
      </c>
      <c r="I766" s="12" t="s">
        <v>1139</v>
      </c>
      <c r="J766" s="12" t="s">
        <v>1148</v>
      </c>
      <c r="K766" s="12">
        <f t="shared" si="68"/>
        <v>324.89999999999998</v>
      </c>
      <c r="L766" s="12">
        <f t="shared" si="69"/>
        <v>723.9375</v>
      </c>
      <c r="M766" s="12">
        <v>2280</v>
      </c>
      <c r="N766" s="12">
        <v>342</v>
      </c>
      <c r="O766" s="12">
        <v>289.57499999999999</v>
      </c>
      <c r="P766" s="12" t="s">
        <v>1142</v>
      </c>
      <c r="Q766" s="12"/>
      <c r="R766" s="12"/>
      <c r="T766" s="12"/>
      <c r="U766" s="12"/>
      <c r="V766" s="12"/>
      <c r="W766" s="12"/>
    </row>
    <row r="767" spans="2:23">
      <c r="B767" s="12" t="s">
        <v>1070</v>
      </c>
      <c r="C767" s="12" t="s">
        <v>228</v>
      </c>
      <c r="D767" s="12" t="s">
        <v>228</v>
      </c>
      <c r="E767" s="12" t="s">
        <v>268</v>
      </c>
      <c r="F767" s="12"/>
      <c r="G767" s="5"/>
      <c r="H767" s="12">
        <f t="shared" si="67"/>
        <v>928</v>
      </c>
      <c r="I767" s="12" t="s">
        <v>1139</v>
      </c>
      <c r="J767" s="12" t="s">
        <v>1148</v>
      </c>
      <c r="K767" s="12">
        <f t="shared" si="68"/>
        <v>330.59999999999997</v>
      </c>
      <c r="L767" s="12">
        <f t="shared" si="69"/>
        <v>744.1875</v>
      </c>
      <c r="M767" s="12">
        <v>2320</v>
      </c>
      <c r="N767" s="12">
        <v>348</v>
      </c>
      <c r="O767" s="12">
        <v>297.67500000000001</v>
      </c>
      <c r="P767" s="12" t="s">
        <v>1142</v>
      </c>
      <c r="Q767" s="12"/>
      <c r="R767" s="12"/>
      <c r="T767" s="12"/>
      <c r="U767" s="12"/>
      <c r="V767" s="12"/>
      <c r="W767" s="12"/>
    </row>
    <row r="768" spans="2:23">
      <c r="B768" s="12" t="s">
        <v>1071</v>
      </c>
      <c r="C768" s="12" t="s">
        <v>228</v>
      </c>
      <c r="D768" s="12" t="s">
        <v>228</v>
      </c>
      <c r="E768" s="12" t="s">
        <v>268</v>
      </c>
      <c r="F768" s="12"/>
      <c r="G768" s="5"/>
      <c r="H768" s="12">
        <f t="shared" si="67"/>
        <v>944</v>
      </c>
      <c r="I768" s="12" t="s">
        <v>1139</v>
      </c>
      <c r="J768" s="12" t="s">
        <v>1148</v>
      </c>
      <c r="K768" s="12">
        <f t="shared" si="68"/>
        <v>336.3</v>
      </c>
      <c r="L768" s="12">
        <f t="shared" si="69"/>
        <v>764.4375</v>
      </c>
      <c r="M768" s="12">
        <v>2360</v>
      </c>
      <c r="N768" s="12">
        <v>354</v>
      </c>
      <c r="O768" s="12">
        <v>305.77499999999998</v>
      </c>
      <c r="P768" s="12" t="s">
        <v>1142</v>
      </c>
      <c r="Q768" s="12"/>
      <c r="R768" s="12"/>
      <c r="T768" s="12"/>
      <c r="U768" s="12"/>
      <c r="V768" s="12"/>
      <c r="W768" s="12"/>
    </row>
    <row r="769" spans="2:24">
      <c r="B769" s="12" t="s">
        <v>1072</v>
      </c>
      <c r="C769" s="12" t="s">
        <v>228</v>
      </c>
      <c r="D769" s="12" t="s">
        <v>228</v>
      </c>
      <c r="E769" s="12" t="s">
        <v>268</v>
      </c>
      <c r="F769" s="12"/>
      <c r="G769" s="5"/>
      <c r="H769" s="12">
        <f t="shared" si="67"/>
        <v>960</v>
      </c>
      <c r="I769" s="12" t="s">
        <v>1139</v>
      </c>
      <c r="J769" s="12" t="s">
        <v>1148</v>
      </c>
      <c r="K769" s="12">
        <f t="shared" si="68"/>
        <v>342</v>
      </c>
      <c r="L769" s="12">
        <f t="shared" si="69"/>
        <v>784.6875</v>
      </c>
      <c r="M769" s="12">
        <v>2400</v>
      </c>
      <c r="N769" s="12">
        <v>360</v>
      </c>
      <c r="O769" s="12">
        <v>313.875</v>
      </c>
      <c r="P769" s="12" t="s">
        <v>1142</v>
      </c>
      <c r="Q769" s="12"/>
      <c r="R769" s="12"/>
      <c r="T769" s="12"/>
      <c r="U769" s="12"/>
      <c r="V769" s="12"/>
      <c r="W769" s="12"/>
    </row>
    <row r="770" spans="2:24">
      <c r="B770" s="12" t="s">
        <v>1073</v>
      </c>
      <c r="C770" s="12" t="s">
        <v>228</v>
      </c>
      <c r="D770" s="12" t="s">
        <v>228</v>
      </c>
      <c r="E770" s="12" t="s">
        <v>268</v>
      </c>
      <c r="F770" s="12"/>
      <c r="G770" s="5"/>
      <c r="H770" s="12">
        <f t="shared" si="67"/>
        <v>976</v>
      </c>
      <c r="I770" s="12" t="s">
        <v>1139</v>
      </c>
      <c r="J770" s="12" t="s">
        <v>1148</v>
      </c>
      <c r="K770" s="12">
        <f t="shared" si="68"/>
        <v>347.7</v>
      </c>
      <c r="L770" s="12">
        <f t="shared" si="69"/>
        <v>804.93749999999989</v>
      </c>
      <c r="M770" s="12">
        <v>2440</v>
      </c>
      <c r="N770" s="12">
        <v>366</v>
      </c>
      <c r="O770" s="12">
        <v>321.97499999999997</v>
      </c>
      <c r="P770" s="12" t="s">
        <v>1142</v>
      </c>
      <c r="Q770" s="12"/>
      <c r="R770" s="12"/>
      <c r="T770" s="12"/>
      <c r="U770" s="12"/>
      <c r="V770" s="12"/>
      <c r="W770" s="12"/>
    </row>
    <row r="771" spans="2:24">
      <c r="B771" s="12" t="s">
        <v>1074</v>
      </c>
      <c r="C771" s="12" t="s">
        <v>228</v>
      </c>
      <c r="D771" s="12" t="s">
        <v>228</v>
      </c>
      <c r="E771" s="12" t="s">
        <v>268</v>
      </c>
      <c r="F771" s="12"/>
      <c r="G771" s="5"/>
      <c r="H771" s="12">
        <f t="shared" si="67"/>
        <v>992</v>
      </c>
      <c r="I771" s="12" t="s">
        <v>1139</v>
      </c>
      <c r="J771" s="12" t="s">
        <v>1148</v>
      </c>
      <c r="K771" s="12">
        <f t="shared" si="68"/>
        <v>353.4</v>
      </c>
      <c r="L771" s="12">
        <f t="shared" si="69"/>
        <v>825.1875</v>
      </c>
      <c r="M771" s="12">
        <v>2480</v>
      </c>
      <c r="N771" s="12">
        <v>372</v>
      </c>
      <c r="O771" s="12">
        <v>330.07499999999999</v>
      </c>
      <c r="P771" s="12" t="s">
        <v>1142</v>
      </c>
      <c r="Q771" s="12"/>
      <c r="R771" s="12"/>
      <c r="T771" s="12"/>
      <c r="U771" s="12"/>
      <c r="V771" s="12"/>
      <c r="W771" s="12"/>
    </row>
    <row r="772" spans="2:24">
      <c r="B772" s="12" t="s">
        <v>1075</v>
      </c>
      <c r="C772" s="12" t="s">
        <v>228</v>
      </c>
      <c r="D772" s="12" t="s">
        <v>228</v>
      </c>
      <c r="E772" s="12" t="s">
        <v>268</v>
      </c>
      <c r="F772" s="12"/>
      <c r="G772" s="5"/>
      <c r="H772" s="12">
        <f t="shared" si="67"/>
        <v>1008</v>
      </c>
      <c r="I772" s="12" t="s">
        <v>1139</v>
      </c>
      <c r="J772" s="12" t="s">
        <v>1148</v>
      </c>
      <c r="K772" s="12">
        <f t="shared" si="68"/>
        <v>359.09999999999997</v>
      </c>
      <c r="L772" s="12">
        <f t="shared" si="69"/>
        <v>845.4375</v>
      </c>
      <c r="M772" s="12">
        <v>2520</v>
      </c>
      <c r="N772" s="12">
        <v>378</v>
      </c>
      <c r="O772" s="12">
        <v>338.17500000000001</v>
      </c>
      <c r="P772" s="12" t="s">
        <v>1142</v>
      </c>
      <c r="Q772" s="12"/>
      <c r="R772" s="12"/>
      <c r="T772" s="12"/>
      <c r="U772" s="12"/>
      <c r="V772" s="12"/>
      <c r="W772" s="12"/>
    </row>
    <row r="773" spans="2:24">
      <c r="B773" s="12" t="s">
        <v>1076</v>
      </c>
      <c r="C773" s="12" t="s">
        <v>228</v>
      </c>
      <c r="D773" s="12" t="s">
        <v>228</v>
      </c>
      <c r="E773" s="12" t="s">
        <v>268</v>
      </c>
      <c r="F773" s="12"/>
      <c r="G773" s="5"/>
      <c r="H773" s="12">
        <f t="shared" si="67"/>
        <v>1024</v>
      </c>
      <c r="I773" s="12" t="s">
        <v>1139</v>
      </c>
      <c r="J773" s="12" t="s">
        <v>1148</v>
      </c>
      <c r="K773" s="12">
        <f t="shared" si="68"/>
        <v>364.79999999999995</v>
      </c>
      <c r="L773" s="12">
        <f t="shared" si="69"/>
        <v>865.6875</v>
      </c>
      <c r="M773" s="12">
        <v>2560</v>
      </c>
      <c r="N773" s="12">
        <v>384</v>
      </c>
      <c r="O773" s="12">
        <v>346.27499999999998</v>
      </c>
      <c r="P773" s="12" t="s">
        <v>1142</v>
      </c>
      <c r="Q773" s="12"/>
      <c r="R773" s="12"/>
      <c r="T773" s="12"/>
      <c r="U773" s="12"/>
      <c r="V773" s="12"/>
      <c r="W773" s="12"/>
    </row>
    <row r="774" spans="2:24">
      <c r="B774" s="12" t="s">
        <v>1077</v>
      </c>
      <c r="C774" s="12" t="s">
        <v>228</v>
      </c>
      <c r="D774" s="12" t="s">
        <v>228</v>
      </c>
      <c r="E774" s="12" t="s">
        <v>268</v>
      </c>
      <c r="F774" s="12"/>
      <c r="G774" s="5"/>
      <c r="H774" s="12">
        <f t="shared" si="67"/>
        <v>1040</v>
      </c>
      <c r="I774" s="12" t="s">
        <v>1139</v>
      </c>
      <c r="J774" s="12" t="s">
        <v>1148</v>
      </c>
      <c r="K774" s="12">
        <f t="shared" si="68"/>
        <v>370.5</v>
      </c>
      <c r="L774" s="12">
        <f t="shared" si="69"/>
        <v>885.9375</v>
      </c>
      <c r="M774" s="12">
        <v>2600</v>
      </c>
      <c r="N774" s="12">
        <v>390</v>
      </c>
      <c r="O774" s="12">
        <v>354.375</v>
      </c>
      <c r="P774" s="12" t="s">
        <v>1142</v>
      </c>
      <c r="Q774" s="12"/>
      <c r="R774" s="12"/>
      <c r="T774" s="12"/>
      <c r="U774" s="12"/>
      <c r="V774" s="12"/>
      <c r="W774" s="12"/>
    </row>
    <row r="775" spans="2:24">
      <c r="B775" s="12" t="s">
        <v>1078</v>
      </c>
      <c r="C775" s="12" t="s">
        <v>228</v>
      </c>
      <c r="D775" s="12" t="s">
        <v>228</v>
      </c>
      <c r="E775" s="12" t="s">
        <v>268</v>
      </c>
      <c r="F775" s="12"/>
      <c r="G775" s="5"/>
      <c r="H775" s="12">
        <f t="shared" si="67"/>
        <v>1056</v>
      </c>
      <c r="I775" s="12" t="s">
        <v>1139</v>
      </c>
      <c r="J775" s="12" t="s">
        <v>1148</v>
      </c>
      <c r="K775" s="12">
        <f t="shared" si="68"/>
        <v>376.2</v>
      </c>
      <c r="L775" s="12">
        <f t="shared" si="69"/>
        <v>906.18749999999989</v>
      </c>
      <c r="M775" s="12">
        <v>2640</v>
      </c>
      <c r="N775" s="12">
        <v>396</v>
      </c>
      <c r="O775" s="12">
        <v>362.47499999999997</v>
      </c>
      <c r="P775" s="12" t="s">
        <v>1142</v>
      </c>
      <c r="Q775" s="12"/>
      <c r="R775" s="12"/>
      <c r="T775" s="12"/>
      <c r="U775" s="12"/>
      <c r="V775" s="12"/>
      <c r="W775" s="12"/>
    </row>
    <row r="776" spans="2:24">
      <c r="B776" s="12" t="s">
        <v>1079</v>
      </c>
      <c r="C776" s="12" t="s">
        <v>228</v>
      </c>
      <c r="D776" s="12" t="s">
        <v>228</v>
      </c>
      <c r="E776" s="12" t="s">
        <v>268</v>
      </c>
      <c r="F776" s="12"/>
      <c r="G776" s="5"/>
      <c r="H776" s="12">
        <f t="shared" si="67"/>
        <v>1072</v>
      </c>
      <c r="I776" s="12" t="s">
        <v>1139</v>
      </c>
      <c r="J776" s="12" t="s">
        <v>1148</v>
      </c>
      <c r="K776" s="12">
        <f t="shared" si="68"/>
        <v>381.9</v>
      </c>
      <c r="L776" s="12">
        <f t="shared" si="69"/>
        <v>926.4375</v>
      </c>
      <c r="M776" s="12">
        <v>2680</v>
      </c>
      <c r="N776" s="12">
        <v>402</v>
      </c>
      <c r="O776" s="12">
        <v>370.57499999999999</v>
      </c>
      <c r="P776" s="12" t="s">
        <v>1142</v>
      </c>
      <c r="Q776" s="12"/>
      <c r="R776" s="12"/>
      <c r="T776" s="12"/>
      <c r="U776" s="12"/>
      <c r="V776" s="12"/>
      <c r="W776" s="12"/>
    </row>
    <row r="777" spans="2:24">
      <c r="B777" s="12" t="s">
        <v>1080</v>
      </c>
      <c r="C777" s="12" t="s">
        <v>228</v>
      </c>
      <c r="D777" s="12" t="s">
        <v>228</v>
      </c>
      <c r="E777" s="12" t="s">
        <v>268</v>
      </c>
      <c r="F777" s="12"/>
      <c r="G777" s="5"/>
      <c r="H777" s="12">
        <f t="shared" si="67"/>
        <v>1088</v>
      </c>
      <c r="I777" s="12" t="s">
        <v>1139</v>
      </c>
      <c r="J777" s="12" t="s">
        <v>1148</v>
      </c>
      <c r="K777" s="12">
        <f t="shared" si="68"/>
        <v>387.59999999999997</v>
      </c>
      <c r="L777" s="12">
        <f t="shared" si="69"/>
        <v>946.6875</v>
      </c>
      <c r="M777" s="12">
        <v>2720</v>
      </c>
      <c r="N777" s="12">
        <v>408</v>
      </c>
      <c r="O777" s="12">
        <v>378.67500000000001</v>
      </c>
      <c r="P777" s="12" t="s">
        <v>1142</v>
      </c>
      <c r="Q777" s="12"/>
      <c r="R777" s="12"/>
      <c r="T777" s="12"/>
      <c r="U777" s="12"/>
      <c r="V777" s="12"/>
      <c r="W777" s="12"/>
    </row>
    <row r="778" spans="2:24">
      <c r="B778" s="12" t="s">
        <v>1081</v>
      </c>
      <c r="C778" s="12" t="s">
        <v>228</v>
      </c>
      <c r="D778" s="12" t="s">
        <v>228</v>
      </c>
      <c r="E778" s="12" t="s">
        <v>268</v>
      </c>
      <c r="F778" s="12"/>
      <c r="G778" s="5"/>
      <c r="H778" s="12">
        <f t="shared" si="67"/>
        <v>1104</v>
      </c>
      <c r="I778" s="12" t="s">
        <v>1139</v>
      </c>
      <c r="J778" s="12" t="s">
        <v>1148</v>
      </c>
      <c r="K778" s="12">
        <f t="shared" si="68"/>
        <v>393.29999999999995</v>
      </c>
      <c r="L778" s="12">
        <f t="shared" si="69"/>
        <v>966.9375</v>
      </c>
      <c r="M778" s="12">
        <v>2760</v>
      </c>
      <c r="N778" s="12">
        <v>414</v>
      </c>
      <c r="O778" s="12">
        <v>386.77499999999998</v>
      </c>
      <c r="P778" s="12" t="s">
        <v>1142</v>
      </c>
      <c r="Q778" s="12"/>
      <c r="R778" s="12"/>
      <c r="T778" s="12"/>
      <c r="U778" s="12"/>
      <c r="V778" s="12"/>
      <c r="W778" s="12"/>
    </row>
    <row r="779" spans="2:24">
      <c r="B779" s="12" t="s">
        <v>1082</v>
      </c>
      <c r="C779" s="12" t="s">
        <v>228</v>
      </c>
      <c r="D779" s="12" t="s">
        <v>228</v>
      </c>
      <c r="E779" s="12" t="s">
        <v>268</v>
      </c>
      <c r="F779" s="12"/>
      <c r="G779" s="5"/>
      <c r="H779" s="12">
        <f t="shared" si="67"/>
        <v>1555.2</v>
      </c>
      <c r="I779" s="12" t="s">
        <v>1139</v>
      </c>
      <c r="J779" s="12" t="s">
        <v>1148</v>
      </c>
      <c r="K779" s="12">
        <f t="shared" si="68"/>
        <v>547.19999999999993</v>
      </c>
      <c r="L779" s="12">
        <f t="shared" si="69"/>
        <v>1800</v>
      </c>
      <c r="M779" s="12">
        <v>3888</v>
      </c>
      <c r="N779" s="12">
        <v>576</v>
      </c>
      <c r="O779" s="12">
        <v>720</v>
      </c>
      <c r="P779" s="12" t="s">
        <v>1142</v>
      </c>
      <c r="Q779" s="12"/>
      <c r="R779" s="12"/>
      <c r="T779" s="12"/>
      <c r="U779" s="12"/>
      <c r="V779" s="12"/>
      <c r="W779" s="12"/>
    </row>
    <row r="780" spans="2:24">
      <c r="B780" s="12" t="s">
        <v>1083</v>
      </c>
      <c r="C780" s="12" t="s">
        <v>228</v>
      </c>
      <c r="D780" s="12" t="s">
        <v>228</v>
      </c>
      <c r="E780" s="12" t="s">
        <v>268</v>
      </c>
      <c r="F780" s="12"/>
      <c r="G780" s="5"/>
      <c r="H780" s="12">
        <f t="shared" si="67"/>
        <v>0</v>
      </c>
      <c r="I780" s="12" t="s">
        <v>1139</v>
      </c>
      <c r="J780" s="12" t="s">
        <v>1148</v>
      </c>
      <c r="K780" s="12">
        <f t="shared" si="68"/>
        <v>0</v>
      </c>
      <c r="L780" s="12">
        <f t="shared" si="69"/>
        <v>0</v>
      </c>
      <c r="M780" s="12"/>
      <c r="N780" s="12"/>
      <c r="O780" s="12"/>
      <c r="P780" s="12" t="s">
        <v>1142</v>
      </c>
      <c r="Q780" s="12"/>
      <c r="R780" s="12"/>
      <c r="T780" s="12"/>
      <c r="U780" s="12"/>
      <c r="V780" s="12"/>
      <c r="W780" s="12"/>
    </row>
    <row r="781" spans="2:24">
      <c r="B781" s="12" t="s">
        <v>1084</v>
      </c>
      <c r="C781" s="12" t="s">
        <v>228</v>
      </c>
      <c r="D781" s="12" t="s">
        <v>228</v>
      </c>
      <c r="E781" s="12" t="s">
        <v>268</v>
      </c>
      <c r="F781" s="12"/>
      <c r="G781" s="5"/>
      <c r="H781" s="12">
        <f t="shared" si="67"/>
        <v>0</v>
      </c>
      <c r="I781" s="12" t="s">
        <v>1139</v>
      </c>
      <c r="J781" s="12" t="s">
        <v>1148</v>
      </c>
      <c r="K781" s="12">
        <f t="shared" si="68"/>
        <v>0</v>
      </c>
      <c r="L781" s="12">
        <f t="shared" si="69"/>
        <v>0</v>
      </c>
      <c r="M781" s="12"/>
      <c r="N781" s="12"/>
      <c r="O781" s="12"/>
      <c r="P781" s="12" t="s">
        <v>1142</v>
      </c>
      <c r="Q781" s="12"/>
      <c r="R781" s="12"/>
      <c r="T781" s="12"/>
      <c r="U781" s="12"/>
      <c r="V781" s="12"/>
      <c r="W781" s="12"/>
    </row>
    <row r="782" spans="2:24">
      <c r="B782" s="12" t="s">
        <v>1085</v>
      </c>
      <c r="C782" s="12" t="s">
        <v>228</v>
      </c>
      <c r="D782" s="12" t="s">
        <v>228</v>
      </c>
      <c r="E782" s="12" t="s">
        <v>268</v>
      </c>
      <c r="F782" s="12"/>
      <c r="G782" s="5"/>
      <c r="H782" s="12">
        <f t="shared" si="67"/>
        <v>0</v>
      </c>
      <c r="I782" s="12" t="s">
        <v>1139</v>
      </c>
      <c r="J782" s="12" t="s">
        <v>1148</v>
      </c>
      <c r="K782" s="12">
        <f t="shared" si="68"/>
        <v>0</v>
      </c>
      <c r="L782" s="12">
        <f t="shared" si="69"/>
        <v>0</v>
      </c>
      <c r="M782" s="12"/>
      <c r="N782" s="12"/>
      <c r="O782" s="12"/>
      <c r="P782" s="12" t="s">
        <v>1142</v>
      </c>
      <c r="Q782" s="12"/>
      <c r="R782" s="12"/>
      <c r="T782" s="12"/>
      <c r="U782" s="12"/>
      <c r="V782" s="12"/>
      <c r="W782" s="12"/>
    </row>
    <row r="783" spans="2:24">
      <c r="B783" s="12"/>
      <c r="C783" s="12"/>
      <c r="D783" s="12"/>
      <c r="E783" s="12"/>
      <c r="F783" s="12"/>
      <c r="G783" s="5"/>
      <c r="H783" s="12"/>
      <c r="I783" s="12" t="s">
        <v>1139</v>
      </c>
      <c r="J783" s="12"/>
      <c r="K783" s="12" t="str">
        <f t="shared" ref="K783" si="70">"防"&amp;I783</f>
        <v>防中</v>
      </c>
      <c r="L783" s="12" t="str">
        <f t="shared" ref="L783:L831" si="71">"攻"&amp;J783</f>
        <v>攻</v>
      </c>
      <c r="M783" s="12"/>
      <c r="N783" s="12"/>
      <c r="O783" s="12"/>
      <c r="P783" s="12"/>
      <c r="Q783" s="12"/>
      <c r="R783" s="12"/>
      <c r="S783" s="4"/>
      <c r="T783" s="12"/>
      <c r="U783" s="12"/>
      <c r="V783" s="12"/>
      <c r="W783" s="12"/>
    </row>
    <row r="784" spans="2:24" ht="40.5">
      <c r="B784" s="12" t="s">
        <v>1086</v>
      </c>
      <c r="C784" s="12" t="s">
        <v>228</v>
      </c>
      <c r="D784" s="12" t="s">
        <v>235</v>
      </c>
      <c r="E784" s="12" t="s">
        <v>269</v>
      </c>
      <c r="F784" s="12" t="s">
        <v>270</v>
      </c>
      <c r="G784" s="5" t="s">
        <v>1144</v>
      </c>
      <c r="H784" s="12">
        <f>M784*$X$10</f>
        <v>342</v>
      </c>
      <c r="I784" s="12"/>
      <c r="J784" s="12"/>
      <c r="K784" s="12">
        <f>N784*$X$10</f>
        <v>38</v>
      </c>
      <c r="L784" s="12" t="str">
        <f t="shared" si="71"/>
        <v>攻</v>
      </c>
      <c r="M784" s="12">
        <v>360</v>
      </c>
      <c r="N784" s="12">
        <v>40</v>
      </c>
      <c r="O784" s="12">
        <v>30</v>
      </c>
      <c r="P784" s="12" t="s">
        <v>1145</v>
      </c>
      <c r="Q784" s="12" t="s">
        <v>1146</v>
      </c>
      <c r="R784" s="12"/>
      <c r="S784" s="12"/>
      <c r="U784" s="12" t="s">
        <v>230</v>
      </c>
      <c r="V784" s="12" t="s">
        <v>230</v>
      </c>
      <c r="W784" s="12"/>
      <c r="X784" s="12"/>
    </row>
    <row r="785" spans="2:24" ht="40.5">
      <c r="B785" s="12" t="s">
        <v>1087</v>
      </c>
      <c r="C785" s="12" t="s">
        <v>228</v>
      </c>
      <c r="D785" s="12" t="s">
        <v>235</v>
      </c>
      <c r="E785" s="12" t="s">
        <v>269</v>
      </c>
      <c r="F785" s="12" t="s">
        <v>270</v>
      </c>
      <c r="G785" s="5" t="s">
        <v>1144</v>
      </c>
      <c r="H785" s="12">
        <f t="shared" ref="H785:H831" si="72">M785*$X$10</f>
        <v>393.29999999999995</v>
      </c>
      <c r="I785" s="12"/>
      <c r="J785" s="12"/>
      <c r="K785" s="12">
        <f t="shared" ref="K785:K831" si="73">N785*$X$10</f>
        <v>43.699999999999996</v>
      </c>
      <c r="L785" s="12" t="str">
        <f t="shared" si="71"/>
        <v>攻</v>
      </c>
      <c r="M785" s="12">
        <v>414</v>
      </c>
      <c r="N785" s="12">
        <v>46</v>
      </c>
      <c r="O785" s="12">
        <v>38</v>
      </c>
      <c r="P785" s="12" t="s">
        <v>1145</v>
      </c>
      <c r="Q785" s="12" t="s">
        <v>1146</v>
      </c>
      <c r="R785" s="12"/>
      <c r="S785" s="12"/>
      <c r="U785" s="12" t="s">
        <v>230</v>
      </c>
      <c r="V785" s="12" t="s">
        <v>230</v>
      </c>
      <c r="W785" s="12"/>
      <c r="X785" s="12"/>
    </row>
    <row r="786" spans="2:24" ht="40.5">
      <c r="B786" s="12" t="s">
        <v>1088</v>
      </c>
      <c r="C786" s="12" t="s">
        <v>228</v>
      </c>
      <c r="D786" s="12" t="s">
        <v>235</v>
      </c>
      <c r="E786" s="12" t="s">
        <v>269</v>
      </c>
      <c r="F786" s="12" t="s">
        <v>270</v>
      </c>
      <c r="G786" s="5" t="s">
        <v>1144</v>
      </c>
      <c r="H786" s="12">
        <f t="shared" si="72"/>
        <v>410.4</v>
      </c>
      <c r="I786" s="12"/>
      <c r="J786" s="12"/>
      <c r="K786" s="12">
        <f t="shared" si="73"/>
        <v>45.599999999999994</v>
      </c>
      <c r="L786" s="12" t="str">
        <f t="shared" si="71"/>
        <v>攻</v>
      </c>
      <c r="M786" s="12">
        <v>432</v>
      </c>
      <c r="N786" s="12">
        <v>48</v>
      </c>
      <c r="O786" s="12">
        <v>42</v>
      </c>
      <c r="P786" s="12" t="s">
        <v>1145</v>
      </c>
      <c r="Q786" s="12" t="s">
        <v>1146</v>
      </c>
      <c r="R786" s="12"/>
      <c r="S786" s="12"/>
      <c r="U786" s="12" t="s">
        <v>230</v>
      </c>
      <c r="V786" s="12" t="s">
        <v>230</v>
      </c>
      <c r="W786" s="12"/>
      <c r="X786" s="12"/>
    </row>
    <row r="787" spans="2:24" ht="40.5">
      <c r="B787" s="12" t="s">
        <v>1089</v>
      </c>
      <c r="C787" s="12" t="s">
        <v>228</v>
      </c>
      <c r="D787" s="12" t="s">
        <v>235</v>
      </c>
      <c r="E787" s="12" t="s">
        <v>269</v>
      </c>
      <c r="F787" s="12" t="s">
        <v>270</v>
      </c>
      <c r="G787" s="5" t="s">
        <v>1144</v>
      </c>
      <c r="H787" s="12">
        <f t="shared" si="72"/>
        <v>427.5</v>
      </c>
      <c r="I787" s="12"/>
      <c r="J787" s="12"/>
      <c r="K787" s="12">
        <f t="shared" si="73"/>
        <v>47.5</v>
      </c>
      <c r="L787" s="12" t="str">
        <f t="shared" si="71"/>
        <v>攻</v>
      </c>
      <c r="M787" s="12">
        <v>450</v>
      </c>
      <c r="N787" s="12">
        <v>50</v>
      </c>
      <c r="O787" s="12">
        <v>46</v>
      </c>
      <c r="P787" s="12" t="s">
        <v>1145</v>
      </c>
      <c r="Q787" s="12" t="s">
        <v>1146</v>
      </c>
      <c r="R787" s="12"/>
      <c r="S787" s="12"/>
      <c r="U787" s="12" t="s">
        <v>230</v>
      </c>
      <c r="V787" s="12" t="s">
        <v>230</v>
      </c>
      <c r="W787" s="12"/>
      <c r="X787" s="12"/>
    </row>
    <row r="788" spans="2:24" ht="40.5">
      <c r="B788" s="12" t="s">
        <v>1090</v>
      </c>
      <c r="C788" s="12" t="s">
        <v>228</v>
      </c>
      <c r="D788" s="12" t="s">
        <v>235</v>
      </c>
      <c r="E788" s="12" t="s">
        <v>269</v>
      </c>
      <c r="F788" s="12" t="s">
        <v>270</v>
      </c>
      <c r="G788" s="5" t="s">
        <v>1144</v>
      </c>
      <c r="H788" s="12">
        <f t="shared" si="72"/>
        <v>444.59999999999997</v>
      </c>
      <c r="I788" s="12"/>
      <c r="J788" s="12"/>
      <c r="K788" s="12">
        <f t="shared" si="73"/>
        <v>49.4</v>
      </c>
      <c r="L788" s="12" t="str">
        <f t="shared" si="71"/>
        <v>攻</v>
      </c>
      <c r="M788" s="12">
        <v>468</v>
      </c>
      <c r="N788" s="12">
        <v>52</v>
      </c>
      <c r="O788" s="12">
        <v>50</v>
      </c>
      <c r="P788" s="12" t="s">
        <v>1145</v>
      </c>
      <c r="Q788" s="12" t="s">
        <v>1146</v>
      </c>
      <c r="R788" s="12"/>
      <c r="S788" s="12"/>
      <c r="U788" s="12" t="s">
        <v>230</v>
      </c>
      <c r="V788" s="12" t="s">
        <v>230</v>
      </c>
      <c r="W788" s="12"/>
      <c r="X788" s="12"/>
    </row>
    <row r="789" spans="2:24" ht="40.5">
      <c r="B789" s="12" t="s">
        <v>1091</v>
      </c>
      <c r="C789" s="12" t="s">
        <v>228</v>
      </c>
      <c r="D789" s="12" t="s">
        <v>235</v>
      </c>
      <c r="E789" s="12" t="s">
        <v>269</v>
      </c>
      <c r="F789" s="12" t="s">
        <v>270</v>
      </c>
      <c r="G789" s="5" t="s">
        <v>1144</v>
      </c>
      <c r="H789" s="12">
        <f t="shared" si="72"/>
        <v>461.7</v>
      </c>
      <c r="I789" s="12"/>
      <c r="J789" s="12"/>
      <c r="K789" s="12">
        <f t="shared" si="73"/>
        <v>51.3</v>
      </c>
      <c r="L789" s="12" t="str">
        <f t="shared" si="71"/>
        <v>攻</v>
      </c>
      <c r="M789" s="12">
        <v>486</v>
      </c>
      <c r="N789" s="12">
        <v>54</v>
      </c>
      <c r="O789" s="12">
        <v>54</v>
      </c>
      <c r="P789" s="12" t="s">
        <v>1145</v>
      </c>
      <c r="Q789" s="12" t="s">
        <v>1146</v>
      </c>
      <c r="R789" s="12"/>
      <c r="S789" s="12"/>
      <c r="U789" s="12" t="s">
        <v>230</v>
      </c>
      <c r="V789" s="12" t="s">
        <v>230</v>
      </c>
      <c r="W789" s="12"/>
      <c r="X789" s="12"/>
    </row>
    <row r="790" spans="2:24" ht="40.5">
      <c r="B790" s="12" t="s">
        <v>1092</v>
      </c>
      <c r="C790" s="12" t="s">
        <v>228</v>
      </c>
      <c r="D790" s="12" t="s">
        <v>235</v>
      </c>
      <c r="E790" s="12" t="s">
        <v>269</v>
      </c>
      <c r="F790" s="12" t="s">
        <v>270</v>
      </c>
      <c r="G790" s="5" t="s">
        <v>1144</v>
      </c>
      <c r="H790" s="12">
        <f t="shared" si="72"/>
        <v>478.79999999999995</v>
      </c>
      <c r="I790" s="12"/>
      <c r="J790" s="12"/>
      <c r="K790" s="12">
        <f t="shared" si="73"/>
        <v>53.199999999999996</v>
      </c>
      <c r="L790" s="12" t="str">
        <f t="shared" si="71"/>
        <v>攻</v>
      </c>
      <c r="M790" s="12">
        <v>504</v>
      </c>
      <c r="N790" s="12">
        <v>56</v>
      </c>
      <c r="O790" s="12">
        <v>58</v>
      </c>
      <c r="P790" s="12" t="s">
        <v>1145</v>
      </c>
      <c r="Q790" s="12" t="s">
        <v>1146</v>
      </c>
      <c r="U790" s="12" t="s">
        <v>230</v>
      </c>
      <c r="V790" s="12" t="s">
        <v>230</v>
      </c>
      <c r="W790" s="12"/>
      <c r="X790" s="12"/>
    </row>
    <row r="791" spans="2:24" ht="40.5">
      <c r="B791" s="12" t="s">
        <v>1093</v>
      </c>
      <c r="C791" s="12" t="s">
        <v>228</v>
      </c>
      <c r="D791" s="12" t="s">
        <v>235</v>
      </c>
      <c r="E791" s="12" t="s">
        <v>269</v>
      </c>
      <c r="F791" s="12" t="s">
        <v>270</v>
      </c>
      <c r="G791" s="5" t="s">
        <v>1144</v>
      </c>
      <c r="H791" s="12">
        <f t="shared" si="72"/>
        <v>495.9</v>
      </c>
      <c r="I791" s="12"/>
      <c r="J791" s="12"/>
      <c r="K791" s="12">
        <f t="shared" si="73"/>
        <v>55.099999999999994</v>
      </c>
      <c r="L791" s="12" t="str">
        <f t="shared" si="71"/>
        <v>攻</v>
      </c>
      <c r="M791" s="12">
        <v>522</v>
      </c>
      <c r="N791" s="12">
        <v>58</v>
      </c>
      <c r="O791" s="12">
        <v>62</v>
      </c>
      <c r="P791" s="12" t="s">
        <v>1145</v>
      </c>
      <c r="Q791" s="12" t="s">
        <v>1146</v>
      </c>
      <c r="U791" s="12" t="s">
        <v>230</v>
      </c>
      <c r="V791" s="12" t="s">
        <v>230</v>
      </c>
      <c r="W791" s="12"/>
      <c r="X791" s="12"/>
    </row>
    <row r="792" spans="2:24" ht="40.5">
      <c r="B792" s="12" t="s">
        <v>1094</v>
      </c>
      <c r="C792" s="12" t="s">
        <v>228</v>
      </c>
      <c r="D792" s="12" t="s">
        <v>235</v>
      </c>
      <c r="E792" s="12" t="s">
        <v>269</v>
      </c>
      <c r="F792" s="12" t="s">
        <v>270</v>
      </c>
      <c r="G792" s="5" t="s">
        <v>1144</v>
      </c>
      <c r="H792" s="12">
        <f t="shared" si="72"/>
        <v>513</v>
      </c>
      <c r="I792" s="12"/>
      <c r="J792" s="12"/>
      <c r="K792" s="12">
        <f t="shared" si="73"/>
        <v>57</v>
      </c>
      <c r="L792" s="12" t="str">
        <f t="shared" si="71"/>
        <v>攻</v>
      </c>
      <c r="M792" s="12">
        <v>540</v>
      </c>
      <c r="N792" s="12">
        <v>60</v>
      </c>
      <c r="O792" s="12">
        <v>66</v>
      </c>
      <c r="P792" s="12" t="s">
        <v>1145</v>
      </c>
      <c r="Q792" s="12" t="s">
        <v>1146</v>
      </c>
      <c r="U792" s="12" t="s">
        <v>230</v>
      </c>
      <c r="V792" s="12" t="s">
        <v>230</v>
      </c>
      <c r="W792" s="12"/>
      <c r="X792" s="12"/>
    </row>
    <row r="793" spans="2:24" ht="40.5">
      <c r="B793" s="12" t="s">
        <v>1095</v>
      </c>
      <c r="C793" s="12" t="s">
        <v>228</v>
      </c>
      <c r="D793" s="12" t="s">
        <v>235</v>
      </c>
      <c r="E793" s="12" t="s">
        <v>269</v>
      </c>
      <c r="F793" s="12" t="s">
        <v>270</v>
      </c>
      <c r="G793" s="5" t="s">
        <v>1144</v>
      </c>
      <c r="H793" s="12">
        <f t="shared" si="72"/>
        <v>530.1</v>
      </c>
      <c r="I793" s="12"/>
      <c r="J793" s="12"/>
      <c r="K793" s="12">
        <f t="shared" si="73"/>
        <v>58.9</v>
      </c>
      <c r="L793" s="12" t="str">
        <f t="shared" si="71"/>
        <v>攻</v>
      </c>
      <c r="M793" s="12">
        <v>558</v>
      </c>
      <c r="N793" s="12">
        <v>62</v>
      </c>
      <c r="O793" s="12">
        <v>70</v>
      </c>
      <c r="P793" s="12" t="s">
        <v>1145</v>
      </c>
      <c r="Q793" s="12" t="s">
        <v>1146</v>
      </c>
      <c r="U793" s="12" t="s">
        <v>230</v>
      </c>
      <c r="V793" s="12" t="s">
        <v>230</v>
      </c>
      <c r="W793" s="12"/>
      <c r="X793" s="12"/>
    </row>
    <row r="794" spans="2:24" ht="40.5">
      <c r="B794" s="12" t="s">
        <v>1096</v>
      </c>
      <c r="C794" s="12" t="s">
        <v>228</v>
      </c>
      <c r="D794" s="12" t="s">
        <v>235</v>
      </c>
      <c r="E794" s="12" t="s">
        <v>269</v>
      </c>
      <c r="F794" s="12" t="s">
        <v>270</v>
      </c>
      <c r="G794" s="5" t="s">
        <v>1144</v>
      </c>
      <c r="H794" s="12">
        <f t="shared" si="72"/>
        <v>547.19999999999993</v>
      </c>
      <c r="I794" s="12"/>
      <c r="J794" s="12"/>
      <c r="K794" s="12">
        <f t="shared" si="73"/>
        <v>60.8</v>
      </c>
      <c r="L794" s="12" t="str">
        <f t="shared" si="71"/>
        <v>攻</v>
      </c>
      <c r="M794" s="12">
        <v>576</v>
      </c>
      <c r="N794" s="12">
        <v>64</v>
      </c>
      <c r="O794" s="12">
        <v>74</v>
      </c>
      <c r="P794" s="12" t="s">
        <v>1145</v>
      </c>
      <c r="Q794" s="12" t="s">
        <v>1146</v>
      </c>
      <c r="U794" s="12" t="s">
        <v>230</v>
      </c>
      <c r="V794" s="12" t="s">
        <v>230</v>
      </c>
      <c r="W794" s="12"/>
      <c r="X794" s="12"/>
    </row>
    <row r="795" spans="2:24" ht="40.5">
      <c r="B795" s="12" t="s">
        <v>1097</v>
      </c>
      <c r="C795" s="12" t="s">
        <v>228</v>
      </c>
      <c r="D795" s="12" t="s">
        <v>235</v>
      </c>
      <c r="E795" s="12" t="s">
        <v>269</v>
      </c>
      <c r="F795" s="12" t="s">
        <v>270</v>
      </c>
      <c r="G795" s="5" t="s">
        <v>1144</v>
      </c>
      <c r="H795" s="12">
        <f t="shared" si="72"/>
        <v>564.29999999999995</v>
      </c>
      <c r="I795" s="12"/>
      <c r="J795" s="12"/>
      <c r="K795" s="12">
        <f t="shared" si="73"/>
        <v>62.699999999999996</v>
      </c>
      <c r="L795" s="12" t="str">
        <f t="shared" si="71"/>
        <v>攻</v>
      </c>
      <c r="M795" s="12">
        <v>594</v>
      </c>
      <c r="N795" s="12">
        <v>66</v>
      </c>
      <c r="O795" s="12">
        <v>78</v>
      </c>
      <c r="P795" s="12" t="s">
        <v>1145</v>
      </c>
      <c r="Q795" s="12" t="s">
        <v>1146</v>
      </c>
      <c r="U795" s="12" t="s">
        <v>230</v>
      </c>
      <c r="V795" s="12" t="s">
        <v>230</v>
      </c>
      <c r="W795" s="12"/>
      <c r="X795" s="12"/>
    </row>
    <row r="796" spans="2:24" ht="40.5">
      <c r="B796" s="12" t="s">
        <v>1098</v>
      </c>
      <c r="C796" s="12" t="s">
        <v>228</v>
      </c>
      <c r="D796" s="12" t="s">
        <v>235</v>
      </c>
      <c r="E796" s="12" t="s">
        <v>269</v>
      </c>
      <c r="F796" s="12" t="s">
        <v>270</v>
      </c>
      <c r="G796" s="5" t="s">
        <v>1144</v>
      </c>
      <c r="H796" s="12">
        <f t="shared" si="72"/>
        <v>581.4</v>
      </c>
      <c r="I796" s="12"/>
      <c r="J796" s="12"/>
      <c r="K796" s="12">
        <f t="shared" si="73"/>
        <v>64.599999999999994</v>
      </c>
      <c r="L796" s="12" t="str">
        <f t="shared" si="71"/>
        <v>攻</v>
      </c>
      <c r="M796" s="12">
        <v>612</v>
      </c>
      <c r="N796" s="12">
        <v>68</v>
      </c>
      <c r="O796" s="12">
        <v>82</v>
      </c>
      <c r="P796" s="12" t="s">
        <v>1145</v>
      </c>
      <c r="Q796" s="12" t="s">
        <v>1146</v>
      </c>
      <c r="U796" s="12" t="s">
        <v>230</v>
      </c>
      <c r="V796" s="12" t="s">
        <v>230</v>
      </c>
      <c r="W796" s="12"/>
      <c r="X796" s="12"/>
    </row>
    <row r="797" spans="2:24" ht="40.5">
      <c r="B797" s="12" t="s">
        <v>1099</v>
      </c>
      <c r="C797" s="12" t="s">
        <v>228</v>
      </c>
      <c r="D797" s="12" t="s">
        <v>235</v>
      </c>
      <c r="E797" s="12" t="s">
        <v>269</v>
      </c>
      <c r="F797" s="12" t="s">
        <v>270</v>
      </c>
      <c r="G797" s="5" t="s">
        <v>1144</v>
      </c>
      <c r="H797" s="12">
        <f t="shared" si="72"/>
        <v>598.5</v>
      </c>
      <c r="I797" s="12"/>
      <c r="J797" s="12"/>
      <c r="K797" s="12">
        <f t="shared" si="73"/>
        <v>66.5</v>
      </c>
      <c r="L797" s="12" t="str">
        <f t="shared" si="71"/>
        <v>攻</v>
      </c>
      <c r="M797" s="12">
        <v>630</v>
      </c>
      <c r="N797" s="12">
        <v>70</v>
      </c>
      <c r="O797" s="12">
        <v>86</v>
      </c>
      <c r="P797" s="12" t="s">
        <v>1145</v>
      </c>
      <c r="Q797" s="12" t="s">
        <v>1146</v>
      </c>
      <c r="U797" s="12" t="s">
        <v>230</v>
      </c>
      <c r="V797" s="12" t="s">
        <v>230</v>
      </c>
      <c r="W797" s="12"/>
      <c r="X797" s="12"/>
    </row>
    <row r="798" spans="2:24" ht="40.5">
      <c r="B798" s="12" t="s">
        <v>1100</v>
      </c>
      <c r="C798" s="12" t="s">
        <v>228</v>
      </c>
      <c r="D798" s="12" t="s">
        <v>235</v>
      </c>
      <c r="E798" s="12" t="s">
        <v>269</v>
      </c>
      <c r="F798" s="12" t="s">
        <v>270</v>
      </c>
      <c r="G798" s="5" t="s">
        <v>1144</v>
      </c>
      <c r="H798" s="12">
        <f t="shared" si="72"/>
        <v>1010.8</v>
      </c>
      <c r="I798" s="12"/>
      <c r="J798" s="12"/>
      <c r="K798" s="12">
        <f t="shared" si="73"/>
        <v>144.4</v>
      </c>
      <c r="L798" s="12" t="str">
        <f t="shared" si="71"/>
        <v>攻</v>
      </c>
      <c r="M798" s="12">
        <v>1064</v>
      </c>
      <c r="N798" s="12">
        <v>152</v>
      </c>
      <c r="O798" s="12">
        <v>121.5</v>
      </c>
      <c r="P798" s="12" t="s">
        <v>1145</v>
      </c>
      <c r="Q798" s="12" t="s">
        <v>1146</v>
      </c>
      <c r="U798" s="12" t="s">
        <v>230</v>
      </c>
      <c r="V798" s="12" t="s">
        <v>230</v>
      </c>
      <c r="W798" s="12"/>
      <c r="X798" s="12"/>
    </row>
    <row r="799" spans="2:24" ht="40.5">
      <c r="B799" s="12" t="s">
        <v>1101</v>
      </c>
      <c r="C799" s="12" t="s">
        <v>228</v>
      </c>
      <c r="D799" s="12" t="s">
        <v>235</v>
      </c>
      <c r="E799" s="12" t="s">
        <v>269</v>
      </c>
      <c r="F799" s="12" t="s">
        <v>270</v>
      </c>
      <c r="G799" s="5" t="s">
        <v>1144</v>
      </c>
      <c r="H799" s="12">
        <f t="shared" si="72"/>
        <v>1037.3999999999999</v>
      </c>
      <c r="I799" s="12"/>
      <c r="J799" s="12"/>
      <c r="K799" s="12">
        <f t="shared" si="73"/>
        <v>148.19999999999999</v>
      </c>
      <c r="L799" s="12" t="str">
        <f t="shared" si="71"/>
        <v>攻</v>
      </c>
      <c r="M799" s="12">
        <v>1092</v>
      </c>
      <c r="N799" s="12">
        <v>156</v>
      </c>
      <c r="O799" s="12">
        <v>127.57499999999999</v>
      </c>
      <c r="P799" s="12" t="s">
        <v>1145</v>
      </c>
      <c r="Q799" s="12" t="s">
        <v>1146</v>
      </c>
      <c r="U799" s="12" t="s">
        <v>230</v>
      </c>
      <c r="V799" s="12" t="s">
        <v>230</v>
      </c>
      <c r="W799" s="12"/>
      <c r="X799" s="12"/>
    </row>
    <row r="800" spans="2:24" ht="40.5">
      <c r="B800" s="12" t="s">
        <v>1102</v>
      </c>
      <c r="C800" s="12" t="s">
        <v>228</v>
      </c>
      <c r="D800" s="12" t="s">
        <v>235</v>
      </c>
      <c r="E800" s="12" t="s">
        <v>269</v>
      </c>
      <c r="F800" s="12" t="s">
        <v>270</v>
      </c>
      <c r="G800" s="5" t="s">
        <v>1144</v>
      </c>
      <c r="H800" s="12">
        <f t="shared" si="72"/>
        <v>1064</v>
      </c>
      <c r="I800" s="12"/>
      <c r="J800" s="12"/>
      <c r="K800" s="12">
        <f t="shared" si="73"/>
        <v>152</v>
      </c>
      <c r="L800" s="12" t="str">
        <f t="shared" si="71"/>
        <v>攻</v>
      </c>
      <c r="M800" s="12">
        <v>1120</v>
      </c>
      <c r="N800" s="12">
        <v>160</v>
      </c>
      <c r="O800" s="12">
        <v>133.65</v>
      </c>
      <c r="P800" s="12" t="s">
        <v>1145</v>
      </c>
      <c r="Q800" s="12" t="s">
        <v>1146</v>
      </c>
      <c r="U800" s="12" t="s">
        <v>230</v>
      </c>
      <c r="V800" s="12" t="s">
        <v>230</v>
      </c>
      <c r="W800" s="12"/>
      <c r="X800" s="12"/>
    </row>
    <row r="801" spans="2:24" ht="40.5">
      <c r="B801" s="12" t="s">
        <v>1103</v>
      </c>
      <c r="C801" s="12" t="s">
        <v>228</v>
      </c>
      <c r="D801" s="12" t="s">
        <v>235</v>
      </c>
      <c r="E801" s="12" t="s">
        <v>269</v>
      </c>
      <c r="F801" s="12" t="s">
        <v>270</v>
      </c>
      <c r="G801" s="5" t="s">
        <v>1144</v>
      </c>
      <c r="H801" s="12">
        <f t="shared" si="72"/>
        <v>1090.5999999999999</v>
      </c>
      <c r="I801" s="12"/>
      <c r="J801" s="12"/>
      <c r="K801" s="12">
        <f t="shared" si="73"/>
        <v>155.79999999999998</v>
      </c>
      <c r="L801" s="12" t="str">
        <f t="shared" si="71"/>
        <v>攻</v>
      </c>
      <c r="M801" s="12">
        <v>1148</v>
      </c>
      <c r="N801" s="12">
        <v>164</v>
      </c>
      <c r="O801" s="12">
        <v>139.72499999999999</v>
      </c>
      <c r="P801" s="12" t="s">
        <v>1145</v>
      </c>
      <c r="Q801" s="12" t="s">
        <v>1146</v>
      </c>
      <c r="U801" s="12" t="s">
        <v>230</v>
      </c>
      <c r="V801" s="12" t="s">
        <v>230</v>
      </c>
      <c r="W801" s="12"/>
      <c r="X801" s="12"/>
    </row>
    <row r="802" spans="2:24" ht="40.5">
      <c r="B802" s="12" t="s">
        <v>1104</v>
      </c>
      <c r="C802" s="12" t="s">
        <v>228</v>
      </c>
      <c r="D802" s="12" t="s">
        <v>235</v>
      </c>
      <c r="E802" s="12" t="s">
        <v>269</v>
      </c>
      <c r="F802" s="12" t="s">
        <v>270</v>
      </c>
      <c r="G802" s="5" t="s">
        <v>1144</v>
      </c>
      <c r="H802" s="12">
        <f t="shared" si="72"/>
        <v>1117.2</v>
      </c>
      <c r="I802" s="12"/>
      <c r="J802" s="12"/>
      <c r="K802" s="12">
        <f t="shared" si="73"/>
        <v>159.6</v>
      </c>
      <c r="L802" s="12" t="str">
        <f t="shared" si="71"/>
        <v>攻</v>
      </c>
      <c r="M802" s="12">
        <v>1176</v>
      </c>
      <c r="N802" s="12">
        <v>168</v>
      </c>
      <c r="O802" s="12">
        <v>145.79999999999998</v>
      </c>
      <c r="P802" s="12" t="s">
        <v>1145</v>
      </c>
      <c r="Q802" s="12" t="s">
        <v>1146</v>
      </c>
      <c r="U802" s="12" t="s">
        <v>230</v>
      </c>
      <c r="V802" s="12" t="s">
        <v>230</v>
      </c>
      <c r="W802" s="12"/>
      <c r="X802" s="12"/>
    </row>
    <row r="803" spans="2:24" ht="40.5">
      <c r="B803" s="12" t="s">
        <v>1105</v>
      </c>
      <c r="C803" s="12" t="s">
        <v>228</v>
      </c>
      <c r="D803" s="12" t="s">
        <v>235</v>
      </c>
      <c r="E803" s="12" t="s">
        <v>269</v>
      </c>
      <c r="F803" s="12" t="s">
        <v>270</v>
      </c>
      <c r="G803" s="5" t="s">
        <v>1144</v>
      </c>
      <c r="H803" s="12">
        <f t="shared" si="72"/>
        <v>1143.8</v>
      </c>
      <c r="I803" s="12"/>
      <c r="J803" s="12"/>
      <c r="K803" s="12">
        <f t="shared" si="73"/>
        <v>163.4</v>
      </c>
      <c r="L803" s="12" t="str">
        <f t="shared" si="71"/>
        <v>攻</v>
      </c>
      <c r="M803" s="12">
        <v>1204</v>
      </c>
      <c r="N803" s="12">
        <v>172</v>
      </c>
      <c r="O803" s="12">
        <v>151.875</v>
      </c>
      <c r="P803" s="12" t="s">
        <v>1145</v>
      </c>
      <c r="Q803" s="12" t="s">
        <v>1146</v>
      </c>
      <c r="U803" s="12" t="s">
        <v>230</v>
      </c>
      <c r="V803" s="12" t="s">
        <v>230</v>
      </c>
      <c r="W803" s="12"/>
      <c r="X803" s="12"/>
    </row>
    <row r="804" spans="2:24" ht="40.5">
      <c r="B804" s="12" t="s">
        <v>1106</v>
      </c>
      <c r="C804" s="12" t="s">
        <v>228</v>
      </c>
      <c r="D804" s="12" t="s">
        <v>235</v>
      </c>
      <c r="E804" s="12" t="s">
        <v>269</v>
      </c>
      <c r="F804" s="12" t="s">
        <v>270</v>
      </c>
      <c r="G804" s="5" t="s">
        <v>1144</v>
      </c>
      <c r="H804" s="12">
        <f t="shared" si="72"/>
        <v>1170.3999999999999</v>
      </c>
      <c r="I804" s="12"/>
      <c r="J804" s="12"/>
      <c r="K804" s="12">
        <f t="shared" si="73"/>
        <v>167.2</v>
      </c>
      <c r="L804" s="12" t="str">
        <f t="shared" si="71"/>
        <v>攻</v>
      </c>
      <c r="M804" s="12">
        <v>1232</v>
      </c>
      <c r="N804" s="12">
        <v>176</v>
      </c>
      <c r="O804" s="12">
        <v>157.94999999999999</v>
      </c>
      <c r="P804" s="12" t="s">
        <v>1145</v>
      </c>
      <c r="Q804" s="12" t="s">
        <v>1146</v>
      </c>
      <c r="U804" s="12" t="s">
        <v>230</v>
      </c>
      <c r="V804" s="12" t="s">
        <v>230</v>
      </c>
      <c r="W804" s="12"/>
      <c r="X804" s="12"/>
    </row>
    <row r="805" spans="2:24" ht="40.5">
      <c r="B805" s="12" t="s">
        <v>1107</v>
      </c>
      <c r="C805" s="12" t="s">
        <v>228</v>
      </c>
      <c r="D805" s="12" t="s">
        <v>235</v>
      </c>
      <c r="E805" s="12" t="s">
        <v>269</v>
      </c>
      <c r="F805" s="12" t="s">
        <v>270</v>
      </c>
      <c r="G805" s="5" t="s">
        <v>1144</v>
      </c>
      <c r="H805" s="12">
        <f t="shared" si="72"/>
        <v>1197</v>
      </c>
      <c r="I805" s="12"/>
      <c r="J805" s="12"/>
      <c r="K805" s="12">
        <f t="shared" si="73"/>
        <v>171</v>
      </c>
      <c r="L805" s="12" t="str">
        <f t="shared" si="71"/>
        <v>攻</v>
      </c>
      <c r="M805" s="12">
        <v>1260</v>
      </c>
      <c r="N805" s="12">
        <v>180</v>
      </c>
      <c r="O805" s="12">
        <v>164.02500000000001</v>
      </c>
      <c r="P805" s="12" t="s">
        <v>1145</v>
      </c>
      <c r="Q805" s="12" t="s">
        <v>1146</v>
      </c>
      <c r="U805" s="12" t="s">
        <v>230</v>
      </c>
      <c r="V805" s="12" t="s">
        <v>230</v>
      </c>
      <c r="W805" s="12"/>
      <c r="X805" s="12"/>
    </row>
    <row r="806" spans="2:24" ht="40.5">
      <c r="B806" s="12" t="s">
        <v>1108</v>
      </c>
      <c r="C806" s="12" t="s">
        <v>228</v>
      </c>
      <c r="D806" s="12" t="s">
        <v>235</v>
      </c>
      <c r="E806" s="12" t="s">
        <v>269</v>
      </c>
      <c r="F806" s="12" t="s">
        <v>270</v>
      </c>
      <c r="G806" s="5" t="s">
        <v>1144</v>
      </c>
      <c r="H806" s="12">
        <f t="shared" si="72"/>
        <v>1223.5999999999999</v>
      </c>
      <c r="I806" s="12"/>
      <c r="J806" s="12"/>
      <c r="K806" s="12">
        <f t="shared" si="73"/>
        <v>174.79999999999998</v>
      </c>
      <c r="L806" s="12" t="str">
        <f t="shared" si="71"/>
        <v>攻</v>
      </c>
      <c r="M806" s="12">
        <v>1288</v>
      </c>
      <c r="N806" s="12">
        <v>184</v>
      </c>
      <c r="O806" s="12">
        <v>170.1</v>
      </c>
      <c r="P806" s="12" t="s">
        <v>1145</v>
      </c>
      <c r="Q806" s="12" t="s">
        <v>1146</v>
      </c>
      <c r="U806" s="12" t="s">
        <v>230</v>
      </c>
      <c r="V806" s="12" t="s">
        <v>230</v>
      </c>
      <c r="W806" s="12"/>
      <c r="X806" s="12"/>
    </row>
    <row r="807" spans="2:24" ht="40.5">
      <c r="B807" s="12" t="s">
        <v>1109</v>
      </c>
      <c r="C807" s="12" t="s">
        <v>228</v>
      </c>
      <c r="D807" s="12" t="s">
        <v>235</v>
      </c>
      <c r="E807" s="12" t="s">
        <v>269</v>
      </c>
      <c r="F807" s="12" t="s">
        <v>270</v>
      </c>
      <c r="G807" s="5" t="s">
        <v>1144</v>
      </c>
      <c r="H807" s="12">
        <f t="shared" si="72"/>
        <v>1250.2</v>
      </c>
      <c r="I807" s="12"/>
      <c r="J807" s="12"/>
      <c r="K807" s="12">
        <f t="shared" si="73"/>
        <v>178.6</v>
      </c>
      <c r="L807" s="12" t="str">
        <f t="shared" si="71"/>
        <v>攻</v>
      </c>
      <c r="M807" s="12">
        <v>1316</v>
      </c>
      <c r="N807" s="12">
        <v>188</v>
      </c>
      <c r="O807" s="12">
        <v>176.17499999999998</v>
      </c>
      <c r="P807" s="12" t="s">
        <v>1145</v>
      </c>
      <c r="Q807" s="12" t="s">
        <v>1146</v>
      </c>
      <c r="U807" s="12" t="s">
        <v>230</v>
      </c>
      <c r="V807" s="12" t="s">
        <v>230</v>
      </c>
      <c r="W807" s="12"/>
      <c r="X807" s="12"/>
    </row>
    <row r="808" spans="2:24" ht="40.5">
      <c r="B808" s="12" t="s">
        <v>1110</v>
      </c>
      <c r="C808" s="12" t="s">
        <v>228</v>
      </c>
      <c r="D808" s="12" t="s">
        <v>235</v>
      </c>
      <c r="E808" s="12" t="s">
        <v>269</v>
      </c>
      <c r="F808" s="12" t="s">
        <v>270</v>
      </c>
      <c r="G808" s="5" t="s">
        <v>1144</v>
      </c>
      <c r="H808" s="12">
        <f t="shared" si="72"/>
        <v>1276.8</v>
      </c>
      <c r="I808" s="12"/>
      <c r="J808" s="12"/>
      <c r="K808" s="12">
        <f t="shared" si="73"/>
        <v>182.39999999999998</v>
      </c>
      <c r="L808" s="12" t="str">
        <f t="shared" si="71"/>
        <v>攻</v>
      </c>
      <c r="M808" s="12">
        <v>1344</v>
      </c>
      <c r="N808" s="12">
        <v>192</v>
      </c>
      <c r="O808" s="12">
        <v>182.25</v>
      </c>
      <c r="P808" s="12" t="s">
        <v>1145</v>
      </c>
      <c r="Q808" s="12" t="s">
        <v>1146</v>
      </c>
      <c r="U808" s="12" t="s">
        <v>230</v>
      </c>
      <c r="V808" s="12" t="s">
        <v>230</v>
      </c>
      <c r="W808" s="12"/>
      <c r="X808" s="12"/>
    </row>
    <row r="809" spans="2:24" ht="40.5">
      <c r="B809" s="12" t="s">
        <v>1111</v>
      </c>
      <c r="C809" s="12" t="s">
        <v>228</v>
      </c>
      <c r="D809" s="12" t="s">
        <v>235</v>
      </c>
      <c r="E809" s="12" t="s">
        <v>269</v>
      </c>
      <c r="F809" s="12" t="s">
        <v>270</v>
      </c>
      <c r="G809" s="5" t="s">
        <v>1144</v>
      </c>
      <c r="H809" s="12">
        <f t="shared" si="72"/>
        <v>1303.3999999999999</v>
      </c>
      <c r="I809" s="12"/>
      <c r="J809" s="12"/>
      <c r="K809" s="12">
        <f t="shared" si="73"/>
        <v>186.2</v>
      </c>
      <c r="L809" s="12" t="str">
        <f t="shared" si="71"/>
        <v>攻</v>
      </c>
      <c r="M809" s="12">
        <v>1372</v>
      </c>
      <c r="N809" s="12">
        <v>196</v>
      </c>
      <c r="O809" s="12">
        <v>188.32499999999999</v>
      </c>
      <c r="P809" s="12" t="s">
        <v>1145</v>
      </c>
      <c r="Q809" s="12" t="s">
        <v>1146</v>
      </c>
      <c r="U809" s="12" t="s">
        <v>230</v>
      </c>
      <c r="V809" s="12" t="s">
        <v>230</v>
      </c>
      <c r="W809" s="12"/>
      <c r="X809" s="12"/>
    </row>
    <row r="810" spans="2:24" ht="40.5">
      <c r="B810" s="12" t="s">
        <v>1112</v>
      </c>
      <c r="C810" s="12" t="s">
        <v>228</v>
      </c>
      <c r="D810" s="12" t="s">
        <v>235</v>
      </c>
      <c r="E810" s="12" t="s">
        <v>269</v>
      </c>
      <c r="F810" s="12" t="s">
        <v>270</v>
      </c>
      <c r="G810" s="5" t="s">
        <v>1144</v>
      </c>
      <c r="H810" s="12">
        <f t="shared" si="72"/>
        <v>1330</v>
      </c>
      <c r="I810" s="12"/>
      <c r="J810" s="12"/>
      <c r="K810" s="12">
        <f t="shared" si="73"/>
        <v>190</v>
      </c>
      <c r="L810" s="12" t="str">
        <f t="shared" si="71"/>
        <v>攻</v>
      </c>
      <c r="M810" s="12">
        <v>1400</v>
      </c>
      <c r="N810" s="12">
        <v>200</v>
      </c>
      <c r="O810" s="12">
        <v>194.39999999999998</v>
      </c>
      <c r="P810" s="12" t="s">
        <v>1145</v>
      </c>
      <c r="Q810" s="12" t="s">
        <v>1146</v>
      </c>
      <c r="U810" s="12" t="s">
        <v>230</v>
      </c>
      <c r="V810" s="12" t="s">
        <v>230</v>
      </c>
      <c r="W810" s="12"/>
      <c r="X810" s="12"/>
    </row>
    <row r="811" spans="2:24" ht="40.5">
      <c r="B811" s="12" t="s">
        <v>1113</v>
      </c>
      <c r="C811" s="12" t="s">
        <v>228</v>
      </c>
      <c r="D811" s="12" t="s">
        <v>235</v>
      </c>
      <c r="E811" s="12" t="s">
        <v>269</v>
      </c>
      <c r="F811" s="12" t="s">
        <v>270</v>
      </c>
      <c r="G811" s="5" t="s">
        <v>1144</v>
      </c>
      <c r="H811" s="12">
        <f t="shared" si="72"/>
        <v>1356.6</v>
      </c>
      <c r="I811" s="12"/>
      <c r="J811" s="12"/>
      <c r="K811" s="12">
        <f t="shared" si="73"/>
        <v>193.79999999999998</v>
      </c>
      <c r="L811" s="12" t="str">
        <f t="shared" si="71"/>
        <v>攻</v>
      </c>
      <c r="M811" s="12">
        <v>1428</v>
      </c>
      <c r="N811" s="12">
        <v>204</v>
      </c>
      <c r="O811" s="12">
        <v>200.47499999999999</v>
      </c>
      <c r="P811" s="12" t="s">
        <v>1145</v>
      </c>
      <c r="Q811" s="12" t="s">
        <v>1146</v>
      </c>
      <c r="U811" s="12" t="s">
        <v>230</v>
      </c>
      <c r="V811" s="12" t="s">
        <v>230</v>
      </c>
      <c r="W811" s="12"/>
      <c r="X811" s="12"/>
    </row>
    <row r="812" spans="2:24" ht="40.5">
      <c r="B812" s="12" t="s">
        <v>1114</v>
      </c>
      <c r="C812" s="12" t="s">
        <v>228</v>
      </c>
      <c r="D812" s="12" t="s">
        <v>235</v>
      </c>
      <c r="E812" s="12" t="s">
        <v>269</v>
      </c>
      <c r="F812" s="12" t="s">
        <v>270</v>
      </c>
      <c r="G812" s="5" t="s">
        <v>1144</v>
      </c>
      <c r="H812" s="12">
        <f t="shared" si="72"/>
        <v>1383.2</v>
      </c>
      <c r="I812" s="12"/>
      <c r="J812" s="12"/>
      <c r="K812" s="12">
        <f t="shared" si="73"/>
        <v>197.6</v>
      </c>
      <c r="L812" s="12" t="str">
        <f t="shared" si="71"/>
        <v>攻</v>
      </c>
      <c r="M812" s="12">
        <v>1456</v>
      </c>
      <c r="N812" s="12">
        <v>208</v>
      </c>
      <c r="O812" s="12">
        <v>206.54999999999998</v>
      </c>
      <c r="P812" s="12" t="s">
        <v>1145</v>
      </c>
      <c r="Q812" s="12" t="s">
        <v>1146</v>
      </c>
      <c r="U812" s="12" t="s">
        <v>230</v>
      </c>
      <c r="V812" s="12" t="s">
        <v>230</v>
      </c>
      <c r="W812" s="12"/>
      <c r="X812" s="12"/>
    </row>
    <row r="813" spans="2:24" ht="40.5">
      <c r="B813" s="12" t="s">
        <v>1115</v>
      </c>
      <c r="C813" s="12" t="s">
        <v>228</v>
      </c>
      <c r="D813" s="12" t="s">
        <v>235</v>
      </c>
      <c r="E813" s="12" t="s">
        <v>269</v>
      </c>
      <c r="F813" s="12" t="s">
        <v>270</v>
      </c>
      <c r="G813" s="5" t="s">
        <v>1144</v>
      </c>
      <c r="H813" s="12">
        <f t="shared" si="72"/>
        <v>2090</v>
      </c>
      <c r="I813" s="12"/>
      <c r="J813" s="12"/>
      <c r="K813" s="12">
        <f t="shared" si="73"/>
        <v>313.5</v>
      </c>
      <c r="L813" s="12" t="str">
        <f t="shared" si="71"/>
        <v>攻</v>
      </c>
      <c r="M813" s="12">
        <v>2200</v>
      </c>
      <c r="N813" s="12">
        <v>330</v>
      </c>
      <c r="O813" s="12">
        <v>273.375</v>
      </c>
      <c r="P813" s="12" t="s">
        <v>1145</v>
      </c>
      <c r="Q813" s="12" t="s">
        <v>1146</v>
      </c>
      <c r="U813" s="12" t="s">
        <v>230</v>
      </c>
      <c r="V813" s="12" t="s">
        <v>230</v>
      </c>
      <c r="W813" s="12"/>
      <c r="X813" s="12"/>
    </row>
    <row r="814" spans="2:24" ht="40.5">
      <c r="B814" s="12" t="s">
        <v>1116</v>
      </c>
      <c r="C814" s="12" t="s">
        <v>228</v>
      </c>
      <c r="D814" s="12" t="s">
        <v>235</v>
      </c>
      <c r="E814" s="12" t="s">
        <v>269</v>
      </c>
      <c r="F814" s="12" t="s">
        <v>270</v>
      </c>
      <c r="G814" s="5" t="s">
        <v>1144</v>
      </c>
      <c r="H814" s="12">
        <f t="shared" si="72"/>
        <v>2128</v>
      </c>
      <c r="I814" s="12"/>
      <c r="J814" s="12"/>
      <c r="K814" s="12">
        <f t="shared" si="73"/>
        <v>319.2</v>
      </c>
      <c r="L814" s="12" t="str">
        <f t="shared" si="71"/>
        <v>攻</v>
      </c>
      <c r="M814" s="12">
        <v>2240</v>
      </c>
      <c r="N814" s="12">
        <v>336</v>
      </c>
      <c r="O814" s="12">
        <v>281.47499999999997</v>
      </c>
      <c r="P814" s="12" t="s">
        <v>1145</v>
      </c>
      <c r="Q814" s="12" t="s">
        <v>1146</v>
      </c>
      <c r="U814" s="12" t="s">
        <v>230</v>
      </c>
      <c r="V814" s="12" t="s">
        <v>230</v>
      </c>
      <c r="W814" s="12"/>
      <c r="X814" s="12"/>
    </row>
    <row r="815" spans="2:24" ht="40.5">
      <c r="B815" s="12" t="s">
        <v>1117</v>
      </c>
      <c r="C815" s="12" t="s">
        <v>228</v>
      </c>
      <c r="D815" s="12" t="s">
        <v>235</v>
      </c>
      <c r="E815" s="12" t="s">
        <v>269</v>
      </c>
      <c r="F815" s="12" t="s">
        <v>270</v>
      </c>
      <c r="G815" s="5" t="s">
        <v>1144</v>
      </c>
      <c r="H815" s="12">
        <f t="shared" si="72"/>
        <v>2166</v>
      </c>
      <c r="I815" s="12"/>
      <c r="J815" s="12"/>
      <c r="K815" s="12">
        <f t="shared" si="73"/>
        <v>324.89999999999998</v>
      </c>
      <c r="L815" s="12" t="str">
        <f t="shared" si="71"/>
        <v>攻</v>
      </c>
      <c r="M815" s="12">
        <v>2280</v>
      </c>
      <c r="N815" s="12">
        <v>342</v>
      </c>
      <c r="O815" s="12">
        <v>289.57499999999999</v>
      </c>
      <c r="P815" s="12" t="s">
        <v>1145</v>
      </c>
      <c r="Q815" s="12" t="s">
        <v>1146</v>
      </c>
      <c r="U815" s="12" t="s">
        <v>230</v>
      </c>
      <c r="V815" s="12" t="s">
        <v>230</v>
      </c>
      <c r="W815" s="12"/>
      <c r="X815" s="12"/>
    </row>
    <row r="816" spans="2:24" ht="40.5">
      <c r="B816" s="12" t="s">
        <v>1118</v>
      </c>
      <c r="C816" s="12" t="s">
        <v>228</v>
      </c>
      <c r="D816" s="12" t="s">
        <v>235</v>
      </c>
      <c r="E816" s="12" t="s">
        <v>269</v>
      </c>
      <c r="F816" s="12" t="s">
        <v>270</v>
      </c>
      <c r="G816" s="5" t="s">
        <v>1144</v>
      </c>
      <c r="H816" s="12">
        <f t="shared" si="72"/>
        <v>2204</v>
      </c>
      <c r="I816" s="12"/>
      <c r="J816" s="12"/>
      <c r="K816" s="12">
        <f t="shared" si="73"/>
        <v>330.59999999999997</v>
      </c>
      <c r="L816" s="12" t="str">
        <f t="shared" si="71"/>
        <v>攻</v>
      </c>
      <c r="M816" s="12">
        <v>2320</v>
      </c>
      <c r="N816" s="12">
        <v>348</v>
      </c>
      <c r="O816" s="12">
        <v>297.67500000000001</v>
      </c>
      <c r="P816" s="12" t="s">
        <v>1145</v>
      </c>
      <c r="Q816" s="12" t="s">
        <v>1146</v>
      </c>
      <c r="U816" s="12" t="s">
        <v>230</v>
      </c>
      <c r="V816" s="12" t="s">
        <v>230</v>
      </c>
      <c r="W816" s="12"/>
      <c r="X816" s="12"/>
    </row>
    <row r="817" spans="2:24" ht="40.5">
      <c r="B817" s="12" t="s">
        <v>1119</v>
      </c>
      <c r="C817" s="12" t="s">
        <v>228</v>
      </c>
      <c r="D817" s="12" t="s">
        <v>235</v>
      </c>
      <c r="E817" s="12" t="s">
        <v>269</v>
      </c>
      <c r="F817" s="12" t="s">
        <v>270</v>
      </c>
      <c r="G817" s="5" t="s">
        <v>1144</v>
      </c>
      <c r="H817" s="12">
        <f t="shared" si="72"/>
        <v>2242</v>
      </c>
      <c r="I817" s="12"/>
      <c r="J817" s="12"/>
      <c r="K817" s="12">
        <f t="shared" si="73"/>
        <v>336.3</v>
      </c>
      <c r="L817" s="12" t="str">
        <f t="shared" si="71"/>
        <v>攻</v>
      </c>
      <c r="M817" s="12">
        <v>2360</v>
      </c>
      <c r="N817" s="12">
        <v>354</v>
      </c>
      <c r="O817" s="12">
        <v>305.77499999999998</v>
      </c>
      <c r="P817" s="12" t="s">
        <v>1145</v>
      </c>
      <c r="Q817" s="12" t="s">
        <v>1146</v>
      </c>
      <c r="U817" s="12" t="s">
        <v>230</v>
      </c>
      <c r="V817" s="12" t="s">
        <v>230</v>
      </c>
      <c r="W817" s="12"/>
      <c r="X817" s="12"/>
    </row>
    <row r="818" spans="2:24" ht="40.5">
      <c r="B818" s="12" t="s">
        <v>1120</v>
      </c>
      <c r="C818" s="12" t="s">
        <v>228</v>
      </c>
      <c r="D818" s="12" t="s">
        <v>235</v>
      </c>
      <c r="E818" s="12" t="s">
        <v>269</v>
      </c>
      <c r="F818" s="12" t="s">
        <v>270</v>
      </c>
      <c r="G818" s="5" t="s">
        <v>1144</v>
      </c>
      <c r="H818" s="12">
        <f t="shared" si="72"/>
        <v>2280</v>
      </c>
      <c r="I818" s="12"/>
      <c r="J818" s="12"/>
      <c r="K818" s="12">
        <f t="shared" si="73"/>
        <v>342</v>
      </c>
      <c r="L818" s="12" t="str">
        <f t="shared" si="71"/>
        <v>攻</v>
      </c>
      <c r="M818" s="12">
        <v>2400</v>
      </c>
      <c r="N818" s="12">
        <v>360</v>
      </c>
      <c r="O818" s="12">
        <v>313.875</v>
      </c>
      <c r="P818" s="12" t="s">
        <v>1145</v>
      </c>
      <c r="Q818" s="12" t="s">
        <v>1146</v>
      </c>
      <c r="U818" s="12" t="s">
        <v>230</v>
      </c>
      <c r="V818" s="12" t="s">
        <v>230</v>
      </c>
      <c r="W818" s="12"/>
      <c r="X818" s="12"/>
    </row>
    <row r="819" spans="2:24" ht="40.5">
      <c r="B819" s="12" t="s">
        <v>1121</v>
      </c>
      <c r="C819" s="12" t="s">
        <v>228</v>
      </c>
      <c r="D819" s="12" t="s">
        <v>235</v>
      </c>
      <c r="E819" s="12" t="s">
        <v>269</v>
      </c>
      <c r="F819" s="12" t="s">
        <v>270</v>
      </c>
      <c r="G819" s="5" t="s">
        <v>1144</v>
      </c>
      <c r="H819" s="12">
        <f t="shared" si="72"/>
        <v>2318</v>
      </c>
      <c r="I819" s="12"/>
      <c r="J819" s="12"/>
      <c r="K819" s="12">
        <f t="shared" si="73"/>
        <v>347.7</v>
      </c>
      <c r="L819" s="12" t="str">
        <f t="shared" si="71"/>
        <v>攻</v>
      </c>
      <c r="M819" s="12">
        <v>2440</v>
      </c>
      <c r="N819" s="12">
        <v>366</v>
      </c>
      <c r="O819" s="12">
        <v>321.97499999999997</v>
      </c>
      <c r="P819" s="12" t="s">
        <v>1145</v>
      </c>
      <c r="Q819" s="12" t="s">
        <v>1146</v>
      </c>
      <c r="U819" s="12" t="s">
        <v>230</v>
      </c>
      <c r="V819" s="12" t="s">
        <v>230</v>
      </c>
      <c r="W819" s="12"/>
      <c r="X819" s="12"/>
    </row>
    <row r="820" spans="2:24" ht="40.5">
      <c r="B820" s="12" t="s">
        <v>1122</v>
      </c>
      <c r="C820" s="12" t="s">
        <v>228</v>
      </c>
      <c r="D820" s="12" t="s">
        <v>235</v>
      </c>
      <c r="E820" s="12" t="s">
        <v>269</v>
      </c>
      <c r="F820" s="12" t="s">
        <v>270</v>
      </c>
      <c r="G820" s="5" t="s">
        <v>1144</v>
      </c>
      <c r="H820" s="12">
        <f t="shared" si="72"/>
        <v>2356</v>
      </c>
      <c r="I820" s="12"/>
      <c r="J820" s="12"/>
      <c r="K820" s="12">
        <f t="shared" si="73"/>
        <v>353.4</v>
      </c>
      <c r="L820" s="12" t="str">
        <f t="shared" si="71"/>
        <v>攻</v>
      </c>
      <c r="M820" s="12">
        <v>2480</v>
      </c>
      <c r="N820" s="12">
        <v>372</v>
      </c>
      <c r="O820" s="12">
        <v>330.07499999999999</v>
      </c>
      <c r="P820" s="12" t="s">
        <v>1145</v>
      </c>
      <c r="Q820" s="12" t="s">
        <v>1146</v>
      </c>
      <c r="U820" s="12" t="s">
        <v>230</v>
      </c>
      <c r="V820" s="12" t="s">
        <v>230</v>
      </c>
      <c r="W820" s="12"/>
      <c r="X820" s="12"/>
    </row>
    <row r="821" spans="2:24" ht="40.5">
      <c r="B821" s="12" t="s">
        <v>1123</v>
      </c>
      <c r="C821" s="12" t="s">
        <v>228</v>
      </c>
      <c r="D821" s="12" t="s">
        <v>235</v>
      </c>
      <c r="E821" s="12" t="s">
        <v>269</v>
      </c>
      <c r="F821" s="12" t="s">
        <v>270</v>
      </c>
      <c r="G821" s="5" t="s">
        <v>1144</v>
      </c>
      <c r="H821" s="12">
        <f t="shared" si="72"/>
        <v>2394</v>
      </c>
      <c r="I821" s="12"/>
      <c r="J821" s="12"/>
      <c r="K821" s="12">
        <f t="shared" si="73"/>
        <v>359.09999999999997</v>
      </c>
      <c r="L821" s="12" t="str">
        <f t="shared" si="71"/>
        <v>攻</v>
      </c>
      <c r="M821" s="12">
        <v>2520</v>
      </c>
      <c r="N821" s="12">
        <v>378</v>
      </c>
      <c r="O821" s="12">
        <v>338.17500000000001</v>
      </c>
      <c r="P821" s="12" t="s">
        <v>1145</v>
      </c>
      <c r="Q821" s="12" t="s">
        <v>1146</v>
      </c>
      <c r="U821" s="12" t="s">
        <v>230</v>
      </c>
      <c r="V821" s="12" t="s">
        <v>230</v>
      </c>
      <c r="W821" s="12"/>
      <c r="X821" s="12"/>
    </row>
    <row r="822" spans="2:24" ht="40.5">
      <c r="B822" s="12" t="s">
        <v>1124</v>
      </c>
      <c r="C822" s="12" t="s">
        <v>228</v>
      </c>
      <c r="D822" s="12" t="s">
        <v>235</v>
      </c>
      <c r="E822" s="12" t="s">
        <v>269</v>
      </c>
      <c r="F822" s="12" t="s">
        <v>270</v>
      </c>
      <c r="G822" s="5" t="s">
        <v>1144</v>
      </c>
      <c r="H822" s="12">
        <f t="shared" si="72"/>
        <v>2432</v>
      </c>
      <c r="I822" s="12"/>
      <c r="J822" s="12"/>
      <c r="K822" s="12">
        <f t="shared" si="73"/>
        <v>364.79999999999995</v>
      </c>
      <c r="L822" s="12" t="str">
        <f t="shared" si="71"/>
        <v>攻</v>
      </c>
      <c r="M822" s="12">
        <v>2560</v>
      </c>
      <c r="N822" s="12">
        <v>384</v>
      </c>
      <c r="O822" s="12">
        <v>346.27499999999998</v>
      </c>
      <c r="P822" s="12" t="s">
        <v>1145</v>
      </c>
      <c r="Q822" s="12" t="s">
        <v>1146</v>
      </c>
      <c r="U822" s="12" t="s">
        <v>230</v>
      </c>
      <c r="V822" s="12" t="s">
        <v>230</v>
      </c>
      <c r="W822" s="12"/>
      <c r="X822" s="12"/>
    </row>
    <row r="823" spans="2:24" ht="40.5">
      <c r="B823" s="12" t="s">
        <v>1125</v>
      </c>
      <c r="C823" s="12" t="s">
        <v>228</v>
      </c>
      <c r="D823" s="12" t="s">
        <v>235</v>
      </c>
      <c r="E823" s="12" t="s">
        <v>269</v>
      </c>
      <c r="F823" s="12" t="s">
        <v>270</v>
      </c>
      <c r="G823" s="5" t="s">
        <v>1144</v>
      </c>
      <c r="H823" s="12">
        <f t="shared" si="72"/>
        <v>2470</v>
      </c>
      <c r="I823" s="12"/>
      <c r="J823" s="12"/>
      <c r="K823" s="12">
        <f t="shared" si="73"/>
        <v>370.5</v>
      </c>
      <c r="L823" s="12" t="str">
        <f t="shared" si="71"/>
        <v>攻</v>
      </c>
      <c r="M823" s="12">
        <v>2600</v>
      </c>
      <c r="N823" s="12">
        <v>390</v>
      </c>
      <c r="O823" s="12">
        <v>354.375</v>
      </c>
      <c r="P823" s="12" t="s">
        <v>1145</v>
      </c>
      <c r="Q823" s="12" t="s">
        <v>1146</v>
      </c>
      <c r="U823" s="12" t="s">
        <v>230</v>
      </c>
      <c r="V823" s="12" t="s">
        <v>230</v>
      </c>
      <c r="W823" s="12"/>
      <c r="X823" s="12"/>
    </row>
    <row r="824" spans="2:24" ht="40.5">
      <c r="B824" s="12" t="s">
        <v>1126</v>
      </c>
      <c r="C824" s="12" t="s">
        <v>228</v>
      </c>
      <c r="D824" s="12" t="s">
        <v>235</v>
      </c>
      <c r="E824" s="12" t="s">
        <v>269</v>
      </c>
      <c r="F824" s="12" t="s">
        <v>270</v>
      </c>
      <c r="G824" s="5" t="s">
        <v>1144</v>
      </c>
      <c r="H824" s="12">
        <f t="shared" si="72"/>
        <v>2508</v>
      </c>
      <c r="I824" s="12"/>
      <c r="J824" s="12"/>
      <c r="K824" s="12">
        <f t="shared" si="73"/>
        <v>376.2</v>
      </c>
      <c r="L824" s="12" t="str">
        <f t="shared" si="71"/>
        <v>攻</v>
      </c>
      <c r="M824" s="12">
        <v>2640</v>
      </c>
      <c r="N824" s="12">
        <v>396</v>
      </c>
      <c r="O824" s="12">
        <v>362.47499999999997</v>
      </c>
      <c r="P824" s="12" t="s">
        <v>1145</v>
      </c>
      <c r="Q824" s="12" t="s">
        <v>1146</v>
      </c>
      <c r="U824" s="12" t="s">
        <v>230</v>
      </c>
      <c r="V824" s="12" t="s">
        <v>230</v>
      </c>
      <c r="W824" s="12"/>
      <c r="X824" s="12"/>
    </row>
    <row r="825" spans="2:24" ht="40.5">
      <c r="B825" s="12" t="s">
        <v>1127</v>
      </c>
      <c r="C825" s="12" t="s">
        <v>228</v>
      </c>
      <c r="D825" s="12" t="s">
        <v>235</v>
      </c>
      <c r="E825" s="12" t="s">
        <v>269</v>
      </c>
      <c r="F825" s="12" t="s">
        <v>270</v>
      </c>
      <c r="G825" s="5" t="s">
        <v>1144</v>
      </c>
      <c r="H825" s="12">
        <f t="shared" si="72"/>
        <v>2546</v>
      </c>
      <c r="I825" s="12"/>
      <c r="J825" s="12"/>
      <c r="K825" s="12">
        <f t="shared" si="73"/>
        <v>381.9</v>
      </c>
      <c r="L825" s="12" t="str">
        <f t="shared" si="71"/>
        <v>攻</v>
      </c>
      <c r="M825" s="12">
        <v>2680</v>
      </c>
      <c r="N825" s="12">
        <v>402</v>
      </c>
      <c r="O825" s="12">
        <v>370.57499999999999</v>
      </c>
      <c r="P825" s="12" t="s">
        <v>1145</v>
      </c>
      <c r="Q825" s="12" t="s">
        <v>1146</v>
      </c>
      <c r="U825" s="12" t="s">
        <v>230</v>
      </c>
      <c r="V825" s="12" t="s">
        <v>230</v>
      </c>
      <c r="W825" s="12"/>
      <c r="X825" s="12"/>
    </row>
    <row r="826" spans="2:24" ht="40.5">
      <c r="B826" s="12" t="s">
        <v>1128</v>
      </c>
      <c r="C826" s="12" t="s">
        <v>228</v>
      </c>
      <c r="D826" s="12" t="s">
        <v>235</v>
      </c>
      <c r="E826" s="12" t="s">
        <v>269</v>
      </c>
      <c r="F826" s="12" t="s">
        <v>270</v>
      </c>
      <c r="G826" s="5" t="s">
        <v>1144</v>
      </c>
      <c r="H826" s="12">
        <f t="shared" si="72"/>
        <v>2584</v>
      </c>
      <c r="I826" s="12"/>
      <c r="J826" s="12"/>
      <c r="K826" s="12">
        <f t="shared" si="73"/>
        <v>387.59999999999997</v>
      </c>
      <c r="L826" s="12" t="str">
        <f t="shared" si="71"/>
        <v>攻</v>
      </c>
      <c r="M826" s="12">
        <v>2720</v>
      </c>
      <c r="N826" s="12">
        <v>408</v>
      </c>
      <c r="O826" s="12">
        <v>378.67500000000001</v>
      </c>
      <c r="P826" s="12" t="s">
        <v>1145</v>
      </c>
      <c r="Q826" s="12" t="s">
        <v>1146</v>
      </c>
      <c r="U826" s="12" t="s">
        <v>230</v>
      </c>
      <c r="V826" s="12" t="s">
        <v>230</v>
      </c>
      <c r="W826" s="12"/>
      <c r="X826" s="12"/>
    </row>
    <row r="827" spans="2:24" ht="40.5">
      <c r="B827" s="12" t="s">
        <v>1129</v>
      </c>
      <c r="C827" s="12" t="s">
        <v>228</v>
      </c>
      <c r="D827" s="12" t="s">
        <v>235</v>
      </c>
      <c r="E827" s="12" t="s">
        <v>269</v>
      </c>
      <c r="F827" s="12" t="s">
        <v>270</v>
      </c>
      <c r="G827" s="5" t="s">
        <v>1144</v>
      </c>
      <c r="H827" s="12">
        <f t="shared" si="72"/>
        <v>2622</v>
      </c>
      <c r="I827" s="12"/>
      <c r="J827" s="12"/>
      <c r="K827" s="12">
        <f t="shared" si="73"/>
        <v>393.29999999999995</v>
      </c>
      <c r="L827" s="12" t="str">
        <f t="shared" si="71"/>
        <v>攻</v>
      </c>
      <c r="M827" s="12">
        <v>2760</v>
      </c>
      <c r="N827" s="12">
        <v>414</v>
      </c>
      <c r="O827" s="12">
        <v>386.77499999999998</v>
      </c>
      <c r="P827" s="12" t="s">
        <v>1145</v>
      </c>
      <c r="Q827" s="12" t="s">
        <v>1146</v>
      </c>
      <c r="U827" s="12" t="s">
        <v>230</v>
      </c>
      <c r="V827" s="12" t="s">
        <v>230</v>
      </c>
      <c r="W827" s="12"/>
      <c r="X827" s="12"/>
    </row>
    <row r="828" spans="2:24" ht="40.5">
      <c r="B828" s="12" t="s">
        <v>1130</v>
      </c>
      <c r="C828" s="12" t="s">
        <v>228</v>
      </c>
      <c r="D828" s="12" t="s">
        <v>235</v>
      </c>
      <c r="E828" s="12" t="s">
        <v>269</v>
      </c>
      <c r="F828" s="12" t="s">
        <v>270</v>
      </c>
      <c r="G828" s="5" t="s">
        <v>1144</v>
      </c>
      <c r="H828" s="12">
        <f t="shared" si="72"/>
        <v>3693.6</v>
      </c>
      <c r="I828" s="12"/>
      <c r="J828" s="12"/>
      <c r="K828" s="12">
        <f t="shared" si="73"/>
        <v>547.19999999999993</v>
      </c>
      <c r="L828" s="12" t="str">
        <f t="shared" si="71"/>
        <v>攻</v>
      </c>
      <c r="M828" s="12">
        <v>3888</v>
      </c>
      <c r="N828" s="12">
        <v>576</v>
      </c>
      <c r="O828" s="12">
        <v>720</v>
      </c>
      <c r="P828" s="12" t="s">
        <v>1145</v>
      </c>
      <c r="Q828" s="12" t="s">
        <v>1146</v>
      </c>
      <c r="U828" s="12" t="s">
        <v>230</v>
      </c>
      <c r="V828" s="12" t="s">
        <v>230</v>
      </c>
      <c r="W828" s="12"/>
      <c r="X828" s="12"/>
    </row>
    <row r="829" spans="2:24" ht="40.5">
      <c r="B829" s="12" t="s">
        <v>1131</v>
      </c>
      <c r="C829" s="12" t="s">
        <v>228</v>
      </c>
      <c r="D829" s="12" t="s">
        <v>235</v>
      </c>
      <c r="E829" s="12" t="s">
        <v>269</v>
      </c>
      <c r="F829" s="12" t="s">
        <v>270</v>
      </c>
      <c r="G829" s="5" t="s">
        <v>1144</v>
      </c>
      <c r="H829" s="12">
        <f t="shared" si="72"/>
        <v>0</v>
      </c>
      <c r="I829" s="12"/>
      <c r="J829" s="12"/>
      <c r="K829" s="12">
        <f t="shared" si="73"/>
        <v>0</v>
      </c>
      <c r="L829" s="12" t="str">
        <f t="shared" si="71"/>
        <v>攻</v>
      </c>
      <c r="M829" s="12"/>
      <c r="N829" s="12"/>
      <c r="O829" s="12"/>
      <c r="P829" s="12" t="s">
        <v>1145</v>
      </c>
      <c r="Q829" s="12" t="s">
        <v>1146</v>
      </c>
      <c r="U829" s="12" t="s">
        <v>230</v>
      </c>
      <c r="V829" s="12" t="s">
        <v>230</v>
      </c>
      <c r="W829" s="12"/>
      <c r="X829" s="12"/>
    </row>
    <row r="830" spans="2:24" ht="40.5">
      <c r="B830" s="12" t="s">
        <v>1132</v>
      </c>
      <c r="C830" s="12" t="s">
        <v>228</v>
      </c>
      <c r="D830" s="12" t="s">
        <v>235</v>
      </c>
      <c r="E830" s="12" t="s">
        <v>269</v>
      </c>
      <c r="F830" s="12" t="s">
        <v>270</v>
      </c>
      <c r="G830" s="5" t="s">
        <v>1144</v>
      </c>
      <c r="H830" s="12">
        <f t="shared" si="72"/>
        <v>0</v>
      </c>
      <c r="I830" s="12"/>
      <c r="J830" s="12"/>
      <c r="K830" s="12">
        <f t="shared" si="73"/>
        <v>0</v>
      </c>
      <c r="L830" s="12" t="str">
        <f t="shared" si="71"/>
        <v>攻</v>
      </c>
      <c r="M830" s="12"/>
      <c r="N830" s="12"/>
      <c r="O830" s="12"/>
      <c r="P830" s="12" t="s">
        <v>1145</v>
      </c>
      <c r="Q830" s="12" t="s">
        <v>1146</v>
      </c>
      <c r="U830" s="12" t="s">
        <v>230</v>
      </c>
      <c r="V830" s="12" t="s">
        <v>230</v>
      </c>
      <c r="W830" s="12"/>
      <c r="X830" s="12"/>
    </row>
    <row r="831" spans="2:24" ht="40.5">
      <c r="B831" s="12" t="s">
        <v>1133</v>
      </c>
      <c r="C831" s="12" t="s">
        <v>228</v>
      </c>
      <c r="D831" s="12" t="s">
        <v>235</v>
      </c>
      <c r="E831" s="12" t="s">
        <v>269</v>
      </c>
      <c r="F831" s="12" t="s">
        <v>270</v>
      </c>
      <c r="G831" s="5" t="s">
        <v>1144</v>
      </c>
      <c r="H831" s="12">
        <f t="shared" si="72"/>
        <v>0</v>
      </c>
      <c r="I831" s="12"/>
      <c r="J831" s="12"/>
      <c r="K831" s="12">
        <f t="shared" si="73"/>
        <v>0</v>
      </c>
      <c r="L831" s="12" t="str">
        <f t="shared" si="71"/>
        <v>攻</v>
      </c>
      <c r="M831" s="12"/>
      <c r="N831" s="12"/>
      <c r="O831" s="12"/>
      <c r="P831" s="12" t="s">
        <v>1145</v>
      </c>
      <c r="Q831" s="12" t="s">
        <v>1146</v>
      </c>
      <c r="U831" s="12" t="s">
        <v>230</v>
      </c>
      <c r="V831" s="12" t="s">
        <v>230</v>
      </c>
      <c r="W831" s="12"/>
      <c r="X831" s="12"/>
    </row>
  </sheetData>
  <mergeCells count="3">
    <mergeCell ref="X1:AC5"/>
    <mergeCell ref="X6:AC6"/>
    <mergeCell ref="X14:AG14"/>
  </mergeCells>
  <phoneticPr fontId="1" type="noConversion"/>
  <pageMargins left="0.7" right="0.7" top="0.75" bottom="0.75" header="0.3" footer="0.3"/>
  <pageSetup paperSize="9" orientation="portrait" r:id="rId1"/>
  <customProperties>
    <customPr name="DVSECTION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1"/>
  <sheetViews>
    <sheetView workbookViewId="0">
      <selection activeCell="K29" sqref="K29"/>
    </sheetView>
  </sheetViews>
  <sheetFormatPr defaultRowHeight="13.5"/>
  <cols>
    <col min="2" max="3" width="11.375" customWidth="1"/>
    <col min="6" max="6" width="12.5" customWidth="1"/>
  </cols>
  <sheetData>
    <row r="1" spans="1:6" ht="27" customHeight="1">
      <c r="A1" t="s">
        <v>14</v>
      </c>
      <c r="B1" t="s">
        <v>20</v>
      </c>
      <c r="C1" t="s">
        <v>22</v>
      </c>
      <c r="D1" t="s">
        <v>16</v>
      </c>
      <c r="E1" t="s">
        <v>23</v>
      </c>
      <c r="F1" t="s">
        <v>24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K1"/>
  <sheetViews>
    <sheetView workbookViewId="0">
      <selection activeCell="I34" sqref="I34"/>
    </sheetView>
  </sheetViews>
  <sheetFormatPr defaultRowHeight="13.5"/>
  <cols>
    <col min="2" max="2" width="11.5" customWidth="1"/>
    <col min="5" max="5" width="9.875" customWidth="1"/>
  </cols>
  <sheetData>
    <row r="1" spans="1:11">
      <c r="A1" t="s">
        <v>14</v>
      </c>
      <c r="B1" t="s">
        <v>25</v>
      </c>
      <c r="C1" t="s">
        <v>26</v>
      </c>
      <c r="D1" t="s">
        <v>27</v>
      </c>
      <c r="E1" t="s">
        <v>12</v>
      </c>
      <c r="F1" t="s">
        <v>13</v>
      </c>
      <c r="G1" t="s">
        <v>8</v>
      </c>
      <c r="H1" t="s">
        <v>9</v>
      </c>
      <c r="I1" s="2" t="s">
        <v>35</v>
      </c>
      <c r="J1" t="s">
        <v>28</v>
      </c>
      <c r="K1" t="s">
        <v>29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1"/>
  <sheetViews>
    <sheetView topLeftCell="A10" workbookViewId="0">
      <selection activeCell="B8" sqref="B8"/>
    </sheetView>
  </sheetViews>
  <sheetFormatPr defaultRowHeight="13.5"/>
  <sheetData>
    <row r="1" spans="1:7">
      <c r="A1" t="s">
        <v>14</v>
      </c>
      <c r="B1" t="s">
        <v>30</v>
      </c>
      <c r="C1" t="s">
        <v>31</v>
      </c>
      <c r="D1" t="s">
        <v>27</v>
      </c>
      <c r="E1" t="s">
        <v>32</v>
      </c>
      <c r="F1" t="s">
        <v>22</v>
      </c>
      <c r="G1" t="s">
        <v>34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IV9"/>
  <sheetViews>
    <sheetView workbookViewId="0"/>
  </sheetViews>
  <sheetFormatPr defaultRowHeight="13.5"/>
  <sheetData>
    <row r="1" spans="1:256">
      <c r="A1" t="e">
        <f>IF(主角属性字段设计!1:1,"AAAAAH997wA=",0)</f>
        <v>#VALUE!</v>
      </c>
      <c r="B1" t="e">
        <f>AND(主角属性字段设计!A1,"AAAAAH997wE=")</f>
        <v>#VALUE!</v>
      </c>
      <c r="C1" t="e">
        <f>AND(主角属性字段设计!B1,"AAAAAH997wI=")</f>
        <v>#VALUE!</v>
      </c>
      <c r="D1" t="e">
        <f>AND(主角属性字段设计!C1,"AAAAAH997wM=")</f>
        <v>#VALUE!</v>
      </c>
      <c r="E1" t="e">
        <f>AND(主角属性字段设计!D1,"AAAAAH997wQ=")</f>
        <v>#VALUE!</v>
      </c>
      <c r="F1" t="e">
        <f>AND(主角属性字段设计!E1,"AAAAAH997wU=")</f>
        <v>#VALUE!</v>
      </c>
      <c r="G1" t="e">
        <f>AND(主角属性字段设计!F1,"AAAAAH997wY=")</f>
        <v>#VALUE!</v>
      </c>
      <c r="H1" t="e">
        <f>AND(主角属性字段设计!G1,"AAAAAH997wc=")</f>
        <v>#VALUE!</v>
      </c>
      <c r="I1" t="e">
        <f>AND(主角属性字段设计!H1,"AAAAAH997wg=")</f>
        <v>#VALUE!</v>
      </c>
      <c r="J1" t="e">
        <f>AND(主角属性字段设计!I1,"AAAAAH997wk=")</f>
        <v>#VALUE!</v>
      </c>
      <c r="K1" t="e">
        <f>AND(主角属性字段设计!J1,"AAAAAH997wo=")</f>
        <v>#VALUE!</v>
      </c>
      <c r="L1" t="e">
        <f>AND(主角属性字段设计!K1,"AAAAAH997ws=")</f>
        <v>#VALUE!</v>
      </c>
      <c r="M1" t="e">
        <f>AND(主角属性字段设计!L1,"AAAAAH997ww=")</f>
        <v>#VALUE!</v>
      </c>
      <c r="N1" t="e">
        <f>AND(主角属性字段设计!M1,"AAAAAH997w0=")</f>
        <v>#VALUE!</v>
      </c>
      <c r="O1" t="e">
        <f>AND(主角属性字段设计!N1,"AAAAAH997w4=")</f>
        <v>#VALUE!</v>
      </c>
      <c r="P1" t="e">
        <f>AND(主角属性字段设计!O1,"AAAAAH997w8=")</f>
        <v>#VALUE!</v>
      </c>
      <c r="Q1" t="e">
        <f>AND(主角属性字段设计!P1,"AAAAAH997xA=")</f>
        <v>#VALUE!</v>
      </c>
      <c r="R1" t="e">
        <f>AND(主角属性字段设计!U1,"AAAAAH997xE=")</f>
        <v>#VALUE!</v>
      </c>
      <c r="S1" t="e">
        <f>AND(主角属性字段设计!V1,"AAAAAH997xI=")</f>
        <v>#VALUE!</v>
      </c>
      <c r="T1" t="e">
        <f>AND(主角属性字段设计!W24,"AAAAAH997xM=")</f>
        <v>#VALUE!</v>
      </c>
      <c r="U1" t="e">
        <f>AND(主角属性字段设计!X24,"AAAAAH997xQ=")</f>
        <v>#VALUE!</v>
      </c>
      <c r="V1" t="e">
        <f>AND(主角属性字段设计!Y24,"AAAAAH997xU=")</f>
        <v>#VALUE!</v>
      </c>
      <c r="W1" t="e">
        <f>AND(主角属性字段设计!Z24,"AAAAAH997xY=")</f>
        <v>#VALUE!</v>
      </c>
      <c r="X1" t="e">
        <f>AND(主角属性字段设计!AA24,"AAAAAH997xc=")</f>
        <v>#VALUE!</v>
      </c>
      <c r="Y1" t="e">
        <f>AND(主角属性字段设计!AB24,"AAAAAH997xg=")</f>
        <v>#VALUE!</v>
      </c>
      <c r="Z1" t="e">
        <f>AND(主角属性字段设计!AC24,"AAAAAH997xk=")</f>
        <v>#VALUE!</v>
      </c>
      <c r="AA1" t="e">
        <f>AND(主角属性字段设计!AD24,"AAAAAH997xo=")</f>
        <v>#VALUE!</v>
      </c>
      <c r="AB1" t="e">
        <f>AND(#REF!,"AAAAAH997xs=")</f>
        <v>#REF!</v>
      </c>
      <c r="AC1" t="e">
        <f>AND(#REF!,"AAAAAH997xw=")</f>
        <v>#REF!</v>
      </c>
      <c r="AD1" t="e">
        <f>AND(#REF!,"AAAAAH997x0=")</f>
        <v>#REF!</v>
      </c>
      <c r="AE1" t="e">
        <f>AND(#REF!,"AAAAAH997x4=")</f>
        <v>#REF!</v>
      </c>
      <c r="AF1" t="e">
        <f>AND(#REF!,"AAAAAH997x8=")</f>
        <v>#REF!</v>
      </c>
      <c r="AG1" t="e">
        <f>AND(#REF!,"AAAAAH997yA=")</f>
        <v>#REF!</v>
      </c>
      <c r="AH1" t="e">
        <f>AND(#REF!,"AAAAAH997yE=")</f>
        <v>#REF!</v>
      </c>
      <c r="AI1" t="e">
        <f>AND(#REF!,"AAAAAH997yI=")</f>
        <v>#REF!</v>
      </c>
      <c r="AJ1" t="e">
        <f>AND(#REF!,"AAAAAH997yM=")</f>
        <v>#REF!</v>
      </c>
      <c r="AK1" t="e">
        <f>AND(#REF!,"AAAAAH997yQ=")</f>
        <v>#REF!</v>
      </c>
      <c r="AL1" t="e">
        <f>AND(#REF!,"AAAAAH997yU=")</f>
        <v>#REF!</v>
      </c>
      <c r="AM1" t="e">
        <f>AND(#REF!,"AAAAAH997yY=")</f>
        <v>#REF!</v>
      </c>
      <c r="AN1" t="e">
        <f>AND(#REF!,"AAAAAH997yc=")</f>
        <v>#REF!</v>
      </c>
      <c r="AO1" t="e">
        <f>AND(#REF!,"AAAAAH997yg=")</f>
        <v>#REF!</v>
      </c>
      <c r="AP1" t="e">
        <f>AND(#REF!,"AAAAAH997yk=")</f>
        <v>#REF!</v>
      </c>
      <c r="AQ1">
        <f>IF(主角属性字段设计!2:2,"AAAAAH997yo=",0)</f>
        <v>0</v>
      </c>
      <c r="AR1" t="e">
        <f>AND(主角属性字段设计!A2,"AAAAAH997ys=")</f>
        <v>#VALUE!</v>
      </c>
      <c r="AS1" t="e">
        <f>AND(主角属性字段设计!B2,"AAAAAH997yw=")</f>
        <v>#VALUE!</v>
      </c>
      <c r="AT1" t="e">
        <f>AND(主角属性字段设计!C2,"AAAAAH997y0=")</f>
        <v>#VALUE!</v>
      </c>
      <c r="AU1" t="e">
        <f>AND(主角属性字段设计!D2,"AAAAAH997y4=")</f>
        <v>#VALUE!</v>
      </c>
      <c r="AV1" t="e">
        <f>AND(主角属性字段设计!E2,"AAAAAH997y8=")</f>
        <v>#VALUE!</v>
      </c>
      <c r="AW1" t="e">
        <f>AND(主角属性字段设计!F2,"AAAAAH997zA=")</f>
        <v>#VALUE!</v>
      </c>
      <c r="AX1" t="e">
        <f>AND(主角属性字段设计!G2,"AAAAAH997zE=")</f>
        <v>#VALUE!</v>
      </c>
      <c r="AY1" t="e">
        <f>AND(主角属性字段设计!H2,"AAAAAH997zI=")</f>
        <v>#VALUE!</v>
      </c>
      <c r="AZ1" t="e">
        <f>AND(主角属性字段设计!I2,"AAAAAH997zM=")</f>
        <v>#VALUE!</v>
      </c>
      <c r="BA1" t="e">
        <f>AND(主角属性字段设计!J2,"AAAAAH997zQ=")</f>
        <v>#VALUE!</v>
      </c>
      <c r="BB1" t="e">
        <f>AND(主角属性字段设计!K2,"AAAAAH997zU=")</f>
        <v>#VALUE!</v>
      </c>
      <c r="BC1" t="e">
        <f>AND(主角属性字段设计!L2,"AAAAAH997zY=")</f>
        <v>#VALUE!</v>
      </c>
      <c r="BD1" t="e">
        <f>AND(主角属性字段设计!M2,"AAAAAH997zc=")</f>
        <v>#VALUE!</v>
      </c>
      <c r="BE1" t="e">
        <f>AND(主角属性字段设计!N2,"AAAAAH997zg=")</f>
        <v>#VALUE!</v>
      </c>
      <c r="BF1" t="e">
        <f>AND(主角属性字段设计!O2,"AAAAAH997zk=")</f>
        <v>#VALUE!</v>
      </c>
      <c r="BG1" t="e">
        <f>AND(主角属性字段设计!P2,"AAAAAH997zo=")</f>
        <v>#VALUE!</v>
      </c>
      <c r="BH1" t="e">
        <f>AND(主角属性字段设计!U2,"AAAAAH997zs=")</f>
        <v>#VALUE!</v>
      </c>
      <c r="BI1" t="e">
        <f>AND(主角属性字段设计!V2,"AAAAAH997zw=")</f>
        <v>#VALUE!</v>
      </c>
      <c r="BJ1" t="e">
        <f>AND(主角属性字段设计!W25,"AAAAAH997z0=")</f>
        <v>#VALUE!</v>
      </c>
      <c r="BK1" t="e">
        <f>AND(主角属性字段设计!X25,"AAAAAH997z4=")</f>
        <v>#VALUE!</v>
      </c>
      <c r="BL1" t="e">
        <f>AND(主角属性字段设计!Y25,"AAAAAH997z8=")</f>
        <v>#VALUE!</v>
      </c>
      <c r="BM1" t="e">
        <f>AND(主角属性字段设计!Z25,"AAAAAH9970A=")</f>
        <v>#VALUE!</v>
      </c>
      <c r="BN1" t="e">
        <f>AND(主角属性字段设计!AA25,"AAAAAH9970E=")</f>
        <v>#VALUE!</v>
      </c>
      <c r="BO1" t="e">
        <f>AND(主角属性字段设计!AB25,"AAAAAH9970I=")</f>
        <v>#VALUE!</v>
      </c>
      <c r="BP1" t="e">
        <f>AND(主角属性字段设计!AC25,"AAAAAH9970M=")</f>
        <v>#VALUE!</v>
      </c>
      <c r="BQ1" t="e">
        <f>AND(主角属性字段设计!AD25,"AAAAAH9970Q=")</f>
        <v>#VALUE!</v>
      </c>
      <c r="BR1" t="e">
        <f>AND(#REF!,"AAAAAH9970U=")</f>
        <v>#REF!</v>
      </c>
      <c r="BS1" t="e">
        <f>AND(#REF!,"AAAAAH9970Y=")</f>
        <v>#REF!</v>
      </c>
      <c r="BT1" t="e">
        <f>AND(#REF!,"AAAAAH9970c=")</f>
        <v>#REF!</v>
      </c>
      <c r="BU1" t="e">
        <f>AND(#REF!,"AAAAAH9970g=")</f>
        <v>#REF!</v>
      </c>
      <c r="BV1" t="e">
        <f>AND(#REF!,"AAAAAH9970k=")</f>
        <v>#REF!</v>
      </c>
      <c r="BW1" t="e">
        <f>AND(#REF!,"AAAAAH9970o=")</f>
        <v>#REF!</v>
      </c>
      <c r="BX1" t="e">
        <f>AND(#REF!,"AAAAAH9970s=")</f>
        <v>#REF!</v>
      </c>
      <c r="BY1" t="e">
        <f>AND(#REF!,"AAAAAH9970w=")</f>
        <v>#REF!</v>
      </c>
      <c r="BZ1" t="e">
        <f>AND(#REF!,"AAAAAH99700=")</f>
        <v>#REF!</v>
      </c>
      <c r="CA1" t="e">
        <f>AND(#REF!,"AAAAAH99704=")</f>
        <v>#REF!</v>
      </c>
      <c r="CB1" t="e">
        <f>AND(#REF!,"AAAAAH99708=")</f>
        <v>#REF!</v>
      </c>
      <c r="CC1" t="e">
        <f>AND(#REF!,"AAAAAH9971A=")</f>
        <v>#REF!</v>
      </c>
      <c r="CD1" t="e">
        <f>AND(#REF!,"AAAAAH9971E=")</f>
        <v>#REF!</v>
      </c>
      <c r="CE1" t="e">
        <f>AND(#REF!,"AAAAAH9971I=")</f>
        <v>#REF!</v>
      </c>
      <c r="CF1" t="e">
        <f>AND(#REF!,"AAAAAH9971M=")</f>
        <v>#REF!</v>
      </c>
      <c r="CG1">
        <f>IF(主角属性字段设计!3:3,"AAAAAH9971Q=",0)</f>
        <v>0</v>
      </c>
      <c r="CH1" t="e">
        <f>AND(主角属性字段设计!A3,"AAAAAH9971U=")</f>
        <v>#VALUE!</v>
      </c>
      <c r="CI1" t="e">
        <f>AND(主角属性字段设计!B3,"AAAAAH9971Y=")</f>
        <v>#VALUE!</v>
      </c>
      <c r="CJ1" t="e">
        <f>AND(主角属性字段设计!C3,"AAAAAH9971c=")</f>
        <v>#VALUE!</v>
      </c>
      <c r="CK1" t="e">
        <f>AND(主角属性字段设计!D3,"AAAAAH9971g=")</f>
        <v>#VALUE!</v>
      </c>
      <c r="CL1" t="e">
        <f>AND(主角属性字段设计!E3,"AAAAAH9971k=")</f>
        <v>#VALUE!</v>
      </c>
      <c r="CM1" t="e">
        <f>AND(主角属性字段设计!F3,"AAAAAH9971o=")</f>
        <v>#VALUE!</v>
      </c>
      <c r="CN1" t="e">
        <f>AND(主角属性字段设计!G3,"AAAAAH9971s=")</f>
        <v>#VALUE!</v>
      </c>
      <c r="CO1" t="e">
        <f>AND(主角属性字段设计!H3,"AAAAAH9971w=")</f>
        <v>#VALUE!</v>
      </c>
      <c r="CP1" t="e">
        <f>AND(主角属性字段设计!I3,"AAAAAH99710=")</f>
        <v>#VALUE!</v>
      </c>
      <c r="CQ1" t="e">
        <f>AND(主角属性字段设计!J3,"AAAAAH99714=")</f>
        <v>#VALUE!</v>
      </c>
      <c r="CR1" t="e">
        <f>AND(主角属性字段设计!K3,"AAAAAH99718=")</f>
        <v>#VALUE!</v>
      </c>
      <c r="CS1" t="e">
        <f>AND(主角属性字段设计!L3,"AAAAAH9972A=")</f>
        <v>#VALUE!</v>
      </c>
      <c r="CT1" t="e">
        <f>AND(主角属性字段设计!M3,"AAAAAH9972E=")</f>
        <v>#VALUE!</v>
      </c>
      <c r="CU1" t="e">
        <f>AND(主角属性字段设计!N3,"AAAAAH9972I=")</f>
        <v>#VALUE!</v>
      </c>
      <c r="CV1" t="e">
        <f>AND(主角属性字段设计!O3,"AAAAAH9972M=")</f>
        <v>#VALUE!</v>
      </c>
      <c r="CW1" t="e">
        <f>AND(主角属性字段设计!P3,"AAAAAH9972Q=")</f>
        <v>#VALUE!</v>
      </c>
      <c r="CX1" t="e">
        <f>AND(主角属性字段设计!U3,"AAAAAH9972U=")</f>
        <v>#VALUE!</v>
      </c>
      <c r="CY1" t="e">
        <f>AND(主角属性字段设计!V3,"AAAAAH9972Y=")</f>
        <v>#VALUE!</v>
      </c>
      <c r="CZ1" t="e">
        <f>AND(主角属性字段设计!W26,"AAAAAH9972c=")</f>
        <v>#VALUE!</v>
      </c>
      <c r="DA1" t="e">
        <f>AND(主角属性字段设计!X26,"AAAAAH9972g=")</f>
        <v>#VALUE!</v>
      </c>
      <c r="DB1" t="e">
        <f>AND(主角属性字段设计!Y26,"AAAAAH9972k=")</f>
        <v>#VALUE!</v>
      </c>
      <c r="DC1" t="e">
        <f>AND(主角属性字段设计!Z26,"AAAAAH9972o=")</f>
        <v>#VALUE!</v>
      </c>
      <c r="DD1" t="e">
        <f>AND(主角属性字段设计!AA26,"AAAAAH9972s=")</f>
        <v>#VALUE!</v>
      </c>
      <c r="DE1" t="e">
        <f>AND(主角属性字段设计!AB26,"AAAAAH9972w=")</f>
        <v>#VALUE!</v>
      </c>
      <c r="DF1" t="e">
        <f>AND(主角属性字段设计!AC26,"AAAAAH99720=")</f>
        <v>#VALUE!</v>
      </c>
      <c r="DG1" t="e">
        <f>AND(主角属性字段设计!AD26,"AAAAAH99724=")</f>
        <v>#VALUE!</v>
      </c>
      <c r="DH1" t="e">
        <f>AND(#REF!,"AAAAAH99728=")</f>
        <v>#REF!</v>
      </c>
      <c r="DI1" t="e">
        <f>AND(#REF!,"AAAAAH9973A=")</f>
        <v>#REF!</v>
      </c>
      <c r="DJ1" t="e">
        <f>AND(#REF!,"AAAAAH9973E=")</f>
        <v>#REF!</v>
      </c>
      <c r="DK1" t="e">
        <f>AND(#REF!,"AAAAAH9973I=")</f>
        <v>#REF!</v>
      </c>
      <c r="DL1" t="e">
        <f>AND(#REF!,"AAAAAH9973M=")</f>
        <v>#REF!</v>
      </c>
      <c r="DM1" t="e">
        <f>AND(#REF!,"AAAAAH9973Q=")</f>
        <v>#REF!</v>
      </c>
      <c r="DN1" t="e">
        <f>AND(#REF!,"AAAAAH9973U=")</f>
        <v>#REF!</v>
      </c>
      <c r="DO1" t="e">
        <f>AND(#REF!,"AAAAAH9973Y=")</f>
        <v>#REF!</v>
      </c>
      <c r="DP1" t="e">
        <f>AND(#REF!,"AAAAAH9973c=")</f>
        <v>#REF!</v>
      </c>
      <c r="DQ1" t="e">
        <f>AND(#REF!,"AAAAAH9973g=")</f>
        <v>#REF!</v>
      </c>
      <c r="DR1" t="e">
        <f>AND(#REF!,"AAAAAH9973k=")</f>
        <v>#REF!</v>
      </c>
      <c r="DS1" t="e">
        <f>AND(#REF!,"AAAAAH9973o=")</f>
        <v>#REF!</v>
      </c>
      <c r="DT1" t="e">
        <f>AND(#REF!,"AAAAAH9973s=")</f>
        <v>#REF!</v>
      </c>
      <c r="DU1" t="e">
        <f>AND(#REF!,"AAAAAH9973w=")</f>
        <v>#REF!</v>
      </c>
      <c r="DV1" t="e">
        <f>AND(#REF!,"AAAAAH99730=")</f>
        <v>#REF!</v>
      </c>
      <c r="DW1">
        <f>IF(主角属性字段设计!4:4,"AAAAAH99734=",0)</f>
        <v>0</v>
      </c>
      <c r="DX1" t="e">
        <f>AND(主角属性字段设计!A4,"AAAAAH99738=")</f>
        <v>#VALUE!</v>
      </c>
      <c r="DY1" t="e">
        <f>AND(主角属性字段设计!B4,"AAAAAH9974A=")</f>
        <v>#VALUE!</v>
      </c>
      <c r="DZ1" t="e">
        <f>AND(主角属性字段设计!C4,"AAAAAH9974E=")</f>
        <v>#VALUE!</v>
      </c>
      <c r="EA1" t="e">
        <f>AND(主角属性字段设计!D4,"AAAAAH9974I=")</f>
        <v>#VALUE!</v>
      </c>
      <c r="EB1" t="e">
        <f>AND(主角属性字段设计!E4,"AAAAAH9974M=")</f>
        <v>#VALUE!</v>
      </c>
      <c r="EC1" t="e">
        <f>AND(主角属性字段设计!F4,"AAAAAH9974Q=")</f>
        <v>#VALUE!</v>
      </c>
      <c r="ED1" t="e">
        <f>AND(主角属性字段设计!G4,"AAAAAH9974U=")</f>
        <v>#VALUE!</v>
      </c>
      <c r="EE1" t="e">
        <f>AND(主角属性字段设计!H4,"AAAAAH9974Y=")</f>
        <v>#VALUE!</v>
      </c>
      <c r="EF1" t="e">
        <f>AND(主角属性字段设计!I4,"AAAAAH9974c=")</f>
        <v>#VALUE!</v>
      </c>
      <c r="EG1" t="e">
        <f>AND(主角属性字段设计!J4,"AAAAAH9974g=")</f>
        <v>#VALUE!</v>
      </c>
      <c r="EH1" t="e">
        <f>AND(主角属性字段设计!K4,"AAAAAH9974k=")</f>
        <v>#VALUE!</v>
      </c>
      <c r="EI1" t="e">
        <f>AND(主角属性字段设计!L4,"AAAAAH9974o=")</f>
        <v>#VALUE!</v>
      </c>
      <c r="EJ1" t="e">
        <f>AND(主角属性字段设计!M4,"AAAAAH9974s=")</f>
        <v>#VALUE!</v>
      </c>
      <c r="EK1" t="e">
        <f>AND(主角属性字段设计!N4,"AAAAAH9974w=")</f>
        <v>#VALUE!</v>
      </c>
      <c r="EL1" t="e">
        <f>AND(主角属性字段设计!O4,"AAAAAH99740=")</f>
        <v>#VALUE!</v>
      </c>
      <c r="EM1" t="e">
        <f>AND(主角属性字段设计!P4,"AAAAAH99744=")</f>
        <v>#VALUE!</v>
      </c>
      <c r="EN1" t="e">
        <f>AND(主角属性字段设计!U4,"AAAAAH99748=")</f>
        <v>#VALUE!</v>
      </c>
      <c r="EO1" t="e">
        <f>AND(主角属性字段设计!V4,"AAAAAH9975A=")</f>
        <v>#VALUE!</v>
      </c>
      <c r="EP1" t="e">
        <f>AND(主角属性字段设计!W27,"AAAAAH9975E=")</f>
        <v>#VALUE!</v>
      </c>
      <c r="EQ1" t="e">
        <f>AND(主角属性字段设计!X27,"AAAAAH9975I=")</f>
        <v>#VALUE!</v>
      </c>
      <c r="ER1" t="e">
        <f>AND(主角属性字段设计!Y27,"AAAAAH9975M=")</f>
        <v>#VALUE!</v>
      </c>
      <c r="ES1" t="e">
        <f>AND(主角属性字段设计!Z27,"AAAAAH9975Q=")</f>
        <v>#VALUE!</v>
      </c>
      <c r="ET1" t="e">
        <f>AND(主角属性字段设计!AA27,"AAAAAH9975U=")</f>
        <v>#VALUE!</v>
      </c>
      <c r="EU1" t="e">
        <f>AND(主角属性字段设计!AB27,"AAAAAH9975Y=")</f>
        <v>#VALUE!</v>
      </c>
      <c r="EV1" t="e">
        <f>AND(主角属性字段设计!AC27,"AAAAAH9975c=")</f>
        <v>#VALUE!</v>
      </c>
      <c r="EW1" t="e">
        <f>AND(主角属性字段设计!AD27,"AAAAAH9975g=")</f>
        <v>#VALUE!</v>
      </c>
      <c r="EX1" t="e">
        <f>AND(#REF!,"AAAAAH9975k=")</f>
        <v>#REF!</v>
      </c>
      <c r="EY1" t="e">
        <f>AND(#REF!,"AAAAAH9975o=")</f>
        <v>#REF!</v>
      </c>
      <c r="EZ1" t="e">
        <f>AND(#REF!,"AAAAAH9975s=")</f>
        <v>#REF!</v>
      </c>
      <c r="FA1" t="e">
        <f>AND(#REF!,"AAAAAH9975w=")</f>
        <v>#REF!</v>
      </c>
      <c r="FB1" t="e">
        <f>AND(#REF!,"AAAAAH99750=")</f>
        <v>#REF!</v>
      </c>
      <c r="FC1" t="e">
        <f>AND(#REF!,"AAAAAH99754=")</f>
        <v>#REF!</v>
      </c>
      <c r="FD1" t="e">
        <f>AND(#REF!,"AAAAAH99758=")</f>
        <v>#REF!</v>
      </c>
      <c r="FE1" t="e">
        <f>AND(#REF!,"AAAAAH9976A=")</f>
        <v>#REF!</v>
      </c>
      <c r="FF1" t="e">
        <f>AND(#REF!,"AAAAAH9976E=")</f>
        <v>#REF!</v>
      </c>
      <c r="FG1" t="e">
        <f>AND(#REF!,"AAAAAH9976I=")</f>
        <v>#REF!</v>
      </c>
      <c r="FH1" t="e">
        <f>AND(#REF!,"AAAAAH9976M=")</f>
        <v>#REF!</v>
      </c>
      <c r="FI1" t="e">
        <f>AND(#REF!,"AAAAAH9976Q=")</f>
        <v>#REF!</v>
      </c>
      <c r="FJ1" t="e">
        <f>AND(#REF!,"AAAAAH9976U=")</f>
        <v>#REF!</v>
      </c>
      <c r="FK1" t="e">
        <f>AND(#REF!,"AAAAAH9976Y=")</f>
        <v>#REF!</v>
      </c>
      <c r="FL1" t="e">
        <f>AND(#REF!,"AAAAAH9976c=")</f>
        <v>#REF!</v>
      </c>
      <c r="FM1">
        <f>IF(主角属性字段设计!5:5,"AAAAAH9976g=",0)</f>
        <v>0</v>
      </c>
      <c r="FN1" t="e">
        <f>AND(主角属性字段设计!A5,"AAAAAH9976k=")</f>
        <v>#VALUE!</v>
      </c>
      <c r="FO1" t="e">
        <f>AND(主角属性字段设计!B5,"AAAAAH9976o=")</f>
        <v>#VALUE!</v>
      </c>
      <c r="FP1" t="e">
        <f>AND(主角属性字段设计!C5,"AAAAAH9976s=")</f>
        <v>#VALUE!</v>
      </c>
      <c r="FQ1" t="e">
        <f>AND(主角属性字段设计!D5,"AAAAAH9976w=")</f>
        <v>#VALUE!</v>
      </c>
      <c r="FR1" t="e">
        <f>AND(主角属性字段设计!E5,"AAAAAH99760=")</f>
        <v>#VALUE!</v>
      </c>
      <c r="FS1" t="e">
        <f>AND(主角属性字段设计!F5,"AAAAAH99764=")</f>
        <v>#VALUE!</v>
      </c>
      <c r="FT1" t="e">
        <f>AND(主角属性字段设计!G5,"AAAAAH99768=")</f>
        <v>#VALUE!</v>
      </c>
      <c r="FU1" t="e">
        <f>AND(主角属性字段设计!H5,"AAAAAH9977A=")</f>
        <v>#VALUE!</v>
      </c>
      <c r="FV1" t="e">
        <f>AND(主角属性字段设计!I5,"AAAAAH9977E=")</f>
        <v>#VALUE!</v>
      </c>
      <c r="FW1" t="e">
        <f>AND(主角属性字段设计!J5,"AAAAAH9977I=")</f>
        <v>#VALUE!</v>
      </c>
      <c r="FX1" t="e">
        <f>AND(主角属性字段设计!K5,"AAAAAH9977M=")</f>
        <v>#VALUE!</v>
      </c>
      <c r="FY1" t="e">
        <f>AND(主角属性字段设计!L5,"AAAAAH9977Q=")</f>
        <v>#VALUE!</v>
      </c>
      <c r="FZ1" t="e">
        <f>AND(主角属性字段设计!M5,"AAAAAH9977U=")</f>
        <v>#VALUE!</v>
      </c>
      <c r="GA1" t="e">
        <f>AND(主角属性字段设计!N5,"AAAAAH9977Y=")</f>
        <v>#VALUE!</v>
      </c>
      <c r="GB1" t="e">
        <f>AND(主角属性字段设计!O5,"AAAAAH9977c=")</f>
        <v>#VALUE!</v>
      </c>
      <c r="GC1" t="e">
        <f>AND(主角属性字段设计!P5,"AAAAAH9977g=")</f>
        <v>#VALUE!</v>
      </c>
      <c r="GD1" t="e">
        <f>AND(主角属性字段设计!U5,"AAAAAH9977k=")</f>
        <v>#VALUE!</v>
      </c>
      <c r="GE1" t="e">
        <f>AND(主角属性字段设计!V5,"AAAAAH9977o=")</f>
        <v>#VALUE!</v>
      </c>
      <c r="GF1" t="e">
        <f>AND(主角属性字段设计!W28,"AAAAAH9977s=")</f>
        <v>#VALUE!</v>
      </c>
      <c r="GG1" t="e">
        <f>AND(主角属性字段设计!X28,"AAAAAH9977w=")</f>
        <v>#VALUE!</v>
      </c>
      <c r="GH1" t="e">
        <f>AND(主角属性字段设计!Y28,"AAAAAH99770=")</f>
        <v>#VALUE!</v>
      </c>
      <c r="GI1" t="e">
        <f>AND(主角属性字段设计!Z28,"AAAAAH99774=")</f>
        <v>#VALUE!</v>
      </c>
      <c r="GJ1" t="e">
        <f>AND(主角属性字段设计!AA28,"AAAAAH99778=")</f>
        <v>#VALUE!</v>
      </c>
      <c r="GK1" t="e">
        <f>AND(主角属性字段设计!AB28,"AAAAAH9978A=")</f>
        <v>#VALUE!</v>
      </c>
      <c r="GL1" t="e">
        <f>AND(主角属性字段设计!AC28,"AAAAAH9978E=")</f>
        <v>#VALUE!</v>
      </c>
      <c r="GM1" t="e">
        <f>AND(主角属性字段设计!AD28,"AAAAAH9978I=")</f>
        <v>#VALUE!</v>
      </c>
      <c r="GN1" t="e">
        <f>AND(#REF!,"AAAAAH9978M=")</f>
        <v>#REF!</v>
      </c>
      <c r="GO1" t="e">
        <f>AND(#REF!,"AAAAAH9978Q=")</f>
        <v>#REF!</v>
      </c>
      <c r="GP1" t="e">
        <f>AND(#REF!,"AAAAAH9978U=")</f>
        <v>#REF!</v>
      </c>
      <c r="GQ1" t="e">
        <f>AND(#REF!,"AAAAAH9978Y=")</f>
        <v>#REF!</v>
      </c>
      <c r="GR1" t="e">
        <f>AND(#REF!,"AAAAAH9978c=")</f>
        <v>#REF!</v>
      </c>
      <c r="GS1" t="e">
        <f>AND(#REF!,"AAAAAH9978g=")</f>
        <v>#REF!</v>
      </c>
      <c r="GT1" t="e">
        <f>AND(#REF!,"AAAAAH9978k=")</f>
        <v>#REF!</v>
      </c>
      <c r="GU1" t="e">
        <f>AND(#REF!,"AAAAAH9978o=")</f>
        <v>#REF!</v>
      </c>
      <c r="GV1" t="e">
        <f>AND(#REF!,"AAAAAH9978s=")</f>
        <v>#REF!</v>
      </c>
      <c r="GW1" t="e">
        <f>AND(#REF!,"AAAAAH9978w=")</f>
        <v>#REF!</v>
      </c>
      <c r="GX1" t="e">
        <f>AND(#REF!,"AAAAAH99780=")</f>
        <v>#REF!</v>
      </c>
      <c r="GY1" t="e">
        <f>AND(#REF!,"AAAAAH99784=")</f>
        <v>#REF!</v>
      </c>
      <c r="GZ1" t="e">
        <f>AND(#REF!,"AAAAAH99788=")</f>
        <v>#REF!</v>
      </c>
      <c r="HA1" t="e">
        <f>AND(#REF!,"AAAAAH9979A=")</f>
        <v>#REF!</v>
      </c>
      <c r="HB1" t="e">
        <f>AND(#REF!,"AAAAAH9979E=")</f>
        <v>#REF!</v>
      </c>
      <c r="HC1">
        <f>IF(主角属性字段设计!6:6,"AAAAAH9979I=",0)</f>
        <v>0</v>
      </c>
      <c r="HD1" t="e">
        <f>AND(主角属性字段设计!A6,"AAAAAH9979M=")</f>
        <v>#VALUE!</v>
      </c>
      <c r="HE1" t="e">
        <f>AND(主角属性字段设计!B6,"AAAAAH9979Q=")</f>
        <v>#VALUE!</v>
      </c>
      <c r="HF1" t="e">
        <f>AND(主角属性字段设计!C6,"AAAAAH9979U=")</f>
        <v>#VALUE!</v>
      </c>
      <c r="HG1" t="e">
        <f>AND(主角属性字段设计!D6,"AAAAAH9979Y=")</f>
        <v>#VALUE!</v>
      </c>
      <c r="HH1" t="e">
        <f>AND(主角属性字段设计!E6,"AAAAAH9979c=")</f>
        <v>#VALUE!</v>
      </c>
      <c r="HI1" t="e">
        <f>AND(主角属性字段设计!F6,"AAAAAH9979g=")</f>
        <v>#VALUE!</v>
      </c>
      <c r="HJ1" t="e">
        <f>AND(主角属性字段设计!G6,"AAAAAH9979k=")</f>
        <v>#VALUE!</v>
      </c>
      <c r="HK1" t="e">
        <f>AND(主角属性字段设计!H6,"AAAAAH9979o=")</f>
        <v>#VALUE!</v>
      </c>
      <c r="HL1" t="e">
        <f>AND(主角属性字段设计!I6,"AAAAAH9979s=")</f>
        <v>#VALUE!</v>
      </c>
      <c r="HM1" t="e">
        <f>AND(主角属性字段设计!J6,"AAAAAH9979w=")</f>
        <v>#VALUE!</v>
      </c>
      <c r="HN1" t="e">
        <f>AND(主角属性字段设计!K6,"AAAAAH99790=")</f>
        <v>#VALUE!</v>
      </c>
      <c r="HO1" t="e">
        <f>AND(主角属性字段设计!L6,"AAAAAH99794=")</f>
        <v>#VALUE!</v>
      </c>
      <c r="HP1" t="e">
        <f>AND(主角属性字段设计!M6,"AAAAAH99798=")</f>
        <v>#VALUE!</v>
      </c>
      <c r="HQ1" t="e">
        <f>AND(主角属性字段设计!N6,"AAAAAH997+A=")</f>
        <v>#VALUE!</v>
      </c>
      <c r="HR1" t="e">
        <f>AND(主角属性字段设计!O6,"AAAAAH997+E=")</f>
        <v>#VALUE!</v>
      </c>
      <c r="HS1" t="e">
        <f>AND(主角属性字段设计!P6,"AAAAAH997+I=")</f>
        <v>#VALUE!</v>
      </c>
      <c r="HT1" t="e">
        <f>AND(主角属性字段设计!U6,"AAAAAH997+M=")</f>
        <v>#VALUE!</v>
      </c>
      <c r="HU1" t="e">
        <f>AND(主角属性字段设计!V6,"AAAAAH997+Q=")</f>
        <v>#VALUE!</v>
      </c>
      <c r="HV1" t="e">
        <f>AND(主角属性字段设计!W29,"AAAAAH997+U=")</f>
        <v>#VALUE!</v>
      </c>
      <c r="HW1" t="e">
        <f>AND(主角属性字段设计!X29,"AAAAAH997+Y=")</f>
        <v>#VALUE!</v>
      </c>
      <c r="HX1" t="e">
        <f>AND(主角属性字段设计!Y29,"AAAAAH997+c=")</f>
        <v>#VALUE!</v>
      </c>
      <c r="HY1" t="e">
        <f>AND(主角属性字段设计!Z29,"AAAAAH997+g=")</f>
        <v>#VALUE!</v>
      </c>
      <c r="HZ1" t="e">
        <f>AND(主角属性字段设计!AA29,"AAAAAH997+k=")</f>
        <v>#VALUE!</v>
      </c>
      <c r="IA1" t="e">
        <f>AND(主角属性字段设计!AB29,"AAAAAH997+o=")</f>
        <v>#VALUE!</v>
      </c>
      <c r="IB1" t="e">
        <f>AND(主角属性字段设计!AC29,"AAAAAH997+s=")</f>
        <v>#VALUE!</v>
      </c>
      <c r="IC1" t="e">
        <f>AND(主角属性字段设计!AD29,"AAAAAH997+w=")</f>
        <v>#VALUE!</v>
      </c>
      <c r="ID1" t="e">
        <f>AND(#REF!,"AAAAAH997+0=")</f>
        <v>#REF!</v>
      </c>
      <c r="IE1" t="e">
        <f>AND(#REF!,"AAAAAH997+4=")</f>
        <v>#REF!</v>
      </c>
      <c r="IF1" t="e">
        <f>AND(#REF!,"AAAAAH997+8=")</f>
        <v>#REF!</v>
      </c>
      <c r="IG1" t="e">
        <f>AND(#REF!,"AAAAAH997/A=")</f>
        <v>#REF!</v>
      </c>
      <c r="IH1" t="e">
        <f>AND(#REF!,"AAAAAH997/E=")</f>
        <v>#REF!</v>
      </c>
      <c r="II1" t="e">
        <f>AND(#REF!,"AAAAAH997/I=")</f>
        <v>#REF!</v>
      </c>
      <c r="IJ1" t="e">
        <f>AND(#REF!,"AAAAAH997/M=")</f>
        <v>#REF!</v>
      </c>
      <c r="IK1" t="e">
        <f>AND(#REF!,"AAAAAH997/Q=")</f>
        <v>#REF!</v>
      </c>
      <c r="IL1" t="e">
        <f>AND(#REF!,"AAAAAH997/U=")</f>
        <v>#REF!</v>
      </c>
      <c r="IM1" t="e">
        <f>AND(#REF!,"AAAAAH997/Y=")</f>
        <v>#REF!</v>
      </c>
      <c r="IN1" t="e">
        <f>AND(#REF!,"AAAAAH997/c=")</f>
        <v>#REF!</v>
      </c>
      <c r="IO1" t="e">
        <f>AND(#REF!,"AAAAAH997/g=")</f>
        <v>#REF!</v>
      </c>
      <c r="IP1" t="e">
        <f>AND(#REF!,"AAAAAH997/k=")</f>
        <v>#REF!</v>
      </c>
      <c r="IQ1" t="e">
        <f>AND(#REF!,"AAAAAH997/o=")</f>
        <v>#REF!</v>
      </c>
      <c r="IR1" t="e">
        <f>AND(#REF!,"AAAAAH997/s=")</f>
        <v>#REF!</v>
      </c>
      <c r="IS1">
        <f>IF(主角属性字段设计!7:7,"AAAAAH997/w=",0)</f>
        <v>0</v>
      </c>
      <c r="IT1" t="e">
        <f>AND(主角属性字段设计!A7,"AAAAAH997/0=")</f>
        <v>#VALUE!</v>
      </c>
      <c r="IU1" t="e">
        <f>AND(主角属性字段设计!B7,"AAAAAH997/4=")</f>
        <v>#VALUE!</v>
      </c>
      <c r="IV1" t="e">
        <f>AND(主角属性字段设计!C7,"AAAAAH997/8=")</f>
        <v>#VALUE!</v>
      </c>
    </row>
    <row r="2" spans="1:256">
      <c r="A2" t="e">
        <f>AND(主角属性字段设计!D7,"AAAAAH/sfwA=")</f>
        <v>#VALUE!</v>
      </c>
      <c r="B2" t="e">
        <f>AND(主角属性字段设计!E7,"AAAAAH/sfwE=")</f>
        <v>#VALUE!</v>
      </c>
      <c r="C2" t="e">
        <f>AND(主角属性字段设计!F7,"AAAAAH/sfwI=")</f>
        <v>#VALUE!</v>
      </c>
      <c r="D2" t="e">
        <f>AND(主角属性字段设计!G7,"AAAAAH/sfwM=")</f>
        <v>#VALUE!</v>
      </c>
      <c r="E2" t="e">
        <f>AND(主角属性字段设计!H7,"AAAAAH/sfwQ=")</f>
        <v>#VALUE!</v>
      </c>
      <c r="F2" t="e">
        <f>AND(主角属性字段设计!I7,"AAAAAH/sfwU=")</f>
        <v>#VALUE!</v>
      </c>
      <c r="G2" t="e">
        <f>AND(主角属性字段设计!J7,"AAAAAH/sfwY=")</f>
        <v>#VALUE!</v>
      </c>
      <c r="H2" t="e">
        <f>AND(主角属性字段设计!K7,"AAAAAH/sfwc=")</f>
        <v>#VALUE!</v>
      </c>
      <c r="I2" t="e">
        <f>AND(主角属性字段设计!L7,"AAAAAH/sfwg=")</f>
        <v>#VALUE!</v>
      </c>
      <c r="J2" t="e">
        <f>AND(主角属性字段设计!M7,"AAAAAH/sfwk=")</f>
        <v>#VALUE!</v>
      </c>
      <c r="K2" t="e">
        <f>AND(主角属性字段设计!N7,"AAAAAH/sfwo=")</f>
        <v>#VALUE!</v>
      </c>
      <c r="L2" t="e">
        <f>AND(主角属性字段设计!O7,"AAAAAH/sfws=")</f>
        <v>#VALUE!</v>
      </c>
      <c r="M2" t="e">
        <f>AND(主角属性字段设计!P7,"AAAAAH/sfww=")</f>
        <v>#VALUE!</v>
      </c>
      <c r="N2" t="e">
        <f>AND(主角属性字段设计!U7,"AAAAAH/sfw0=")</f>
        <v>#VALUE!</v>
      </c>
      <c r="O2" t="e">
        <f>AND(主角属性字段设计!V7,"AAAAAH/sfw4=")</f>
        <v>#VALUE!</v>
      </c>
      <c r="P2" t="e">
        <f>AND(主角属性字段设计!W30,"AAAAAH/sfw8=")</f>
        <v>#VALUE!</v>
      </c>
      <c r="Q2" t="e">
        <f>AND(主角属性字段设计!X30,"AAAAAH/sfxA=")</f>
        <v>#VALUE!</v>
      </c>
      <c r="R2" t="e">
        <f>AND(主角属性字段设计!Y30,"AAAAAH/sfxE=")</f>
        <v>#VALUE!</v>
      </c>
      <c r="S2" t="e">
        <f>AND(主角属性字段设计!Z30,"AAAAAH/sfxI=")</f>
        <v>#VALUE!</v>
      </c>
      <c r="T2" t="e">
        <f>AND(主角属性字段设计!AA30,"AAAAAH/sfxM=")</f>
        <v>#VALUE!</v>
      </c>
      <c r="U2" t="e">
        <f>AND(主角属性字段设计!AB30,"AAAAAH/sfxQ=")</f>
        <v>#VALUE!</v>
      </c>
      <c r="V2" t="e">
        <f>AND(主角属性字段设计!AC30,"AAAAAH/sfxU=")</f>
        <v>#VALUE!</v>
      </c>
      <c r="W2" t="e">
        <f>AND(主角属性字段设计!AD30,"AAAAAH/sfxY=")</f>
        <v>#VALUE!</v>
      </c>
      <c r="X2" t="e">
        <f>AND(#REF!,"AAAAAH/sfxc=")</f>
        <v>#REF!</v>
      </c>
      <c r="Y2" t="e">
        <f>AND(#REF!,"AAAAAH/sfxg=")</f>
        <v>#REF!</v>
      </c>
      <c r="Z2" t="e">
        <f>AND(#REF!,"AAAAAH/sfxk=")</f>
        <v>#REF!</v>
      </c>
      <c r="AA2" t="e">
        <f>AND(#REF!,"AAAAAH/sfxo=")</f>
        <v>#REF!</v>
      </c>
      <c r="AB2" t="e">
        <f>AND(#REF!,"AAAAAH/sfxs=")</f>
        <v>#REF!</v>
      </c>
      <c r="AC2" t="e">
        <f>AND(#REF!,"AAAAAH/sfxw=")</f>
        <v>#REF!</v>
      </c>
      <c r="AD2" t="e">
        <f>AND(#REF!,"AAAAAH/sfx0=")</f>
        <v>#REF!</v>
      </c>
      <c r="AE2" t="e">
        <f>AND(#REF!,"AAAAAH/sfx4=")</f>
        <v>#REF!</v>
      </c>
      <c r="AF2" t="e">
        <f>AND(#REF!,"AAAAAH/sfx8=")</f>
        <v>#REF!</v>
      </c>
      <c r="AG2" t="e">
        <f>AND(#REF!,"AAAAAH/sfyA=")</f>
        <v>#REF!</v>
      </c>
      <c r="AH2" t="e">
        <f>AND(#REF!,"AAAAAH/sfyE=")</f>
        <v>#REF!</v>
      </c>
      <c r="AI2" t="e">
        <f>AND(#REF!,"AAAAAH/sfyI=")</f>
        <v>#REF!</v>
      </c>
      <c r="AJ2" t="e">
        <f>AND(#REF!,"AAAAAH/sfyM=")</f>
        <v>#REF!</v>
      </c>
      <c r="AK2" t="e">
        <f>AND(#REF!,"AAAAAH/sfyQ=")</f>
        <v>#REF!</v>
      </c>
      <c r="AL2" t="e">
        <f>AND(#REF!,"AAAAAH/sfyU=")</f>
        <v>#REF!</v>
      </c>
      <c r="AM2">
        <f>IF(主角属性字段设计!8:8,"AAAAAH/sfyY=",0)</f>
        <v>0</v>
      </c>
      <c r="AN2" t="e">
        <f>AND(主角属性字段设计!A8,"AAAAAH/sfyc=")</f>
        <v>#VALUE!</v>
      </c>
      <c r="AO2" t="e">
        <f>AND(主角属性字段设计!B8,"AAAAAH/sfyg=")</f>
        <v>#VALUE!</v>
      </c>
      <c r="AP2" t="e">
        <f>AND(主角属性字段设计!C8,"AAAAAH/sfyk=")</f>
        <v>#VALUE!</v>
      </c>
      <c r="AQ2" t="e">
        <f>AND(主角属性字段设计!D8,"AAAAAH/sfyo=")</f>
        <v>#VALUE!</v>
      </c>
      <c r="AR2" t="e">
        <f>AND(主角属性字段设计!E8,"AAAAAH/sfys=")</f>
        <v>#VALUE!</v>
      </c>
      <c r="AS2" t="e">
        <f>AND(主角属性字段设计!F8,"AAAAAH/sfyw=")</f>
        <v>#VALUE!</v>
      </c>
      <c r="AT2" t="e">
        <f>AND(主角属性字段设计!G8,"AAAAAH/sfy0=")</f>
        <v>#VALUE!</v>
      </c>
      <c r="AU2" t="e">
        <f>AND(主角属性字段设计!H8,"AAAAAH/sfy4=")</f>
        <v>#VALUE!</v>
      </c>
      <c r="AV2" t="e">
        <f>AND(主角属性字段设计!I8,"AAAAAH/sfy8=")</f>
        <v>#VALUE!</v>
      </c>
      <c r="AW2" t="e">
        <f>AND(主角属性字段设计!J8,"AAAAAH/sfzA=")</f>
        <v>#VALUE!</v>
      </c>
      <c r="AX2" t="e">
        <f>AND(主角属性字段设计!K8,"AAAAAH/sfzE=")</f>
        <v>#VALUE!</v>
      </c>
      <c r="AY2" t="e">
        <f>AND(主角属性字段设计!L8,"AAAAAH/sfzI=")</f>
        <v>#VALUE!</v>
      </c>
      <c r="AZ2" t="e">
        <f>AND(主角属性字段设计!M8,"AAAAAH/sfzM=")</f>
        <v>#VALUE!</v>
      </c>
      <c r="BA2" t="e">
        <f>AND(主角属性字段设计!N8,"AAAAAH/sfzQ=")</f>
        <v>#VALUE!</v>
      </c>
      <c r="BB2" t="e">
        <f>AND(主角属性字段设计!O8,"AAAAAH/sfzU=")</f>
        <v>#VALUE!</v>
      </c>
      <c r="BC2" t="e">
        <f>AND(主角属性字段设计!P8,"AAAAAH/sfzY=")</f>
        <v>#VALUE!</v>
      </c>
      <c r="BD2" t="e">
        <f>AND(主角属性字段设计!U8,"AAAAAH/sfzc=")</f>
        <v>#VALUE!</v>
      </c>
      <c r="BE2" t="e">
        <f>AND(主角属性字段设计!V8,"AAAAAH/sfzg=")</f>
        <v>#VALUE!</v>
      </c>
      <c r="BF2" t="e">
        <f>AND(主角属性字段设计!W31,"AAAAAH/sfzk=")</f>
        <v>#VALUE!</v>
      </c>
      <c r="BG2" t="e">
        <f>AND(主角属性字段设计!X31,"AAAAAH/sfzo=")</f>
        <v>#VALUE!</v>
      </c>
      <c r="BH2" t="e">
        <f>AND(主角属性字段设计!Y31,"AAAAAH/sfzs=")</f>
        <v>#VALUE!</v>
      </c>
      <c r="BI2" t="e">
        <f>AND(主角属性字段设计!Z31,"AAAAAH/sfzw=")</f>
        <v>#VALUE!</v>
      </c>
      <c r="BJ2" t="e">
        <f>AND(主角属性字段设计!AA31,"AAAAAH/sfz0=")</f>
        <v>#VALUE!</v>
      </c>
      <c r="BK2" t="e">
        <f>AND(主角属性字段设计!AB31,"AAAAAH/sfz4=")</f>
        <v>#VALUE!</v>
      </c>
      <c r="BL2" t="e">
        <f>AND(主角属性字段设计!AC31,"AAAAAH/sfz8=")</f>
        <v>#VALUE!</v>
      </c>
      <c r="BM2" t="e">
        <f>AND(主角属性字段设计!AD31,"AAAAAH/sf0A=")</f>
        <v>#VALUE!</v>
      </c>
      <c r="BN2" t="e">
        <f>AND(#REF!,"AAAAAH/sf0E=")</f>
        <v>#REF!</v>
      </c>
      <c r="BO2" t="e">
        <f>AND(#REF!,"AAAAAH/sf0I=")</f>
        <v>#REF!</v>
      </c>
      <c r="BP2" t="e">
        <f>AND(#REF!,"AAAAAH/sf0M=")</f>
        <v>#REF!</v>
      </c>
      <c r="BQ2" t="e">
        <f>AND(#REF!,"AAAAAH/sf0Q=")</f>
        <v>#REF!</v>
      </c>
      <c r="BR2" t="e">
        <f>AND(#REF!,"AAAAAH/sf0U=")</f>
        <v>#REF!</v>
      </c>
      <c r="BS2" t="e">
        <f>AND(#REF!,"AAAAAH/sf0Y=")</f>
        <v>#REF!</v>
      </c>
      <c r="BT2" t="e">
        <f>AND(#REF!,"AAAAAH/sf0c=")</f>
        <v>#REF!</v>
      </c>
      <c r="BU2" t="e">
        <f>AND(#REF!,"AAAAAH/sf0g=")</f>
        <v>#REF!</v>
      </c>
      <c r="BV2" t="e">
        <f>AND(#REF!,"AAAAAH/sf0k=")</f>
        <v>#REF!</v>
      </c>
      <c r="BW2" t="e">
        <f>AND(#REF!,"AAAAAH/sf0o=")</f>
        <v>#REF!</v>
      </c>
      <c r="BX2" t="e">
        <f>AND(#REF!,"AAAAAH/sf0s=")</f>
        <v>#REF!</v>
      </c>
      <c r="BY2" t="e">
        <f>AND(#REF!,"AAAAAH/sf0w=")</f>
        <v>#REF!</v>
      </c>
      <c r="BZ2" t="e">
        <f>AND(#REF!,"AAAAAH/sf00=")</f>
        <v>#REF!</v>
      </c>
      <c r="CA2" t="e">
        <f>AND(#REF!,"AAAAAH/sf04=")</f>
        <v>#REF!</v>
      </c>
      <c r="CB2" t="e">
        <f>AND(#REF!,"AAAAAH/sf08=")</f>
        <v>#REF!</v>
      </c>
      <c r="CC2">
        <f>IF(主角属性字段设计!9:9,"AAAAAH/sf1A=",0)</f>
        <v>0</v>
      </c>
      <c r="CD2" t="e">
        <f>AND(主角属性字段设计!A9,"AAAAAH/sf1E=")</f>
        <v>#VALUE!</v>
      </c>
      <c r="CE2" t="e">
        <f>AND(主角属性字段设计!B9,"AAAAAH/sf1I=")</f>
        <v>#VALUE!</v>
      </c>
      <c r="CF2" t="e">
        <f>AND(主角属性字段设计!C9,"AAAAAH/sf1M=")</f>
        <v>#VALUE!</v>
      </c>
      <c r="CG2" t="e">
        <f>AND(主角属性字段设计!D9,"AAAAAH/sf1Q=")</f>
        <v>#VALUE!</v>
      </c>
      <c r="CH2" t="e">
        <f>AND(主角属性字段设计!E9,"AAAAAH/sf1U=")</f>
        <v>#VALUE!</v>
      </c>
      <c r="CI2" t="e">
        <f>AND(主角属性字段设计!F9,"AAAAAH/sf1Y=")</f>
        <v>#VALUE!</v>
      </c>
      <c r="CJ2" t="e">
        <f>AND(主角属性字段设计!G9,"AAAAAH/sf1c=")</f>
        <v>#VALUE!</v>
      </c>
      <c r="CK2" t="e">
        <f>AND(主角属性字段设计!H9,"AAAAAH/sf1g=")</f>
        <v>#VALUE!</v>
      </c>
      <c r="CL2" t="e">
        <f>AND(主角属性字段设计!I9,"AAAAAH/sf1k=")</f>
        <v>#VALUE!</v>
      </c>
      <c r="CM2" t="e">
        <f>AND(主角属性字段设计!J9,"AAAAAH/sf1o=")</f>
        <v>#VALUE!</v>
      </c>
      <c r="CN2" t="e">
        <f>AND(主角属性字段设计!K9,"AAAAAH/sf1s=")</f>
        <v>#VALUE!</v>
      </c>
      <c r="CO2" t="e">
        <f>AND(主角属性字段设计!L9,"AAAAAH/sf1w=")</f>
        <v>#VALUE!</v>
      </c>
      <c r="CP2" t="e">
        <f>AND(主角属性字段设计!M9,"AAAAAH/sf10=")</f>
        <v>#VALUE!</v>
      </c>
      <c r="CQ2" t="e">
        <f>AND(主角属性字段设计!N9,"AAAAAH/sf14=")</f>
        <v>#VALUE!</v>
      </c>
      <c r="CR2" t="e">
        <f>AND(主角属性字段设计!O9,"AAAAAH/sf18=")</f>
        <v>#VALUE!</v>
      </c>
      <c r="CS2" t="e">
        <f>AND(主角属性字段设计!P9,"AAAAAH/sf2A=")</f>
        <v>#VALUE!</v>
      </c>
      <c r="CT2" t="e">
        <f>AND(主角属性字段设计!U9,"AAAAAH/sf2E=")</f>
        <v>#VALUE!</v>
      </c>
      <c r="CU2" t="e">
        <f>AND(主角属性字段设计!V9,"AAAAAH/sf2I=")</f>
        <v>#VALUE!</v>
      </c>
      <c r="CV2" t="e">
        <f>AND(主角属性字段设计!W32,"AAAAAH/sf2M=")</f>
        <v>#VALUE!</v>
      </c>
      <c r="CW2" t="e">
        <f>AND(主角属性字段设计!X32,"AAAAAH/sf2Q=")</f>
        <v>#VALUE!</v>
      </c>
      <c r="CX2" t="e">
        <f>AND(主角属性字段设计!Y32,"AAAAAH/sf2U=")</f>
        <v>#VALUE!</v>
      </c>
      <c r="CY2" t="e">
        <f>AND(主角属性字段设计!Z32,"AAAAAH/sf2Y=")</f>
        <v>#VALUE!</v>
      </c>
      <c r="CZ2" t="e">
        <f>AND(主角属性字段设计!AA32,"AAAAAH/sf2c=")</f>
        <v>#VALUE!</v>
      </c>
      <c r="DA2" t="e">
        <f>AND(主角属性字段设计!AB32,"AAAAAH/sf2g=")</f>
        <v>#VALUE!</v>
      </c>
      <c r="DB2" t="e">
        <f>AND(主角属性字段设计!AC32,"AAAAAH/sf2k=")</f>
        <v>#VALUE!</v>
      </c>
      <c r="DC2" t="e">
        <f>AND(主角属性字段设计!AD32,"AAAAAH/sf2o=")</f>
        <v>#VALUE!</v>
      </c>
      <c r="DD2" t="e">
        <f>AND(#REF!,"AAAAAH/sf2s=")</f>
        <v>#REF!</v>
      </c>
      <c r="DE2" t="e">
        <f>AND(#REF!,"AAAAAH/sf2w=")</f>
        <v>#REF!</v>
      </c>
      <c r="DF2" t="e">
        <f>AND(#REF!,"AAAAAH/sf20=")</f>
        <v>#REF!</v>
      </c>
      <c r="DG2" t="e">
        <f>AND(#REF!,"AAAAAH/sf24=")</f>
        <v>#REF!</v>
      </c>
      <c r="DH2" t="e">
        <f>AND(#REF!,"AAAAAH/sf28=")</f>
        <v>#REF!</v>
      </c>
      <c r="DI2" t="e">
        <f>AND(#REF!,"AAAAAH/sf3A=")</f>
        <v>#REF!</v>
      </c>
      <c r="DJ2" t="e">
        <f>AND(#REF!,"AAAAAH/sf3E=")</f>
        <v>#REF!</v>
      </c>
      <c r="DK2" t="e">
        <f>AND(#REF!,"AAAAAH/sf3I=")</f>
        <v>#REF!</v>
      </c>
      <c r="DL2" t="e">
        <f>AND(#REF!,"AAAAAH/sf3M=")</f>
        <v>#REF!</v>
      </c>
      <c r="DM2" t="e">
        <f>AND(#REF!,"AAAAAH/sf3Q=")</f>
        <v>#REF!</v>
      </c>
      <c r="DN2" t="e">
        <f>AND(#REF!,"AAAAAH/sf3U=")</f>
        <v>#REF!</v>
      </c>
      <c r="DO2" t="e">
        <f>AND(#REF!,"AAAAAH/sf3Y=")</f>
        <v>#REF!</v>
      </c>
      <c r="DP2" t="e">
        <f>AND(#REF!,"AAAAAH/sf3c=")</f>
        <v>#REF!</v>
      </c>
      <c r="DQ2" t="e">
        <f>AND(#REF!,"AAAAAH/sf3g=")</f>
        <v>#REF!</v>
      </c>
      <c r="DR2" t="e">
        <f>AND(#REF!,"AAAAAH/sf3k=")</f>
        <v>#REF!</v>
      </c>
      <c r="DS2">
        <f>IF(主角属性字段设计!10:10,"AAAAAH/sf3o=",0)</f>
        <v>0</v>
      </c>
      <c r="DT2" t="e">
        <f>AND(主角属性字段设计!A10,"AAAAAH/sf3s=")</f>
        <v>#VALUE!</v>
      </c>
      <c r="DU2" t="e">
        <f>AND(主角属性字段设计!B10,"AAAAAH/sf3w=")</f>
        <v>#VALUE!</v>
      </c>
      <c r="DV2" t="e">
        <f>AND(主角属性字段设计!C10,"AAAAAH/sf30=")</f>
        <v>#VALUE!</v>
      </c>
      <c r="DW2" t="e">
        <f>AND(主角属性字段设计!D10,"AAAAAH/sf34=")</f>
        <v>#VALUE!</v>
      </c>
      <c r="DX2" t="e">
        <f>AND(主角属性字段设计!E10,"AAAAAH/sf38=")</f>
        <v>#VALUE!</v>
      </c>
      <c r="DY2" t="e">
        <f>AND(主角属性字段设计!F10,"AAAAAH/sf4A=")</f>
        <v>#VALUE!</v>
      </c>
      <c r="DZ2" t="e">
        <f>AND(主角属性字段设计!G10,"AAAAAH/sf4E=")</f>
        <v>#VALUE!</v>
      </c>
      <c r="EA2" t="e">
        <f>AND(主角属性字段设计!H10,"AAAAAH/sf4I=")</f>
        <v>#VALUE!</v>
      </c>
      <c r="EB2" t="e">
        <f>AND(主角属性字段设计!I10,"AAAAAH/sf4M=")</f>
        <v>#VALUE!</v>
      </c>
      <c r="EC2" t="e">
        <f>AND(主角属性字段设计!J10,"AAAAAH/sf4Q=")</f>
        <v>#VALUE!</v>
      </c>
      <c r="ED2" t="e">
        <f>AND(主角属性字段设计!K10,"AAAAAH/sf4U=")</f>
        <v>#VALUE!</v>
      </c>
      <c r="EE2" t="e">
        <f>AND(主角属性字段设计!L10,"AAAAAH/sf4Y=")</f>
        <v>#VALUE!</v>
      </c>
      <c r="EF2" t="e">
        <f>AND(主角属性字段设计!M10,"AAAAAH/sf4c=")</f>
        <v>#VALUE!</v>
      </c>
      <c r="EG2" t="e">
        <f>AND(主角属性字段设计!N10,"AAAAAH/sf4g=")</f>
        <v>#VALUE!</v>
      </c>
      <c r="EH2" t="e">
        <f>AND(主角属性字段设计!O10,"AAAAAH/sf4k=")</f>
        <v>#VALUE!</v>
      </c>
      <c r="EI2" t="e">
        <f>AND(主角属性字段设计!P10,"AAAAAH/sf4o=")</f>
        <v>#VALUE!</v>
      </c>
      <c r="EJ2" t="e">
        <f>AND(主角属性字段设计!U10,"AAAAAH/sf4s=")</f>
        <v>#VALUE!</v>
      </c>
      <c r="EK2" t="e">
        <f>AND(主角属性字段设计!V10,"AAAAAH/sf4w=")</f>
        <v>#VALUE!</v>
      </c>
      <c r="EL2" t="e">
        <f>AND(主角属性字段设计!W33,"AAAAAH/sf40=")</f>
        <v>#VALUE!</v>
      </c>
      <c r="EM2" t="e">
        <f>AND(主角属性字段设计!X33,"AAAAAH/sf44=")</f>
        <v>#VALUE!</v>
      </c>
      <c r="EN2" t="e">
        <f>AND(主角属性字段设计!Y33,"AAAAAH/sf48=")</f>
        <v>#VALUE!</v>
      </c>
      <c r="EO2" t="e">
        <f>AND(主角属性字段设计!Z33,"AAAAAH/sf5A=")</f>
        <v>#VALUE!</v>
      </c>
      <c r="EP2" t="e">
        <f>AND(主角属性字段设计!AA33,"AAAAAH/sf5E=")</f>
        <v>#VALUE!</v>
      </c>
      <c r="EQ2" t="e">
        <f>AND(主角属性字段设计!AB33,"AAAAAH/sf5I=")</f>
        <v>#VALUE!</v>
      </c>
      <c r="ER2" t="e">
        <f>AND(主角属性字段设计!AC33,"AAAAAH/sf5M=")</f>
        <v>#VALUE!</v>
      </c>
      <c r="ES2" t="e">
        <f>AND(主角属性字段设计!AD33,"AAAAAH/sf5Q=")</f>
        <v>#VALUE!</v>
      </c>
      <c r="ET2" t="e">
        <f>AND(#REF!,"AAAAAH/sf5U=")</f>
        <v>#REF!</v>
      </c>
      <c r="EU2" t="e">
        <f>AND(#REF!,"AAAAAH/sf5Y=")</f>
        <v>#REF!</v>
      </c>
      <c r="EV2" t="e">
        <f>AND(#REF!,"AAAAAH/sf5c=")</f>
        <v>#REF!</v>
      </c>
      <c r="EW2" t="e">
        <f>AND(#REF!,"AAAAAH/sf5g=")</f>
        <v>#REF!</v>
      </c>
      <c r="EX2" t="e">
        <f>AND(#REF!,"AAAAAH/sf5k=")</f>
        <v>#REF!</v>
      </c>
      <c r="EY2" t="e">
        <f>AND(#REF!,"AAAAAH/sf5o=")</f>
        <v>#REF!</v>
      </c>
      <c r="EZ2" t="e">
        <f>AND(#REF!,"AAAAAH/sf5s=")</f>
        <v>#REF!</v>
      </c>
      <c r="FA2" t="e">
        <f>AND(#REF!,"AAAAAH/sf5w=")</f>
        <v>#REF!</v>
      </c>
      <c r="FB2" t="e">
        <f>AND(#REF!,"AAAAAH/sf50=")</f>
        <v>#REF!</v>
      </c>
      <c r="FC2" t="e">
        <f>AND(#REF!,"AAAAAH/sf54=")</f>
        <v>#REF!</v>
      </c>
      <c r="FD2" t="e">
        <f>AND(#REF!,"AAAAAH/sf58=")</f>
        <v>#REF!</v>
      </c>
      <c r="FE2" t="e">
        <f>AND(#REF!,"AAAAAH/sf6A=")</f>
        <v>#REF!</v>
      </c>
      <c r="FF2" t="e">
        <f>AND(#REF!,"AAAAAH/sf6E=")</f>
        <v>#REF!</v>
      </c>
      <c r="FG2" t="e">
        <f>AND(#REF!,"AAAAAH/sf6I=")</f>
        <v>#REF!</v>
      </c>
      <c r="FH2" t="e">
        <f>AND(#REF!,"AAAAAH/sf6M=")</f>
        <v>#REF!</v>
      </c>
      <c r="FI2">
        <f>IF(主角属性字段设计!11:11,"AAAAAH/sf6Q=",0)</f>
        <v>0</v>
      </c>
      <c r="FJ2" t="e">
        <f>AND(主角属性字段设计!A11,"AAAAAH/sf6U=")</f>
        <v>#VALUE!</v>
      </c>
      <c r="FK2" t="e">
        <f>AND(主角属性字段设计!B11,"AAAAAH/sf6Y=")</f>
        <v>#VALUE!</v>
      </c>
      <c r="FL2" t="e">
        <f>AND(主角属性字段设计!C11,"AAAAAH/sf6c=")</f>
        <v>#VALUE!</v>
      </c>
      <c r="FM2" t="e">
        <f>AND(主角属性字段设计!D11,"AAAAAH/sf6g=")</f>
        <v>#VALUE!</v>
      </c>
      <c r="FN2" t="e">
        <f>AND(主角属性字段设计!E11,"AAAAAH/sf6k=")</f>
        <v>#VALUE!</v>
      </c>
      <c r="FO2" t="e">
        <f>AND(主角属性字段设计!F11,"AAAAAH/sf6o=")</f>
        <v>#VALUE!</v>
      </c>
      <c r="FP2" t="e">
        <f>AND(主角属性字段设计!G11,"AAAAAH/sf6s=")</f>
        <v>#VALUE!</v>
      </c>
      <c r="FQ2" t="e">
        <f>AND(主角属性字段设计!H11,"AAAAAH/sf6w=")</f>
        <v>#VALUE!</v>
      </c>
      <c r="FR2" t="e">
        <f>AND(主角属性字段设计!I11,"AAAAAH/sf60=")</f>
        <v>#VALUE!</v>
      </c>
      <c r="FS2" t="e">
        <f>AND(主角属性字段设计!J11,"AAAAAH/sf64=")</f>
        <v>#VALUE!</v>
      </c>
      <c r="FT2" t="e">
        <f>AND(主角属性字段设计!K11,"AAAAAH/sf68=")</f>
        <v>#VALUE!</v>
      </c>
      <c r="FU2" t="e">
        <f>AND(主角属性字段设计!L11,"AAAAAH/sf7A=")</f>
        <v>#VALUE!</v>
      </c>
      <c r="FV2" t="e">
        <f>AND(主角属性字段设计!M11,"AAAAAH/sf7E=")</f>
        <v>#VALUE!</v>
      </c>
      <c r="FW2" t="e">
        <f>AND(主角属性字段设计!N11,"AAAAAH/sf7I=")</f>
        <v>#VALUE!</v>
      </c>
      <c r="FX2" t="e">
        <f>AND(主角属性字段设计!O11,"AAAAAH/sf7M=")</f>
        <v>#VALUE!</v>
      </c>
      <c r="FY2" t="e">
        <f>AND(主角属性字段设计!P11,"AAAAAH/sf7Q=")</f>
        <v>#VALUE!</v>
      </c>
      <c r="FZ2" t="e">
        <f>AND(主角属性字段设计!U11,"AAAAAH/sf7U=")</f>
        <v>#VALUE!</v>
      </c>
      <c r="GA2" t="e">
        <f>AND(主角属性字段设计!V11,"AAAAAH/sf7Y=")</f>
        <v>#VALUE!</v>
      </c>
      <c r="GB2" t="e">
        <f>AND(主角属性字段设计!W34,"AAAAAH/sf7c=")</f>
        <v>#VALUE!</v>
      </c>
      <c r="GC2" t="e">
        <f>AND(主角属性字段设计!X34,"AAAAAH/sf7g=")</f>
        <v>#VALUE!</v>
      </c>
      <c r="GD2" t="e">
        <f>AND(主角属性字段设计!Y34,"AAAAAH/sf7k=")</f>
        <v>#VALUE!</v>
      </c>
      <c r="GE2" t="e">
        <f>AND(主角属性字段设计!Z34,"AAAAAH/sf7o=")</f>
        <v>#VALUE!</v>
      </c>
      <c r="GF2" t="e">
        <f>AND(主角属性字段设计!AA34,"AAAAAH/sf7s=")</f>
        <v>#VALUE!</v>
      </c>
      <c r="GG2" t="e">
        <f>AND(主角属性字段设计!AB34,"AAAAAH/sf7w=")</f>
        <v>#VALUE!</v>
      </c>
      <c r="GH2" t="e">
        <f>AND(主角属性字段设计!AC34,"AAAAAH/sf70=")</f>
        <v>#VALUE!</v>
      </c>
      <c r="GI2" t="e">
        <f>AND(主角属性字段设计!AD34,"AAAAAH/sf74=")</f>
        <v>#VALUE!</v>
      </c>
      <c r="GJ2" t="e">
        <f>AND(#REF!,"AAAAAH/sf78=")</f>
        <v>#REF!</v>
      </c>
      <c r="GK2" t="e">
        <f>AND(#REF!,"AAAAAH/sf8A=")</f>
        <v>#REF!</v>
      </c>
      <c r="GL2" t="e">
        <f>AND(#REF!,"AAAAAH/sf8E=")</f>
        <v>#REF!</v>
      </c>
      <c r="GM2" t="e">
        <f>AND(#REF!,"AAAAAH/sf8I=")</f>
        <v>#REF!</v>
      </c>
      <c r="GN2" t="e">
        <f>AND(#REF!,"AAAAAH/sf8M=")</f>
        <v>#REF!</v>
      </c>
      <c r="GO2" t="e">
        <f>AND(#REF!,"AAAAAH/sf8Q=")</f>
        <v>#REF!</v>
      </c>
      <c r="GP2" t="e">
        <f>AND(#REF!,"AAAAAH/sf8U=")</f>
        <v>#REF!</v>
      </c>
      <c r="GQ2" t="e">
        <f>AND(#REF!,"AAAAAH/sf8Y=")</f>
        <v>#REF!</v>
      </c>
      <c r="GR2" t="e">
        <f>AND(#REF!,"AAAAAH/sf8c=")</f>
        <v>#REF!</v>
      </c>
      <c r="GS2" t="e">
        <f>AND(#REF!,"AAAAAH/sf8g=")</f>
        <v>#REF!</v>
      </c>
      <c r="GT2" t="e">
        <f>AND(#REF!,"AAAAAH/sf8k=")</f>
        <v>#REF!</v>
      </c>
      <c r="GU2" t="e">
        <f>AND(#REF!,"AAAAAH/sf8o=")</f>
        <v>#REF!</v>
      </c>
      <c r="GV2" t="e">
        <f>AND(#REF!,"AAAAAH/sf8s=")</f>
        <v>#REF!</v>
      </c>
      <c r="GW2" t="e">
        <f>AND(#REF!,"AAAAAH/sf8w=")</f>
        <v>#REF!</v>
      </c>
      <c r="GX2" t="e">
        <f>AND(#REF!,"AAAAAH/sf80=")</f>
        <v>#REF!</v>
      </c>
      <c r="GY2">
        <f>IF(主角属性字段设计!12:12,"AAAAAH/sf84=",0)</f>
        <v>0</v>
      </c>
      <c r="GZ2" t="e">
        <f>AND(主角属性字段设计!A12,"AAAAAH/sf88=")</f>
        <v>#VALUE!</v>
      </c>
      <c r="HA2" t="e">
        <f>AND(主角属性字段设计!B12,"AAAAAH/sf9A=")</f>
        <v>#VALUE!</v>
      </c>
      <c r="HB2" t="e">
        <f>AND(主角属性字段设计!C12,"AAAAAH/sf9E=")</f>
        <v>#VALUE!</v>
      </c>
      <c r="HC2" t="e">
        <f>AND(主角属性字段设计!D12,"AAAAAH/sf9I=")</f>
        <v>#VALUE!</v>
      </c>
      <c r="HD2" t="e">
        <f>AND(主角属性字段设计!E12,"AAAAAH/sf9M=")</f>
        <v>#VALUE!</v>
      </c>
      <c r="HE2" t="e">
        <f>AND(主角属性字段设计!F12,"AAAAAH/sf9Q=")</f>
        <v>#VALUE!</v>
      </c>
      <c r="HF2" t="e">
        <f>AND(主角属性字段设计!G12,"AAAAAH/sf9U=")</f>
        <v>#VALUE!</v>
      </c>
      <c r="HG2" t="e">
        <f>AND(主角属性字段设计!H12,"AAAAAH/sf9Y=")</f>
        <v>#VALUE!</v>
      </c>
      <c r="HH2" t="e">
        <f>AND(主角属性字段设计!I12,"AAAAAH/sf9c=")</f>
        <v>#VALUE!</v>
      </c>
      <c r="HI2" t="e">
        <f>AND(主角属性字段设计!J12,"AAAAAH/sf9g=")</f>
        <v>#VALUE!</v>
      </c>
      <c r="HJ2" t="e">
        <f>AND(主角属性字段设计!K12,"AAAAAH/sf9k=")</f>
        <v>#VALUE!</v>
      </c>
      <c r="HK2" t="e">
        <f>AND(主角属性字段设计!L12,"AAAAAH/sf9o=")</f>
        <v>#VALUE!</v>
      </c>
      <c r="HL2" t="e">
        <f>AND(主角属性字段设计!M12,"AAAAAH/sf9s=")</f>
        <v>#VALUE!</v>
      </c>
      <c r="HM2" t="e">
        <f>AND(主角属性字段设计!N12,"AAAAAH/sf9w=")</f>
        <v>#VALUE!</v>
      </c>
      <c r="HN2" t="e">
        <f>AND(主角属性字段设计!O12,"AAAAAH/sf90=")</f>
        <v>#VALUE!</v>
      </c>
      <c r="HO2" t="e">
        <f>AND(主角属性字段设计!P12,"AAAAAH/sf94=")</f>
        <v>#VALUE!</v>
      </c>
      <c r="HP2" t="e">
        <f>AND(主角属性字段设计!U12,"AAAAAH/sf98=")</f>
        <v>#VALUE!</v>
      </c>
      <c r="HQ2" t="e">
        <f>AND(主角属性字段设计!V12,"AAAAAH/sf+A=")</f>
        <v>#VALUE!</v>
      </c>
      <c r="HR2" t="e">
        <f>AND(主角属性字段设计!W35,"AAAAAH/sf+E=")</f>
        <v>#VALUE!</v>
      </c>
      <c r="HS2" t="e">
        <f>AND(主角属性字段设计!X35,"AAAAAH/sf+I=")</f>
        <v>#VALUE!</v>
      </c>
      <c r="HT2" t="e">
        <f>AND(主角属性字段设计!Y35,"AAAAAH/sf+M=")</f>
        <v>#VALUE!</v>
      </c>
      <c r="HU2" t="e">
        <f>AND(主角属性字段设计!Z35,"AAAAAH/sf+Q=")</f>
        <v>#VALUE!</v>
      </c>
      <c r="HV2" t="e">
        <f>AND(主角属性字段设计!AA35,"AAAAAH/sf+U=")</f>
        <v>#VALUE!</v>
      </c>
      <c r="HW2" t="e">
        <f>AND(主角属性字段设计!AB35,"AAAAAH/sf+Y=")</f>
        <v>#VALUE!</v>
      </c>
      <c r="HX2" t="e">
        <f>AND(主角属性字段设计!AC35,"AAAAAH/sf+c=")</f>
        <v>#VALUE!</v>
      </c>
      <c r="HY2" t="e">
        <f>AND(主角属性字段设计!AD35,"AAAAAH/sf+g=")</f>
        <v>#VALUE!</v>
      </c>
      <c r="HZ2" t="e">
        <f>AND(#REF!,"AAAAAH/sf+k=")</f>
        <v>#REF!</v>
      </c>
      <c r="IA2" t="e">
        <f>AND(#REF!,"AAAAAH/sf+o=")</f>
        <v>#REF!</v>
      </c>
      <c r="IB2" t="e">
        <f>AND(#REF!,"AAAAAH/sf+s=")</f>
        <v>#REF!</v>
      </c>
      <c r="IC2" t="e">
        <f>AND(#REF!,"AAAAAH/sf+w=")</f>
        <v>#REF!</v>
      </c>
      <c r="ID2" t="e">
        <f>AND(#REF!,"AAAAAH/sf+0=")</f>
        <v>#REF!</v>
      </c>
      <c r="IE2" t="e">
        <f>AND(#REF!,"AAAAAH/sf+4=")</f>
        <v>#REF!</v>
      </c>
      <c r="IF2" t="e">
        <f>AND(#REF!,"AAAAAH/sf+8=")</f>
        <v>#REF!</v>
      </c>
      <c r="IG2" t="e">
        <f>AND(#REF!,"AAAAAH/sf/A=")</f>
        <v>#REF!</v>
      </c>
      <c r="IH2" t="e">
        <f>AND(#REF!,"AAAAAH/sf/E=")</f>
        <v>#REF!</v>
      </c>
      <c r="II2" t="e">
        <f>AND(#REF!,"AAAAAH/sf/I=")</f>
        <v>#REF!</v>
      </c>
      <c r="IJ2" t="e">
        <f>AND(#REF!,"AAAAAH/sf/M=")</f>
        <v>#REF!</v>
      </c>
      <c r="IK2" t="e">
        <f>AND(#REF!,"AAAAAH/sf/Q=")</f>
        <v>#REF!</v>
      </c>
      <c r="IL2" t="e">
        <f>AND(#REF!,"AAAAAH/sf/U=")</f>
        <v>#REF!</v>
      </c>
      <c r="IM2" t="e">
        <f>AND(#REF!,"AAAAAH/sf/Y=")</f>
        <v>#REF!</v>
      </c>
      <c r="IN2" t="e">
        <f>AND(#REF!,"AAAAAH/sf/c=")</f>
        <v>#REF!</v>
      </c>
      <c r="IO2">
        <f>IF(主角属性字段设计!13:13,"AAAAAH/sf/g=",0)</f>
        <v>0</v>
      </c>
      <c r="IP2" t="e">
        <f>AND(主角属性字段设计!A13,"AAAAAH/sf/k=")</f>
        <v>#VALUE!</v>
      </c>
      <c r="IQ2" t="e">
        <f>AND(主角属性字段设计!B13,"AAAAAH/sf/o=")</f>
        <v>#VALUE!</v>
      </c>
      <c r="IR2" t="e">
        <f>AND(主角属性字段设计!C13,"AAAAAH/sf/s=")</f>
        <v>#VALUE!</v>
      </c>
      <c r="IS2" t="e">
        <f>AND(主角属性字段设计!D13,"AAAAAH/sf/w=")</f>
        <v>#VALUE!</v>
      </c>
      <c r="IT2" t="e">
        <f>AND(主角属性字段设计!E13,"AAAAAH/sf/0=")</f>
        <v>#VALUE!</v>
      </c>
      <c r="IU2" t="e">
        <f>AND(主角属性字段设计!F13,"AAAAAH/sf/4=")</f>
        <v>#VALUE!</v>
      </c>
      <c r="IV2" t="e">
        <f>AND(主角属性字段设计!G13,"AAAAAH/sf/8=")</f>
        <v>#VALUE!</v>
      </c>
    </row>
    <row r="3" spans="1:256">
      <c r="A3" t="e">
        <f>AND(主角属性字段设计!H13,"AAAAAAz1uQA=")</f>
        <v>#VALUE!</v>
      </c>
      <c r="B3" t="e">
        <f>AND(主角属性字段设计!I13,"AAAAAAz1uQE=")</f>
        <v>#VALUE!</v>
      </c>
      <c r="C3" t="e">
        <f>AND(主角属性字段设计!J13,"AAAAAAz1uQI=")</f>
        <v>#VALUE!</v>
      </c>
      <c r="D3" t="e">
        <f>AND(主角属性字段设计!K13,"AAAAAAz1uQM=")</f>
        <v>#VALUE!</v>
      </c>
      <c r="E3" t="e">
        <f>AND(主角属性字段设计!L13,"AAAAAAz1uQQ=")</f>
        <v>#VALUE!</v>
      </c>
      <c r="F3" t="e">
        <f>AND(主角属性字段设计!M13,"AAAAAAz1uQU=")</f>
        <v>#VALUE!</v>
      </c>
      <c r="G3" t="e">
        <f>AND(主角属性字段设计!N13,"AAAAAAz1uQY=")</f>
        <v>#VALUE!</v>
      </c>
      <c r="H3" t="e">
        <f>AND(主角属性字段设计!O13,"AAAAAAz1uQc=")</f>
        <v>#VALUE!</v>
      </c>
      <c r="I3" t="e">
        <f>AND(主角属性字段设计!P13,"AAAAAAz1uQg=")</f>
        <v>#VALUE!</v>
      </c>
      <c r="J3" t="e">
        <f>AND(主角属性字段设计!U13,"AAAAAAz1uQk=")</f>
        <v>#VALUE!</v>
      </c>
      <c r="K3" t="e">
        <f>AND(主角属性字段设计!V13,"AAAAAAz1uQo=")</f>
        <v>#VALUE!</v>
      </c>
      <c r="L3" t="e">
        <f>AND(主角属性字段设计!W36,"AAAAAAz1uQs=")</f>
        <v>#VALUE!</v>
      </c>
      <c r="M3" t="e">
        <f>AND(主角属性字段设计!X36,"AAAAAAz1uQw=")</f>
        <v>#VALUE!</v>
      </c>
      <c r="N3" t="e">
        <f>AND(主角属性字段设计!Y36,"AAAAAAz1uQ0=")</f>
        <v>#VALUE!</v>
      </c>
      <c r="O3" t="e">
        <f>AND(主角属性字段设计!Z36,"AAAAAAz1uQ4=")</f>
        <v>#VALUE!</v>
      </c>
      <c r="P3" t="e">
        <f>AND(主角属性字段设计!AA36,"AAAAAAz1uQ8=")</f>
        <v>#VALUE!</v>
      </c>
      <c r="Q3" t="e">
        <f>AND(主角属性字段设计!AB36,"AAAAAAz1uRA=")</f>
        <v>#VALUE!</v>
      </c>
      <c r="R3" t="e">
        <f>AND(主角属性字段设计!AC36,"AAAAAAz1uRE=")</f>
        <v>#VALUE!</v>
      </c>
      <c r="S3" t="e">
        <f>AND(主角属性字段设计!AD36,"AAAAAAz1uRI=")</f>
        <v>#VALUE!</v>
      </c>
      <c r="T3" t="e">
        <f>AND(#REF!,"AAAAAAz1uRM=")</f>
        <v>#REF!</v>
      </c>
      <c r="U3" t="e">
        <f>AND(#REF!,"AAAAAAz1uRQ=")</f>
        <v>#REF!</v>
      </c>
      <c r="V3" t="e">
        <f>AND(#REF!,"AAAAAAz1uRU=")</f>
        <v>#REF!</v>
      </c>
      <c r="W3" t="e">
        <f>AND(#REF!,"AAAAAAz1uRY=")</f>
        <v>#REF!</v>
      </c>
      <c r="X3" t="e">
        <f>AND(#REF!,"AAAAAAz1uRc=")</f>
        <v>#REF!</v>
      </c>
      <c r="Y3" t="e">
        <f>AND(#REF!,"AAAAAAz1uRg=")</f>
        <v>#REF!</v>
      </c>
      <c r="Z3" t="e">
        <f>AND(#REF!,"AAAAAAz1uRk=")</f>
        <v>#REF!</v>
      </c>
      <c r="AA3" t="e">
        <f>AND(#REF!,"AAAAAAz1uRo=")</f>
        <v>#REF!</v>
      </c>
      <c r="AB3" t="e">
        <f>AND(#REF!,"AAAAAAz1uRs=")</f>
        <v>#REF!</v>
      </c>
      <c r="AC3" t="e">
        <f>AND(#REF!,"AAAAAAz1uRw=")</f>
        <v>#REF!</v>
      </c>
      <c r="AD3" t="e">
        <f>AND(#REF!,"AAAAAAz1uR0=")</f>
        <v>#REF!</v>
      </c>
      <c r="AE3" t="e">
        <f>AND(#REF!,"AAAAAAz1uR4=")</f>
        <v>#REF!</v>
      </c>
      <c r="AF3" t="e">
        <f>AND(#REF!,"AAAAAAz1uR8=")</f>
        <v>#REF!</v>
      </c>
      <c r="AG3" t="e">
        <f>AND(#REF!,"AAAAAAz1uSA=")</f>
        <v>#REF!</v>
      </c>
      <c r="AH3" t="e">
        <f>AND(#REF!,"AAAAAAz1uSE=")</f>
        <v>#REF!</v>
      </c>
      <c r="AI3">
        <f>IF(主角属性字段设计!14:14,"AAAAAAz1uSI=",0)</f>
        <v>0</v>
      </c>
      <c r="AJ3" t="e">
        <f>AND(主角属性字段设计!A14,"AAAAAAz1uSM=")</f>
        <v>#VALUE!</v>
      </c>
      <c r="AK3" t="e">
        <f>AND(主角属性字段设计!B14,"AAAAAAz1uSQ=")</f>
        <v>#VALUE!</v>
      </c>
      <c r="AL3" t="e">
        <f>AND(主角属性字段设计!C14,"AAAAAAz1uSU=")</f>
        <v>#VALUE!</v>
      </c>
      <c r="AM3" t="e">
        <f>AND(主角属性字段设计!D14,"AAAAAAz1uSY=")</f>
        <v>#VALUE!</v>
      </c>
      <c r="AN3" t="e">
        <f>AND(主角属性字段设计!E14,"AAAAAAz1uSc=")</f>
        <v>#VALUE!</v>
      </c>
      <c r="AO3" t="e">
        <f>AND(主角属性字段设计!F14,"AAAAAAz1uSg=")</f>
        <v>#VALUE!</v>
      </c>
      <c r="AP3" t="e">
        <f>AND(主角属性字段设计!G14,"AAAAAAz1uSk=")</f>
        <v>#VALUE!</v>
      </c>
      <c r="AQ3" t="e">
        <f>AND(主角属性字段设计!H14,"AAAAAAz1uSo=")</f>
        <v>#VALUE!</v>
      </c>
      <c r="AR3" t="e">
        <f>AND(主角属性字段设计!I14,"AAAAAAz1uSs=")</f>
        <v>#VALUE!</v>
      </c>
      <c r="AS3" t="e">
        <f>AND(主角属性字段设计!J14,"AAAAAAz1uSw=")</f>
        <v>#VALUE!</v>
      </c>
      <c r="AT3" t="e">
        <f>AND(主角属性字段设计!K14,"AAAAAAz1uS0=")</f>
        <v>#VALUE!</v>
      </c>
      <c r="AU3" t="e">
        <f>AND(主角属性字段设计!L14,"AAAAAAz1uS4=")</f>
        <v>#VALUE!</v>
      </c>
      <c r="AV3" t="e">
        <f>AND(主角属性字段设计!M14,"AAAAAAz1uS8=")</f>
        <v>#VALUE!</v>
      </c>
      <c r="AW3" t="e">
        <f>AND(主角属性字段设计!N14,"AAAAAAz1uTA=")</f>
        <v>#VALUE!</v>
      </c>
      <c r="AX3" t="e">
        <f>AND(主角属性字段设计!O14,"AAAAAAz1uTE=")</f>
        <v>#VALUE!</v>
      </c>
      <c r="AY3" t="e">
        <f>AND(主角属性字段设计!P14,"AAAAAAz1uTI=")</f>
        <v>#VALUE!</v>
      </c>
      <c r="AZ3" t="e">
        <f>AND(主角属性字段设计!U14,"AAAAAAz1uTM=")</f>
        <v>#VALUE!</v>
      </c>
      <c r="BA3" t="e">
        <f>AND(主角属性字段设计!V14,"AAAAAAz1uTQ=")</f>
        <v>#VALUE!</v>
      </c>
      <c r="BB3" t="e">
        <f>AND(主角属性字段设计!W37,"AAAAAAz1uTU=")</f>
        <v>#VALUE!</v>
      </c>
      <c r="BC3" t="e">
        <f>AND(主角属性字段设计!X37,"AAAAAAz1uTY=")</f>
        <v>#VALUE!</v>
      </c>
      <c r="BD3" t="e">
        <f>AND(主角属性字段设计!Y37,"AAAAAAz1uTc=")</f>
        <v>#VALUE!</v>
      </c>
      <c r="BE3" t="e">
        <f>AND(主角属性字段设计!Z37,"AAAAAAz1uTg=")</f>
        <v>#VALUE!</v>
      </c>
      <c r="BF3" t="e">
        <f>AND(主角属性字段设计!AA37,"AAAAAAz1uTk=")</f>
        <v>#VALUE!</v>
      </c>
      <c r="BG3" t="e">
        <f>AND(主角属性字段设计!AB37,"AAAAAAz1uTo=")</f>
        <v>#VALUE!</v>
      </c>
      <c r="BH3" t="e">
        <f>AND(主角属性字段设计!AC37,"AAAAAAz1uTs=")</f>
        <v>#VALUE!</v>
      </c>
      <c r="BI3" t="e">
        <f>AND(主角属性字段设计!AD37,"AAAAAAz1uTw=")</f>
        <v>#VALUE!</v>
      </c>
      <c r="BJ3" t="e">
        <f>AND(#REF!,"AAAAAAz1uT0=")</f>
        <v>#REF!</v>
      </c>
      <c r="BK3" t="e">
        <f>AND(#REF!,"AAAAAAz1uT4=")</f>
        <v>#REF!</v>
      </c>
      <c r="BL3" t="e">
        <f>AND(#REF!,"AAAAAAz1uT8=")</f>
        <v>#REF!</v>
      </c>
      <c r="BM3" t="e">
        <f>AND(#REF!,"AAAAAAz1uUA=")</f>
        <v>#REF!</v>
      </c>
      <c r="BN3" t="e">
        <f>AND(#REF!,"AAAAAAz1uUE=")</f>
        <v>#REF!</v>
      </c>
      <c r="BO3" t="e">
        <f>AND(#REF!,"AAAAAAz1uUI=")</f>
        <v>#REF!</v>
      </c>
      <c r="BP3" t="e">
        <f>AND(#REF!,"AAAAAAz1uUM=")</f>
        <v>#REF!</v>
      </c>
      <c r="BQ3" t="e">
        <f>AND(#REF!,"AAAAAAz1uUQ=")</f>
        <v>#REF!</v>
      </c>
      <c r="BR3" t="e">
        <f>AND(#REF!,"AAAAAAz1uUU=")</f>
        <v>#REF!</v>
      </c>
      <c r="BS3" t="e">
        <f>AND(#REF!,"AAAAAAz1uUY=")</f>
        <v>#REF!</v>
      </c>
      <c r="BT3" t="e">
        <f>AND(#REF!,"AAAAAAz1uUc=")</f>
        <v>#REF!</v>
      </c>
      <c r="BU3" t="e">
        <f>AND(#REF!,"AAAAAAz1uUg=")</f>
        <v>#REF!</v>
      </c>
      <c r="BV3" t="e">
        <f>AND(#REF!,"AAAAAAz1uUk=")</f>
        <v>#REF!</v>
      </c>
      <c r="BW3" t="e">
        <f>AND(#REF!,"AAAAAAz1uUo=")</f>
        <v>#REF!</v>
      </c>
      <c r="BX3" t="e">
        <f>AND(#REF!,"AAAAAAz1uUs=")</f>
        <v>#REF!</v>
      </c>
      <c r="BY3">
        <f>IF(主角属性字段设计!15:15,"AAAAAAz1uUw=",0)</f>
        <v>0</v>
      </c>
      <c r="BZ3" t="e">
        <f>AND(主角属性字段设计!A15,"AAAAAAz1uU0=")</f>
        <v>#VALUE!</v>
      </c>
      <c r="CA3" t="e">
        <f>AND(主角属性字段设计!B15,"AAAAAAz1uU4=")</f>
        <v>#VALUE!</v>
      </c>
      <c r="CB3" t="e">
        <f>AND(主角属性字段设计!C15,"AAAAAAz1uU8=")</f>
        <v>#VALUE!</v>
      </c>
      <c r="CC3" t="e">
        <f>AND(主角属性字段设计!D15,"AAAAAAz1uVA=")</f>
        <v>#VALUE!</v>
      </c>
      <c r="CD3" t="e">
        <f>AND(主角属性字段设计!E15,"AAAAAAz1uVE=")</f>
        <v>#VALUE!</v>
      </c>
      <c r="CE3" t="e">
        <f>AND(主角属性字段设计!F15,"AAAAAAz1uVI=")</f>
        <v>#VALUE!</v>
      </c>
      <c r="CF3" t="e">
        <f>AND(主角属性字段设计!G15,"AAAAAAz1uVM=")</f>
        <v>#VALUE!</v>
      </c>
      <c r="CG3" t="e">
        <f>AND(主角属性字段设计!H15,"AAAAAAz1uVQ=")</f>
        <v>#VALUE!</v>
      </c>
      <c r="CH3" t="e">
        <f>AND(主角属性字段设计!I15,"AAAAAAz1uVU=")</f>
        <v>#VALUE!</v>
      </c>
      <c r="CI3" t="e">
        <f>AND(主角属性字段设计!J15,"AAAAAAz1uVY=")</f>
        <v>#VALUE!</v>
      </c>
      <c r="CJ3" t="e">
        <f>AND(主角属性字段设计!K15,"AAAAAAz1uVc=")</f>
        <v>#VALUE!</v>
      </c>
      <c r="CK3" t="e">
        <f>AND(主角属性字段设计!L15,"AAAAAAz1uVg=")</f>
        <v>#VALUE!</v>
      </c>
      <c r="CL3" t="e">
        <f>AND(主角属性字段设计!M15,"AAAAAAz1uVk=")</f>
        <v>#VALUE!</v>
      </c>
      <c r="CM3" t="e">
        <f>AND(主角属性字段设计!N15,"AAAAAAz1uVo=")</f>
        <v>#VALUE!</v>
      </c>
      <c r="CN3" t="e">
        <f>AND(主角属性字段设计!O15,"AAAAAAz1uVs=")</f>
        <v>#VALUE!</v>
      </c>
      <c r="CO3" t="e">
        <f>AND(主角属性字段设计!P15,"AAAAAAz1uVw=")</f>
        <v>#VALUE!</v>
      </c>
      <c r="CP3" t="e">
        <f>AND(主角属性字段设计!U15,"AAAAAAz1uV0=")</f>
        <v>#VALUE!</v>
      </c>
      <c r="CQ3" t="e">
        <f>AND(主角属性字段设计!V15,"AAAAAAz1uV4=")</f>
        <v>#VALUE!</v>
      </c>
      <c r="CR3" t="e">
        <f>AND(主角属性字段设计!W38,"AAAAAAz1uV8=")</f>
        <v>#VALUE!</v>
      </c>
      <c r="CS3" t="e">
        <f>AND(主角属性字段设计!X38,"AAAAAAz1uWA=")</f>
        <v>#VALUE!</v>
      </c>
      <c r="CT3" t="e">
        <f>AND(主角属性字段设计!Y38,"AAAAAAz1uWE=")</f>
        <v>#VALUE!</v>
      </c>
      <c r="CU3" t="e">
        <f>AND(主角属性字段设计!Z38,"AAAAAAz1uWI=")</f>
        <v>#VALUE!</v>
      </c>
      <c r="CV3" t="e">
        <f>AND(主角属性字段设计!AA38,"AAAAAAz1uWM=")</f>
        <v>#VALUE!</v>
      </c>
      <c r="CW3" t="e">
        <f>AND(主角属性字段设计!AB38,"AAAAAAz1uWQ=")</f>
        <v>#VALUE!</v>
      </c>
      <c r="CX3" t="e">
        <f>AND(主角属性字段设计!AC38,"AAAAAAz1uWU=")</f>
        <v>#VALUE!</v>
      </c>
      <c r="CY3" t="e">
        <f>AND(主角属性字段设计!AD38,"AAAAAAz1uWY=")</f>
        <v>#VALUE!</v>
      </c>
      <c r="CZ3" t="e">
        <f>AND(#REF!,"AAAAAAz1uWc=")</f>
        <v>#REF!</v>
      </c>
      <c r="DA3" t="e">
        <f>AND(#REF!,"AAAAAAz1uWg=")</f>
        <v>#REF!</v>
      </c>
      <c r="DB3" t="e">
        <f>AND(#REF!,"AAAAAAz1uWk=")</f>
        <v>#REF!</v>
      </c>
      <c r="DC3" t="e">
        <f>AND(#REF!,"AAAAAAz1uWo=")</f>
        <v>#REF!</v>
      </c>
      <c r="DD3" t="e">
        <f>AND(#REF!,"AAAAAAz1uWs=")</f>
        <v>#REF!</v>
      </c>
      <c r="DE3" t="e">
        <f>AND(#REF!,"AAAAAAz1uWw=")</f>
        <v>#REF!</v>
      </c>
      <c r="DF3" t="e">
        <f>AND(#REF!,"AAAAAAz1uW0=")</f>
        <v>#REF!</v>
      </c>
      <c r="DG3" t="e">
        <f>AND(#REF!,"AAAAAAz1uW4=")</f>
        <v>#REF!</v>
      </c>
      <c r="DH3" t="e">
        <f>AND(#REF!,"AAAAAAz1uW8=")</f>
        <v>#REF!</v>
      </c>
      <c r="DI3" t="e">
        <f>AND(#REF!,"AAAAAAz1uXA=")</f>
        <v>#REF!</v>
      </c>
      <c r="DJ3" t="e">
        <f>AND(#REF!,"AAAAAAz1uXE=")</f>
        <v>#REF!</v>
      </c>
      <c r="DK3" t="e">
        <f>AND(#REF!,"AAAAAAz1uXI=")</f>
        <v>#REF!</v>
      </c>
      <c r="DL3" t="e">
        <f>AND(#REF!,"AAAAAAz1uXM=")</f>
        <v>#REF!</v>
      </c>
      <c r="DM3" t="e">
        <f>AND(#REF!,"AAAAAAz1uXQ=")</f>
        <v>#REF!</v>
      </c>
      <c r="DN3" t="e">
        <f>AND(#REF!,"AAAAAAz1uXU=")</f>
        <v>#REF!</v>
      </c>
      <c r="DO3">
        <f>IF(主角属性字段设计!16:16,"AAAAAAz1uXY=",0)</f>
        <v>0</v>
      </c>
      <c r="DP3" t="e">
        <f>AND(主角属性字段设计!A16,"AAAAAAz1uXc=")</f>
        <v>#VALUE!</v>
      </c>
      <c r="DQ3" t="e">
        <f>AND(主角属性字段设计!B16,"AAAAAAz1uXg=")</f>
        <v>#VALUE!</v>
      </c>
      <c r="DR3" t="e">
        <f>AND(主角属性字段设计!C16,"AAAAAAz1uXk=")</f>
        <v>#VALUE!</v>
      </c>
      <c r="DS3" t="e">
        <f>AND(主角属性字段设计!D16,"AAAAAAz1uXo=")</f>
        <v>#VALUE!</v>
      </c>
      <c r="DT3" t="e">
        <f>AND(主角属性字段设计!E16,"AAAAAAz1uXs=")</f>
        <v>#VALUE!</v>
      </c>
      <c r="DU3" t="e">
        <f>AND(主角属性字段设计!F16,"AAAAAAz1uXw=")</f>
        <v>#VALUE!</v>
      </c>
      <c r="DV3" t="e">
        <f>AND(主角属性字段设计!G16,"AAAAAAz1uX0=")</f>
        <v>#VALUE!</v>
      </c>
      <c r="DW3" t="e">
        <f>AND(主角属性字段设计!H16,"AAAAAAz1uX4=")</f>
        <v>#VALUE!</v>
      </c>
      <c r="DX3" t="e">
        <f>AND(主角属性字段设计!I16,"AAAAAAz1uX8=")</f>
        <v>#VALUE!</v>
      </c>
      <c r="DY3" t="e">
        <f>AND(主角属性字段设计!J16,"AAAAAAz1uYA=")</f>
        <v>#VALUE!</v>
      </c>
      <c r="DZ3" t="e">
        <f>AND(主角属性字段设计!K16,"AAAAAAz1uYE=")</f>
        <v>#VALUE!</v>
      </c>
      <c r="EA3" t="e">
        <f>AND(主角属性字段设计!L16,"AAAAAAz1uYI=")</f>
        <v>#VALUE!</v>
      </c>
      <c r="EB3" t="e">
        <f>AND(主角属性字段设计!M16,"AAAAAAz1uYM=")</f>
        <v>#VALUE!</v>
      </c>
      <c r="EC3" t="e">
        <f>AND(主角属性字段设计!N16,"AAAAAAz1uYQ=")</f>
        <v>#VALUE!</v>
      </c>
      <c r="ED3" t="e">
        <f>AND(主角属性字段设计!O16,"AAAAAAz1uYU=")</f>
        <v>#VALUE!</v>
      </c>
      <c r="EE3" t="e">
        <f>AND(主角属性字段设计!P16,"AAAAAAz1uYY=")</f>
        <v>#VALUE!</v>
      </c>
      <c r="EF3" t="e">
        <f>AND(主角属性字段设计!U16,"AAAAAAz1uYc=")</f>
        <v>#VALUE!</v>
      </c>
      <c r="EG3" t="e">
        <f>AND(主角属性字段设计!V16,"AAAAAAz1uYg=")</f>
        <v>#VALUE!</v>
      </c>
      <c r="EH3" t="e">
        <f>AND(主角属性字段设计!#REF!,"AAAAAAz1uYk=")</f>
        <v>#REF!</v>
      </c>
      <c r="EI3" t="e">
        <f>AND(主角属性字段设计!#REF!,"AAAAAAz1uYo=")</f>
        <v>#REF!</v>
      </c>
      <c r="EJ3" t="e">
        <f>AND(主角属性字段设计!#REF!,"AAAAAAz1uYs=")</f>
        <v>#REF!</v>
      </c>
      <c r="EK3" t="e">
        <f>AND(主角属性字段设计!#REF!,"AAAAAAz1uYw=")</f>
        <v>#REF!</v>
      </c>
      <c r="EL3" t="e">
        <f>AND(主角属性字段设计!#REF!,"AAAAAAz1uY0=")</f>
        <v>#REF!</v>
      </c>
      <c r="EM3" t="e">
        <f>AND(主角属性字段设计!#REF!,"AAAAAAz1uY4=")</f>
        <v>#REF!</v>
      </c>
      <c r="EN3" t="e">
        <f>AND(主角属性字段设计!#REF!,"AAAAAAz1uY8=")</f>
        <v>#REF!</v>
      </c>
      <c r="EO3" t="e">
        <f>AND(主角属性字段设计!#REF!,"AAAAAAz1uZA=")</f>
        <v>#REF!</v>
      </c>
      <c r="EP3" t="e">
        <f>AND(主角属性字段设计!W52,"AAAAAAz1uZE=")</f>
        <v>#VALUE!</v>
      </c>
      <c r="EQ3" t="e">
        <f>AND(主角属性字段设计!X52,"AAAAAAz1uZI=")</f>
        <v>#VALUE!</v>
      </c>
      <c r="ER3" t="e">
        <f>AND(主角属性字段设计!Y52,"AAAAAAz1uZM=")</f>
        <v>#VALUE!</v>
      </c>
      <c r="ES3" t="e">
        <f>AND(主角属性字段设计!Z52,"AAAAAAz1uZQ=")</f>
        <v>#VALUE!</v>
      </c>
      <c r="ET3" t="e">
        <f>AND(主角属性字段设计!AA52,"AAAAAAz1uZU=")</f>
        <v>#VALUE!</v>
      </c>
      <c r="EU3" t="e">
        <f>AND(主角属性字段设计!AB52,"AAAAAAz1uZY=")</f>
        <v>#VALUE!</v>
      </c>
      <c r="EV3" t="e">
        <f>AND(主角属性字段设计!AC52,"AAAAAAz1uZc=")</f>
        <v>#VALUE!</v>
      </c>
      <c r="EW3" t="e">
        <f>AND(#REF!,"AAAAAAz1uZg=")</f>
        <v>#REF!</v>
      </c>
      <c r="EX3" t="e">
        <f>AND(主角属性字段设计!W92,"AAAAAAz1uZk=")</f>
        <v>#VALUE!</v>
      </c>
      <c r="EY3" t="e">
        <f>AND(主角属性字段设计!X92,"AAAAAAz1uZo=")</f>
        <v>#VALUE!</v>
      </c>
      <c r="EZ3" t="e">
        <f>AND(主角属性字段设计!Y92,"AAAAAAz1uZs=")</f>
        <v>#VALUE!</v>
      </c>
      <c r="FA3" t="e">
        <f>AND(主角属性字段设计!Z92,"AAAAAAz1uZw=")</f>
        <v>#VALUE!</v>
      </c>
      <c r="FB3" t="e">
        <f>AND(主角属性字段设计!AA92,"AAAAAAz1uZ0=")</f>
        <v>#VALUE!</v>
      </c>
      <c r="FC3" t="e">
        <f>AND(主角属性字段设计!AB92,"AAAAAAz1uZ4=")</f>
        <v>#VALUE!</v>
      </c>
      <c r="FD3" t="e">
        <f>AND(主角属性字段设计!AC92,"AAAAAAz1uZ8=")</f>
        <v>#VALUE!</v>
      </c>
      <c r="FE3">
        <f>IF(主角属性字段设计!17:17,"AAAAAAz1uaA=",0)</f>
        <v>0</v>
      </c>
      <c r="FF3" t="e">
        <f>AND(主角属性字段设计!A17,"AAAAAAz1uaE=")</f>
        <v>#VALUE!</v>
      </c>
      <c r="FG3" t="e">
        <f>AND(主角属性字段设计!B17,"AAAAAAz1uaI=")</f>
        <v>#VALUE!</v>
      </c>
      <c r="FH3" t="e">
        <f>AND(主角属性字段设计!C17,"AAAAAAz1uaM=")</f>
        <v>#VALUE!</v>
      </c>
      <c r="FI3" t="e">
        <f>AND(主角属性字段设计!D17,"AAAAAAz1uaQ=")</f>
        <v>#VALUE!</v>
      </c>
      <c r="FJ3" t="e">
        <f>AND(主角属性字段设计!E17,"AAAAAAz1uaU=")</f>
        <v>#VALUE!</v>
      </c>
      <c r="FK3" t="e">
        <f>AND(主角属性字段设计!F17,"AAAAAAz1uaY=")</f>
        <v>#VALUE!</v>
      </c>
      <c r="FL3" t="e">
        <f>AND(主角属性字段设计!G17,"AAAAAAz1uac=")</f>
        <v>#VALUE!</v>
      </c>
      <c r="FM3" t="e">
        <f>AND(主角属性字段设计!H17,"AAAAAAz1uag=")</f>
        <v>#VALUE!</v>
      </c>
      <c r="FN3" t="e">
        <f>AND(主角属性字段设计!I17,"AAAAAAz1uak=")</f>
        <v>#VALUE!</v>
      </c>
      <c r="FO3" t="e">
        <f>AND(主角属性字段设计!J17,"AAAAAAz1uao=")</f>
        <v>#VALUE!</v>
      </c>
      <c r="FP3" t="e">
        <f>AND(主角属性字段设计!K17,"AAAAAAz1uas=")</f>
        <v>#VALUE!</v>
      </c>
      <c r="FQ3" t="e">
        <f>AND(主角属性字段设计!L17,"AAAAAAz1uaw=")</f>
        <v>#VALUE!</v>
      </c>
      <c r="FR3" t="e">
        <f>AND(主角属性字段设计!M17,"AAAAAAz1ua0=")</f>
        <v>#VALUE!</v>
      </c>
      <c r="FS3" t="e">
        <f>AND(主角属性字段设计!N17,"AAAAAAz1ua4=")</f>
        <v>#VALUE!</v>
      </c>
      <c r="FT3" t="e">
        <f>AND(主角属性字段设计!O17,"AAAAAAz1ua8=")</f>
        <v>#VALUE!</v>
      </c>
      <c r="FU3" t="e">
        <f>AND(主角属性字段设计!P17,"AAAAAAz1ubA=")</f>
        <v>#VALUE!</v>
      </c>
      <c r="FV3" t="e">
        <f>AND(主角属性字段设计!U17,"AAAAAAz1ubE=")</f>
        <v>#VALUE!</v>
      </c>
      <c r="FW3" t="e">
        <f>AND(主角属性字段设计!V17,"AAAAAAz1ubI=")</f>
        <v>#VALUE!</v>
      </c>
      <c r="FX3" t="e">
        <f>AND(主角属性字段设计!#REF!,"AAAAAAz1ubM=")</f>
        <v>#REF!</v>
      </c>
      <c r="FY3" t="e">
        <f>AND(主角属性字段设计!#REF!,"AAAAAAz1ubQ=")</f>
        <v>#REF!</v>
      </c>
      <c r="FZ3" t="e">
        <f>AND(主角属性字段设计!#REF!,"AAAAAAz1ubU=")</f>
        <v>#REF!</v>
      </c>
      <c r="GA3" t="e">
        <f>AND(主角属性字段设计!#REF!,"AAAAAAz1ubY=")</f>
        <v>#REF!</v>
      </c>
      <c r="GB3" t="e">
        <f>AND(主角属性字段设计!#REF!,"AAAAAAz1ubc=")</f>
        <v>#REF!</v>
      </c>
      <c r="GC3" t="e">
        <f>AND(主角属性字段设计!#REF!,"AAAAAAz1ubg=")</f>
        <v>#REF!</v>
      </c>
      <c r="GD3" t="e">
        <f>AND(主角属性字段设计!#REF!,"AAAAAAz1ubk=")</f>
        <v>#REF!</v>
      </c>
      <c r="GE3" t="e">
        <f>AND(主角属性字段设计!#REF!,"AAAAAAz1ubo=")</f>
        <v>#REF!</v>
      </c>
      <c r="GF3" t="e">
        <f>AND(主角属性字段设计!W53,"AAAAAAz1ubs=")</f>
        <v>#VALUE!</v>
      </c>
      <c r="GG3" t="e">
        <f>AND(主角属性字段设计!X53,"AAAAAAz1ubw=")</f>
        <v>#VALUE!</v>
      </c>
      <c r="GH3" t="e">
        <f>AND(主角属性字段设计!Y53,"AAAAAAz1ub0=")</f>
        <v>#VALUE!</v>
      </c>
      <c r="GI3" t="e">
        <f>AND(主角属性字段设计!Z53,"AAAAAAz1ub4=")</f>
        <v>#VALUE!</v>
      </c>
      <c r="GJ3" t="e">
        <f>AND(主角属性字段设计!AA53,"AAAAAAz1ub8=")</f>
        <v>#VALUE!</v>
      </c>
      <c r="GK3" t="e">
        <f>AND(主角属性字段设计!AB53,"AAAAAAz1ucA=")</f>
        <v>#VALUE!</v>
      </c>
      <c r="GL3" t="e">
        <f>AND(主角属性字段设计!AC53,"AAAAAAz1ucE=")</f>
        <v>#VALUE!</v>
      </c>
      <c r="GM3" t="e">
        <f>AND(#REF!,"AAAAAAz1ucI=")</f>
        <v>#REF!</v>
      </c>
      <c r="GN3" t="e">
        <f>AND(主角属性字段设计!W93,"AAAAAAz1ucM=")</f>
        <v>#VALUE!</v>
      </c>
      <c r="GO3" t="e">
        <f>AND(主角属性字段设计!X93,"AAAAAAz1ucQ=")</f>
        <v>#VALUE!</v>
      </c>
      <c r="GP3" t="e">
        <f>AND(主角属性字段设计!Y93,"AAAAAAz1ucU=")</f>
        <v>#VALUE!</v>
      </c>
      <c r="GQ3" t="e">
        <f>AND(主角属性字段设计!Z93,"AAAAAAz1ucY=")</f>
        <v>#VALUE!</v>
      </c>
      <c r="GR3" t="e">
        <f>AND(主角属性字段设计!AA93,"AAAAAAz1ucc=")</f>
        <v>#VALUE!</v>
      </c>
      <c r="GS3" t="e">
        <f>AND(主角属性字段设计!AB93,"AAAAAAz1ucg=")</f>
        <v>#VALUE!</v>
      </c>
      <c r="GT3" t="e">
        <f>AND(主角属性字段设计!AC93,"AAAAAAz1uck=")</f>
        <v>#VALUE!</v>
      </c>
      <c r="GU3">
        <f>IF(主角属性字段设计!18:18,"AAAAAAz1uco=",0)</f>
        <v>0</v>
      </c>
      <c r="GV3" t="e">
        <f>AND(主角属性字段设计!A18,"AAAAAAz1ucs=")</f>
        <v>#VALUE!</v>
      </c>
      <c r="GW3" t="e">
        <f>AND(主角属性字段设计!B18,"AAAAAAz1ucw=")</f>
        <v>#VALUE!</v>
      </c>
      <c r="GX3" t="e">
        <f>AND(主角属性字段设计!C18,"AAAAAAz1uc0=")</f>
        <v>#VALUE!</v>
      </c>
      <c r="GY3" t="e">
        <f>AND(主角属性字段设计!D18,"AAAAAAz1uc4=")</f>
        <v>#VALUE!</v>
      </c>
      <c r="GZ3" t="e">
        <f>AND(主角属性字段设计!E18,"AAAAAAz1uc8=")</f>
        <v>#VALUE!</v>
      </c>
      <c r="HA3" t="e">
        <f>AND(主角属性字段设计!F18,"AAAAAAz1udA=")</f>
        <v>#VALUE!</v>
      </c>
      <c r="HB3" t="e">
        <f>AND(主角属性字段设计!G18,"AAAAAAz1udE=")</f>
        <v>#VALUE!</v>
      </c>
      <c r="HC3" t="e">
        <f>AND(主角属性字段设计!H18,"AAAAAAz1udI=")</f>
        <v>#VALUE!</v>
      </c>
      <c r="HD3" t="e">
        <f>AND(主角属性字段设计!I18,"AAAAAAz1udM=")</f>
        <v>#VALUE!</v>
      </c>
      <c r="HE3" t="e">
        <f>AND(主角属性字段设计!J18,"AAAAAAz1udQ=")</f>
        <v>#VALUE!</v>
      </c>
      <c r="HF3" t="e">
        <f>AND(主角属性字段设计!K18,"AAAAAAz1udU=")</f>
        <v>#VALUE!</v>
      </c>
      <c r="HG3" t="e">
        <f>AND(主角属性字段设计!L18,"AAAAAAz1udY=")</f>
        <v>#VALUE!</v>
      </c>
      <c r="HH3" t="e">
        <f>AND(主角属性字段设计!M18,"AAAAAAz1udc=")</f>
        <v>#VALUE!</v>
      </c>
      <c r="HI3" t="e">
        <f>AND(主角属性字段设计!N18,"AAAAAAz1udg=")</f>
        <v>#VALUE!</v>
      </c>
      <c r="HJ3" t="e">
        <f>AND(主角属性字段设计!O18,"AAAAAAz1udk=")</f>
        <v>#VALUE!</v>
      </c>
      <c r="HK3" t="e">
        <f>AND(主角属性字段设计!P18,"AAAAAAz1udo=")</f>
        <v>#VALUE!</v>
      </c>
      <c r="HL3" t="e">
        <f>AND(主角属性字段设计!U18,"AAAAAAz1uds=")</f>
        <v>#VALUE!</v>
      </c>
      <c r="HM3" t="e">
        <f>AND(主角属性字段设计!V18,"AAAAAAz1udw=")</f>
        <v>#VALUE!</v>
      </c>
      <c r="HN3" t="e">
        <f>AND(主角属性字段设计!#REF!,"AAAAAAz1ud0=")</f>
        <v>#REF!</v>
      </c>
      <c r="HO3" t="e">
        <f>AND(主角属性字段设计!#REF!,"AAAAAAz1ud4=")</f>
        <v>#REF!</v>
      </c>
      <c r="HP3" t="e">
        <f>AND(主角属性字段设计!#REF!,"AAAAAAz1ud8=")</f>
        <v>#REF!</v>
      </c>
      <c r="HQ3" t="e">
        <f>AND(主角属性字段设计!#REF!,"AAAAAAz1ueA=")</f>
        <v>#REF!</v>
      </c>
      <c r="HR3" t="e">
        <f>AND(主角属性字段设计!#REF!,"AAAAAAz1ueE=")</f>
        <v>#REF!</v>
      </c>
      <c r="HS3" t="e">
        <f>AND(主角属性字段设计!#REF!,"AAAAAAz1ueI=")</f>
        <v>#REF!</v>
      </c>
      <c r="HT3" t="e">
        <f>AND(主角属性字段设计!#REF!,"AAAAAAz1ueM=")</f>
        <v>#REF!</v>
      </c>
      <c r="HU3" t="e">
        <f>AND(主角属性字段设计!#REF!,"AAAAAAz1ueQ=")</f>
        <v>#REF!</v>
      </c>
      <c r="HV3" t="e">
        <f>AND(主角属性字段设计!W54,"AAAAAAz1ueU=")</f>
        <v>#VALUE!</v>
      </c>
      <c r="HW3" t="e">
        <f>AND(主角属性字段设计!X54,"AAAAAAz1ueY=")</f>
        <v>#VALUE!</v>
      </c>
      <c r="HX3" t="e">
        <f>AND(主角属性字段设计!Y54,"AAAAAAz1uec=")</f>
        <v>#VALUE!</v>
      </c>
      <c r="HY3" t="e">
        <f>AND(主角属性字段设计!Z54,"AAAAAAz1ueg=")</f>
        <v>#VALUE!</v>
      </c>
      <c r="HZ3" t="e">
        <f>AND(主角属性字段设计!AA54,"AAAAAAz1uek=")</f>
        <v>#VALUE!</v>
      </c>
      <c r="IA3" t="e">
        <f>AND(主角属性字段设计!AB54,"AAAAAAz1ueo=")</f>
        <v>#VALUE!</v>
      </c>
      <c r="IB3" t="e">
        <f>AND(主角属性字段设计!AC54,"AAAAAAz1ues=")</f>
        <v>#VALUE!</v>
      </c>
      <c r="IC3" t="e">
        <f>AND(#REF!,"AAAAAAz1uew=")</f>
        <v>#REF!</v>
      </c>
      <c r="ID3" t="e">
        <f>AND(主角属性字段设计!W94,"AAAAAAz1ue0=")</f>
        <v>#VALUE!</v>
      </c>
      <c r="IE3" t="e">
        <f>AND(主角属性字段设计!X94,"AAAAAAz1ue4=")</f>
        <v>#VALUE!</v>
      </c>
      <c r="IF3" t="e">
        <f>AND(主角属性字段设计!Y94,"AAAAAAz1ue8=")</f>
        <v>#VALUE!</v>
      </c>
      <c r="IG3" t="e">
        <f>AND(主角属性字段设计!Z94,"AAAAAAz1ufA=")</f>
        <v>#VALUE!</v>
      </c>
      <c r="IH3" t="e">
        <f>AND(主角属性字段设计!AA94,"AAAAAAz1ufE=")</f>
        <v>#VALUE!</v>
      </c>
      <c r="II3" t="e">
        <f>AND(主角属性字段设计!AB94,"AAAAAAz1ufI=")</f>
        <v>#VALUE!</v>
      </c>
      <c r="IJ3" t="e">
        <f>AND(主角属性字段设计!AC94,"AAAAAAz1ufM=")</f>
        <v>#VALUE!</v>
      </c>
      <c r="IK3">
        <f>IF(主角属性字段设计!19:19,"AAAAAAz1ufQ=",0)</f>
        <v>0</v>
      </c>
      <c r="IL3" t="e">
        <f>AND(主角属性字段设计!A19,"AAAAAAz1ufU=")</f>
        <v>#VALUE!</v>
      </c>
      <c r="IM3" t="e">
        <f>AND(主角属性字段设计!B19,"AAAAAAz1ufY=")</f>
        <v>#VALUE!</v>
      </c>
      <c r="IN3" t="e">
        <f>AND(主角属性字段设计!C19,"AAAAAAz1ufc=")</f>
        <v>#VALUE!</v>
      </c>
      <c r="IO3" t="e">
        <f>AND(主角属性字段设计!D19,"AAAAAAz1ufg=")</f>
        <v>#VALUE!</v>
      </c>
      <c r="IP3" t="e">
        <f>AND(主角属性字段设计!E19,"AAAAAAz1ufk=")</f>
        <v>#VALUE!</v>
      </c>
      <c r="IQ3" t="e">
        <f>AND(主角属性字段设计!F19,"AAAAAAz1ufo=")</f>
        <v>#VALUE!</v>
      </c>
      <c r="IR3" t="e">
        <f>AND(主角属性字段设计!G19,"AAAAAAz1ufs=")</f>
        <v>#VALUE!</v>
      </c>
      <c r="IS3" t="e">
        <f>AND(主角属性字段设计!H19,"AAAAAAz1ufw=")</f>
        <v>#VALUE!</v>
      </c>
      <c r="IT3" t="e">
        <f>AND(主角属性字段设计!I19,"AAAAAAz1uf0=")</f>
        <v>#VALUE!</v>
      </c>
      <c r="IU3" t="e">
        <f>AND(主角属性字段设计!J19,"AAAAAAz1uf4=")</f>
        <v>#VALUE!</v>
      </c>
      <c r="IV3" t="e">
        <f>AND(主角属性字段设计!K19,"AAAAAAz1uf8=")</f>
        <v>#VALUE!</v>
      </c>
    </row>
    <row r="4" spans="1:256">
      <c r="A4" t="e">
        <f>AND(主角属性字段设计!L19,"AAAAAHP0fQA=")</f>
        <v>#VALUE!</v>
      </c>
      <c r="B4" t="e">
        <f>AND(主角属性字段设计!M19,"AAAAAHP0fQE=")</f>
        <v>#VALUE!</v>
      </c>
      <c r="C4" t="e">
        <f>AND(主角属性字段设计!N19,"AAAAAHP0fQI=")</f>
        <v>#VALUE!</v>
      </c>
      <c r="D4" t="e">
        <f>AND(主角属性字段设计!O19,"AAAAAHP0fQM=")</f>
        <v>#VALUE!</v>
      </c>
      <c r="E4" t="e">
        <f>AND(主角属性字段设计!P19,"AAAAAHP0fQQ=")</f>
        <v>#VALUE!</v>
      </c>
      <c r="F4" t="e">
        <f>AND(主角属性字段设计!U19,"AAAAAHP0fQU=")</f>
        <v>#VALUE!</v>
      </c>
      <c r="G4" t="e">
        <f>AND(主角属性字段设计!V19,"AAAAAHP0fQY=")</f>
        <v>#VALUE!</v>
      </c>
      <c r="H4" t="e">
        <f>AND(主角属性字段设计!#REF!,"AAAAAHP0fQc=")</f>
        <v>#REF!</v>
      </c>
      <c r="I4" t="e">
        <f>AND(主角属性字段设计!#REF!,"AAAAAHP0fQg=")</f>
        <v>#REF!</v>
      </c>
      <c r="J4" t="e">
        <f>AND(主角属性字段设计!#REF!,"AAAAAHP0fQk=")</f>
        <v>#REF!</v>
      </c>
      <c r="K4" t="e">
        <f>AND(主角属性字段设计!#REF!,"AAAAAHP0fQo=")</f>
        <v>#REF!</v>
      </c>
      <c r="L4" t="e">
        <f>AND(主角属性字段设计!#REF!,"AAAAAHP0fQs=")</f>
        <v>#REF!</v>
      </c>
      <c r="M4" t="e">
        <f>AND(主角属性字段设计!#REF!,"AAAAAHP0fQw=")</f>
        <v>#REF!</v>
      </c>
      <c r="N4" t="e">
        <f>AND(主角属性字段设计!#REF!,"AAAAAHP0fQ0=")</f>
        <v>#REF!</v>
      </c>
      <c r="O4" t="e">
        <f>AND(主角属性字段设计!#REF!,"AAAAAHP0fQ4=")</f>
        <v>#REF!</v>
      </c>
      <c r="P4" t="e">
        <f>AND(主角属性字段设计!W55,"AAAAAHP0fQ8=")</f>
        <v>#VALUE!</v>
      </c>
      <c r="Q4" t="e">
        <f>AND(主角属性字段设计!X55,"AAAAAHP0fRA=")</f>
        <v>#VALUE!</v>
      </c>
      <c r="R4" t="e">
        <f>AND(主角属性字段设计!Y55,"AAAAAHP0fRE=")</f>
        <v>#VALUE!</v>
      </c>
      <c r="S4" t="e">
        <f>AND(主角属性字段设计!Z55,"AAAAAHP0fRI=")</f>
        <v>#VALUE!</v>
      </c>
      <c r="T4" t="e">
        <f>AND(主角属性字段设计!AA55,"AAAAAHP0fRM=")</f>
        <v>#VALUE!</v>
      </c>
      <c r="U4" t="e">
        <f>AND(主角属性字段设计!AB55,"AAAAAHP0fRQ=")</f>
        <v>#VALUE!</v>
      </c>
      <c r="V4" t="e">
        <f>AND(主角属性字段设计!AC55,"AAAAAHP0fRU=")</f>
        <v>#VALUE!</v>
      </c>
      <c r="W4" t="e">
        <f>AND(#REF!,"AAAAAHP0fRY=")</f>
        <v>#REF!</v>
      </c>
      <c r="X4" t="e">
        <f>AND(主角属性字段设计!W95,"AAAAAHP0fRc=")</f>
        <v>#VALUE!</v>
      </c>
      <c r="Y4" t="e">
        <f>AND(主角属性字段设计!X95,"AAAAAHP0fRg=")</f>
        <v>#VALUE!</v>
      </c>
      <c r="Z4" t="e">
        <f>AND(主角属性字段设计!Y95,"AAAAAHP0fRk=")</f>
        <v>#VALUE!</v>
      </c>
      <c r="AA4" t="e">
        <f>AND(主角属性字段设计!Z95,"AAAAAHP0fRo=")</f>
        <v>#VALUE!</v>
      </c>
      <c r="AB4" t="e">
        <f>AND(主角属性字段设计!AA95,"AAAAAHP0fRs=")</f>
        <v>#VALUE!</v>
      </c>
      <c r="AC4" t="e">
        <f>AND(主角属性字段设计!AB95,"AAAAAHP0fRw=")</f>
        <v>#VALUE!</v>
      </c>
      <c r="AD4" t="e">
        <f>AND(主角属性字段设计!AC95,"AAAAAHP0fR0=")</f>
        <v>#VALUE!</v>
      </c>
      <c r="AE4">
        <f>IF(主角属性字段设计!20:20,"AAAAAHP0fR4=",0)</f>
        <v>0</v>
      </c>
      <c r="AF4" t="e">
        <f>AND(主角属性字段设计!A20,"AAAAAHP0fR8=")</f>
        <v>#VALUE!</v>
      </c>
      <c r="AG4" t="e">
        <f>AND(主角属性字段设计!B20,"AAAAAHP0fSA=")</f>
        <v>#VALUE!</v>
      </c>
      <c r="AH4" t="e">
        <f>AND(主角属性字段设计!C20,"AAAAAHP0fSE=")</f>
        <v>#VALUE!</v>
      </c>
      <c r="AI4" t="e">
        <f>AND(主角属性字段设计!D20,"AAAAAHP0fSI=")</f>
        <v>#VALUE!</v>
      </c>
      <c r="AJ4" t="e">
        <f>AND(主角属性字段设计!E20,"AAAAAHP0fSM=")</f>
        <v>#VALUE!</v>
      </c>
      <c r="AK4" t="e">
        <f>AND(主角属性字段设计!F20,"AAAAAHP0fSQ=")</f>
        <v>#VALUE!</v>
      </c>
      <c r="AL4" t="e">
        <f>AND(主角属性字段设计!G20,"AAAAAHP0fSU=")</f>
        <v>#VALUE!</v>
      </c>
      <c r="AM4" t="e">
        <f>AND(主角属性字段设计!H20,"AAAAAHP0fSY=")</f>
        <v>#VALUE!</v>
      </c>
      <c r="AN4" t="e">
        <f>AND(主角属性字段设计!I20,"AAAAAHP0fSc=")</f>
        <v>#VALUE!</v>
      </c>
      <c r="AO4" t="e">
        <f>AND(主角属性字段设计!J20,"AAAAAHP0fSg=")</f>
        <v>#VALUE!</v>
      </c>
      <c r="AP4" t="e">
        <f>AND(主角属性字段设计!K20,"AAAAAHP0fSk=")</f>
        <v>#VALUE!</v>
      </c>
      <c r="AQ4" t="e">
        <f>AND(主角属性字段设计!L20,"AAAAAHP0fSo=")</f>
        <v>#VALUE!</v>
      </c>
      <c r="AR4" t="e">
        <f>AND(主角属性字段设计!M20,"AAAAAHP0fSs=")</f>
        <v>#VALUE!</v>
      </c>
      <c r="AS4" t="e">
        <f>AND(主角属性字段设计!N20,"AAAAAHP0fSw=")</f>
        <v>#VALUE!</v>
      </c>
      <c r="AT4" t="e">
        <f>AND(主角属性字段设计!O20,"AAAAAHP0fS0=")</f>
        <v>#VALUE!</v>
      </c>
      <c r="AU4" t="e">
        <f>AND(主角属性字段设计!P20,"AAAAAHP0fS4=")</f>
        <v>#VALUE!</v>
      </c>
      <c r="AV4" t="e">
        <f>AND(主角属性字段设计!U20,"AAAAAHP0fS8=")</f>
        <v>#VALUE!</v>
      </c>
      <c r="AW4" t="e">
        <f>AND(主角属性字段设计!V20,"AAAAAHP0fTA=")</f>
        <v>#VALUE!</v>
      </c>
      <c r="AX4" t="e">
        <f>AND(主角属性字段设计!#REF!,"AAAAAHP0fTE=")</f>
        <v>#REF!</v>
      </c>
      <c r="AY4" t="e">
        <f>AND(主角属性字段设计!#REF!,"AAAAAHP0fTI=")</f>
        <v>#REF!</v>
      </c>
      <c r="AZ4" t="e">
        <f>AND(主角属性字段设计!#REF!,"AAAAAHP0fTM=")</f>
        <v>#REF!</v>
      </c>
      <c r="BA4" t="e">
        <f>AND(主角属性字段设计!#REF!,"AAAAAHP0fTQ=")</f>
        <v>#REF!</v>
      </c>
      <c r="BB4" t="e">
        <f>AND(主角属性字段设计!#REF!,"AAAAAHP0fTU=")</f>
        <v>#REF!</v>
      </c>
      <c r="BC4" t="e">
        <f>AND(主角属性字段设计!#REF!,"AAAAAHP0fTY=")</f>
        <v>#REF!</v>
      </c>
      <c r="BD4" t="e">
        <f>AND(主角属性字段设计!#REF!,"AAAAAHP0fTc=")</f>
        <v>#REF!</v>
      </c>
      <c r="BE4" t="e">
        <f>AND(主角属性字段设计!#REF!,"AAAAAHP0fTg=")</f>
        <v>#REF!</v>
      </c>
      <c r="BF4" t="e">
        <f>AND(主角属性字段设计!W56,"AAAAAHP0fTk=")</f>
        <v>#VALUE!</v>
      </c>
      <c r="BG4" t="e">
        <f>AND(主角属性字段设计!X56,"AAAAAHP0fTo=")</f>
        <v>#VALUE!</v>
      </c>
      <c r="BH4" t="e">
        <f>AND(主角属性字段设计!Y56,"AAAAAHP0fTs=")</f>
        <v>#VALUE!</v>
      </c>
      <c r="BI4" t="e">
        <f>AND(主角属性字段设计!Z56,"AAAAAHP0fTw=")</f>
        <v>#VALUE!</v>
      </c>
      <c r="BJ4" t="e">
        <f>AND(主角属性字段设计!AA56,"AAAAAHP0fT0=")</f>
        <v>#VALUE!</v>
      </c>
      <c r="BK4" t="e">
        <f>AND(主角属性字段设计!AB56,"AAAAAHP0fT4=")</f>
        <v>#VALUE!</v>
      </c>
      <c r="BL4" t="e">
        <f>AND(主角属性字段设计!AC56,"AAAAAHP0fT8=")</f>
        <v>#VALUE!</v>
      </c>
      <c r="BM4" t="e">
        <f>AND(#REF!,"AAAAAHP0fUA=")</f>
        <v>#REF!</v>
      </c>
      <c r="BN4" t="e">
        <f>AND(主角属性字段设计!W96,"AAAAAHP0fUE=")</f>
        <v>#VALUE!</v>
      </c>
      <c r="BO4" t="e">
        <f>AND(主角属性字段设计!X96,"AAAAAHP0fUI=")</f>
        <v>#VALUE!</v>
      </c>
      <c r="BP4" t="e">
        <f>AND(主角属性字段设计!Y96,"AAAAAHP0fUM=")</f>
        <v>#VALUE!</v>
      </c>
      <c r="BQ4" t="e">
        <f>AND(主角属性字段设计!Z96,"AAAAAHP0fUQ=")</f>
        <v>#VALUE!</v>
      </c>
      <c r="BR4" t="e">
        <f>AND(主角属性字段设计!AA96,"AAAAAHP0fUU=")</f>
        <v>#VALUE!</v>
      </c>
      <c r="BS4" t="e">
        <f>AND(主角属性字段设计!AB96,"AAAAAHP0fUY=")</f>
        <v>#VALUE!</v>
      </c>
      <c r="BT4" t="e">
        <f>AND(主角属性字段设计!AC96,"AAAAAHP0fUc=")</f>
        <v>#VALUE!</v>
      </c>
      <c r="BU4">
        <f>IF(主角属性字段设计!21:21,"AAAAAHP0fUg=",0)</f>
        <v>0</v>
      </c>
      <c r="BV4" t="e">
        <f>AND(主角属性字段设计!A21,"AAAAAHP0fUk=")</f>
        <v>#VALUE!</v>
      </c>
      <c r="BW4" t="e">
        <f>AND(主角属性字段设计!B21,"AAAAAHP0fUo=")</f>
        <v>#VALUE!</v>
      </c>
      <c r="BX4" t="e">
        <f>AND(主角属性字段设计!C21,"AAAAAHP0fUs=")</f>
        <v>#VALUE!</v>
      </c>
      <c r="BY4" t="e">
        <f>AND(主角属性字段设计!D21,"AAAAAHP0fUw=")</f>
        <v>#VALUE!</v>
      </c>
      <c r="BZ4" t="e">
        <f>AND(主角属性字段设计!E21,"AAAAAHP0fU0=")</f>
        <v>#VALUE!</v>
      </c>
      <c r="CA4" t="e">
        <f>AND(主角属性字段设计!F21,"AAAAAHP0fU4=")</f>
        <v>#VALUE!</v>
      </c>
      <c r="CB4" t="e">
        <f>AND(主角属性字段设计!G21,"AAAAAHP0fU8=")</f>
        <v>#VALUE!</v>
      </c>
      <c r="CC4" t="e">
        <f>AND(主角属性字段设计!H21,"AAAAAHP0fVA=")</f>
        <v>#VALUE!</v>
      </c>
      <c r="CD4" t="e">
        <f>AND(主角属性字段设计!I21,"AAAAAHP0fVE=")</f>
        <v>#VALUE!</v>
      </c>
      <c r="CE4" t="e">
        <f>AND(主角属性字段设计!J21,"AAAAAHP0fVI=")</f>
        <v>#VALUE!</v>
      </c>
      <c r="CF4" t="e">
        <f>AND(主角属性字段设计!K21,"AAAAAHP0fVM=")</f>
        <v>#VALUE!</v>
      </c>
      <c r="CG4" t="e">
        <f>AND(主角属性字段设计!L21,"AAAAAHP0fVQ=")</f>
        <v>#VALUE!</v>
      </c>
      <c r="CH4" t="e">
        <f>AND(主角属性字段设计!M21,"AAAAAHP0fVU=")</f>
        <v>#VALUE!</v>
      </c>
      <c r="CI4" t="e">
        <f>AND(主角属性字段设计!N21,"AAAAAHP0fVY=")</f>
        <v>#VALUE!</v>
      </c>
      <c r="CJ4" t="e">
        <f>AND(主角属性字段设计!O21,"AAAAAHP0fVc=")</f>
        <v>#VALUE!</v>
      </c>
      <c r="CK4" t="e">
        <f>AND(主角属性字段设计!P21,"AAAAAHP0fVg=")</f>
        <v>#VALUE!</v>
      </c>
      <c r="CL4" t="e">
        <f>AND(主角属性字段设计!U21,"AAAAAHP0fVk=")</f>
        <v>#VALUE!</v>
      </c>
      <c r="CM4" t="e">
        <f>AND(主角属性字段设计!V21,"AAAAAHP0fVo=")</f>
        <v>#VALUE!</v>
      </c>
      <c r="CN4" t="e">
        <f>AND(主角属性字段设计!#REF!,"AAAAAHP0fVs=")</f>
        <v>#REF!</v>
      </c>
      <c r="CO4" t="e">
        <f>AND(主角属性字段设计!#REF!,"AAAAAHP0fVw=")</f>
        <v>#REF!</v>
      </c>
      <c r="CP4" t="e">
        <f>AND(主角属性字段设计!#REF!,"AAAAAHP0fV0=")</f>
        <v>#REF!</v>
      </c>
      <c r="CQ4" t="e">
        <f>AND(主角属性字段设计!#REF!,"AAAAAHP0fV4=")</f>
        <v>#REF!</v>
      </c>
      <c r="CR4" t="e">
        <f>AND(主角属性字段设计!#REF!,"AAAAAHP0fV8=")</f>
        <v>#REF!</v>
      </c>
      <c r="CS4" t="e">
        <f>AND(主角属性字段设计!#REF!,"AAAAAHP0fWA=")</f>
        <v>#REF!</v>
      </c>
      <c r="CT4" t="e">
        <f>AND(主角属性字段设计!#REF!,"AAAAAHP0fWE=")</f>
        <v>#REF!</v>
      </c>
      <c r="CU4" t="e">
        <f>AND(主角属性字段设计!#REF!,"AAAAAHP0fWI=")</f>
        <v>#REF!</v>
      </c>
      <c r="CV4" t="e">
        <f>AND(主角属性字段设计!W57,"AAAAAHP0fWM=")</f>
        <v>#VALUE!</v>
      </c>
      <c r="CW4" t="e">
        <f>AND(主角属性字段设计!X57,"AAAAAHP0fWQ=")</f>
        <v>#VALUE!</v>
      </c>
      <c r="CX4" t="e">
        <f>AND(主角属性字段设计!Y57,"AAAAAHP0fWU=")</f>
        <v>#VALUE!</v>
      </c>
      <c r="CY4" t="e">
        <f>AND(主角属性字段设计!Z57,"AAAAAHP0fWY=")</f>
        <v>#VALUE!</v>
      </c>
      <c r="CZ4" t="e">
        <f>AND(主角属性字段设计!AA57,"AAAAAHP0fWc=")</f>
        <v>#VALUE!</v>
      </c>
      <c r="DA4" t="e">
        <f>AND(主角属性字段设计!AB57,"AAAAAHP0fWg=")</f>
        <v>#VALUE!</v>
      </c>
      <c r="DB4" t="e">
        <f>AND(主角属性字段设计!AC57,"AAAAAHP0fWk=")</f>
        <v>#VALUE!</v>
      </c>
      <c r="DC4" t="e">
        <f>AND(#REF!,"AAAAAHP0fWo=")</f>
        <v>#REF!</v>
      </c>
      <c r="DD4" t="e">
        <f>AND(主角属性字段设计!W97,"AAAAAHP0fWs=")</f>
        <v>#VALUE!</v>
      </c>
      <c r="DE4" t="e">
        <f>AND(主角属性字段设计!X97,"AAAAAHP0fWw=")</f>
        <v>#VALUE!</v>
      </c>
      <c r="DF4" t="e">
        <f>AND(主角属性字段设计!Y97,"AAAAAHP0fW0=")</f>
        <v>#VALUE!</v>
      </c>
      <c r="DG4" t="e">
        <f>AND(主角属性字段设计!Z97,"AAAAAHP0fW4=")</f>
        <v>#VALUE!</v>
      </c>
      <c r="DH4" t="e">
        <f>AND(主角属性字段设计!AA97,"AAAAAHP0fW8=")</f>
        <v>#VALUE!</v>
      </c>
      <c r="DI4" t="e">
        <f>AND(主角属性字段设计!AB97,"AAAAAHP0fXA=")</f>
        <v>#VALUE!</v>
      </c>
      <c r="DJ4" t="e">
        <f>AND(主角属性字段设计!AC97,"AAAAAHP0fXE=")</f>
        <v>#VALUE!</v>
      </c>
      <c r="DK4">
        <f>IF(主角属性字段设计!22:22,"AAAAAHP0fXI=",0)</f>
        <v>0</v>
      </c>
      <c r="DL4" t="e">
        <f>AND(主角属性字段设计!A22,"AAAAAHP0fXM=")</f>
        <v>#VALUE!</v>
      </c>
      <c r="DM4" t="e">
        <f>AND(主角属性字段设计!B22,"AAAAAHP0fXQ=")</f>
        <v>#VALUE!</v>
      </c>
      <c r="DN4" t="e">
        <f>AND(主角属性字段设计!C22,"AAAAAHP0fXU=")</f>
        <v>#VALUE!</v>
      </c>
      <c r="DO4" t="e">
        <f>AND(主角属性字段设计!D22,"AAAAAHP0fXY=")</f>
        <v>#VALUE!</v>
      </c>
      <c r="DP4" t="e">
        <f>AND(主角属性字段设计!E22,"AAAAAHP0fXc=")</f>
        <v>#VALUE!</v>
      </c>
      <c r="DQ4" t="e">
        <f>AND(主角属性字段设计!F22,"AAAAAHP0fXg=")</f>
        <v>#VALUE!</v>
      </c>
      <c r="DR4" t="e">
        <f>AND(主角属性字段设计!G22,"AAAAAHP0fXk=")</f>
        <v>#VALUE!</v>
      </c>
      <c r="DS4" t="e">
        <f>AND(主角属性字段设计!H22,"AAAAAHP0fXo=")</f>
        <v>#VALUE!</v>
      </c>
      <c r="DT4" t="e">
        <f>AND(主角属性字段设计!I22,"AAAAAHP0fXs=")</f>
        <v>#VALUE!</v>
      </c>
      <c r="DU4" t="e">
        <f>AND(主角属性字段设计!J22,"AAAAAHP0fXw=")</f>
        <v>#VALUE!</v>
      </c>
      <c r="DV4" t="e">
        <f>AND(主角属性字段设计!K22,"AAAAAHP0fX0=")</f>
        <v>#VALUE!</v>
      </c>
      <c r="DW4" t="e">
        <f>AND(主角属性字段设计!L22,"AAAAAHP0fX4=")</f>
        <v>#VALUE!</v>
      </c>
      <c r="DX4" t="e">
        <f>AND(主角属性字段设计!M22,"AAAAAHP0fX8=")</f>
        <v>#VALUE!</v>
      </c>
      <c r="DY4" t="e">
        <f>AND(主角属性字段设计!N22,"AAAAAHP0fYA=")</f>
        <v>#VALUE!</v>
      </c>
      <c r="DZ4" t="e">
        <f>AND(主角属性字段设计!O22,"AAAAAHP0fYE=")</f>
        <v>#VALUE!</v>
      </c>
      <c r="EA4" t="e">
        <f>AND(主角属性字段设计!P22,"AAAAAHP0fYI=")</f>
        <v>#VALUE!</v>
      </c>
      <c r="EB4" t="e">
        <f>AND(主角属性字段设计!U22,"AAAAAHP0fYM=")</f>
        <v>#VALUE!</v>
      </c>
      <c r="EC4" t="e">
        <f>AND(主角属性字段设计!V22,"AAAAAHP0fYQ=")</f>
        <v>#VALUE!</v>
      </c>
      <c r="ED4" t="e">
        <f>AND(主角属性字段设计!#REF!,"AAAAAHP0fYU=")</f>
        <v>#REF!</v>
      </c>
      <c r="EE4" t="e">
        <f>AND(主角属性字段设计!#REF!,"AAAAAHP0fYY=")</f>
        <v>#REF!</v>
      </c>
      <c r="EF4" t="e">
        <f>AND(主角属性字段设计!#REF!,"AAAAAHP0fYc=")</f>
        <v>#REF!</v>
      </c>
      <c r="EG4" t="e">
        <f>AND(主角属性字段设计!#REF!,"AAAAAHP0fYg=")</f>
        <v>#REF!</v>
      </c>
      <c r="EH4" t="e">
        <f>AND(主角属性字段设计!#REF!,"AAAAAHP0fYk=")</f>
        <v>#REF!</v>
      </c>
      <c r="EI4" t="e">
        <f>AND(主角属性字段设计!#REF!,"AAAAAHP0fYo=")</f>
        <v>#REF!</v>
      </c>
      <c r="EJ4" t="e">
        <f>AND(主角属性字段设计!#REF!,"AAAAAHP0fYs=")</f>
        <v>#REF!</v>
      </c>
      <c r="EK4" t="e">
        <f>AND(主角属性字段设计!#REF!,"AAAAAHP0fYw=")</f>
        <v>#REF!</v>
      </c>
      <c r="EL4" t="e">
        <f>AND(主角属性字段设计!W58,"AAAAAHP0fY0=")</f>
        <v>#VALUE!</v>
      </c>
      <c r="EM4" t="e">
        <f>AND(主角属性字段设计!X58,"AAAAAHP0fY4=")</f>
        <v>#VALUE!</v>
      </c>
      <c r="EN4" t="e">
        <f>AND(主角属性字段设计!Y58,"AAAAAHP0fY8=")</f>
        <v>#VALUE!</v>
      </c>
      <c r="EO4" t="e">
        <f>AND(主角属性字段设计!Z58,"AAAAAHP0fZA=")</f>
        <v>#VALUE!</v>
      </c>
      <c r="EP4" t="e">
        <f>AND(主角属性字段设计!AA58,"AAAAAHP0fZE=")</f>
        <v>#VALUE!</v>
      </c>
      <c r="EQ4" t="e">
        <f>AND(主角属性字段设计!AB58,"AAAAAHP0fZI=")</f>
        <v>#VALUE!</v>
      </c>
      <c r="ER4" t="e">
        <f>AND(主角属性字段设计!AC58,"AAAAAHP0fZM=")</f>
        <v>#VALUE!</v>
      </c>
      <c r="ES4" t="e">
        <f>AND(#REF!,"AAAAAHP0fZQ=")</f>
        <v>#REF!</v>
      </c>
      <c r="ET4" t="e">
        <f>AND(主角属性字段设计!W98,"AAAAAHP0fZU=")</f>
        <v>#VALUE!</v>
      </c>
      <c r="EU4" t="e">
        <f>AND(主角属性字段设计!X98,"AAAAAHP0fZY=")</f>
        <v>#VALUE!</v>
      </c>
      <c r="EV4" t="e">
        <f>AND(主角属性字段设计!Y98,"AAAAAHP0fZc=")</f>
        <v>#VALUE!</v>
      </c>
      <c r="EW4" t="e">
        <f>AND(主角属性字段设计!Z98,"AAAAAHP0fZg=")</f>
        <v>#VALUE!</v>
      </c>
      <c r="EX4" t="e">
        <f>AND(主角属性字段设计!AA98,"AAAAAHP0fZk=")</f>
        <v>#VALUE!</v>
      </c>
      <c r="EY4" t="e">
        <f>AND(主角属性字段设计!AB98,"AAAAAHP0fZo=")</f>
        <v>#VALUE!</v>
      </c>
      <c r="EZ4" t="e">
        <f>AND(主角属性字段设计!AC98,"AAAAAHP0fZs=")</f>
        <v>#VALUE!</v>
      </c>
      <c r="FA4">
        <f>IF(主角属性字段设计!23:23,"AAAAAHP0fZw=",0)</f>
        <v>0</v>
      </c>
      <c r="FB4" t="e">
        <f>AND(主角属性字段设计!A23,"AAAAAHP0fZ0=")</f>
        <v>#VALUE!</v>
      </c>
      <c r="FC4" t="e">
        <f>AND(主角属性字段设计!B23,"AAAAAHP0fZ4=")</f>
        <v>#VALUE!</v>
      </c>
      <c r="FD4" t="e">
        <f>AND(主角属性字段设计!C23,"AAAAAHP0fZ8=")</f>
        <v>#VALUE!</v>
      </c>
      <c r="FE4" t="e">
        <f>AND(主角属性字段设计!D23,"AAAAAHP0faA=")</f>
        <v>#VALUE!</v>
      </c>
      <c r="FF4" t="e">
        <f>AND(主角属性字段设计!E23,"AAAAAHP0faE=")</f>
        <v>#VALUE!</v>
      </c>
      <c r="FG4" t="e">
        <f>AND(主角属性字段设计!F23,"AAAAAHP0faI=")</f>
        <v>#VALUE!</v>
      </c>
      <c r="FH4" t="e">
        <f>AND(主角属性字段设计!G23,"AAAAAHP0faM=")</f>
        <v>#VALUE!</v>
      </c>
      <c r="FI4" t="e">
        <f>AND(主角属性字段设计!H23,"AAAAAHP0faQ=")</f>
        <v>#VALUE!</v>
      </c>
      <c r="FJ4" t="e">
        <f>AND(主角属性字段设计!I23,"AAAAAHP0faU=")</f>
        <v>#VALUE!</v>
      </c>
      <c r="FK4" t="e">
        <f>AND(主角属性字段设计!J23,"AAAAAHP0faY=")</f>
        <v>#VALUE!</v>
      </c>
      <c r="FL4" t="e">
        <f>AND(主角属性字段设计!K23,"AAAAAHP0fac=")</f>
        <v>#VALUE!</v>
      </c>
      <c r="FM4" t="e">
        <f>AND(主角属性字段设计!L23,"AAAAAHP0fag=")</f>
        <v>#VALUE!</v>
      </c>
      <c r="FN4" t="e">
        <f>AND(主角属性字段设计!M23,"AAAAAHP0fak=")</f>
        <v>#VALUE!</v>
      </c>
      <c r="FO4" t="e">
        <f>AND(主角属性字段设计!N23,"AAAAAHP0fao=")</f>
        <v>#VALUE!</v>
      </c>
      <c r="FP4" t="e">
        <f>AND(主角属性字段设计!O23,"AAAAAHP0fas=")</f>
        <v>#VALUE!</v>
      </c>
      <c r="FQ4" t="e">
        <f>AND(主角属性字段设计!P23,"AAAAAHP0faw=")</f>
        <v>#VALUE!</v>
      </c>
      <c r="FR4" t="e">
        <f>AND(主角属性字段设计!U23,"AAAAAHP0fa0=")</f>
        <v>#VALUE!</v>
      </c>
      <c r="FS4" t="e">
        <f>AND(主角属性字段设计!V23,"AAAAAHP0fa4=")</f>
        <v>#VALUE!</v>
      </c>
      <c r="FT4" t="e">
        <f>AND(主角属性字段设计!#REF!,"AAAAAHP0fa8=")</f>
        <v>#REF!</v>
      </c>
      <c r="FU4" t="e">
        <f>AND(主角属性字段设计!#REF!,"AAAAAHP0fbA=")</f>
        <v>#REF!</v>
      </c>
      <c r="FV4" t="e">
        <f>AND(主角属性字段设计!#REF!,"AAAAAHP0fbE=")</f>
        <v>#REF!</v>
      </c>
      <c r="FW4" t="e">
        <f>AND(主角属性字段设计!#REF!,"AAAAAHP0fbI=")</f>
        <v>#REF!</v>
      </c>
      <c r="FX4" t="e">
        <f>AND(主角属性字段设计!#REF!,"AAAAAHP0fbM=")</f>
        <v>#REF!</v>
      </c>
      <c r="FY4" t="e">
        <f>AND(主角属性字段设计!#REF!,"AAAAAHP0fbQ=")</f>
        <v>#REF!</v>
      </c>
      <c r="FZ4" t="e">
        <f>AND(主角属性字段设计!#REF!,"AAAAAHP0fbU=")</f>
        <v>#REF!</v>
      </c>
      <c r="GA4" t="e">
        <f>AND(主角属性字段设计!#REF!,"AAAAAHP0fbY=")</f>
        <v>#REF!</v>
      </c>
      <c r="GB4" t="e">
        <f>AND(主角属性字段设计!W59,"AAAAAHP0fbc=")</f>
        <v>#VALUE!</v>
      </c>
      <c r="GC4" t="e">
        <f>AND(主角属性字段设计!X59,"AAAAAHP0fbg=")</f>
        <v>#VALUE!</v>
      </c>
      <c r="GD4" t="e">
        <f>AND(主角属性字段设计!Y59,"AAAAAHP0fbk=")</f>
        <v>#VALUE!</v>
      </c>
      <c r="GE4" t="e">
        <f>AND(主角属性字段设计!Z59,"AAAAAHP0fbo=")</f>
        <v>#VALUE!</v>
      </c>
      <c r="GF4" t="e">
        <f>AND(主角属性字段设计!AA59,"AAAAAHP0fbs=")</f>
        <v>#VALUE!</v>
      </c>
      <c r="GG4" t="e">
        <f>AND(主角属性字段设计!AB59,"AAAAAHP0fbw=")</f>
        <v>#VALUE!</v>
      </c>
      <c r="GH4" t="e">
        <f>AND(主角属性字段设计!AC59,"AAAAAHP0fb0=")</f>
        <v>#VALUE!</v>
      </c>
      <c r="GI4" t="e">
        <f>AND(#REF!,"AAAAAHP0fb4=")</f>
        <v>#REF!</v>
      </c>
      <c r="GJ4" t="e">
        <f>AND(主角属性字段设计!W99,"AAAAAHP0fb8=")</f>
        <v>#VALUE!</v>
      </c>
      <c r="GK4" t="e">
        <f>AND(主角属性字段设计!X99,"AAAAAHP0fcA=")</f>
        <v>#VALUE!</v>
      </c>
      <c r="GL4" t="e">
        <f>AND(主角属性字段设计!Y99,"AAAAAHP0fcE=")</f>
        <v>#VALUE!</v>
      </c>
      <c r="GM4" t="e">
        <f>AND(主角属性字段设计!Z99,"AAAAAHP0fcI=")</f>
        <v>#VALUE!</v>
      </c>
      <c r="GN4" t="e">
        <f>AND(主角属性字段设计!AA99,"AAAAAHP0fcM=")</f>
        <v>#VALUE!</v>
      </c>
      <c r="GO4" t="e">
        <f>AND(主角属性字段设计!AB99,"AAAAAHP0fcQ=")</f>
        <v>#VALUE!</v>
      </c>
      <c r="GP4" t="e">
        <f>AND(主角属性字段设计!AC99,"AAAAAHP0fcU=")</f>
        <v>#VALUE!</v>
      </c>
      <c r="GQ4">
        <f>IF(主角属性字段设计!24:24,"AAAAAHP0fcY=",0)</f>
        <v>0</v>
      </c>
      <c r="GR4" t="e">
        <f>AND(主角属性字段设计!A24,"AAAAAHP0fcc=")</f>
        <v>#VALUE!</v>
      </c>
      <c r="GS4" t="e">
        <f>AND(主角属性字段设计!B24,"AAAAAHP0fcg=")</f>
        <v>#VALUE!</v>
      </c>
      <c r="GT4" t="e">
        <f>AND(主角属性字段设计!C24,"AAAAAHP0fck=")</f>
        <v>#VALUE!</v>
      </c>
      <c r="GU4" t="e">
        <f>AND(主角属性字段设计!D24,"AAAAAHP0fco=")</f>
        <v>#VALUE!</v>
      </c>
      <c r="GV4" t="e">
        <f>AND(主角属性字段设计!E24,"AAAAAHP0fcs=")</f>
        <v>#VALUE!</v>
      </c>
      <c r="GW4" t="e">
        <f>AND(主角属性字段设计!F24,"AAAAAHP0fcw=")</f>
        <v>#VALUE!</v>
      </c>
      <c r="GX4" t="e">
        <f>AND(主角属性字段设计!G24,"AAAAAHP0fc0=")</f>
        <v>#VALUE!</v>
      </c>
      <c r="GY4" t="e">
        <f>AND(主角属性字段设计!H24,"AAAAAHP0fc4=")</f>
        <v>#VALUE!</v>
      </c>
      <c r="GZ4" t="e">
        <f>AND(主角属性字段设计!I24,"AAAAAHP0fc8=")</f>
        <v>#VALUE!</v>
      </c>
      <c r="HA4" t="e">
        <f>AND(主角属性字段设计!J24,"AAAAAHP0fdA=")</f>
        <v>#VALUE!</v>
      </c>
      <c r="HB4" t="e">
        <f>AND(主角属性字段设计!K24,"AAAAAHP0fdE=")</f>
        <v>#VALUE!</v>
      </c>
      <c r="HC4" t="e">
        <f>AND(主角属性字段设计!L24,"AAAAAHP0fdI=")</f>
        <v>#VALUE!</v>
      </c>
      <c r="HD4" t="e">
        <f>AND(主角属性字段设计!M24,"AAAAAHP0fdM=")</f>
        <v>#VALUE!</v>
      </c>
      <c r="HE4" t="e">
        <f>AND(主角属性字段设计!N24,"AAAAAHP0fdQ=")</f>
        <v>#VALUE!</v>
      </c>
      <c r="HF4" t="e">
        <f>AND(主角属性字段设计!O24,"AAAAAHP0fdU=")</f>
        <v>#VALUE!</v>
      </c>
      <c r="HG4" t="e">
        <f>AND(主角属性字段设计!P24,"AAAAAHP0fdY=")</f>
        <v>#VALUE!</v>
      </c>
      <c r="HH4" t="e">
        <f>AND(主角属性字段设计!U24,"AAAAAHP0fdc=")</f>
        <v>#VALUE!</v>
      </c>
      <c r="HI4" t="e">
        <f>AND(主角属性字段设计!V24,"AAAAAHP0fdg=")</f>
        <v>#VALUE!</v>
      </c>
      <c r="HJ4" t="e">
        <f>AND(主角属性字段设计!#REF!,"AAAAAHP0fdk=")</f>
        <v>#REF!</v>
      </c>
      <c r="HK4" t="e">
        <f>AND(主角属性字段设计!#REF!,"AAAAAHP0fdo=")</f>
        <v>#REF!</v>
      </c>
      <c r="HL4" t="e">
        <f>AND(主角属性字段设计!#REF!,"AAAAAHP0fds=")</f>
        <v>#REF!</v>
      </c>
      <c r="HM4" t="e">
        <f>AND(主角属性字段设计!#REF!,"AAAAAHP0fdw=")</f>
        <v>#REF!</v>
      </c>
      <c r="HN4" t="e">
        <f>AND(主角属性字段设计!#REF!,"AAAAAHP0fd0=")</f>
        <v>#REF!</v>
      </c>
      <c r="HO4" t="e">
        <f>AND(主角属性字段设计!#REF!,"AAAAAHP0fd4=")</f>
        <v>#REF!</v>
      </c>
      <c r="HP4" t="e">
        <f>AND(主角属性字段设计!#REF!,"AAAAAHP0fd8=")</f>
        <v>#REF!</v>
      </c>
      <c r="HQ4" t="e">
        <f>AND(主角属性字段设计!#REF!,"AAAAAHP0feA=")</f>
        <v>#REF!</v>
      </c>
      <c r="HR4" t="e">
        <f>AND(主角属性字段设计!W60,"AAAAAHP0feE=")</f>
        <v>#VALUE!</v>
      </c>
      <c r="HS4" t="e">
        <f>AND(主角属性字段设计!X60,"AAAAAHP0feI=")</f>
        <v>#VALUE!</v>
      </c>
      <c r="HT4" t="e">
        <f>AND(主角属性字段设计!Y60,"AAAAAHP0feM=")</f>
        <v>#VALUE!</v>
      </c>
      <c r="HU4" t="e">
        <f>AND(主角属性字段设计!Z60,"AAAAAHP0feQ=")</f>
        <v>#VALUE!</v>
      </c>
      <c r="HV4" t="e">
        <f>AND(主角属性字段设计!AA60,"AAAAAHP0feU=")</f>
        <v>#VALUE!</v>
      </c>
      <c r="HW4" t="e">
        <f>AND(主角属性字段设计!AB60,"AAAAAHP0feY=")</f>
        <v>#VALUE!</v>
      </c>
      <c r="HX4" t="e">
        <f>AND(主角属性字段设计!AC60,"AAAAAHP0fec=")</f>
        <v>#VALUE!</v>
      </c>
      <c r="HY4" t="e">
        <f>AND(#REF!,"AAAAAHP0feg=")</f>
        <v>#REF!</v>
      </c>
      <c r="HZ4" t="e">
        <f>AND(主角属性字段设计!W100,"AAAAAHP0fek=")</f>
        <v>#VALUE!</v>
      </c>
      <c r="IA4" t="e">
        <f>AND(主角属性字段设计!X100,"AAAAAHP0feo=")</f>
        <v>#VALUE!</v>
      </c>
      <c r="IB4" t="e">
        <f>AND(主角属性字段设计!Y100,"AAAAAHP0fes=")</f>
        <v>#VALUE!</v>
      </c>
      <c r="IC4" t="e">
        <f>AND(主角属性字段设计!Z100,"AAAAAHP0few=")</f>
        <v>#VALUE!</v>
      </c>
      <c r="ID4" t="e">
        <f>AND(主角属性字段设计!AA100,"AAAAAHP0fe0=")</f>
        <v>#VALUE!</v>
      </c>
      <c r="IE4" t="e">
        <f>AND(主角属性字段设计!AB100,"AAAAAHP0fe4=")</f>
        <v>#VALUE!</v>
      </c>
      <c r="IF4" t="e">
        <f>AND(主角属性字段设计!AC100,"AAAAAHP0fe8=")</f>
        <v>#VALUE!</v>
      </c>
      <c r="IG4">
        <f>IF(主角属性字段设计!25:25,"AAAAAHP0ffA=",0)</f>
        <v>0</v>
      </c>
      <c r="IH4" t="e">
        <f>AND(主角属性字段设计!A25,"AAAAAHP0ffE=")</f>
        <v>#VALUE!</v>
      </c>
      <c r="II4" t="e">
        <f>AND(主角属性字段设计!B25,"AAAAAHP0ffI=")</f>
        <v>#VALUE!</v>
      </c>
      <c r="IJ4" t="e">
        <f>AND(主角属性字段设计!C25,"AAAAAHP0ffM=")</f>
        <v>#VALUE!</v>
      </c>
      <c r="IK4" t="e">
        <f>AND(主角属性字段设计!D25,"AAAAAHP0ffQ=")</f>
        <v>#VALUE!</v>
      </c>
      <c r="IL4" t="e">
        <f>AND(主角属性字段设计!E25,"AAAAAHP0ffU=")</f>
        <v>#VALUE!</v>
      </c>
      <c r="IM4" t="e">
        <f>AND(主角属性字段设计!F25,"AAAAAHP0ffY=")</f>
        <v>#VALUE!</v>
      </c>
      <c r="IN4" t="e">
        <f>AND(主角属性字段设计!G25,"AAAAAHP0ffc=")</f>
        <v>#VALUE!</v>
      </c>
      <c r="IO4" t="e">
        <f>AND(主角属性字段设计!H25,"AAAAAHP0ffg=")</f>
        <v>#VALUE!</v>
      </c>
      <c r="IP4" t="e">
        <f>AND(主角属性字段设计!I25,"AAAAAHP0ffk=")</f>
        <v>#VALUE!</v>
      </c>
      <c r="IQ4" t="e">
        <f>AND(主角属性字段设计!J25,"AAAAAHP0ffo=")</f>
        <v>#VALUE!</v>
      </c>
      <c r="IR4" t="e">
        <f>AND(主角属性字段设计!K25,"AAAAAHP0ffs=")</f>
        <v>#VALUE!</v>
      </c>
      <c r="IS4" t="e">
        <f>AND(主角属性字段设计!L25,"AAAAAHP0ffw=")</f>
        <v>#VALUE!</v>
      </c>
      <c r="IT4" t="e">
        <f>AND(主角属性字段设计!M25,"AAAAAHP0ff0=")</f>
        <v>#VALUE!</v>
      </c>
      <c r="IU4" t="e">
        <f>AND(主角属性字段设计!N25,"AAAAAHP0ff4=")</f>
        <v>#VALUE!</v>
      </c>
      <c r="IV4" t="e">
        <f>AND(主角属性字段设计!O25,"AAAAAHP0ff8=")</f>
        <v>#VALUE!</v>
      </c>
    </row>
    <row r="5" spans="1:256">
      <c r="A5" t="e">
        <f>AND(主角属性字段设计!P25,"AAAAAEfXNwA=")</f>
        <v>#VALUE!</v>
      </c>
      <c r="B5" t="e">
        <f>AND(主角属性字段设计!U25,"AAAAAEfXNwE=")</f>
        <v>#VALUE!</v>
      </c>
      <c r="C5" t="e">
        <f>AND(主角属性字段设计!V25,"AAAAAEfXNwI=")</f>
        <v>#VALUE!</v>
      </c>
      <c r="D5" t="e">
        <f>AND(主角属性字段设计!#REF!,"AAAAAEfXNwM=")</f>
        <v>#REF!</v>
      </c>
      <c r="E5" t="e">
        <f>AND(主角属性字段设计!#REF!,"AAAAAEfXNwQ=")</f>
        <v>#REF!</v>
      </c>
      <c r="F5" t="e">
        <f>AND(主角属性字段设计!#REF!,"AAAAAEfXNwU=")</f>
        <v>#REF!</v>
      </c>
      <c r="G5" t="e">
        <f>AND(主角属性字段设计!#REF!,"AAAAAEfXNwY=")</f>
        <v>#REF!</v>
      </c>
      <c r="H5" t="e">
        <f>AND(主角属性字段设计!#REF!,"AAAAAEfXNwc=")</f>
        <v>#REF!</v>
      </c>
      <c r="I5" t="e">
        <f>AND(主角属性字段设计!#REF!,"AAAAAEfXNwg=")</f>
        <v>#REF!</v>
      </c>
      <c r="J5" t="e">
        <f>AND(主角属性字段设计!#REF!,"AAAAAEfXNwk=")</f>
        <v>#REF!</v>
      </c>
      <c r="K5" t="e">
        <f>AND(主角属性字段设计!#REF!,"AAAAAEfXNwo=")</f>
        <v>#REF!</v>
      </c>
      <c r="L5" t="e">
        <f>AND(主角属性字段设计!W61,"AAAAAEfXNws=")</f>
        <v>#VALUE!</v>
      </c>
      <c r="M5" t="e">
        <f>AND(主角属性字段设计!X61,"AAAAAEfXNww=")</f>
        <v>#VALUE!</v>
      </c>
      <c r="N5" t="e">
        <f>AND(主角属性字段设计!Y61,"AAAAAEfXNw0=")</f>
        <v>#VALUE!</v>
      </c>
      <c r="O5" t="e">
        <f>AND(主角属性字段设计!Z61,"AAAAAEfXNw4=")</f>
        <v>#VALUE!</v>
      </c>
      <c r="P5" t="e">
        <f>AND(主角属性字段设计!AA61,"AAAAAEfXNw8=")</f>
        <v>#VALUE!</v>
      </c>
      <c r="Q5" t="e">
        <f>AND(主角属性字段设计!AB61,"AAAAAEfXNxA=")</f>
        <v>#VALUE!</v>
      </c>
      <c r="R5" t="e">
        <f>AND(主角属性字段设计!AC61,"AAAAAEfXNxE=")</f>
        <v>#VALUE!</v>
      </c>
      <c r="S5" t="e">
        <f>AND(#REF!,"AAAAAEfXNxI=")</f>
        <v>#REF!</v>
      </c>
      <c r="T5" t="e">
        <f>AND(主角属性字段设计!W101,"AAAAAEfXNxM=")</f>
        <v>#VALUE!</v>
      </c>
      <c r="U5" t="e">
        <f>AND(主角属性字段设计!X101,"AAAAAEfXNxQ=")</f>
        <v>#VALUE!</v>
      </c>
      <c r="V5" t="e">
        <f>AND(主角属性字段设计!Y101,"AAAAAEfXNxU=")</f>
        <v>#VALUE!</v>
      </c>
      <c r="W5" t="e">
        <f>AND(主角属性字段设计!Z101,"AAAAAEfXNxY=")</f>
        <v>#VALUE!</v>
      </c>
      <c r="X5" t="e">
        <f>AND(主角属性字段设计!AA101,"AAAAAEfXNxc=")</f>
        <v>#VALUE!</v>
      </c>
      <c r="Y5" t="e">
        <f>AND(主角属性字段设计!AB101,"AAAAAEfXNxg=")</f>
        <v>#VALUE!</v>
      </c>
      <c r="Z5" t="e">
        <f>AND(主角属性字段设计!AC101,"AAAAAEfXNxk=")</f>
        <v>#VALUE!</v>
      </c>
      <c r="AA5">
        <f>IF(主角属性字段设计!26:26,"AAAAAEfXNxo=",0)</f>
        <v>0</v>
      </c>
      <c r="AB5" t="e">
        <f>AND(主角属性字段设计!A26,"AAAAAEfXNxs=")</f>
        <v>#VALUE!</v>
      </c>
      <c r="AC5" t="e">
        <f>AND(主角属性字段设计!B26,"AAAAAEfXNxw=")</f>
        <v>#VALUE!</v>
      </c>
      <c r="AD5" t="e">
        <f>AND(主角属性字段设计!C26,"AAAAAEfXNx0=")</f>
        <v>#VALUE!</v>
      </c>
      <c r="AE5" t="e">
        <f>AND(主角属性字段设计!D26,"AAAAAEfXNx4=")</f>
        <v>#VALUE!</v>
      </c>
      <c r="AF5" t="e">
        <f>AND(主角属性字段设计!E26,"AAAAAEfXNx8=")</f>
        <v>#VALUE!</v>
      </c>
      <c r="AG5" t="e">
        <f>AND(主角属性字段设计!F26,"AAAAAEfXNyA=")</f>
        <v>#VALUE!</v>
      </c>
      <c r="AH5" t="e">
        <f>AND(主角属性字段设计!G26,"AAAAAEfXNyE=")</f>
        <v>#VALUE!</v>
      </c>
      <c r="AI5" t="e">
        <f>AND(主角属性字段设计!H26,"AAAAAEfXNyI=")</f>
        <v>#VALUE!</v>
      </c>
      <c r="AJ5" t="e">
        <f>AND(主角属性字段设计!I26,"AAAAAEfXNyM=")</f>
        <v>#VALUE!</v>
      </c>
      <c r="AK5" t="e">
        <f>AND(主角属性字段设计!J26,"AAAAAEfXNyQ=")</f>
        <v>#VALUE!</v>
      </c>
      <c r="AL5" t="e">
        <f>AND(主角属性字段设计!K26,"AAAAAEfXNyU=")</f>
        <v>#VALUE!</v>
      </c>
      <c r="AM5" t="e">
        <f>AND(主角属性字段设计!L26,"AAAAAEfXNyY=")</f>
        <v>#VALUE!</v>
      </c>
      <c r="AN5" t="e">
        <f>AND(主角属性字段设计!M26,"AAAAAEfXNyc=")</f>
        <v>#VALUE!</v>
      </c>
      <c r="AO5" t="e">
        <f>AND(主角属性字段设计!N26,"AAAAAEfXNyg=")</f>
        <v>#VALUE!</v>
      </c>
      <c r="AP5" t="e">
        <f>AND(主角属性字段设计!O26,"AAAAAEfXNyk=")</f>
        <v>#VALUE!</v>
      </c>
      <c r="AQ5" t="e">
        <f>AND(主角属性字段设计!P26,"AAAAAEfXNyo=")</f>
        <v>#VALUE!</v>
      </c>
      <c r="AR5" t="e">
        <f>AND(主角属性字段设计!U26,"AAAAAEfXNys=")</f>
        <v>#VALUE!</v>
      </c>
      <c r="AS5" t="e">
        <f>AND(主角属性字段设计!V26,"AAAAAEfXNyw=")</f>
        <v>#VALUE!</v>
      </c>
      <c r="AT5" t="e">
        <f>AND(主角属性字段设计!#REF!,"AAAAAEfXNy0=")</f>
        <v>#REF!</v>
      </c>
      <c r="AU5" t="e">
        <f>AND(主角属性字段设计!#REF!,"AAAAAEfXNy4=")</f>
        <v>#REF!</v>
      </c>
      <c r="AV5" t="e">
        <f>AND(主角属性字段设计!#REF!,"AAAAAEfXNy8=")</f>
        <v>#REF!</v>
      </c>
      <c r="AW5" t="e">
        <f>AND(主角属性字段设计!#REF!,"AAAAAEfXNzA=")</f>
        <v>#REF!</v>
      </c>
      <c r="AX5" t="e">
        <f>AND(主角属性字段设计!#REF!,"AAAAAEfXNzE=")</f>
        <v>#REF!</v>
      </c>
      <c r="AY5" t="e">
        <f>AND(主角属性字段设计!#REF!,"AAAAAEfXNzI=")</f>
        <v>#REF!</v>
      </c>
      <c r="AZ5" t="e">
        <f>AND(主角属性字段设计!#REF!,"AAAAAEfXNzM=")</f>
        <v>#REF!</v>
      </c>
      <c r="BA5" t="e">
        <f>AND(主角属性字段设计!#REF!,"AAAAAEfXNzQ=")</f>
        <v>#REF!</v>
      </c>
      <c r="BB5" t="e">
        <f>AND(主角属性字段设计!W62,"AAAAAEfXNzU=")</f>
        <v>#VALUE!</v>
      </c>
      <c r="BC5" t="e">
        <f>AND(主角属性字段设计!X62,"AAAAAEfXNzY=")</f>
        <v>#VALUE!</v>
      </c>
      <c r="BD5" t="e">
        <f>AND(主角属性字段设计!Y62,"AAAAAEfXNzc=")</f>
        <v>#VALUE!</v>
      </c>
      <c r="BE5" t="e">
        <f>AND(主角属性字段设计!Z62,"AAAAAEfXNzg=")</f>
        <v>#VALUE!</v>
      </c>
      <c r="BF5" t="e">
        <f>AND(主角属性字段设计!AA62,"AAAAAEfXNzk=")</f>
        <v>#VALUE!</v>
      </c>
      <c r="BG5" t="e">
        <f>AND(主角属性字段设计!AB62,"AAAAAEfXNzo=")</f>
        <v>#VALUE!</v>
      </c>
      <c r="BH5" t="e">
        <f>AND(主角属性字段设计!AC62,"AAAAAEfXNzs=")</f>
        <v>#VALUE!</v>
      </c>
      <c r="BI5" t="e">
        <f>AND(#REF!,"AAAAAEfXNzw=")</f>
        <v>#REF!</v>
      </c>
      <c r="BJ5" t="e">
        <f>AND(主角属性字段设计!W102,"AAAAAEfXNz0=")</f>
        <v>#VALUE!</v>
      </c>
      <c r="BK5" t="e">
        <f>AND(主角属性字段设计!X102,"AAAAAEfXNz4=")</f>
        <v>#VALUE!</v>
      </c>
      <c r="BL5" t="e">
        <f>AND(主角属性字段设计!Y102,"AAAAAEfXNz8=")</f>
        <v>#VALUE!</v>
      </c>
      <c r="BM5" t="e">
        <f>AND(主角属性字段设计!Z102,"AAAAAEfXN0A=")</f>
        <v>#VALUE!</v>
      </c>
      <c r="BN5" t="e">
        <f>AND(主角属性字段设计!AA102,"AAAAAEfXN0E=")</f>
        <v>#VALUE!</v>
      </c>
      <c r="BO5" t="e">
        <f>AND(主角属性字段设计!AB102,"AAAAAEfXN0I=")</f>
        <v>#VALUE!</v>
      </c>
      <c r="BP5" t="e">
        <f>AND(主角属性字段设计!AC102,"AAAAAEfXN0M=")</f>
        <v>#VALUE!</v>
      </c>
      <c r="BQ5">
        <f>IF(主角属性字段设计!27:27,"AAAAAEfXN0Q=",0)</f>
        <v>0</v>
      </c>
      <c r="BR5" t="e">
        <f>AND(主角属性字段设计!A27,"AAAAAEfXN0U=")</f>
        <v>#VALUE!</v>
      </c>
      <c r="BS5" t="e">
        <f>AND(主角属性字段设计!B27,"AAAAAEfXN0Y=")</f>
        <v>#VALUE!</v>
      </c>
      <c r="BT5" t="e">
        <f>AND(主角属性字段设计!C27,"AAAAAEfXN0c=")</f>
        <v>#VALUE!</v>
      </c>
      <c r="BU5" t="e">
        <f>AND(主角属性字段设计!D27,"AAAAAEfXN0g=")</f>
        <v>#VALUE!</v>
      </c>
      <c r="BV5" t="e">
        <f>AND(主角属性字段设计!E27,"AAAAAEfXN0k=")</f>
        <v>#VALUE!</v>
      </c>
      <c r="BW5">
        <f>IF(主角属性字段设计!28:28,"AAAAAEfXN0o=",0)</f>
        <v>0</v>
      </c>
      <c r="BX5" t="e">
        <f>AND(主角属性字段设计!A28,"AAAAAEfXN0s=")</f>
        <v>#VALUE!</v>
      </c>
      <c r="BY5" t="e">
        <f>AND(主角属性字段设计!B28,"AAAAAEfXN0w=")</f>
        <v>#VALUE!</v>
      </c>
      <c r="BZ5" t="e">
        <f>AND(主角属性字段设计!C28,"AAAAAEfXN00=")</f>
        <v>#VALUE!</v>
      </c>
      <c r="CA5" t="e">
        <f>AND(主角属性字段设计!D28,"AAAAAEfXN04=")</f>
        <v>#VALUE!</v>
      </c>
      <c r="CB5" t="e">
        <f>AND(主角属性字段设计!E28,"AAAAAEfXN08=")</f>
        <v>#VALUE!</v>
      </c>
      <c r="CC5">
        <f>IF(主角属性字段设计!29:29,"AAAAAEfXN1A=",0)</f>
        <v>0</v>
      </c>
      <c r="CD5" t="e">
        <f>AND(主角属性字段设计!A29,"AAAAAEfXN1E=")</f>
        <v>#VALUE!</v>
      </c>
      <c r="CE5" t="e">
        <f>AND(主角属性字段设计!B29,"AAAAAEfXN1I=")</f>
        <v>#VALUE!</v>
      </c>
      <c r="CF5" t="e">
        <f>AND(主角属性字段设计!C29,"AAAAAEfXN1M=")</f>
        <v>#VALUE!</v>
      </c>
      <c r="CG5" t="e">
        <f>AND(主角属性字段设计!D29,"AAAAAEfXN1Q=")</f>
        <v>#VALUE!</v>
      </c>
      <c r="CH5" t="e">
        <f>AND(主角属性字段设计!E29,"AAAAAEfXN1U=")</f>
        <v>#VALUE!</v>
      </c>
      <c r="CI5">
        <f>IF(主角属性字段设计!30:30,"AAAAAEfXN1Y=",0)</f>
        <v>0</v>
      </c>
      <c r="CJ5" t="e">
        <f>AND(主角属性字段设计!A30,"AAAAAEfXN1c=")</f>
        <v>#VALUE!</v>
      </c>
      <c r="CK5" t="e">
        <f>AND(主角属性字段设计!B30,"AAAAAEfXN1g=")</f>
        <v>#VALUE!</v>
      </c>
      <c r="CL5" t="e">
        <f>AND(主角属性字段设计!C30,"AAAAAEfXN1k=")</f>
        <v>#VALUE!</v>
      </c>
      <c r="CM5" t="e">
        <f>AND(主角属性字段设计!D30,"AAAAAEfXN1o=")</f>
        <v>#VALUE!</v>
      </c>
      <c r="CN5" t="e">
        <f>AND(主角属性字段设计!E30,"AAAAAEfXN1s=")</f>
        <v>#VALUE!</v>
      </c>
      <c r="CO5">
        <f>IF(主角属性字段设计!31:31,"AAAAAEfXN1w=",0)</f>
        <v>0</v>
      </c>
      <c r="CP5" t="e">
        <f>AND(主角属性字段设计!A31,"AAAAAEfXN10=")</f>
        <v>#VALUE!</v>
      </c>
      <c r="CQ5" t="e">
        <f>AND(主角属性字段设计!B31,"AAAAAEfXN14=")</f>
        <v>#VALUE!</v>
      </c>
      <c r="CR5" t="e">
        <f>AND(主角属性字段设计!C31,"AAAAAEfXN18=")</f>
        <v>#VALUE!</v>
      </c>
      <c r="CS5" t="e">
        <f>AND(主角属性字段设计!D31,"AAAAAEfXN2A=")</f>
        <v>#VALUE!</v>
      </c>
      <c r="CT5" t="e">
        <f>AND(主角属性字段设计!E31,"AAAAAEfXN2E=")</f>
        <v>#VALUE!</v>
      </c>
      <c r="CU5">
        <f>IF(主角属性字段设计!32:32,"AAAAAEfXN2I=",0)</f>
        <v>0</v>
      </c>
      <c r="CV5" t="e">
        <f>AND(主角属性字段设计!A32,"AAAAAEfXN2M=")</f>
        <v>#VALUE!</v>
      </c>
      <c r="CW5" t="e">
        <f>AND(主角属性字段设计!B32,"AAAAAEfXN2Q=")</f>
        <v>#VALUE!</v>
      </c>
      <c r="CX5" t="e">
        <f>AND(主角属性字段设计!C32,"AAAAAEfXN2U=")</f>
        <v>#VALUE!</v>
      </c>
      <c r="CY5" t="e">
        <f>AND(主角属性字段设计!D32,"AAAAAEfXN2Y=")</f>
        <v>#VALUE!</v>
      </c>
      <c r="CZ5" t="e">
        <f>AND(主角属性字段设计!E32,"AAAAAEfXN2c=")</f>
        <v>#VALUE!</v>
      </c>
      <c r="DA5">
        <f>IF(主角属性字段设计!33:33,"AAAAAEfXN2g=",0)</f>
        <v>0</v>
      </c>
      <c r="DB5" t="e">
        <f>AND(主角属性字段设计!A33,"AAAAAEfXN2k=")</f>
        <v>#VALUE!</v>
      </c>
      <c r="DC5" t="e">
        <f>AND(主角属性字段设计!B33,"AAAAAEfXN2o=")</f>
        <v>#VALUE!</v>
      </c>
      <c r="DD5" t="e">
        <f>AND(主角属性字段设计!C33,"AAAAAEfXN2s=")</f>
        <v>#VALUE!</v>
      </c>
      <c r="DE5" t="e">
        <f>AND(主角属性字段设计!D33,"AAAAAEfXN2w=")</f>
        <v>#VALUE!</v>
      </c>
      <c r="DF5" t="e">
        <f>AND(主角属性字段设计!E33,"AAAAAEfXN20=")</f>
        <v>#VALUE!</v>
      </c>
      <c r="DG5">
        <f>IF(主角属性字段设计!34:34,"AAAAAEfXN24=",0)</f>
        <v>0</v>
      </c>
      <c r="DH5" t="e">
        <f>AND(主角属性字段设计!A34,"AAAAAEfXN28=")</f>
        <v>#VALUE!</v>
      </c>
      <c r="DI5" t="e">
        <f>AND(主角属性字段设计!B34,"AAAAAEfXN3A=")</f>
        <v>#VALUE!</v>
      </c>
      <c r="DJ5" t="e">
        <f>AND(主角属性字段设计!C34,"AAAAAEfXN3E=")</f>
        <v>#VALUE!</v>
      </c>
      <c r="DK5" t="e">
        <f>AND(主角属性字段设计!D34,"AAAAAEfXN3I=")</f>
        <v>#VALUE!</v>
      </c>
      <c r="DL5" t="e">
        <f>AND(主角属性字段设计!E34,"AAAAAEfXN3M=")</f>
        <v>#VALUE!</v>
      </c>
      <c r="DM5">
        <f>IF(主角属性字段设计!35:35,"AAAAAEfXN3Q=",0)</f>
        <v>0</v>
      </c>
      <c r="DN5" t="e">
        <f>AND(主角属性字段设计!A35,"AAAAAEfXN3U=")</f>
        <v>#VALUE!</v>
      </c>
      <c r="DO5" t="e">
        <f>AND(主角属性字段设计!B35,"AAAAAEfXN3Y=")</f>
        <v>#VALUE!</v>
      </c>
      <c r="DP5" t="e">
        <f>AND(主角属性字段设计!C35,"AAAAAEfXN3c=")</f>
        <v>#VALUE!</v>
      </c>
      <c r="DQ5" t="e">
        <f>AND(主角属性字段设计!D35,"AAAAAEfXN3g=")</f>
        <v>#VALUE!</v>
      </c>
      <c r="DR5" t="e">
        <f>AND(主角属性字段设计!E35,"AAAAAEfXN3k=")</f>
        <v>#VALUE!</v>
      </c>
      <c r="DS5">
        <f>IF(主角属性字段设计!36:36,"AAAAAEfXN3o=",0)</f>
        <v>0</v>
      </c>
      <c r="DT5" t="e">
        <f>AND(主角属性字段设计!A36,"AAAAAEfXN3s=")</f>
        <v>#VALUE!</v>
      </c>
      <c r="DU5" t="e">
        <f>AND(主角属性字段设计!B36,"AAAAAEfXN3w=")</f>
        <v>#VALUE!</v>
      </c>
      <c r="DV5" t="e">
        <f>AND(主角属性字段设计!C36,"AAAAAEfXN30=")</f>
        <v>#VALUE!</v>
      </c>
      <c r="DW5" t="e">
        <f>AND(主角属性字段设计!D36,"AAAAAEfXN34=")</f>
        <v>#VALUE!</v>
      </c>
      <c r="DX5" t="e">
        <f>AND(主角属性字段设计!E36,"AAAAAEfXN38=")</f>
        <v>#VALUE!</v>
      </c>
      <c r="DY5">
        <f>IF(主角属性字段设计!37:37,"AAAAAEfXN4A=",0)</f>
        <v>0</v>
      </c>
      <c r="DZ5" t="e">
        <f>AND(主角属性字段设计!A37,"AAAAAEfXN4E=")</f>
        <v>#VALUE!</v>
      </c>
      <c r="EA5" t="e">
        <f>AND(主角属性字段设计!B37,"AAAAAEfXN4I=")</f>
        <v>#VALUE!</v>
      </c>
      <c r="EB5" t="e">
        <f>AND(主角属性字段设计!C37,"AAAAAEfXN4M=")</f>
        <v>#VALUE!</v>
      </c>
      <c r="EC5" t="e">
        <f>AND(主角属性字段设计!D37,"AAAAAEfXN4Q=")</f>
        <v>#VALUE!</v>
      </c>
      <c r="ED5" t="e">
        <f>AND(主角属性字段设计!E37,"AAAAAEfXN4U=")</f>
        <v>#VALUE!</v>
      </c>
      <c r="EE5">
        <f>IF(主角属性字段设计!38:38,"AAAAAEfXN4Y=",0)</f>
        <v>0</v>
      </c>
      <c r="EF5" t="e">
        <f>AND(主角属性字段设计!A38,"AAAAAEfXN4c=")</f>
        <v>#VALUE!</v>
      </c>
      <c r="EG5" t="e">
        <f>AND(主角属性字段设计!B38,"AAAAAEfXN4g=")</f>
        <v>#VALUE!</v>
      </c>
      <c r="EH5" t="e">
        <f>AND(主角属性字段设计!C38,"AAAAAEfXN4k=")</f>
        <v>#VALUE!</v>
      </c>
      <c r="EI5" t="e">
        <f>AND(主角属性字段设计!D38,"AAAAAEfXN4o=")</f>
        <v>#VALUE!</v>
      </c>
      <c r="EJ5" t="e">
        <f>AND(主角属性字段设计!E38,"AAAAAEfXN4s=")</f>
        <v>#VALUE!</v>
      </c>
      <c r="EK5">
        <f>IF(主角属性字段设计!39:39,"AAAAAEfXN4w=",0)</f>
        <v>0</v>
      </c>
      <c r="EL5" t="e">
        <f>AND(主角属性字段设计!A39,"AAAAAEfXN40=")</f>
        <v>#VALUE!</v>
      </c>
      <c r="EM5" t="e">
        <f>AND(主角属性字段设计!B39,"AAAAAEfXN44=")</f>
        <v>#VALUE!</v>
      </c>
      <c r="EN5" t="e">
        <f>AND(主角属性字段设计!C39,"AAAAAEfXN48=")</f>
        <v>#VALUE!</v>
      </c>
      <c r="EO5" t="e">
        <f>AND(主角属性字段设计!D39,"AAAAAEfXN5A=")</f>
        <v>#VALUE!</v>
      </c>
      <c r="EP5" t="e">
        <f>AND(主角属性字段设计!E39,"AAAAAEfXN5E=")</f>
        <v>#VALUE!</v>
      </c>
      <c r="EQ5">
        <f>IF(主角属性字段设计!40:40,"AAAAAEfXN5I=",0)</f>
        <v>0</v>
      </c>
      <c r="ER5" t="e">
        <f>AND(主角属性字段设计!A40,"AAAAAEfXN5M=")</f>
        <v>#VALUE!</v>
      </c>
      <c r="ES5" t="e">
        <f>AND(主角属性字段设计!B40,"AAAAAEfXN5Q=")</f>
        <v>#VALUE!</v>
      </c>
      <c r="ET5" t="e">
        <f>AND(主角属性字段设计!C40,"AAAAAEfXN5U=")</f>
        <v>#VALUE!</v>
      </c>
      <c r="EU5" t="e">
        <f>AND(主角属性字段设计!D40,"AAAAAEfXN5Y=")</f>
        <v>#VALUE!</v>
      </c>
      <c r="EV5" t="e">
        <f>AND(主角属性字段设计!E40,"AAAAAEfXN5c=")</f>
        <v>#VALUE!</v>
      </c>
      <c r="EW5">
        <f>IF(主角属性字段设计!41:41,"AAAAAEfXN5g=",0)</f>
        <v>0</v>
      </c>
      <c r="EX5" t="e">
        <f>AND(主角属性字段设计!A41,"AAAAAEfXN5k=")</f>
        <v>#VALUE!</v>
      </c>
      <c r="EY5" t="e">
        <f>AND(主角属性字段设计!B41,"AAAAAEfXN5o=")</f>
        <v>#VALUE!</v>
      </c>
      <c r="EZ5" t="e">
        <f>AND(主角属性字段设计!C41,"AAAAAEfXN5s=")</f>
        <v>#VALUE!</v>
      </c>
      <c r="FA5" t="e">
        <f>AND(主角属性字段设计!D41,"AAAAAEfXN5w=")</f>
        <v>#VALUE!</v>
      </c>
      <c r="FB5" t="e">
        <f>AND(主角属性字段设计!E41,"AAAAAEfXN50=")</f>
        <v>#VALUE!</v>
      </c>
      <c r="FC5">
        <f>IF(主角属性字段设计!42:42,"AAAAAEfXN54=",0)</f>
        <v>0</v>
      </c>
      <c r="FD5" t="e">
        <f>AND(主角属性字段设计!A42,"AAAAAEfXN58=")</f>
        <v>#VALUE!</v>
      </c>
      <c r="FE5" t="e">
        <f>AND(主角属性字段设计!B42,"AAAAAEfXN6A=")</f>
        <v>#VALUE!</v>
      </c>
      <c r="FF5" t="e">
        <f>AND(主角属性字段设计!C42,"AAAAAEfXN6E=")</f>
        <v>#VALUE!</v>
      </c>
      <c r="FG5" t="e">
        <f>AND(主角属性字段设计!D42,"AAAAAEfXN6I=")</f>
        <v>#VALUE!</v>
      </c>
      <c r="FH5" t="e">
        <f>AND(主角属性字段设计!E42,"AAAAAEfXN6M=")</f>
        <v>#VALUE!</v>
      </c>
      <c r="FI5">
        <f>IF(主角属性字段设计!43:43,"AAAAAEfXN6Q=",0)</f>
        <v>0</v>
      </c>
      <c r="FJ5" t="e">
        <f>AND(主角属性字段设计!A43,"AAAAAEfXN6U=")</f>
        <v>#VALUE!</v>
      </c>
      <c r="FK5" t="e">
        <f>AND(主角属性字段设计!B43,"AAAAAEfXN6Y=")</f>
        <v>#VALUE!</v>
      </c>
      <c r="FL5" t="e">
        <f>AND(主角属性字段设计!C43,"AAAAAEfXN6c=")</f>
        <v>#VALUE!</v>
      </c>
      <c r="FM5" t="e">
        <f>AND(主角属性字段设计!D43,"AAAAAEfXN6g=")</f>
        <v>#VALUE!</v>
      </c>
      <c r="FN5" t="e">
        <f>AND(主角属性字段设计!E43,"AAAAAEfXN6k=")</f>
        <v>#VALUE!</v>
      </c>
      <c r="FO5">
        <f>IF(主角属性字段设计!44:44,"AAAAAEfXN6o=",0)</f>
        <v>0</v>
      </c>
      <c r="FP5" t="e">
        <f>AND(主角属性字段设计!A44,"AAAAAEfXN6s=")</f>
        <v>#VALUE!</v>
      </c>
      <c r="FQ5" t="e">
        <f>AND(主角属性字段设计!B44,"AAAAAEfXN6w=")</f>
        <v>#VALUE!</v>
      </c>
      <c r="FR5" t="e">
        <f>AND(主角属性字段设计!C44,"AAAAAEfXN60=")</f>
        <v>#VALUE!</v>
      </c>
      <c r="FS5" t="e">
        <f>AND(主角属性字段设计!D44,"AAAAAEfXN64=")</f>
        <v>#VALUE!</v>
      </c>
      <c r="FT5" t="e">
        <f>AND(主角属性字段设计!E44,"AAAAAEfXN68=")</f>
        <v>#VALUE!</v>
      </c>
      <c r="FU5">
        <f>IF(主角属性字段设计!45:45,"AAAAAEfXN7A=",0)</f>
        <v>0</v>
      </c>
      <c r="FV5" t="e">
        <f>AND(主角属性字段设计!A45,"AAAAAEfXN7E=")</f>
        <v>#VALUE!</v>
      </c>
      <c r="FW5" t="e">
        <f>AND(主角属性字段设计!B45,"AAAAAEfXN7I=")</f>
        <v>#VALUE!</v>
      </c>
      <c r="FX5" t="e">
        <f>AND(主角属性字段设计!C45,"AAAAAEfXN7M=")</f>
        <v>#VALUE!</v>
      </c>
      <c r="FY5" t="e">
        <f>AND(主角属性字段设计!D45,"AAAAAEfXN7Q=")</f>
        <v>#VALUE!</v>
      </c>
      <c r="FZ5" t="e">
        <f>AND(主角属性字段设计!E45,"AAAAAEfXN7U=")</f>
        <v>#VALUE!</v>
      </c>
      <c r="GA5">
        <f>IF(主角属性字段设计!46:46,"AAAAAEfXN7Y=",0)</f>
        <v>0</v>
      </c>
      <c r="GB5" t="e">
        <f>AND(主角属性字段设计!A46,"AAAAAEfXN7c=")</f>
        <v>#VALUE!</v>
      </c>
      <c r="GC5" t="e">
        <f>AND(主角属性字段设计!B46,"AAAAAEfXN7g=")</f>
        <v>#VALUE!</v>
      </c>
      <c r="GD5" t="e">
        <f>AND(主角属性字段设计!C46,"AAAAAEfXN7k=")</f>
        <v>#VALUE!</v>
      </c>
      <c r="GE5" t="e">
        <f>AND(主角属性字段设计!D46,"AAAAAEfXN7o=")</f>
        <v>#VALUE!</v>
      </c>
      <c r="GF5" t="e">
        <f>AND(主角属性字段设计!E46,"AAAAAEfXN7s=")</f>
        <v>#VALUE!</v>
      </c>
      <c r="GG5">
        <f>IF(主角属性字段设计!A:A,"AAAAAEfXN7w=",0)</f>
        <v>0</v>
      </c>
      <c r="GH5">
        <f>IF(主角属性字段设计!B:B,"AAAAAEfXN70=",0)</f>
        <v>0</v>
      </c>
      <c r="GI5">
        <f>IF(主角属性字段设计!C:C,"AAAAAEfXN74=",0)</f>
        <v>0</v>
      </c>
      <c r="GJ5" t="str">
        <f>IF(主角属性字段设计!D:D,"AAAAAEfXN78=",0)</f>
        <v>AAAAAEfXN78=</v>
      </c>
      <c r="GK5" t="str">
        <f>IF(主角属性字段设计!E:E,"AAAAAEfXN8A=",0)</f>
        <v>AAAAAEfXN8A=</v>
      </c>
      <c r="GL5" t="str">
        <f>IF(主角属性字段设计!F:F,"AAAAAEfXN8E=",0)</f>
        <v>AAAAAEfXN8E=</v>
      </c>
      <c r="GM5" t="str">
        <f>IF(主角属性字段设计!G:G,"AAAAAEfXN8I=",0)</f>
        <v>AAAAAEfXN8I=</v>
      </c>
      <c r="GN5">
        <f>IF(主角属性字段设计!H:H,"AAAAAEfXN8M=",0)</f>
        <v>0</v>
      </c>
      <c r="GO5" t="str">
        <f>IF(主角属性字段设计!I:I,"AAAAAEfXN8Q=",0)</f>
        <v>AAAAAEfXN8Q=</v>
      </c>
      <c r="GP5" t="str">
        <f>IF(主角属性字段设计!J:J,"AAAAAEfXN8U=",0)</f>
        <v>AAAAAEfXN8U=</v>
      </c>
      <c r="GQ5" t="str">
        <f>IF(主角属性字段设计!K:K,"AAAAAEfXN8Y=",0)</f>
        <v>AAAAAEfXN8Y=</v>
      </c>
      <c r="GR5">
        <f>IF(主角属性字段设计!L:L,"AAAAAEfXN8c=",0)</f>
        <v>0</v>
      </c>
      <c r="GS5">
        <f>IF(主角属性字段设计!M:M,"AAAAAEfXN8g=",0)</f>
        <v>0</v>
      </c>
      <c r="GT5" t="str">
        <f>IF(主角属性字段设计!N:N,"AAAAAEfXN8k=",0)</f>
        <v>AAAAAEfXN8k=</v>
      </c>
      <c r="GU5" t="str">
        <f>IF(主角属性字段设计!O:O,"AAAAAEfXN8o=",0)</f>
        <v>AAAAAEfXN8o=</v>
      </c>
      <c r="GV5">
        <f>IF(主角属性字段设计!P:P,"AAAAAEfXN8s=",0)</f>
        <v>0</v>
      </c>
      <c r="GW5">
        <f>IF(主角属性字段设计!U:U,"AAAAAEfXN8w=",0)</f>
        <v>0</v>
      </c>
      <c r="GX5">
        <f>IF(主角属性字段设计!V:V,"AAAAAEfXN80=",0)</f>
        <v>0</v>
      </c>
      <c r="GY5">
        <f>IF(主角属性字段设计!W:W,"AAAAAEfXN84=",0)</f>
        <v>0</v>
      </c>
      <c r="GZ5">
        <f>IF(主角属性字段设计!X:X,"AAAAAEfXN88=",0)</f>
        <v>0</v>
      </c>
      <c r="HA5" t="str">
        <f>IF(主角属性字段设计!Y:Y,"AAAAAEfXN9A=",0)</f>
        <v>AAAAAEfXN9A=</v>
      </c>
      <c r="HB5" t="str">
        <f>IF(主角属性字段设计!Z:Z,"AAAAAEfXN9E=",0)</f>
        <v>AAAAAEfXN9E=</v>
      </c>
      <c r="HC5" t="str">
        <f>IF(主角属性字段设计!AA:AA,"AAAAAEfXN9I=",0)</f>
        <v>AAAAAEfXN9I=</v>
      </c>
      <c r="HD5" t="str">
        <f>IF(主角属性字段设计!AB:AB,"AAAAAEfXN9M=",0)</f>
        <v>AAAAAEfXN9M=</v>
      </c>
      <c r="HE5" t="str">
        <f>IF(主角属性字段设计!AC:AC,"AAAAAEfXN9Q=",0)</f>
        <v>AAAAAEfXN9Q=</v>
      </c>
      <c r="HF5" t="str">
        <f>IF(主角属性字段设计!AD:AD,"AAAAAEfXN9U=",0)</f>
        <v>AAAAAEfXN9U=</v>
      </c>
      <c r="HG5">
        <f>IF(主角属性字段设计!AE:AE,"AAAAAEfXN9Y=",0)</f>
        <v>0</v>
      </c>
      <c r="HH5">
        <f>IF(主角属性字段设计!AF:AF,"AAAAAEfXN9c=",0)</f>
        <v>0</v>
      </c>
      <c r="HI5">
        <f>IF(主角属性字段设计!AG:AG,"AAAAAEfXN9g=",0)</f>
        <v>0</v>
      </c>
      <c r="HJ5">
        <f>IF(主角属性字段设计!AH:AH,"AAAAAEfXN9k=",0)</f>
        <v>0</v>
      </c>
      <c r="HK5">
        <f>IF(主角属性字段设计!AI:AI,"AAAAAEfXN9o=",0)</f>
        <v>0</v>
      </c>
      <c r="HL5">
        <f>IF(主角属性字段设计!AJ:AJ,"AAAAAEfXN9s=",0)</f>
        <v>0</v>
      </c>
      <c r="HM5">
        <f>IF(主角属性字段设计!AK:AK,"AAAAAEfXN9w=",0)</f>
        <v>0</v>
      </c>
      <c r="HN5">
        <f>IF(主角属性字段设计!AL:AL,"AAAAAEfXN90=",0)</f>
        <v>0</v>
      </c>
      <c r="HO5">
        <f>IF(主角属性字段设计!AM:AM,"AAAAAEfXN94=",0)</f>
        <v>0</v>
      </c>
      <c r="HP5">
        <f>IF(主角属性字段设计!AN:AN,"AAAAAEfXN98=",0)</f>
        <v>0</v>
      </c>
      <c r="HQ5">
        <f>IF(主角属性字段设计!AO:AO,"AAAAAEfXN+A=",0)</f>
        <v>0</v>
      </c>
      <c r="HR5">
        <f>IF(主角属性字段设计!AP:AP,"AAAAAEfXN+E=",0)</f>
        <v>0</v>
      </c>
      <c r="HS5">
        <f>IF(主角属性字段设计!AQ:AQ,"AAAAAEfXN+I=",0)</f>
        <v>0</v>
      </c>
      <c r="HT5">
        <f>IF(主角属性字段设计!AR:AR,"AAAAAEfXN+M=",0)</f>
        <v>0</v>
      </c>
      <c r="HU5">
        <f>IF(主角属性字段设计!AS:AS,"AAAAAEfXN+Q=",0)</f>
        <v>0</v>
      </c>
      <c r="HV5">
        <f>IF(我方NPC属性字段设计!1:1,"AAAAAEfXN+U=",0)</f>
        <v>0</v>
      </c>
      <c r="HW5" t="e">
        <f>AND(我方NPC属性字段设计!A1,"AAAAAEfXN+Y=")</f>
        <v>#VALUE!</v>
      </c>
      <c r="HX5" t="e">
        <f>AND(我方NPC属性字段设计!B1,"AAAAAEfXN+c=")</f>
        <v>#VALUE!</v>
      </c>
      <c r="HY5" t="e">
        <f>AND(我方NPC属性字段设计!C1,"AAAAAEfXN+g=")</f>
        <v>#VALUE!</v>
      </c>
      <c r="HZ5" t="e">
        <f>AND(我方NPC属性字段设计!D1,"AAAAAEfXN+k=")</f>
        <v>#VALUE!</v>
      </c>
      <c r="IA5" t="e">
        <f>AND(我方NPC属性字段设计!E1,"AAAAAEfXN+o=")</f>
        <v>#VALUE!</v>
      </c>
      <c r="IB5" t="e">
        <f>AND(我方NPC属性字段设计!F1,"AAAAAEfXN+s=")</f>
        <v>#VALUE!</v>
      </c>
      <c r="IC5" t="e">
        <f>AND(我方NPC属性字段设计!G1,"AAAAAEfXN+w=")</f>
        <v>#VALUE!</v>
      </c>
      <c r="ID5" t="e">
        <f>AND(我方NPC属性字段设计!H1,"AAAAAEfXN+0=")</f>
        <v>#VALUE!</v>
      </c>
      <c r="IE5" t="e">
        <f>AND(我方NPC属性字段设计!L1,"AAAAAEfXN+4=")</f>
        <v>#VALUE!</v>
      </c>
      <c r="IF5" t="e">
        <f>AND(我方NPC属性字段设计!M1,"AAAAAEfXN+8=")</f>
        <v>#VALUE!</v>
      </c>
      <c r="IG5" t="e">
        <f>AND(我方NPC属性字段设计!N1,"AAAAAEfXN/A=")</f>
        <v>#VALUE!</v>
      </c>
      <c r="IH5">
        <f>IF(我方NPC属性字段设计!2:2,"AAAAAEfXN/E=",0)</f>
        <v>0</v>
      </c>
      <c r="II5" t="e">
        <f>AND(我方NPC属性字段设计!A2,"AAAAAEfXN/I=")</f>
        <v>#VALUE!</v>
      </c>
      <c r="IJ5" t="e">
        <f>AND(我方NPC属性字段设计!B2,"AAAAAEfXN/M=")</f>
        <v>#VALUE!</v>
      </c>
      <c r="IK5" t="e">
        <f>AND(我方NPC属性字段设计!C2,"AAAAAEfXN/Q=")</f>
        <v>#VALUE!</v>
      </c>
      <c r="IL5">
        <f>IF(我方NPC属性字段设计!3:3,"AAAAAEfXN/U=",0)</f>
        <v>0</v>
      </c>
      <c r="IM5" t="e">
        <f>AND(我方NPC属性字段设计!A3,"AAAAAEfXN/Y=")</f>
        <v>#VALUE!</v>
      </c>
      <c r="IN5" t="e">
        <f>AND(我方NPC属性字段设计!B3,"AAAAAEfXN/c=")</f>
        <v>#VALUE!</v>
      </c>
      <c r="IO5" t="e">
        <f>AND(我方NPC属性字段设计!C3,"AAAAAEfXN/g=")</f>
        <v>#VALUE!</v>
      </c>
      <c r="IP5">
        <f>IF(我方NPC属性字段设计!4:4,"AAAAAEfXN/k=",0)</f>
        <v>0</v>
      </c>
      <c r="IQ5" t="e">
        <f>AND(我方NPC属性字段设计!A4,"AAAAAEfXN/o=")</f>
        <v>#VALUE!</v>
      </c>
      <c r="IR5" t="e">
        <f>AND(我方NPC属性字段设计!B4,"AAAAAEfXN/s=")</f>
        <v>#VALUE!</v>
      </c>
      <c r="IS5" t="e">
        <f>AND(我方NPC属性字段设计!C4,"AAAAAEfXN/w=")</f>
        <v>#VALUE!</v>
      </c>
      <c r="IT5">
        <f>IF(我方NPC属性字段设计!5:5,"AAAAAEfXN/0=",0)</f>
        <v>0</v>
      </c>
      <c r="IU5" t="e">
        <f>AND(我方NPC属性字段设计!A5,"AAAAAEfXN/4=")</f>
        <v>#VALUE!</v>
      </c>
      <c r="IV5" t="e">
        <f>AND(我方NPC属性字段设计!B5,"AAAAAEfXN/8=")</f>
        <v>#VALUE!</v>
      </c>
    </row>
    <row r="6" spans="1:256">
      <c r="A6" t="e">
        <f>AND(我方NPC属性字段设计!C5,"AAAAAHX+/wA=")</f>
        <v>#VALUE!</v>
      </c>
      <c r="B6">
        <f>IF(我方NPC属性字段设计!6:6,"AAAAAHX+/wE=",0)</f>
        <v>0</v>
      </c>
      <c r="C6" t="e">
        <f>AND(我方NPC属性字段设计!A6,"AAAAAHX+/wI=")</f>
        <v>#VALUE!</v>
      </c>
      <c r="D6" t="e">
        <f>AND(我方NPC属性字段设计!B6,"AAAAAHX+/wM=")</f>
        <v>#VALUE!</v>
      </c>
      <c r="E6" t="e">
        <f>AND(我方NPC属性字段设计!C6,"AAAAAHX+/wQ=")</f>
        <v>#VALUE!</v>
      </c>
      <c r="F6" t="str">
        <f>IF(我方NPC属性字段设计!7:7,"AAAAAHX+/wU=",0)</f>
        <v>AAAAAHX+/wU=</v>
      </c>
      <c r="G6" t="e">
        <f>AND(我方NPC属性字段设计!A7,"AAAAAHX+/wY=")</f>
        <v>#VALUE!</v>
      </c>
      <c r="H6" t="e">
        <f>AND(我方NPC属性字段设计!B7,"AAAAAHX+/wc=")</f>
        <v>#VALUE!</v>
      </c>
      <c r="I6" t="e">
        <f>AND(我方NPC属性字段设计!C7,"AAAAAHX+/wg=")</f>
        <v>#VALUE!</v>
      </c>
      <c r="J6" t="str">
        <f>IF(我方NPC属性字段设计!8:8,"AAAAAHX+/wk=",0)</f>
        <v>AAAAAHX+/wk=</v>
      </c>
      <c r="K6" t="e">
        <f>AND(我方NPC属性字段设计!A8,"AAAAAHX+/wo=")</f>
        <v>#VALUE!</v>
      </c>
      <c r="L6" t="e">
        <f>AND(我方NPC属性字段设计!B8,"AAAAAHX+/ws=")</f>
        <v>#VALUE!</v>
      </c>
      <c r="M6" t="e">
        <f>AND(我方NPC属性字段设计!C8,"AAAAAHX+/ww=")</f>
        <v>#VALUE!</v>
      </c>
      <c r="N6">
        <f>IF(我方NPC属性字段设计!9:9,"AAAAAHX+/w0=",0)</f>
        <v>0</v>
      </c>
      <c r="O6" t="e">
        <f>AND(我方NPC属性字段设计!A9,"AAAAAHX+/w4=")</f>
        <v>#VALUE!</v>
      </c>
      <c r="P6" t="e">
        <f>AND(我方NPC属性字段设计!B9,"AAAAAHX+/w8=")</f>
        <v>#VALUE!</v>
      </c>
      <c r="Q6" t="e">
        <f>AND(我方NPC属性字段设计!C9,"AAAAAHX+/xA=")</f>
        <v>#VALUE!</v>
      </c>
      <c r="R6">
        <f>IF(我方NPC属性字段设计!10:10,"AAAAAHX+/xE=",0)</f>
        <v>0</v>
      </c>
      <c r="S6" t="e">
        <f>AND(我方NPC属性字段设计!A10,"AAAAAHX+/xI=")</f>
        <v>#VALUE!</v>
      </c>
      <c r="T6" t="e">
        <f>AND(我方NPC属性字段设计!B10,"AAAAAHX+/xM=")</f>
        <v>#VALUE!</v>
      </c>
      <c r="U6" t="e">
        <f>AND(我方NPC属性字段设计!C10,"AAAAAHX+/xQ=")</f>
        <v>#VALUE!</v>
      </c>
      <c r="V6" t="str">
        <f>IF(我方NPC属性字段设计!11:11,"AAAAAHX+/xU=",0)</f>
        <v>AAAAAHX+/xU=</v>
      </c>
      <c r="W6" t="e">
        <f>AND(我方NPC属性字段设计!A11,"AAAAAHX+/xY=")</f>
        <v>#VALUE!</v>
      </c>
      <c r="X6" t="e">
        <f>AND(我方NPC属性字段设计!B11,"AAAAAHX+/xc=")</f>
        <v>#VALUE!</v>
      </c>
      <c r="Y6" t="e">
        <f>AND(我方NPC属性字段设计!C60,"AAAAAHX+/xg=")</f>
        <v>#VALUE!</v>
      </c>
      <c r="Z6">
        <f>IF(我方NPC属性字段设计!12:12,"AAAAAHX+/xk=",0)</f>
        <v>0</v>
      </c>
      <c r="AA6" t="e">
        <f>AND(我方NPC属性字段设计!A12,"AAAAAHX+/xo=")</f>
        <v>#VALUE!</v>
      </c>
      <c r="AB6" t="e">
        <f>AND(我方NPC属性字段设计!B12,"AAAAAHX+/xs=")</f>
        <v>#VALUE!</v>
      </c>
      <c r="AC6" t="e">
        <f>AND(我方NPC属性字段设计!C61,"AAAAAHX+/xw=")</f>
        <v>#VALUE!</v>
      </c>
      <c r="AD6">
        <f>IF(我方NPC属性字段设计!A:A,"AAAAAHX+/x0=",0)</f>
        <v>0</v>
      </c>
      <c r="AE6">
        <f>IF(我方NPC属性字段设计!B:B,"AAAAAHX+/x4=",0)</f>
        <v>0</v>
      </c>
      <c r="AF6" t="e">
        <f>IF(我方NPC属性字段设计!C:C,"AAAAAHX+/x8=",0)</f>
        <v>#VALUE!</v>
      </c>
      <c r="AG6" t="str">
        <f>IF(我方NPC属性字段设计!D:D,"AAAAAHX+/yA=",0)</f>
        <v>AAAAAHX+/yA=</v>
      </c>
      <c r="AH6" t="str">
        <f>IF(我方NPC属性字段设计!E:E,"AAAAAHX+/yE=",0)</f>
        <v>AAAAAHX+/yE=</v>
      </c>
      <c r="AI6" t="str">
        <f>IF(我方NPC属性字段设计!F:F,"AAAAAHX+/yI=",0)</f>
        <v>AAAAAHX+/yI=</v>
      </c>
      <c r="AJ6">
        <f>IF(我方NPC属性字段设计!G:G,"AAAAAHX+/yM=",0)</f>
        <v>0</v>
      </c>
      <c r="AK6">
        <f>IF(我方NPC属性字段设计!H:H,"AAAAAHX+/yQ=",0)</f>
        <v>0</v>
      </c>
      <c r="AL6">
        <f>IF(我方NPC属性字段设计!L:L,"AAAAAHX+/yU=",0)</f>
        <v>0</v>
      </c>
      <c r="AM6">
        <f>IF(我方NPC属性字段设计!M:M,"AAAAAHX+/yY=",0)</f>
        <v>0</v>
      </c>
      <c r="AN6">
        <f>IF(我方NPC属性字段设计!N:N,"AAAAAHX+/yc=",0)</f>
        <v>0</v>
      </c>
      <c r="AO6">
        <f>IF(敌方NPC属性字段设计!1:1,"AAAAAHX+/yg=",0)</f>
        <v>0</v>
      </c>
      <c r="AP6" t="e">
        <f>AND(敌方NPC属性字段设计!A1,"AAAAAHX+/yk=")</f>
        <v>#VALUE!</v>
      </c>
      <c r="AQ6" t="e">
        <f>AND(敌方NPC属性字段设计!B1,"AAAAAHX+/yo=")</f>
        <v>#VALUE!</v>
      </c>
      <c r="AR6" t="e">
        <f>AND(敌方NPC属性字段设计!C1,"AAAAAHX+/ys=")</f>
        <v>#VALUE!</v>
      </c>
      <c r="AS6" t="e">
        <f>AND(敌方NPC属性字段设计!D1,"AAAAAHX+/yw=")</f>
        <v>#VALUE!</v>
      </c>
      <c r="AT6" t="e">
        <f>AND(敌方NPC属性字段设计!E1,"AAAAAHX+/y0=")</f>
        <v>#VALUE!</v>
      </c>
      <c r="AU6" t="e">
        <f>AND(敌方NPC属性字段设计!F1,"AAAAAHX+/y4=")</f>
        <v>#VALUE!</v>
      </c>
      <c r="AV6" t="e">
        <f>AND(敌方NPC属性字段设计!G1,"AAAAAHX+/y8=")</f>
        <v>#VALUE!</v>
      </c>
      <c r="AW6" t="e">
        <f>AND(敌方NPC属性字段设计!H1,"AAAAAHX+/zA=")</f>
        <v>#VALUE!</v>
      </c>
      <c r="AX6" t="e">
        <f>AND(敌方NPC属性字段设计!I1,"AAAAAHX+/zE=")</f>
        <v>#VALUE!</v>
      </c>
      <c r="AY6" t="e">
        <f>AND(敌方NPC属性字段设计!T1,"AAAAAHX+/zI=")</f>
        <v>#VALUE!</v>
      </c>
      <c r="AZ6">
        <f>IF(敌方NPC属性字段设计!2:2,"AAAAAHX+/zM=",0)</f>
        <v>0</v>
      </c>
      <c r="BA6" t="e">
        <f>AND(敌方NPC属性字段设计!A2,"AAAAAHX+/zQ=")</f>
        <v>#VALUE!</v>
      </c>
      <c r="BB6" t="e">
        <f>AND(敌方NPC属性字段设计!B2,"AAAAAHX+/zU=")</f>
        <v>#VALUE!</v>
      </c>
      <c r="BC6">
        <f>IF(敌方NPC属性字段设计!3:3,"AAAAAHX+/zY=",0)</f>
        <v>0</v>
      </c>
      <c r="BD6" t="e">
        <f>AND(敌方NPC属性字段设计!A3,"AAAAAHX+/zc=")</f>
        <v>#VALUE!</v>
      </c>
      <c r="BE6" t="e">
        <f>AND(敌方NPC属性字段设计!B50,"AAAAAHX+/zg=")</f>
        <v>#VALUE!</v>
      </c>
      <c r="BF6">
        <f>IF(敌方NPC属性字段设计!4:4,"AAAAAHX+/zk=",0)</f>
        <v>0</v>
      </c>
      <c r="BG6" t="e">
        <f>AND(敌方NPC属性字段设计!A4,"AAAAAHX+/zo=")</f>
        <v>#VALUE!</v>
      </c>
      <c r="BH6" t="e">
        <f>AND(敌方NPC属性字段设计!B99,"AAAAAHX+/zs=")</f>
        <v>#VALUE!</v>
      </c>
      <c r="BI6">
        <f>IF(敌方NPC属性字段设计!5:5,"AAAAAHX+/zw=",0)</f>
        <v>0</v>
      </c>
      <c r="BJ6" t="e">
        <f>AND(敌方NPC属性字段设计!A5,"AAAAAHX+/z0=")</f>
        <v>#VALUE!</v>
      </c>
      <c r="BK6" t="e">
        <f>AND(敌方NPC属性字段设计!B148,"AAAAAHX+/z4=")</f>
        <v>#VALUE!</v>
      </c>
      <c r="BL6">
        <f>IF(敌方NPC属性字段设计!6:6,"AAAAAHX+/z8=",0)</f>
        <v>0</v>
      </c>
      <c r="BM6" t="e">
        <f>AND(敌方NPC属性字段设计!A6,"AAAAAHX+/0A=")</f>
        <v>#VALUE!</v>
      </c>
      <c r="BN6" t="e">
        <f>AND(敌方NPC属性字段设计!B197,"AAAAAHX+/0E=")</f>
        <v>#VALUE!</v>
      </c>
      <c r="BO6">
        <f>IF(敌方NPC属性字段设计!7:7,"AAAAAHX+/0I=",0)</f>
        <v>0</v>
      </c>
      <c r="BP6" t="e">
        <f>AND(敌方NPC属性字段设计!A7,"AAAAAHX+/0M=")</f>
        <v>#VALUE!</v>
      </c>
      <c r="BQ6" t="e">
        <f>AND(敌方NPC属性字段设计!B245,"AAAAAHX+/0Q=")</f>
        <v>#VALUE!</v>
      </c>
      <c r="BR6">
        <f>IF(敌方NPC属性字段设计!8:8,"AAAAAHX+/0U=",0)</f>
        <v>0</v>
      </c>
      <c r="BS6" t="e">
        <f>AND(敌方NPC属性字段设计!A8,"AAAAAHX+/0Y=")</f>
        <v>#VALUE!</v>
      </c>
      <c r="BT6" t="e">
        <f>AND(敌方NPC属性字段设计!B294,"AAAAAHX+/0c=")</f>
        <v>#VALUE!</v>
      </c>
      <c r="BU6">
        <f>IF(敌方NPC属性字段设计!9:9,"AAAAAHX+/0g=",0)</f>
        <v>0</v>
      </c>
      <c r="BV6" t="e">
        <f>AND(敌方NPC属性字段设计!A9,"AAAAAHX+/0k=")</f>
        <v>#VALUE!</v>
      </c>
      <c r="BW6" t="e">
        <f>AND(敌方NPC属性字段设计!B343,"AAAAAHX+/0o=")</f>
        <v>#VALUE!</v>
      </c>
      <c r="BX6">
        <f>IF(敌方NPC属性字段设计!10:10,"AAAAAHX+/0s=",0)</f>
        <v>0</v>
      </c>
      <c r="BY6" t="e">
        <f>AND(敌方NPC属性字段设计!A10,"AAAAAHX+/0w=")</f>
        <v>#VALUE!</v>
      </c>
      <c r="BZ6" t="e">
        <f>AND(敌方NPC属性字段设计!B392,"AAAAAHX+/00=")</f>
        <v>#VALUE!</v>
      </c>
      <c r="CA6">
        <f>IF(敌方NPC属性字段设计!11:11,"AAAAAHX+/04=",0)</f>
        <v>0</v>
      </c>
      <c r="CB6" t="e">
        <f>AND(敌方NPC属性字段设计!A11,"AAAAAHX+/08=")</f>
        <v>#VALUE!</v>
      </c>
      <c r="CC6" t="e">
        <f>AND(敌方NPC属性字段设计!B441,"AAAAAHX+/1A=")</f>
        <v>#VALUE!</v>
      </c>
      <c r="CD6">
        <f>IF(敌方NPC属性字段设计!12:12,"AAAAAHX+/1E=",0)</f>
        <v>0</v>
      </c>
      <c r="CE6" t="e">
        <f>AND(敌方NPC属性字段设计!A12,"AAAAAHX+/1I=")</f>
        <v>#VALUE!</v>
      </c>
      <c r="CF6" t="e">
        <f>AND(敌方NPC属性字段设计!B490,"AAAAAHX+/1M=")</f>
        <v>#VALUE!</v>
      </c>
      <c r="CG6">
        <f>IF(敌方NPC属性字段设计!13:13,"AAAAAHX+/1Q=",0)</f>
        <v>0</v>
      </c>
      <c r="CH6" t="e">
        <f>AND(敌方NPC属性字段设计!A13,"AAAAAHX+/1U=")</f>
        <v>#VALUE!</v>
      </c>
      <c r="CI6" t="e">
        <f>AND(敌方NPC属性字段设计!B539,"AAAAAHX+/1Y=")</f>
        <v>#VALUE!</v>
      </c>
      <c r="CJ6">
        <f>IF(敌方NPC属性字段设计!14:14,"AAAAAHX+/1c=",0)</f>
        <v>0</v>
      </c>
      <c r="CK6" t="e">
        <f>AND(敌方NPC属性字段设计!A14,"AAAAAHX+/1g=")</f>
        <v>#VALUE!</v>
      </c>
      <c r="CL6" t="e">
        <f>AND(敌方NPC属性字段设计!B588,"AAAAAHX+/1k=")</f>
        <v>#VALUE!</v>
      </c>
      <c r="CM6">
        <f>IF(敌方NPC属性字段设计!15:15,"AAAAAHX+/1o=",0)</f>
        <v>0</v>
      </c>
      <c r="CN6" t="e">
        <f>AND(敌方NPC属性字段设计!A15,"AAAAAHX+/1s=")</f>
        <v>#VALUE!</v>
      </c>
      <c r="CO6" t="e">
        <f>AND(敌方NPC属性字段设计!B637,"AAAAAHX+/1w=")</f>
        <v>#VALUE!</v>
      </c>
      <c r="CP6">
        <f>IF(敌方NPC属性字段设计!16:16,"AAAAAHX+/10=",0)</f>
        <v>0</v>
      </c>
      <c r="CQ6" t="e">
        <f>AND(敌方NPC属性字段设计!A16,"AAAAAHX+/14=")</f>
        <v>#VALUE!</v>
      </c>
      <c r="CR6" t="e">
        <f>AND(敌方NPC属性字段设计!B686,"AAAAAHX+/18=")</f>
        <v>#VALUE!</v>
      </c>
      <c r="CS6">
        <f>IF(敌方NPC属性字段设计!A:A,"AAAAAHX+/2A=",0)</f>
        <v>0</v>
      </c>
      <c r="CT6" t="e">
        <f>IF(敌方NPC属性字段设计!B:B,"AAAAAHX+/2E=",0)</f>
        <v>#VALUE!</v>
      </c>
      <c r="CU6" t="e">
        <f>IF(敌方NPC属性字段设计!C:C,"AAAAAHX+/2I=",0)</f>
        <v>#VALUE!</v>
      </c>
      <c r="CV6" t="e">
        <f>IF(敌方NPC属性字段设计!D:D,"AAAAAHX+/2M=",0)</f>
        <v>#VALUE!</v>
      </c>
      <c r="CW6" t="e">
        <f>IF(敌方NPC属性字段设计!E:E,"AAAAAHX+/2Q=",0)</f>
        <v>#VALUE!</v>
      </c>
      <c r="CX6" t="e">
        <f>IF(敌方NPC属性字段设计!F:F,"AAAAAHX+/2U=",0)</f>
        <v>#VALUE!</v>
      </c>
      <c r="CY6" t="e">
        <f>IF(敌方NPC属性字段设计!G:G,"AAAAAHX+/2Y=",0)</f>
        <v>#VALUE!</v>
      </c>
      <c r="CZ6" t="str">
        <f>IF(敌方NPC属性字段设计!H:H,"AAAAAHX+/2c=",0)</f>
        <v>AAAAAHX+/2c=</v>
      </c>
      <c r="DA6" t="e">
        <f>IF(敌方NPC属性字段设计!I:I,"AAAAAHX+/2g=",0)</f>
        <v>#VALUE!</v>
      </c>
      <c r="DB6">
        <f>IF(敌方NPC属性字段设计!T:T,"AAAAAHX+/2k=",0)</f>
        <v>0</v>
      </c>
      <c r="DC6">
        <f>IF(村庄建筑物属性字段设计!1:1,"AAAAAHX+/2o=",0)</f>
        <v>0</v>
      </c>
      <c r="DD6" t="e">
        <f>AND(村庄建筑物属性字段设计!A1,"AAAAAHX+/2s=")</f>
        <v>#VALUE!</v>
      </c>
      <c r="DE6" t="e">
        <f>AND(村庄建筑物属性字段设计!B1,"AAAAAHX+/2w=")</f>
        <v>#VALUE!</v>
      </c>
      <c r="DF6" t="e">
        <f>AND(村庄建筑物属性字段设计!C1,"AAAAAHX+/20=")</f>
        <v>#VALUE!</v>
      </c>
      <c r="DG6" t="e">
        <f>AND(村庄建筑物属性字段设计!D1,"AAAAAHX+/24=")</f>
        <v>#VALUE!</v>
      </c>
      <c r="DH6" t="e">
        <f>AND(村庄建筑物属性字段设计!E1,"AAAAAHX+/28=")</f>
        <v>#VALUE!</v>
      </c>
      <c r="DI6" t="e">
        <f>AND(村庄建筑物属性字段设计!F1,"AAAAAHX+/3A=")</f>
        <v>#VALUE!</v>
      </c>
      <c r="DJ6">
        <f>IF(村庄建筑物属性字段设计!A:A,"AAAAAHX+/3E=",0)</f>
        <v>0</v>
      </c>
      <c r="DK6">
        <f>IF(村庄建筑物属性字段设计!B:B,"AAAAAHX+/3I=",0)</f>
        <v>0</v>
      </c>
      <c r="DL6">
        <f>IF(村庄建筑物属性字段设计!C:C,"AAAAAHX+/3M=",0)</f>
        <v>0</v>
      </c>
      <c r="DM6">
        <f>IF(村庄建筑物属性字段设计!D:D,"AAAAAHX+/3Q=",0)</f>
        <v>0</v>
      </c>
      <c r="DN6">
        <f>IF(村庄建筑物属性字段设计!E:E,"AAAAAHX+/3U=",0)</f>
        <v>0</v>
      </c>
      <c r="DO6">
        <f>IF(村庄建筑物属性字段设计!F:F,"AAAAAHX+/3Y=",0)</f>
        <v>0</v>
      </c>
      <c r="DP6">
        <f>IF(装备品属性字段设计!1:1,"AAAAAHX+/3c=",0)</f>
        <v>0</v>
      </c>
      <c r="DQ6" t="e">
        <f>AND(装备品属性字段设计!A1,"AAAAAHX+/3g=")</f>
        <v>#VALUE!</v>
      </c>
      <c r="DR6" t="e">
        <f>AND(装备品属性字段设计!B1,"AAAAAHX+/3k=")</f>
        <v>#VALUE!</v>
      </c>
      <c r="DS6" t="e">
        <f>AND(装备品属性字段设计!C1,"AAAAAHX+/3o=")</f>
        <v>#VALUE!</v>
      </c>
      <c r="DT6" t="e">
        <f>AND(装备品属性字段设计!D1,"AAAAAHX+/3s=")</f>
        <v>#VALUE!</v>
      </c>
      <c r="DU6" t="e">
        <f>AND(装备品属性字段设计!E1,"AAAAAHX+/3w=")</f>
        <v>#VALUE!</v>
      </c>
      <c r="DV6" t="e">
        <f>AND(装备品属性字段设计!F1,"AAAAAHX+/30=")</f>
        <v>#VALUE!</v>
      </c>
      <c r="DW6" t="e">
        <f>AND(装备品属性字段设计!G1,"AAAAAHX+/34=")</f>
        <v>#VALUE!</v>
      </c>
      <c r="DX6" t="e">
        <f>AND(装备品属性字段设计!H1,"AAAAAHX+/38=")</f>
        <v>#VALUE!</v>
      </c>
      <c r="DY6" t="e">
        <f>AND(装备品属性字段设计!I1,"AAAAAHX+/4A=")</f>
        <v>#VALUE!</v>
      </c>
      <c r="DZ6" t="e">
        <f>AND(装备品属性字段设计!J1,"AAAAAHX+/4E=")</f>
        <v>#VALUE!</v>
      </c>
      <c r="EA6" t="e">
        <f>AND(装备品属性字段设计!K1,"AAAAAHX+/4I=")</f>
        <v>#VALUE!</v>
      </c>
      <c r="EB6">
        <f>IF(装备品属性字段设计!A:A,"AAAAAHX+/4M=",0)</f>
        <v>0</v>
      </c>
      <c r="EC6">
        <f>IF(装备品属性字段设计!B:B,"AAAAAHX+/4Q=",0)</f>
        <v>0</v>
      </c>
      <c r="ED6">
        <f>IF(装备品属性字段设计!C:C,"AAAAAHX+/4U=",0)</f>
        <v>0</v>
      </c>
      <c r="EE6">
        <f>IF(装备品属性字段设计!D:D,"AAAAAHX+/4Y=",0)</f>
        <v>0</v>
      </c>
      <c r="EF6">
        <f>IF(装备品属性字段设计!E:E,"AAAAAHX+/4c=",0)</f>
        <v>0</v>
      </c>
      <c r="EG6">
        <f>IF(装备品属性字段设计!F:F,"AAAAAHX+/4g=",0)</f>
        <v>0</v>
      </c>
      <c r="EH6">
        <f>IF(装备品属性字段设计!G:G,"AAAAAHX+/4k=",0)</f>
        <v>0</v>
      </c>
      <c r="EI6">
        <f>IF(装备品属性字段设计!H:H,"AAAAAHX+/4o=",0)</f>
        <v>0</v>
      </c>
      <c r="EJ6">
        <f>IF(装备品属性字段设计!I:I,"AAAAAHX+/4s=",0)</f>
        <v>0</v>
      </c>
      <c r="EK6">
        <f>IF(装备品属性字段设计!J:J,"AAAAAHX+/4w=",0)</f>
        <v>0</v>
      </c>
      <c r="EL6">
        <f>IF(装备品属性字段设计!K:K,"AAAAAHX+/40=",0)</f>
        <v>0</v>
      </c>
      <c r="EM6">
        <f>IF(道具物品属性字段设计!1:1,"AAAAAHX+/44=",0)</f>
        <v>0</v>
      </c>
      <c r="EN6" t="e">
        <f>AND(道具物品属性字段设计!A1,"AAAAAHX+/48=")</f>
        <v>#VALUE!</v>
      </c>
      <c r="EO6" t="e">
        <f>AND(道具物品属性字段设计!B1,"AAAAAHX+/5A=")</f>
        <v>#VALUE!</v>
      </c>
      <c r="EP6" t="e">
        <f>AND(道具物品属性字段设计!C1,"AAAAAHX+/5E=")</f>
        <v>#VALUE!</v>
      </c>
      <c r="EQ6" t="e">
        <f>AND(道具物品属性字段设计!D1,"AAAAAHX+/5I=")</f>
        <v>#VALUE!</v>
      </c>
      <c r="ER6" t="e">
        <f>AND(道具物品属性字段设计!E1,"AAAAAHX+/5M=")</f>
        <v>#VALUE!</v>
      </c>
      <c r="ES6" t="e">
        <f>AND(道具物品属性字段设计!F1,"AAAAAHX+/5Q=")</f>
        <v>#VALUE!</v>
      </c>
      <c r="ET6" t="e">
        <f>AND(道具物品属性字段设计!G1,"AAAAAHX+/5U=")</f>
        <v>#VALUE!</v>
      </c>
      <c r="EU6">
        <f>IF(道具物品属性字段设计!A:A,"AAAAAHX+/5Y=",0)</f>
        <v>0</v>
      </c>
      <c r="EV6">
        <f>IF(道具物品属性字段设计!B:B,"AAAAAHX+/5c=",0)</f>
        <v>0</v>
      </c>
      <c r="EW6">
        <f>IF(道具物品属性字段设计!C:C,"AAAAAHX+/5g=",0)</f>
        <v>0</v>
      </c>
      <c r="EX6">
        <f>IF(道具物品属性字段设计!D:D,"AAAAAHX+/5k=",0)</f>
        <v>0</v>
      </c>
      <c r="EY6">
        <f>IF(道具物品属性字段设计!E:E,"AAAAAHX+/5o=",0)</f>
        <v>0</v>
      </c>
      <c r="EZ6">
        <f>IF(道具物品属性字段设计!F:F,"AAAAAHX+/5s=",0)</f>
        <v>0</v>
      </c>
      <c r="FA6">
        <f>IF(道具物品属性字段设计!G:G,"AAAAAHX+/5w=",0)</f>
        <v>0</v>
      </c>
    </row>
    <row r="7" spans="1:256">
      <c r="A7" t="e">
        <f>AND(主角属性字段设计!F27,"AAAAAFT3/QA=")</f>
        <v>#VALUE!</v>
      </c>
      <c r="B7" t="e">
        <f>AND(主角属性字段设计!G27,"AAAAAFT3/QE=")</f>
        <v>#VALUE!</v>
      </c>
      <c r="C7" t="e">
        <f>AND(主角属性字段设计!H27,"AAAAAFT3/QI=")</f>
        <v>#VALUE!</v>
      </c>
      <c r="D7" t="e">
        <f>AND(主角属性字段设计!I27,"AAAAAFT3/QM=")</f>
        <v>#VALUE!</v>
      </c>
      <c r="E7" t="e">
        <f>AND(主角属性字段设计!J27,"AAAAAFT3/QQ=")</f>
        <v>#VALUE!</v>
      </c>
      <c r="F7" t="e">
        <f>AND(主角属性字段设计!K27,"AAAAAFT3/QU=")</f>
        <v>#VALUE!</v>
      </c>
      <c r="G7" t="e">
        <f>AND(主角属性字段设计!L27,"AAAAAFT3/QY=")</f>
        <v>#VALUE!</v>
      </c>
      <c r="H7" t="e">
        <f>AND(主角属性字段设计!M27,"AAAAAFT3/Qc=")</f>
        <v>#VALUE!</v>
      </c>
      <c r="I7" t="e">
        <f>AND(主角属性字段设计!N27,"AAAAAFT3/Qg=")</f>
        <v>#VALUE!</v>
      </c>
      <c r="J7" t="e">
        <f>AND(主角属性字段设计!O27,"AAAAAFT3/Qk=")</f>
        <v>#VALUE!</v>
      </c>
      <c r="K7" t="e">
        <f>AND(主角属性字段设计!P27,"AAAAAFT3/Qo=")</f>
        <v>#VALUE!</v>
      </c>
      <c r="L7" t="e">
        <f>AND(主角属性字段设计!U27,"AAAAAFT3/Qs=")</f>
        <v>#VALUE!</v>
      </c>
      <c r="M7" t="e">
        <f>AND(主角属性字段设计!V27,"AAAAAFT3/Qw=")</f>
        <v>#VALUE!</v>
      </c>
      <c r="N7" t="e">
        <f>AND(主角属性字段设计!#REF!,"AAAAAFT3/Q0=")</f>
        <v>#REF!</v>
      </c>
      <c r="O7" t="e">
        <f>AND(主角属性字段设计!#REF!,"AAAAAFT3/Q4=")</f>
        <v>#REF!</v>
      </c>
      <c r="P7" t="e">
        <f>AND(主角属性字段设计!#REF!,"AAAAAFT3/Q8=")</f>
        <v>#REF!</v>
      </c>
      <c r="Q7" t="e">
        <f>AND(主角属性字段设计!#REF!,"AAAAAFT3/RA=")</f>
        <v>#REF!</v>
      </c>
      <c r="R7" t="e">
        <f>AND(主角属性字段设计!#REF!,"AAAAAFT3/RE=")</f>
        <v>#REF!</v>
      </c>
      <c r="S7" t="e">
        <f>AND(主角属性字段设计!#REF!,"AAAAAFT3/RI=")</f>
        <v>#REF!</v>
      </c>
      <c r="T7" t="e">
        <f>AND(主角属性字段设计!#REF!,"AAAAAFT3/RM=")</f>
        <v>#REF!</v>
      </c>
      <c r="U7" t="e">
        <f>AND(主角属性字段设计!#REF!,"AAAAAFT3/RQ=")</f>
        <v>#REF!</v>
      </c>
      <c r="V7" t="e">
        <f>AND(主角属性字段设计!W63,"AAAAAFT3/RU=")</f>
        <v>#VALUE!</v>
      </c>
      <c r="W7" t="e">
        <f>AND(主角属性字段设计!X63,"AAAAAFT3/RY=")</f>
        <v>#VALUE!</v>
      </c>
      <c r="X7" t="e">
        <f>AND(主角属性字段设计!Y63,"AAAAAFT3/Rc=")</f>
        <v>#VALUE!</v>
      </c>
      <c r="Y7" t="e">
        <f>AND(主角属性字段设计!Z63,"AAAAAFT3/Rg=")</f>
        <v>#VALUE!</v>
      </c>
      <c r="Z7" t="e">
        <f>AND(主角属性字段设计!AA63,"AAAAAFT3/Rk=")</f>
        <v>#VALUE!</v>
      </c>
      <c r="AA7" t="e">
        <f>AND(主角属性字段设计!AB63,"AAAAAFT3/Ro=")</f>
        <v>#VALUE!</v>
      </c>
      <c r="AB7" t="e">
        <f>AND(主角属性字段设计!AC63,"AAAAAFT3/Rs=")</f>
        <v>#VALUE!</v>
      </c>
      <c r="AC7" t="e">
        <f>AND(#REF!,"AAAAAFT3/Rw=")</f>
        <v>#REF!</v>
      </c>
      <c r="AD7" t="e">
        <f>AND(#REF!,"AAAAAFT3/R0=")</f>
        <v>#REF!</v>
      </c>
      <c r="AE7" t="e">
        <f>AND(#REF!,"AAAAAFT3/R4=")</f>
        <v>#REF!</v>
      </c>
      <c r="AF7" t="e">
        <f>AND(#REF!,"AAAAAFT3/R8=")</f>
        <v>#REF!</v>
      </c>
      <c r="AG7" t="e">
        <f>AND(#REF!,"AAAAAFT3/SA=")</f>
        <v>#REF!</v>
      </c>
      <c r="AH7" t="e">
        <f>AND(#REF!,"AAAAAFT3/SE=")</f>
        <v>#REF!</v>
      </c>
      <c r="AI7" t="e">
        <f>AND(#REF!,"AAAAAFT3/SI=")</f>
        <v>#REF!</v>
      </c>
      <c r="AJ7" t="e">
        <f>AND(#REF!,"AAAAAFT3/SM=")</f>
        <v>#REF!</v>
      </c>
    </row>
    <row r="8" spans="1:256">
      <c r="A8" t="e">
        <f>AND(主角属性字段设计!F28,"AAAAAD7/fwA=")</f>
        <v>#VALUE!</v>
      </c>
      <c r="B8" t="e">
        <f>AND(主角属性字段设计!G28,"AAAAAD7/fwE=")</f>
        <v>#VALUE!</v>
      </c>
      <c r="C8" t="e">
        <f>AND(主角属性字段设计!H28,"AAAAAD7/fwI=")</f>
        <v>#VALUE!</v>
      </c>
      <c r="D8" t="e">
        <f>AND(主角属性字段设计!I28,"AAAAAD7/fwM=")</f>
        <v>#VALUE!</v>
      </c>
      <c r="E8" t="e">
        <f>AND(主角属性字段设计!J28,"AAAAAD7/fwQ=")</f>
        <v>#VALUE!</v>
      </c>
      <c r="F8" t="e">
        <f>AND(主角属性字段设计!K28,"AAAAAD7/fwU=")</f>
        <v>#VALUE!</v>
      </c>
      <c r="G8" t="e">
        <f>AND(主角属性字段设计!L28,"AAAAAD7/fwY=")</f>
        <v>#VALUE!</v>
      </c>
      <c r="H8" t="e">
        <f>AND(主角属性字段设计!M28,"AAAAAD7/fwc=")</f>
        <v>#VALUE!</v>
      </c>
      <c r="I8" t="e">
        <f>AND(主角属性字段设计!N28,"AAAAAD7/fwg=")</f>
        <v>#VALUE!</v>
      </c>
      <c r="J8" t="e">
        <f>AND(主角属性字段设计!O28,"AAAAAD7/fwk=")</f>
        <v>#VALUE!</v>
      </c>
      <c r="K8" t="e">
        <f>AND(主角属性字段设计!P28,"AAAAAD7/fwo=")</f>
        <v>#VALUE!</v>
      </c>
      <c r="L8" t="e">
        <f>AND(主角属性字段设计!U28,"AAAAAD7/fws=")</f>
        <v>#VALUE!</v>
      </c>
      <c r="M8" t="e">
        <f>AND(主角属性字段设计!V28,"AAAAAD7/fww=")</f>
        <v>#VALUE!</v>
      </c>
      <c r="N8" t="e">
        <f>AND(主角属性字段设计!#REF!,"AAAAAD7/fw0=")</f>
        <v>#REF!</v>
      </c>
      <c r="O8" t="e">
        <f>AND(主角属性字段设计!#REF!,"AAAAAD7/fw4=")</f>
        <v>#REF!</v>
      </c>
      <c r="P8" t="e">
        <f>AND(主角属性字段设计!#REF!,"AAAAAD7/fw8=")</f>
        <v>#REF!</v>
      </c>
      <c r="Q8" t="e">
        <f>AND(主角属性字段设计!#REF!,"AAAAAD7/fxA=")</f>
        <v>#REF!</v>
      </c>
      <c r="R8" t="e">
        <f>AND(主角属性字段设计!#REF!,"AAAAAD7/fxE=")</f>
        <v>#REF!</v>
      </c>
      <c r="S8" t="e">
        <f>AND(主角属性字段设计!#REF!,"AAAAAD7/fxI=")</f>
        <v>#REF!</v>
      </c>
      <c r="T8" t="e">
        <f>AND(主角属性字段设计!#REF!,"AAAAAD7/fxM=")</f>
        <v>#REF!</v>
      </c>
      <c r="U8" t="e">
        <f>AND(主角属性字段设计!F29,"AAAAAD7/fxQ=")</f>
        <v>#VALUE!</v>
      </c>
      <c r="V8" t="e">
        <f>AND(主角属性字段设计!G29,"AAAAAD7/fxU=")</f>
        <v>#VALUE!</v>
      </c>
      <c r="W8" t="e">
        <f>AND(主角属性字段设计!H29,"AAAAAD7/fxY=")</f>
        <v>#VALUE!</v>
      </c>
      <c r="X8" t="e">
        <f>AND(主角属性字段设计!I29,"AAAAAD7/fxc=")</f>
        <v>#VALUE!</v>
      </c>
      <c r="Y8" t="e">
        <f>AND(主角属性字段设计!J29,"AAAAAD7/fxg=")</f>
        <v>#VALUE!</v>
      </c>
      <c r="Z8" t="e">
        <f>AND(主角属性字段设计!K29,"AAAAAD7/fxk=")</f>
        <v>#VALUE!</v>
      </c>
      <c r="AA8" t="e">
        <f>AND(主角属性字段设计!L29,"AAAAAD7/fxo=")</f>
        <v>#VALUE!</v>
      </c>
      <c r="AB8" t="e">
        <f>AND(主角属性字段设计!M29,"AAAAAD7/fxs=")</f>
        <v>#VALUE!</v>
      </c>
      <c r="AC8" t="e">
        <f>AND(主角属性字段设计!N29,"AAAAAD7/fxw=")</f>
        <v>#VALUE!</v>
      </c>
      <c r="AD8" t="e">
        <f>AND(主角属性字段设计!O29,"AAAAAD7/fx0=")</f>
        <v>#VALUE!</v>
      </c>
      <c r="AE8" t="e">
        <f>AND(主角属性字段设计!P29,"AAAAAD7/fx4=")</f>
        <v>#VALUE!</v>
      </c>
      <c r="AF8" t="e">
        <f>AND(主角属性字段设计!U29,"AAAAAD7/fx8=")</f>
        <v>#VALUE!</v>
      </c>
      <c r="AG8" t="e">
        <f>AND(主角属性字段设计!V29,"AAAAAD7/fyA=")</f>
        <v>#VALUE!</v>
      </c>
      <c r="AH8" t="e">
        <f>AND(主角属性字段设计!W69,"AAAAAD7/fyE=")</f>
        <v>#VALUE!</v>
      </c>
      <c r="AI8" t="e">
        <f>AND(主角属性字段设计!X69,"AAAAAD7/fyI=")</f>
        <v>#VALUE!</v>
      </c>
      <c r="AJ8" t="e">
        <f>AND(主角属性字段设计!Y69,"AAAAAD7/fyM=")</f>
        <v>#VALUE!</v>
      </c>
      <c r="AK8" t="e">
        <f>AND(主角属性字段设计!Z69,"AAAAAD7/fyQ=")</f>
        <v>#VALUE!</v>
      </c>
      <c r="AL8" t="e">
        <f>AND(主角属性字段设计!AA69,"AAAAAD7/fyU=")</f>
        <v>#VALUE!</v>
      </c>
      <c r="AM8" t="e">
        <f>AND(主角属性字段设计!AB69,"AAAAAD7/fyY=")</f>
        <v>#VALUE!</v>
      </c>
      <c r="AN8" t="e">
        <f>AND(主角属性字段设计!AC69,"AAAAAD7/fyc=")</f>
        <v>#VALUE!</v>
      </c>
      <c r="AO8" t="e">
        <f>AND(主角属性字段设计!F30,"AAAAAD7/fyg=")</f>
        <v>#VALUE!</v>
      </c>
      <c r="AP8" t="e">
        <f>AND(主角属性字段设计!G30,"AAAAAD7/fyk=")</f>
        <v>#VALUE!</v>
      </c>
      <c r="AQ8" t="e">
        <f>AND(主角属性字段设计!H30,"AAAAAD7/fyo=")</f>
        <v>#VALUE!</v>
      </c>
      <c r="AR8" t="e">
        <f>AND(主角属性字段设计!I30,"AAAAAD7/fys=")</f>
        <v>#VALUE!</v>
      </c>
      <c r="AS8" t="e">
        <f>AND(主角属性字段设计!J30,"AAAAAD7/fyw=")</f>
        <v>#VALUE!</v>
      </c>
      <c r="AT8" t="e">
        <f>AND(主角属性字段设计!K30,"AAAAAD7/fy0=")</f>
        <v>#VALUE!</v>
      </c>
      <c r="AU8" t="e">
        <f>AND(主角属性字段设计!L30,"AAAAAD7/fy4=")</f>
        <v>#VALUE!</v>
      </c>
      <c r="AV8" t="e">
        <f>AND(主角属性字段设计!M30,"AAAAAD7/fy8=")</f>
        <v>#VALUE!</v>
      </c>
      <c r="AW8" t="e">
        <f>AND(主角属性字段设计!N30,"AAAAAD7/fzA=")</f>
        <v>#VALUE!</v>
      </c>
      <c r="AX8" t="e">
        <f>AND(主角属性字段设计!O30,"AAAAAD7/fzE=")</f>
        <v>#VALUE!</v>
      </c>
      <c r="AY8" t="e">
        <f>AND(主角属性字段设计!P30,"AAAAAD7/fzI=")</f>
        <v>#VALUE!</v>
      </c>
      <c r="AZ8" t="e">
        <f>AND(主角属性字段设计!U30,"AAAAAD7/fzM=")</f>
        <v>#VALUE!</v>
      </c>
      <c r="BA8" t="e">
        <f>AND(主角属性字段设计!V30,"AAAAAD7/fzQ=")</f>
        <v>#VALUE!</v>
      </c>
      <c r="BB8" t="e">
        <f>AND(主角属性字段设计!F31,"AAAAAD7/fzU=")</f>
        <v>#VALUE!</v>
      </c>
      <c r="BC8" t="e">
        <f>AND(主角属性字段设计!G31,"AAAAAD7/fzY=")</f>
        <v>#VALUE!</v>
      </c>
      <c r="BD8" t="e">
        <f>AND(主角属性字段设计!H31,"AAAAAD7/fzc=")</f>
        <v>#VALUE!</v>
      </c>
      <c r="BE8" t="e">
        <f>AND(主角属性字段设计!I31,"AAAAAD7/fzg=")</f>
        <v>#VALUE!</v>
      </c>
      <c r="BF8" t="e">
        <f>AND(主角属性字段设计!J31,"AAAAAD7/fzk=")</f>
        <v>#VALUE!</v>
      </c>
      <c r="BG8" t="e">
        <f>AND(主角属性字段设计!K31,"AAAAAD7/fzo=")</f>
        <v>#VALUE!</v>
      </c>
      <c r="BH8" t="e">
        <f>AND(主角属性字段设计!L31,"AAAAAD7/fzs=")</f>
        <v>#VALUE!</v>
      </c>
      <c r="BI8" t="e">
        <f>AND(主角属性字段设计!M31,"AAAAAD7/fzw=")</f>
        <v>#VALUE!</v>
      </c>
      <c r="BJ8" t="e">
        <f>AND(主角属性字段设计!N31,"AAAAAD7/fz0=")</f>
        <v>#VALUE!</v>
      </c>
      <c r="BK8" t="e">
        <f>AND(主角属性字段设计!O31,"AAAAAD7/fz4=")</f>
        <v>#VALUE!</v>
      </c>
      <c r="BL8" t="e">
        <f>AND(主角属性字段设计!P31,"AAAAAD7/fz8=")</f>
        <v>#VALUE!</v>
      </c>
      <c r="BM8" t="e">
        <f>AND(主角属性字段设计!U31,"AAAAAD7/f0A=")</f>
        <v>#VALUE!</v>
      </c>
      <c r="BN8" t="e">
        <f>AND(主角属性字段设计!V31,"AAAAAD7/f0E=")</f>
        <v>#VALUE!</v>
      </c>
      <c r="BO8" t="e">
        <f>AND(主角属性字段设计!F32,"AAAAAD7/f0I=")</f>
        <v>#VALUE!</v>
      </c>
      <c r="BP8" t="e">
        <f>AND(主角属性字段设计!G32,"AAAAAD7/f0M=")</f>
        <v>#VALUE!</v>
      </c>
      <c r="BQ8" t="e">
        <f>AND(主角属性字段设计!H32,"AAAAAD7/f0Q=")</f>
        <v>#VALUE!</v>
      </c>
      <c r="BR8" t="e">
        <f>AND(主角属性字段设计!I32,"AAAAAD7/f0U=")</f>
        <v>#VALUE!</v>
      </c>
      <c r="BS8" t="e">
        <f>AND(主角属性字段设计!J32,"AAAAAD7/f0Y=")</f>
        <v>#VALUE!</v>
      </c>
      <c r="BT8" t="e">
        <f>AND(主角属性字段设计!K32,"AAAAAD7/f0c=")</f>
        <v>#VALUE!</v>
      </c>
      <c r="BU8" t="e">
        <f>AND(主角属性字段设计!L32,"AAAAAD7/f0g=")</f>
        <v>#VALUE!</v>
      </c>
      <c r="BV8" t="e">
        <f>AND(主角属性字段设计!M32,"AAAAAD7/f0k=")</f>
        <v>#VALUE!</v>
      </c>
      <c r="BW8" t="e">
        <f>AND(主角属性字段设计!N32,"AAAAAD7/f0o=")</f>
        <v>#VALUE!</v>
      </c>
      <c r="BX8" t="e">
        <f>AND(主角属性字段设计!O32,"AAAAAD7/f0s=")</f>
        <v>#VALUE!</v>
      </c>
      <c r="BY8" t="e">
        <f>AND(主角属性字段设计!P32,"AAAAAD7/f0w=")</f>
        <v>#VALUE!</v>
      </c>
      <c r="BZ8" t="e">
        <f>AND(主角属性字段设计!U32,"AAAAAD7/f00=")</f>
        <v>#VALUE!</v>
      </c>
      <c r="CA8" t="e">
        <f>AND(主角属性字段设计!V32,"AAAAAD7/f04=")</f>
        <v>#VALUE!</v>
      </c>
      <c r="CB8" t="e">
        <f>AND(主角属性字段设计!F33,"AAAAAD7/f08=")</f>
        <v>#VALUE!</v>
      </c>
      <c r="CC8" t="e">
        <f>AND(主角属性字段设计!G33,"AAAAAD7/f1A=")</f>
        <v>#VALUE!</v>
      </c>
      <c r="CD8" t="e">
        <f>AND(主角属性字段设计!H33,"AAAAAD7/f1E=")</f>
        <v>#VALUE!</v>
      </c>
      <c r="CE8" t="e">
        <f>AND(主角属性字段设计!I33,"AAAAAD7/f1I=")</f>
        <v>#VALUE!</v>
      </c>
      <c r="CF8" t="e">
        <f>AND(主角属性字段设计!J33,"AAAAAD7/f1M=")</f>
        <v>#VALUE!</v>
      </c>
      <c r="CG8" t="e">
        <f>AND(主角属性字段设计!K33,"AAAAAD7/f1Q=")</f>
        <v>#VALUE!</v>
      </c>
      <c r="CH8" t="e">
        <f>AND(主角属性字段设计!L33,"AAAAAD7/f1U=")</f>
        <v>#VALUE!</v>
      </c>
      <c r="CI8" t="e">
        <f>AND(主角属性字段设计!M33,"AAAAAD7/f1Y=")</f>
        <v>#VALUE!</v>
      </c>
      <c r="CJ8" t="e">
        <f>AND(主角属性字段设计!N33,"AAAAAD7/f1c=")</f>
        <v>#VALUE!</v>
      </c>
      <c r="CK8" t="e">
        <f>AND(主角属性字段设计!O33,"AAAAAD7/f1g=")</f>
        <v>#VALUE!</v>
      </c>
      <c r="CL8" t="e">
        <f>AND(主角属性字段设计!P33,"AAAAAD7/f1k=")</f>
        <v>#VALUE!</v>
      </c>
      <c r="CM8" t="e">
        <f>AND(主角属性字段设计!U33,"AAAAAD7/f1o=")</f>
        <v>#VALUE!</v>
      </c>
      <c r="CN8" t="e">
        <f>AND(主角属性字段设计!V33,"AAAAAD7/f1s=")</f>
        <v>#VALUE!</v>
      </c>
      <c r="CO8" t="e">
        <f>AND(主角属性字段设计!F34,"AAAAAD7/f1w=")</f>
        <v>#VALUE!</v>
      </c>
      <c r="CP8" t="e">
        <f>AND(主角属性字段设计!G34,"AAAAAD7/f10=")</f>
        <v>#VALUE!</v>
      </c>
      <c r="CQ8" t="e">
        <f>AND(主角属性字段设计!H34,"AAAAAD7/f14=")</f>
        <v>#VALUE!</v>
      </c>
      <c r="CR8" t="e">
        <f>AND(主角属性字段设计!I34,"AAAAAD7/f18=")</f>
        <v>#VALUE!</v>
      </c>
      <c r="CS8" t="e">
        <f>AND(主角属性字段设计!J34,"AAAAAD7/f2A=")</f>
        <v>#VALUE!</v>
      </c>
      <c r="CT8" t="e">
        <f>AND(主角属性字段设计!K34,"AAAAAD7/f2E=")</f>
        <v>#VALUE!</v>
      </c>
      <c r="CU8" t="e">
        <f>AND(主角属性字段设计!L34,"AAAAAD7/f2I=")</f>
        <v>#VALUE!</v>
      </c>
      <c r="CV8" t="e">
        <f>AND(主角属性字段设计!M34,"AAAAAD7/f2M=")</f>
        <v>#VALUE!</v>
      </c>
      <c r="CW8" t="e">
        <f>AND(主角属性字段设计!N34,"AAAAAD7/f2Q=")</f>
        <v>#VALUE!</v>
      </c>
      <c r="CX8" t="e">
        <f>AND(主角属性字段设计!O34,"AAAAAD7/f2U=")</f>
        <v>#VALUE!</v>
      </c>
      <c r="CY8" t="e">
        <f>AND(主角属性字段设计!P34,"AAAAAD7/f2Y=")</f>
        <v>#VALUE!</v>
      </c>
      <c r="CZ8" t="e">
        <f>AND(主角属性字段设计!U34,"AAAAAD7/f2c=")</f>
        <v>#VALUE!</v>
      </c>
      <c r="DA8" t="e">
        <f>AND(主角属性字段设计!V34,"AAAAAD7/f2g=")</f>
        <v>#VALUE!</v>
      </c>
      <c r="DB8" t="e">
        <f>AND(主角属性字段设计!F35,"AAAAAD7/f2k=")</f>
        <v>#VALUE!</v>
      </c>
      <c r="DC8" t="e">
        <f>AND(主角属性字段设计!G35,"AAAAAD7/f2o=")</f>
        <v>#VALUE!</v>
      </c>
      <c r="DD8" t="e">
        <f>AND(主角属性字段设计!H35,"AAAAAD7/f2s=")</f>
        <v>#VALUE!</v>
      </c>
      <c r="DE8" t="e">
        <f>AND(主角属性字段设计!I35,"AAAAAD7/f2w=")</f>
        <v>#VALUE!</v>
      </c>
      <c r="DF8" t="e">
        <f>AND(主角属性字段设计!J35,"AAAAAD7/f20=")</f>
        <v>#VALUE!</v>
      </c>
      <c r="DG8" t="e">
        <f>AND(主角属性字段设计!K35,"AAAAAD7/f24=")</f>
        <v>#VALUE!</v>
      </c>
      <c r="DH8" t="e">
        <f>AND(主角属性字段设计!L35,"AAAAAD7/f28=")</f>
        <v>#VALUE!</v>
      </c>
      <c r="DI8" t="e">
        <f>AND(主角属性字段设计!M35,"AAAAAD7/f3A=")</f>
        <v>#VALUE!</v>
      </c>
      <c r="DJ8" t="e">
        <f>AND(主角属性字段设计!N35,"AAAAAD7/f3E=")</f>
        <v>#VALUE!</v>
      </c>
      <c r="DK8" t="e">
        <f>AND(主角属性字段设计!O35,"AAAAAD7/f3I=")</f>
        <v>#VALUE!</v>
      </c>
      <c r="DL8" t="e">
        <f>AND(主角属性字段设计!P35,"AAAAAD7/f3M=")</f>
        <v>#VALUE!</v>
      </c>
      <c r="DM8" t="e">
        <f>AND(主角属性字段设计!U35,"AAAAAD7/f3Q=")</f>
        <v>#VALUE!</v>
      </c>
      <c r="DN8" t="e">
        <f>AND(主角属性字段设计!V35,"AAAAAD7/f3U=")</f>
        <v>#VALUE!</v>
      </c>
      <c r="DO8" t="e">
        <f>AND(主角属性字段设计!F36,"AAAAAD7/f3Y=")</f>
        <v>#VALUE!</v>
      </c>
      <c r="DP8" t="e">
        <f>AND(主角属性字段设计!G36,"AAAAAD7/f3c=")</f>
        <v>#VALUE!</v>
      </c>
      <c r="DQ8" t="e">
        <f>AND(主角属性字段设计!H36,"AAAAAD7/f3g=")</f>
        <v>#VALUE!</v>
      </c>
      <c r="DR8" t="e">
        <f>AND(主角属性字段设计!I36,"AAAAAD7/f3k=")</f>
        <v>#VALUE!</v>
      </c>
      <c r="DS8" t="e">
        <f>AND(主角属性字段设计!J36,"AAAAAD7/f3o=")</f>
        <v>#VALUE!</v>
      </c>
      <c r="DT8" t="e">
        <f>AND(主角属性字段设计!K36,"AAAAAD7/f3s=")</f>
        <v>#VALUE!</v>
      </c>
      <c r="DU8" t="e">
        <f>AND(主角属性字段设计!L36,"AAAAAD7/f3w=")</f>
        <v>#VALUE!</v>
      </c>
      <c r="DV8" t="e">
        <f>AND(主角属性字段设计!M36,"AAAAAD7/f30=")</f>
        <v>#VALUE!</v>
      </c>
      <c r="DW8" t="e">
        <f>AND(主角属性字段设计!N36,"AAAAAD7/f34=")</f>
        <v>#VALUE!</v>
      </c>
      <c r="DX8" t="e">
        <f>AND(主角属性字段设计!O36,"AAAAAD7/f38=")</f>
        <v>#VALUE!</v>
      </c>
      <c r="DY8" t="e">
        <f>AND(主角属性字段设计!P36,"AAAAAD7/f4A=")</f>
        <v>#VALUE!</v>
      </c>
      <c r="DZ8" t="e">
        <f>AND(主角属性字段设计!U36,"AAAAAD7/f4E=")</f>
        <v>#VALUE!</v>
      </c>
      <c r="EA8" t="e">
        <f>AND(主角属性字段设计!V36,"AAAAAD7/f4I=")</f>
        <v>#VALUE!</v>
      </c>
      <c r="EB8" t="e">
        <f>AND(主角属性字段设计!F37,"AAAAAD7/f4M=")</f>
        <v>#VALUE!</v>
      </c>
      <c r="EC8" t="e">
        <f>AND(主角属性字段设计!G37,"AAAAAD7/f4Q=")</f>
        <v>#VALUE!</v>
      </c>
      <c r="ED8" t="e">
        <f>AND(主角属性字段设计!H37,"AAAAAD7/f4U=")</f>
        <v>#VALUE!</v>
      </c>
      <c r="EE8" t="e">
        <f>AND(主角属性字段设计!I37,"AAAAAD7/f4Y=")</f>
        <v>#VALUE!</v>
      </c>
      <c r="EF8" t="e">
        <f>AND(主角属性字段设计!J37,"AAAAAD7/f4c=")</f>
        <v>#VALUE!</v>
      </c>
      <c r="EG8" t="e">
        <f>AND(主角属性字段设计!K37,"AAAAAD7/f4g=")</f>
        <v>#VALUE!</v>
      </c>
      <c r="EH8" t="e">
        <f>AND(主角属性字段设计!L37,"AAAAAD7/f4k=")</f>
        <v>#VALUE!</v>
      </c>
      <c r="EI8" t="e">
        <f>AND(主角属性字段设计!M37,"AAAAAD7/f4o=")</f>
        <v>#VALUE!</v>
      </c>
      <c r="EJ8" t="e">
        <f>AND(主角属性字段设计!N37,"AAAAAD7/f4s=")</f>
        <v>#VALUE!</v>
      </c>
      <c r="EK8" t="e">
        <f>AND(主角属性字段设计!O37,"AAAAAD7/f4w=")</f>
        <v>#VALUE!</v>
      </c>
      <c r="EL8" t="e">
        <f>AND(主角属性字段设计!P37,"AAAAAD7/f40=")</f>
        <v>#VALUE!</v>
      </c>
      <c r="EM8" t="e">
        <f>AND(主角属性字段设计!U37,"AAAAAD7/f44=")</f>
        <v>#VALUE!</v>
      </c>
      <c r="EN8" t="e">
        <f>AND(主角属性字段设计!V37,"AAAAAD7/f48=")</f>
        <v>#VALUE!</v>
      </c>
      <c r="EO8" t="e">
        <f>AND(主角属性字段设计!F38,"AAAAAD7/f5A=")</f>
        <v>#VALUE!</v>
      </c>
      <c r="EP8" t="e">
        <f>AND(主角属性字段设计!G38,"AAAAAD7/f5E=")</f>
        <v>#VALUE!</v>
      </c>
      <c r="EQ8" t="e">
        <f>AND(主角属性字段设计!H38,"AAAAAD7/f5I=")</f>
        <v>#VALUE!</v>
      </c>
      <c r="ER8" t="e">
        <f>AND(主角属性字段设计!I38,"AAAAAD7/f5M=")</f>
        <v>#VALUE!</v>
      </c>
      <c r="ES8" t="e">
        <f>AND(主角属性字段设计!J38,"AAAAAD7/f5Q=")</f>
        <v>#VALUE!</v>
      </c>
      <c r="ET8" t="e">
        <f>AND(主角属性字段设计!K38,"AAAAAD7/f5U=")</f>
        <v>#VALUE!</v>
      </c>
      <c r="EU8" t="e">
        <f>AND(主角属性字段设计!L38,"AAAAAD7/f5Y=")</f>
        <v>#VALUE!</v>
      </c>
      <c r="EV8" t="e">
        <f>AND(主角属性字段设计!M38,"AAAAAD7/f5c=")</f>
        <v>#VALUE!</v>
      </c>
      <c r="EW8" t="e">
        <f>AND(主角属性字段设计!N38,"AAAAAD7/f5g=")</f>
        <v>#VALUE!</v>
      </c>
      <c r="EX8" t="e">
        <f>AND(主角属性字段设计!O38,"AAAAAD7/f5k=")</f>
        <v>#VALUE!</v>
      </c>
      <c r="EY8" t="e">
        <f>AND(主角属性字段设计!P38,"AAAAAD7/f5o=")</f>
        <v>#VALUE!</v>
      </c>
      <c r="EZ8" t="e">
        <f>AND(主角属性字段设计!U38,"AAAAAD7/f5s=")</f>
        <v>#VALUE!</v>
      </c>
      <c r="FA8" t="e">
        <f>AND(主角属性字段设计!V38,"AAAAAD7/f5w=")</f>
        <v>#VALUE!</v>
      </c>
      <c r="FB8" t="e">
        <f>AND(主角属性字段设计!F39,"AAAAAD7/f50=")</f>
        <v>#VALUE!</v>
      </c>
      <c r="FC8" t="e">
        <f>AND(主角属性字段设计!G39,"AAAAAD7/f54=")</f>
        <v>#VALUE!</v>
      </c>
      <c r="FD8" t="e">
        <f>AND(主角属性字段设计!H39,"AAAAAD7/f58=")</f>
        <v>#VALUE!</v>
      </c>
      <c r="FE8" t="e">
        <f>AND(主角属性字段设计!I39,"AAAAAD7/f6A=")</f>
        <v>#VALUE!</v>
      </c>
      <c r="FF8" t="e">
        <f>AND(主角属性字段设计!J39,"AAAAAD7/f6E=")</f>
        <v>#VALUE!</v>
      </c>
      <c r="FG8" t="e">
        <f>AND(主角属性字段设计!K39,"AAAAAD7/f6I=")</f>
        <v>#VALUE!</v>
      </c>
      <c r="FH8" t="e">
        <f>AND(主角属性字段设计!L39,"AAAAAD7/f6M=")</f>
        <v>#VALUE!</v>
      </c>
      <c r="FI8" t="e">
        <f>AND(主角属性字段设计!M39,"AAAAAD7/f6Q=")</f>
        <v>#VALUE!</v>
      </c>
      <c r="FJ8" t="e">
        <f>AND(主角属性字段设计!N39,"AAAAAD7/f6U=")</f>
        <v>#VALUE!</v>
      </c>
      <c r="FK8" t="e">
        <f>AND(主角属性字段设计!O39,"AAAAAD7/f6Y=")</f>
        <v>#VALUE!</v>
      </c>
      <c r="FL8" t="e">
        <f>AND(主角属性字段设计!P39,"AAAAAD7/f6c=")</f>
        <v>#VALUE!</v>
      </c>
      <c r="FM8" t="e">
        <f>AND(主角属性字段设计!U39,"AAAAAD7/f6g=")</f>
        <v>#VALUE!</v>
      </c>
      <c r="FN8" t="e">
        <f>AND(主角属性字段设计!V39,"AAAAAD7/f6k=")</f>
        <v>#VALUE!</v>
      </c>
      <c r="FO8" t="e">
        <f>AND(主角属性字段设计!F40,"AAAAAD7/f6o=")</f>
        <v>#VALUE!</v>
      </c>
      <c r="FP8" t="e">
        <f>AND(主角属性字段设计!G40,"AAAAAD7/f6s=")</f>
        <v>#VALUE!</v>
      </c>
      <c r="FQ8" t="e">
        <f>AND(主角属性字段设计!H40,"AAAAAD7/f6w=")</f>
        <v>#VALUE!</v>
      </c>
      <c r="FR8" t="e">
        <f>AND(主角属性字段设计!I40,"AAAAAD7/f60=")</f>
        <v>#VALUE!</v>
      </c>
      <c r="FS8" t="e">
        <f>AND(主角属性字段设计!J40,"AAAAAD7/f64=")</f>
        <v>#VALUE!</v>
      </c>
      <c r="FT8" t="e">
        <f>AND(主角属性字段设计!K40,"AAAAAD7/f68=")</f>
        <v>#VALUE!</v>
      </c>
      <c r="FU8" t="e">
        <f>AND(主角属性字段设计!L40,"AAAAAD7/f7A=")</f>
        <v>#VALUE!</v>
      </c>
      <c r="FV8" t="e">
        <f>AND(主角属性字段设计!M40,"AAAAAD7/f7E=")</f>
        <v>#VALUE!</v>
      </c>
      <c r="FW8" t="e">
        <f>AND(主角属性字段设计!N40,"AAAAAD7/f7I=")</f>
        <v>#VALUE!</v>
      </c>
      <c r="FX8" t="e">
        <f>AND(主角属性字段设计!O40,"AAAAAD7/f7M=")</f>
        <v>#VALUE!</v>
      </c>
      <c r="FY8" t="e">
        <f>AND(主角属性字段设计!P40,"AAAAAD7/f7Q=")</f>
        <v>#VALUE!</v>
      </c>
      <c r="FZ8" t="e">
        <f>AND(主角属性字段设计!U40,"AAAAAD7/f7U=")</f>
        <v>#VALUE!</v>
      </c>
      <c r="GA8" t="e">
        <f>AND(主角属性字段设计!V40,"AAAAAD7/f7Y=")</f>
        <v>#VALUE!</v>
      </c>
      <c r="GB8" t="e">
        <f>AND(主角属性字段设计!F41,"AAAAAD7/f7c=")</f>
        <v>#VALUE!</v>
      </c>
      <c r="GC8" t="e">
        <f>AND(主角属性字段设计!G41,"AAAAAD7/f7g=")</f>
        <v>#VALUE!</v>
      </c>
      <c r="GD8" t="e">
        <f>AND(主角属性字段设计!H41,"AAAAAD7/f7k=")</f>
        <v>#VALUE!</v>
      </c>
      <c r="GE8" t="e">
        <f>AND(主角属性字段设计!I41,"AAAAAD7/f7o=")</f>
        <v>#VALUE!</v>
      </c>
      <c r="GF8" t="e">
        <f>AND(主角属性字段设计!J41,"AAAAAD7/f7s=")</f>
        <v>#VALUE!</v>
      </c>
      <c r="GG8" t="e">
        <f>AND(主角属性字段设计!K41,"AAAAAD7/f7w=")</f>
        <v>#VALUE!</v>
      </c>
      <c r="GH8" t="e">
        <f>AND(主角属性字段设计!L41,"AAAAAD7/f70=")</f>
        <v>#VALUE!</v>
      </c>
      <c r="GI8" t="e">
        <f>AND(主角属性字段设计!M41,"AAAAAD7/f74=")</f>
        <v>#VALUE!</v>
      </c>
      <c r="GJ8" t="e">
        <f>AND(主角属性字段设计!N41,"AAAAAD7/f78=")</f>
        <v>#VALUE!</v>
      </c>
      <c r="GK8" t="e">
        <f>AND(主角属性字段设计!O41,"AAAAAD7/f8A=")</f>
        <v>#VALUE!</v>
      </c>
      <c r="GL8" t="e">
        <f>AND(主角属性字段设计!P41,"AAAAAD7/f8E=")</f>
        <v>#VALUE!</v>
      </c>
      <c r="GM8" t="e">
        <f>AND(主角属性字段设计!U41,"AAAAAD7/f8I=")</f>
        <v>#VALUE!</v>
      </c>
      <c r="GN8" t="e">
        <f>AND(主角属性字段设计!V41,"AAAAAD7/f8M=")</f>
        <v>#VALUE!</v>
      </c>
      <c r="GO8" t="e">
        <f>AND(主角属性字段设计!F42,"AAAAAD7/f8Q=")</f>
        <v>#VALUE!</v>
      </c>
      <c r="GP8" t="e">
        <f>AND(主角属性字段设计!G42,"AAAAAD7/f8U=")</f>
        <v>#VALUE!</v>
      </c>
      <c r="GQ8" t="e">
        <f>AND(主角属性字段设计!H42,"AAAAAD7/f8Y=")</f>
        <v>#VALUE!</v>
      </c>
      <c r="GR8" t="e">
        <f>AND(主角属性字段设计!I42,"AAAAAD7/f8c=")</f>
        <v>#VALUE!</v>
      </c>
      <c r="GS8" t="e">
        <f>AND(主角属性字段设计!J42,"AAAAAD7/f8g=")</f>
        <v>#VALUE!</v>
      </c>
      <c r="GT8" t="e">
        <f>AND(主角属性字段设计!K42,"AAAAAD7/f8k=")</f>
        <v>#VALUE!</v>
      </c>
      <c r="GU8" t="e">
        <f>AND(主角属性字段设计!L42,"AAAAAD7/f8o=")</f>
        <v>#VALUE!</v>
      </c>
      <c r="GV8" t="e">
        <f>AND(主角属性字段设计!M42,"AAAAAD7/f8s=")</f>
        <v>#VALUE!</v>
      </c>
      <c r="GW8" t="e">
        <f>AND(主角属性字段设计!N42,"AAAAAD7/f8w=")</f>
        <v>#VALUE!</v>
      </c>
      <c r="GX8" t="e">
        <f>AND(主角属性字段设计!O42,"AAAAAD7/f80=")</f>
        <v>#VALUE!</v>
      </c>
      <c r="GY8" t="e">
        <f>AND(主角属性字段设计!P42,"AAAAAD7/f84=")</f>
        <v>#VALUE!</v>
      </c>
      <c r="GZ8" t="e">
        <f>AND(主角属性字段设计!U42,"AAAAAD7/f88=")</f>
        <v>#VALUE!</v>
      </c>
      <c r="HA8" t="e">
        <f>AND(主角属性字段设计!V42,"AAAAAD7/f9A=")</f>
        <v>#VALUE!</v>
      </c>
      <c r="HB8" t="e">
        <f>AND(#REF!,"AAAAAD7/f9E=")</f>
        <v>#REF!</v>
      </c>
      <c r="HC8" t="e">
        <f>AND(#REF!,"AAAAAD7/f9I=")</f>
        <v>#REF!</v>
      </c>
      <c r="HD8" t="e">
        <f>AND(#REF!,"AAAAAD7/f9M=")</f>
        <v>#REF!</v>
      </c>
      <c r="HE8" t="e">
        <f>AND(#REF!,"AAAAAD7/f9Q=")</f>
        <v>#REF!</v>
      </c>
      <c r="HF8" t="e">
        <f>AND(#REF!,"AAAAAD7/f9U=")</f>
        <v>#REF!</v>
      </c>
      <c r="HG8" t="e">
        <f>AND(#REF!,"AAAAAD7/f9Y=")</f>
        <v>#REF!</v>
      </c>
      <c r="HH8" t="e">
        <f>AND(#REF!,"AAAAAD7/f9c=")</f>
        <v>#REF!</v>
      </c>
      <c r="HI8" t="e">
        <f>AND(主角属性字段设计!F43,"AAAAAD7/f9g=")</f>
        <v>#VALUE!</v>
      </c>
      <c r="HJ8" t="e">
        <f>AND(主角属性字段设计!G43,"AAAAAD7/f9k=")</f>
        <v>#VALUE!</v>
      </c>
      <c r="HK8" t="e">
        <f>AND(主角属性字段设计!H43,"AAAAAD7/f9o=")</f>
        <v>#VALUE!</v>
      </c>
      <c r="HL8" t="e">
        <f>AND(主角属性字段设计!I43,"AAAAAD7/f9s=")</f>
        <v>#VALUE!</v>
      </c>
      <c r="HM8" t="e">
        <f>AND(主角属性字段设计!J43,"AAAAAD7/f9w=")</f>
        <v>#VALUE!</v>
      </c>
      <c r="HN8" t="e">
        <f>AND(主角属性字段设计!K43,"AAAAAD7/f90=")</f>
        <v>#VALUE!</v>
      </c>
      <c r="HO8" t="e">
        <f>AND(主角属性字段设计!L43,"AAAAAD7/f94=")</f>
        <v>#VALUE!</v>
      </c>
      <c r="HP8" t="e">
        <f>AND(主角属性字段设计!M43,"AAAAAD7/f98=")</f>
        <v>#VALUE!</v>
      </c>
      <c r="HQ8" t="e">
        <f>AND(主角属性字段设计!N43,"AAAAAD7/f+A=")</f>
        <v>#VALUE!</v>
      </c>
      <c r="HR8" t="e">
        <f>AND(主角属性字段设计!O43,"AAAAAD7/f+E=")</f>
        <v>#VALUE!</v>
      </c>
      <c r="HS8" t="e">
        <f>AND(主角属性字段设计!P43,"AAAAAD7/f+I=")</f>
        <v>#VALUE!</v>
      </c>
      <c r="HT8" t="e">
        <f>AND(主角属性字段设计!U43,"AAAAAD7/f+M=")</f>
        <v>#VALUE!</v>
      </c>
      <c r="HU8" t="e">
        <f>AND(主角属性字段设计!V43,"AAAAAD7/f+Q=")</f>
        <v>#VALUE!</v>
      </c>
      <c r="HV8" t="e">
        <f>AND(主角属性字段设计!W65,"AAAAAD7/f+U=")</f>
        <v>#VALUE!</v>
      </c>
      <c r="HW8" t="e">
        <f>AND(主角属性字段设计!X65,"AAAAAD7/f+Y=")</f>
        <v>#VALUE!</v>
      </c>
      <c r="HX8" t="e">
        <f>AND(主角属性字段设计!Y64,"AAAAAD7/f+c=")</f>
        <v>#VALUE!</v>
      </c>
      <c r="HY8" t="e">
        <f>AND(主角属性字段设计!Z65,"AAAAAD7/f+g=")</f>
        <v>#VALUE!</v>
      </c>
      <c r="HZ8" t="e">
        <f>AND(主角属性字段设计!AA65,"AAAAAD7/f+k=")</f>
        <v>#VALUE!</v>
      </c>
      <c r="IA8" t="e">
        <f>AND(主角属性字段设计!AB65,"AAAAAD7/f+o=")</f>
        <v>#VALUE!</v>
      </c>
      <c r="IB8" t="e">
        <f>AND(主角属性字段设计!AC65,"AAAAAD7/f+s=")</f>
        <v>#VALUE!</v>
      </c>
      <c r="IC8" t="e">
        <f>AND(主角属性字段设计!F44,"AAAAAD7/f+w=")</f>
        <v>#VALUE!</v>
      </c>
      <c r="ID8" t="e">
        <f>AND(主角属性字段设计!G44,"AAAAAD7/f+0=")</f>
        <v>#VALUE!</v>
      </c>
      <c r="IE8" t="e">
        <f>AND(主角属性字段设计!H44,"AAAAAD7/f+4=")</f>
        <v>#VALUE!</v>
      </c>
      <c r="IF8" t="e">
        <f>AND(主角属性字段设计!I44,"AAAAAD7/f+8=")</f>
        <v>#VALUE!</v>
      </c>
      <c r="IG8" t="e">
        <f>AND(主角属性字段设计!J44,"AAAAAD7/f/A=")</f>
        <v>#VALUE!</v>
      </c>
      <c r="IH8" t="e">
        <f>AND(主角属性字段设计!K44,"AAAAAD7/f/E=")</f>
        <v>#VALUE!</v>
      </c>
      <c r="II8" t="e">
        <f>AND(主角属性字段设计!L44,"AAAAAD7/f/I=")</f>
        <v>#VALUE!</v>
      </c>
      <c r="IJ8" t="e">
        <f>AND(主角属性字段设计!M44,"AAAAAD7/f/M=")</f>
        <v>#VALUE!</v>
      </c>
      <c r="IK8" t="e">
        <f>AND(主角属性字段设计!N44,"AAAAAD7/f/Q=")</f>
        <v>#VALUE!</v>
      </c>
      <c r="IL8" t="e">
        <f>AND(主角属性字段设计!O44,"AAAAAD7/f/U=")</f>
        <v>#VALUE!</v>
      </c>
      <c r="IM8" t="e">
        <f>AND(主角属性字段设计!P44,"AAAAAD7/f/Y=")</f>
        <v>#VALUE!</v>
      </c>
      <c r="IN8" t="e">
        <f>AND(主角属性字段设计!U44,"AAAAAD7/f/c=")</f>
        <v>#VALUE!</v>
      </c>
      <c r="IO8" t="e">
        <f>AND(主角属性字段设计!V44,"AAAAAD7/f/g=")</f>
        <v>#VALUE!</v>
      </c>
      <c r="IP8" t="e">
        <f>AND(主角属性字段设计!F45,"AAAAAD7/f/k=")</f>
        <v>#VALUE!</v>
      </c>
      <c r="IQ8" t="e">
        <f>AND(主角属性字段设计!G45,"AAAAAD7/f/o=")</f>
        <v>#VALUE!</v>
      </c>
      <c r="IR8" t="e">
        <f>AND(主角属性字段设计!H45,"AAAAAD7/f/s=")</f>
        <v>#VALUE!</v>
      </c>
      <c r="IS8" t="e">
        <f>AND(主角属性字段设计!I45,"AAAAAD7/f/w=")</f>
        <v>#VALUE!</v>
      </c>
      <c r="IT8" t="e">
        <f>AND(主角属性字段设计!J45,"AAAAAD7/f/0=")</f>
        <v>#VALUE!</v>
      </c>
      <c r="IU8" t="e">
        <f>AND(主角属性字段设计!K45,"AAAAAD7/f/4=")</f>
        <v>#VALUE!</v>
      </c>
      <c r="IV8" t="e">
        <f>AND(主角属性字段设计!L45,"AAAAAD7/f/8=")</f>
        <v>#VALUE!</v>
      </c>
    </row>
    <row r="9" spans="1:256">
      <c r="A9" t="e">
        <f>AND(主角属性字段设计!M45,"AAAAAH7WvgA=")</f>
        <v>#VALUE!</v>
      </c>
      <c r="B9" t="e">
        <f>AND(主角属性字段设计!N45,"AAAAAH7WvgE=")</f>
        <v>#VALUE!</v>
      </c>
      <c r="C9" t="e">
        <f>AND(主角属性字段设计!O45,"AAAAAH7WvgI=")</f>
        <v>#VALUE!</v>
      </c>
      <c r="D9" t="e">
        <f>AND(主角属性字段设计!P45,"AAAAAH7WvgM=")</f>
        <v>#VALUE!</v>
      </c>
      <c r="E9" t="e">
        <f>AND(主角属性字段设计!U45,"AAAAAH7WvgQ=")</f>
        <v>#VALUE!</v>
      </c>
      <c r="F9" t="e">
        <f>AND(主角属性字段设计!V45,"AAAAAH7WvgU=")</f>
        <v>#VALUE!</v>
      </c>
      <c r="G9" t="e">
        <f>AND(主角属性字段设计!F46,"AAAAAH7WvgY=")</f>
        <v>#VALUE!</v>
      </c>
      <c r="H9" t="e">
        <f>AND(主角属性字段设计!G46,"AAAAAH7Wvgc=")</f>
        <v>#VALUE!</v>
      </c>
      <c r="I9" t="e">
        <f>AND(主角属性字段设计!H46,"AAAAAH7Wvgg=")</f>
        <v>#VALUE!</v>
      </c>
      <c r="J9" t="e">
        <f>AND(主角属性字段设计!I46,"AAAAAH7Wvgk=")</f>
        <v>#VALUE!</v>
      </c>
      <c r="K9" t="e">
        <f>AND(主角属性字段设计!J46,"AAAAAH7Wvgo=")</f>
        <v>#VALUE!</v>
      </c>
      <c r="L9" t="e">
        <f>AND(主角属性字段设计!K46,"AAAAAH7Wvgs=")</f>
        <v>#VALUE!</v>
      </c>
      <c r="M9" t="e">
        <f>AND(主角属性字段设计!L46,"AAAAAH7Wvgw=")</f>
        <v>#VALUE!</v>
      </c>
      <c r="N9" t="e">
        <f>AND(主角属性字段设计!M46,"AAAAAH7Wvg0=")</f>
        <v>#VALUE!</v>
      </c>
      <c r="O9" t="e">
        <f>AND(主角属性字段设计!N46,"AAAAAH7Wvg4=")</f>
        <v>#VALUE!</v>
      </c>
      <c r="P9" t="e">
        <f>AND(主角属性字段设计!O46,"AAAAAH7Wvg8=")</f>
        <v>#VALUE!</v>
      </c>
      <c r="Q9" t="e">
        <f>AND(主角属性字段设计!P46,"AAAAAH7WvhA=")</f>
        <v>#VALUE!</v>
      </c>
      <c r="R9" t="e">
        <f>AND(主角属性字段设计!U46,"AAAAAH7WvhE=")</f>
        <v>#VALUE!</v>
      </c>
      <c r="S9" t="e">
        <f>AND(主角属性字段设计!V46,"AAAAAH7WvhI=")</f>
        <v>#VALUE!</v>
      </c>
      <c r="T9" t="e">
        <f>IF(主角属性字段设计!47:47,"AAAAAH7WvhM=",0)</f>
        <v>#VALUE!</v>
      </c>
      <c r="U9" t="e">
        <f>AND(主角属性字段设计!A47,"AAAAAH7WvhQ=")</f>
        <v>#VALUE!</v>
      </c>
      <c r="V9" t="e">
        <f>AND(主角属性字段设计!B47,"AAAAAH7WvhU=")</f>
        <v>#VALUE!</v>
      </c>
      <c r="W9" t="e">
        <f>AND(主角属性字段设计!C47,"AAAAAH7WvhY=")</f>
        <v>#VALUE!</v>
      </c>
      <c r="X9" t="e">
        <f>AND(主角属性字段设计!D47,"AAAAAH7Wvhc=")</f>
        <v>#VALUE!</v>
      </c>
      <c r="Y9" t="e">
        <f>AND(主角属性字段设计!E47,"AAAAAH7Wvhg=")</f>
        <v>#VALUE!</v>
      </c>
      <c r="Z9" t="e">
        <f>AND(主角属性字段设计!F47,"AAAAAH7Wvhk=")</f>
        <v>#VALUE!</v>
      </c>
      <c r="AA9" t="e">
        <f>AND(主角属性字段设计!G47,"AAAAAH7Wvho=")</f>
        <v>#VALUE!</v>
      </c>
      <c r="AB9" t="e">
        <f>AND(主角属性字段设计!H47,"AAAAAH7Wvhs=")</f>
        <v>#VALUE!</v>
      </c>
      <c r="AC9" t="e">
        <f>AND(主角属性字段设计!I47,"AAAAAH7Wvhw=")</f>
        <v>#VALUE!</v>
      </c>
      <c r="AD9" t="e">
        <f>AND(主角属性字段设计!J47,"AAAAAH7Wvh0=")</f>
        <v>#VALUE!</v>
      </c>
      <c r="AE9" t="e">
        <f>AND(主角属性字段设计!K47,"AAAAAH7Wvh4=")</f>
        <v>#VALUE!</v>
      </c>
      <c r="AF9" t="e">
        <f>AND(主角属性字段设计!L47,"AAAAAH7Wvh8=")</f>
        <v>#VALUE!</v>
      </c>
      <c r="AG9" t="e">
        <f>AND(主角属性字段设计!M47,"AAAAAH7WviA=")</f>
        <v>#VALUE!</v>
      </c>
      <c r="AH9" t="e">
        <f>AND(主角属性字段设计!N47,"AAAAAH7WviE=")</f>
        <v>#VALUE!</v>
      </c>
      <c r="AI9" t="e">
        <f>AND(主角属性字段设计!O47,"AAAAAH7WviI=")</f>
        <v>#VALUE!</v>
      </c>
      <c r="AJ9" t="e">
        <f>AND(主角属性字段设计!P47,"AAAAAH7WviM=")</f>
        <v>#VALUE!</v>
      </c>
      <c r="AK9" t="e">
        <f>AND(主角属性字段设计!U47,"AAAAAH7WviQ=")</f>
        <v>#VALUE!</v>
      </c>
      <c r="AL9" t="e">
        <f>AND(主角属性字段设计!V47,"AAAAAH7WviU=")</f>
        <v>#VALUE!</v>
      </c>
      <c r="AM9">
        <f>IF(主角属性字段设计!48:48,"AAAAAH7WviY=",0)</f>
        <v>0</v>
      </c>
      <c r="AN9" t="e">
        <f>AND(主角属性字段设计!A48,"AAAAAH7Wvic=")</f>
        <v>#VALUE!</v>
      </c>
      <c r="AO9" t="e">
        <f>AND(主角属性字段设计!B48,"AAAAAH7Wvig=")</f>
        <v>#VALUE!</v>
      </c>
      <c r="AP9" t="e">
        <f>AND(主角属性字段设计!C48,"AAAAAH7Wvik=")</f>
        <v>#VALUE!</v>
      </c>
      <c r="AQ9" t="e">
        <f>AND(主角属性字段设计!D48,"AAAAAH7Wvio=")</f>
        <v>#VALUE!</v>
      </c>
      <c r="AR9" t="e">
        <f>AND(主角属性字段设计!E48,"AAAAAH7Wvis=")</f>
        <v>#VALUE!</v>
      </c>
      <c r="AS9" t="e">
        <f>AND(主角属性字段设计!F48,"AAAAAH7Wviw=")</f>
        <v>#VALUE!</v>
      </c>
      <c r="AT9" t="e">
        <f>AND(主角属性字段设计!G48,"AAAAAH7Wvi0=")</f>
        <v>#VALUE!</v>
      </c>
      <c r="AU9" t="e">
        <f>AND(主角属性字段设计!H48,"AAAAAH7Wvi4=")</f>
        <v>#VALUE!</v>
      </c>
      <c r="AV9" t="e">
        <f>AND(主角属性字段设计!I48,"AAAAAH7Wvi8=")</f>
        <v>#VALUE!</v>
      </c>
      <c r="AW9" t="e">
        <f>AND(主角属性字段设计!J48,"AAAAAH7WvjA=")</f>
        <v>#VALUE!</v>
      </c>
      <c r="AX9" t="e">
        <f>AND(主角属性字段设计!K48,"AAAAAH7WvjE=")</f>
        <v>#VALUE!</v>
      </c>
      <c r="AY9" t="e">
        <f>AND(主角属性字段设计!L48,"AAAAAH7WvjI=")</f>
        <v>#VALUE!</v>
      </c>
      <c r="AZ9" t="e">
        <f>AND(主角属性字段设计!M48,"AAAAAH7WvjM=")</f>
        <v>#VALUE!</v>
      </c>
      <c r="BA9" t="e">
        <f>AND(主角属性字段设计!N48,"AAAAAH7WvjQ=")</f>
        <v>#VALUE!</v>
      </c>
      <c r="BB9" t="e">
        <f>AND(主角属性字段设计!O48,"AAAAAH7WvjU=")</f>
        <v>#VALUE!</v>
      </c>
      <c r="BC9" t="e">
        <f>AND(主角属性字段设计!P48,"AAAAAH7WvjY=")</f>
        <v>#VALUE!</v>
      </c>
      <c r="BD9" t="e">
        <f>AND(主角属性字段设计!U48,"AAAAAH7Wvjc=")</f>
        <v>#VALUE!</v>
      </c>
      <c r="BE9" t="e">
        <f>AND(主角属性字段设计!V48,"AAAAAH7Wvjg=")</f>
        <v>#VALUE!</v>
      </c>
      <c r="BF9">
        <f>IF(主角属性字段设计!49:49,"AAAAAH7Wvjk=",0)</f>
        <v>0</v>
      </c>
      <c r="BG9" t="e">
        <f>AND(主角属性字段设计!A49,"AAAAAH7Wvjo=")</f>
        <v>#VALUE!</v>
      </c>
      <c r="BH9" t="e">
        <f>AND(主角属性字段设计!B49,"AAAAAH7Wvjs=")</f>
        <v>#VALUE!</v>
      </c>
      <c r="BI9" t="e">
        <f>AND(主角属性字段设计!C49,"AAAAAH7Wvjw=")</f>
        <v>#VALUE!</v>
      </c>
      <c r="BJ9" t="e">
        <f>AND(主角属性字段设计!D49,"AAAAAH7Wvj0=")</f>
        <v>#VALUE!</v>
      </c>
      <c r="BK9" t="e">
        <f>AND(主角属性字段设计!E49,"AAAAAH7Wvj4=")</f>
        <v>#VALUE!</v>
      </c>
      <c r="BL9" t="e">
        <f>AND(主角属性字段设计!F49,"AAAAAH7Wvj8=")</f>
        <v>#VALUE!</v>
      </c>
      <c r="BM9" t="e">
        <f>AND(主角属性字段设计!G49,"AAAAAH7WvkA=")</f>
        <v>#VALUE!</v>
      </c>
      <c r="BN9" t="e">
        <f>AND(主角属性字段设计!H49,"AAAAAH7WvkE=")</f>
        <v>#VALUE!</v>
      </c>
      <c r="BO9" t="e">
        <f>AND(主角属性字段设计!I49,"AAAAAH7WvkI=")</f>
        <v>#VALUE!</v>
      </c>
      <c r="BP9" t="e">
        <f>AND(主角属性字段设计!J49,"AAAAAH7WvkM=")</f>
        <v>#VALUE!</v>
      </c>
      <c r="BQ9" t="e">
        <f>AND(主角属性字段设计!K49,"AAAAAH7WvkQ=")</f>
        <v>#VALUE!</v>
      </c>
      <c r="BR9" t="e">
        <f>AND(主角属性字段设计!L49,"AAAAAH7WvkU=")</f>
        <v>#VALUE!</v>
      </c>
      <c r="BS9" t="e">
        <f>AND(主角属性字段设计!M49,"AAAAAH7WvkY=")</f>
        <v>#VALUE!</v>
      </c>
      <c r="BT9" t="e">
        <f>AND(主角属性字段设计!N49,"AAAAAH7Wvkc=")</f>
        <v>#VALUE!</v>
      </c>
      <c r="BU9" t="e">
        <f>AND(主角属性字段设计!O49,"AAAAAH7Wvkg=")</f>
        <v>#VALUE!</v>
      </c>
      <c r="BV9" t="e">
        <f>AND(主角属性字段设计!P49,"AAAAAH7Wvkk=")</f>
        <v>#VALUE!</v>
      </c>
      <c r="BW9" t="e">
        <f>AND(主角属性字段设计!U49,"AAAAAH7Wvko=")</f>
        <v>#VALUE!</v>
      </c>
      <c r="BX9" t="e">
        <f>AND(主角属性字段设计!V49,"AAAAAH7Wvks=")</f>
        <v>#VALUE!</v>
      </c>
      <c r="BY9">
        <f>IF(主角属性字段设计!50:50,"AAAAAH7Wvkw=",0)</f>
        <v>0</v>
      </c>
      <c r="BZ9" t="e">
        <f>AND(主角属性字段设计!A50,"AAAAAH7Wvk0=")</f>
        <v>#VALUE!</v>
      </c>
      <c r="CA9" t="e">
        <f>AND(主角属性字段设计!B50,"AAAAAH7Wvk4=")</f>
        <v>#VALUE!</v>
      </c>
      <c r="CB9" t="e">
        <f>AND(主角属性字段设计!C50,"AAAAAH7Wvk8=")</f>
        <v>#VALUE!</v>
      </c>
      <c r="CC9" t="e">
        <f>AND(主角属性字段设计!D50,"AAAAAH7WvlA=")</f>
        <v>#VALUE!</v>
      </c>
      <c r="CD9" t="e">
        <f>AND(主角属性字段设计!E50,"AAAAAH7WvlE=")</f>
        <v>#VALUE!</v>
      </c>
      <c r="CE9" t="e">
        <f>AND(主角属性字段设计!F50,"AAAAAH7WvlI=")</f>
        <v>#VALUE!</v>
      </c>
      <c r="CF9" t="e">
        <f>AND(主角属性字段设计!G50,"AAAAAH7WvlM=")</f>
        <v>#VALUE!</v>
      </c>
      <c r="CG9" t="e">
        <f>AND(主角属性字段设计!H50,"AAAAAH7WvlQ=")</f>
        <v>#VALUE!</v>
      </c>
      <c r="CH9" t="e">
        <f>AND(主角属性字段设计!I50,"AAAAAH7WvlU=")</f>
        <v>#VALUE!</v>
      </c>
      <c r="CI9" t="e">
        <f>AND(主角属性字段设计!J50,"AAAAAH7WvlY=")</f>
        <v>#VALUE!</v>
      </c>
      <c r="CJ9" t="e">
        <f>AND(主角属性字段设计!K50,"AAAAAH7Wvlc=")</f>
        <v>#VALUE!</v>
      </c>
      <c r="CK9" t="e">
        <f>AND(主角属性字段设计!L50,"AAAAAH7Wvlg=")</f>
        <v>#VALUE!</v>
      </c>
      <c r="CL9" t="e">
        <f>AND(主角属性字段设计!M50,"AAAAAH7Wvlk=")</f>
        <v>#VALUE!</v>
      </c>
      <c r="CM9" t="e">
        <f>AND(主角属性字段设计!N50,"AAAAAH7Wvlo=")</f>
        <v>#VALUE!</v>
      </c>
      <c r="CN9" t="e">
        <f>AND(主角属性字段设计!O50,"AAAAAH7Wvls=")</f>
        <v>#VALUE!</v>
      </c>
      <c r="CO9" t="e">
        <f>AND(主角属性字段设计!P50,"AAAAAH7Wvlw=")</f>
        <v>#VALUE!</v>
      </c>
      <c r="CP9" t="e">
        <f>AND(主角属性字段设计!U50,"AAAAAH7Wvl0=")</f>
        <v>#VALUE!</v>
      </c>
      <c r="CQ9" t="e">
        <f>AND(主角属性字段设计!V50,"AAAAAH7Wvl4=")</f>
        <v>#VALUE!</v>
      </c>
      <c r="CR9">
        <f>IF(主角属性字段设计!51:51,"AAAAAH7Wvl8=",0)</f>
        <v>0</v>
      </c>
      <c r="CS9" t="e">
        <f>AND(主角属性字段设计!A51,"AAAAAH7WvmA=")</f>
        <v>#VALUE!</v>
      </c>
      <c r="CT9" t="e">
        <f>AND(主角属性字段设计!B51,"AAAAAH7WvmE=")</f>
        <v>#VALUE!</v>
      </c>
      <c r="CU9" t="e">
        <f>AND(主角属性字段设计!C51,"AAAAAH7WvmI=")</f>
        <v>#VALUE!</v>
      </c>
      <c r="CV9" t="e">
        <f>AND(主角属性字段设计!D51,"AAAAAH7WvmM=")</f>
        <v>#VALUE!</v>
      </c>
      <c r="CW9" t="e">
        <f>AND(主角属性字段设计!E51,"AAAAAH7WvmQ=")</f>
        <v>#VALUE!</v>
      </c>
      <c r="CX9" t="e">
        <f>AND(主角属性字段设计!F51,"AAAAAH7WvmU=")</f>
        <v>#VALUE!</v>
      </c>
      <c r="CY9" t="e">
        <f>AND(主角属性字段设计!G51,"AAAAAH7WvmY=")</f>
        <v>#VALUE!</v>
      </c>
      <c r="CZ9" t="e">
        <f>AND(主角属性字段设计!H51,"AAAAAH7Wvmc=")</f>
        <v>#VALUE!</v>
      </c>
      <c r="DA9" t="e">
        <f>AND(主角属性字段设计!I51,"AAAAAH7Wvmg=")</f>
        <v>#VALUE!</v>
      </c>
      <c r="DB9" t="e">
        <f>AND(主角属性字段设计!J51,"AAAAAH7Wvmk=")</f>
        <v>#VALUE!</v>
      </c>
      <c r="DC9" t="e">
        <f>AND(主角属性字段设计!K51,"AAAAAH7Wvmo=")</f>
        <v>#VALUE!</v>
      </c>
      <c r="DD9" t="e">
        <f>AND(主角属性字段设计!L51,"AAAAAH7Wvms=")</f>
        <v>#VALUE!</v>
      </c>
      <c r="DE9" t="e">
        <f>AND(主角属性字段设计!M51,"AAAAAH7Wvmw=")</f>
        <v>#VALUE!</v>
      </c>
      <c r="DF9" t="e">
        <f>AND(主角属性字段设计!N51,"AAAAAH7Wvm0=")</f>
        <v>#VALUE!</v>
      </c>
      <c r="DG9" t="e">
        <f>AND(主角属性字段设计!O51,"AAAAAH7Wvm4=")</f>
        <v>#VALUE!</v>
      </c>
      <c r="DH9" t="e">
        <f>AND(主角属性字段设计!P51,"AAAAAH7Wvm8=")</f>
        <v>#VALUE!</v>
      </c>
      <c r="DI9" t="e">
        <f>AND(主角属性字段设计!U51,"AAAAAH7WvnA=")</f>
        <v>#VALUE!</v>
      </c>
      <c r="DJ9" t="e">
        <f>AND(主角属性字段设计!V51,"AAAAAH7WvnE=")</f>
        <v>#VALUE!</v>
      </c>
      <c r="DK9">
        <f>IF(主角属性字段设计!52:52,"AAAAAH7WvnI=",0)</f>
        <v>0</v>
      </c>
      <c r="DL9" t="e">
        <f>AND(主角属性字段设计!A52,"AAAAAH7WvnM=")</f>
        <v>#VALUE!</v>
      </c>
      <c r="DM9" t="e">
        <f>AND(主角属性字段设计!B52,"AAAAAH7WvnQ=")</f>
        <v>#VALUE!</v>
      </c>
      <c r="DN9" t="e">
        <f>AND(主角属性字段设计!C52,"AAAAAH7WvnU=")</f>
        <v>#VALUE!</v>
      </c>
      <c r="DO9" t="e">
        <f>AND(主角属性字段设计!D52,"AAAAAH7WvnY=")</f>
        <v>#VALUE!</v>
      </c>
      <c r="DP9" t="e">
        <f>AND(主角属性字段设计!E52,"AAAAAH7Wvnc=")</f>
        <v>#VALUE!</v>
      </c>
      <c r="DQ9" t="e">
        <f>AND(主角属性字段设计!F52,"AAAAAH7Wvng=")</f>
        <v>#VALUE!</v>
      </c>
      <c r="DR9" t="e">
        <f>AND(主角属性字段设计!G52,"AAAAAH7Wvnk=")</f>
        <v>#VALUE!</v>
      </c>
      <c r="DS9" t="e">
        <f>AND(主角属性字段设计!H52,"AAAAAH7Wvno=")</f>
        <v>#VALUE!</v>
      </c>
      <c r="DT9" t="e">
        <f>AND(主角属性字段设计!I52,"AAAAAH7Wvns=")</f>
        <v>#VALUE!</v>
      </c>
      <c r="DU9" t="e">
        <f>AND(主角属性字段设计!J52,"AAAAAH7Wvnw=")</f>
        <v>#VALUE!</v>
      </c>
      <c r="DV9" t="e">
        <f>AND(主角属性字段设计!K52,"AAAAAH7Wvn0=")</f>
        <v>#VALUE!</v>
      </c>
      <c r="DW9" t="e">
        <f>AND(主角属性字段设计!L52,"AAAAAH7Wvn4=")</f>
        <v>#VALUE!</v>
      </c>
      <c r="DX9" t="e">
        <f>AND(主角属性字段设计!M52,"AAAAAH7Wvn8=")</f>
        <v>#VALUE!</v>
      </c>
      <c r="DY9" t="e">
        <f>AND(主角属性字段设计!N52,"AAAAAH7WvoA=")</f>
        <v>#VALUE!</v>
      </c>
      <c r="DZ9" t="e">
        <f>AND(主角属性字段设计!O52,"AAAAAH7WvoE=")</f>
        <v>#VALUE!</v>
      </c>
      <c r="EA9" t="e">
        <f>AND(主角属性字段设计!P52,"AAAAAH7WvoI=")</f>
        <v>#VALUE!</v>
      </c>
      <c r="EB9" t="e">
        <f>AND(主角属性字段设计!U52,"AAAAAH7WvoM=")</f>
        <v>#VALUE!</v>
      </c>
      <c r="EC9" t="e">
        <f>AND(主角属性字段设计!V52,"AAAAAH7WvoQ=")</f>
        <v>#VALUE!</v>
      </c>
      <c r="ED9">
        <f>IF(主角属性字段设计!53:53,"AAAAAH7WvoU=",0)</f>
        <v>0</v>
      </c>
      <c r="EE9" t="e">
        <f>AND(主角属性字段设计!A53,"AAAAAH7WvoY=")</f>
        <v>#VALUE!</v>
      </c>
      <c r="EF9" t="e">
        <f>AND(主角属性字段设计!B53,"AAAAAH7Wvoc=")</f>
        <v>#VALUE!</v>
      </c>
      <c r="EG9" t="e">
        <f>AND(主角属性字段设计!C53,"AAAAAH7Wvog=")</f>
        <v>#VALUE!</v>
      </c>
      <c r="EH9" t="e">
        <f>AND(主角属性字段设计!D53,"AAAAAH7Wvok=")</f>
        <v>#VALUE!</v>
      </c>
      <c r="EI9" t="e">
        <f>AND(主角属性字段设计!E53,"AAAAAH7Wvoo=")</f>
        <v>#VALUE!</v>
      </c>
      <c r="EJ9" t="e">
        <f>AND(主角属性字段设计!F53,"AAAAAH7Wvos=")</f>
        <v>#VALUE!</v>
      </c>
      <c r="EK9" t="e">
        <f>AND(主角属性字段设计!G53,"AAAAAH7Wvow=")</f>
        <v>#VALUE!</v>
      </c>
      <c r="EL9" t="e">
        <f>AND(主角属性字段设计!H53,"AAAAAH7Wvo0=")</f>
        <v>#VALUE!</v>
      </c>
      <c r="EM9" t="e">
        <f>AND(主角属性字段设计!I53,"AAAAAH7Wvo4=")</f>
        <v>#VALUE!</v>
      </c>
      <c r="EN9" t="e">
        <f>AND(主角属性字段设计!J53,"AAAAAH7Wvo8=")</f>
        <v>#VALUE!</v>
      </c>
      <c r="EO9" t="e">
        <f>AND(主角属性字段设计!K53,"AAAAAH7WvpA=")</f>
        <v>#VALUE!</v>
      </c>
      <c r="EP9" t="e">
        <f>AND(主角属性字段设计!L53,"AAAAAH7WvpE=")</f>
        <v>#VALUE!</v>
      </c>
      <c r="EQ9" t="e">
        <f>AND(主角属性字段设计!M53,"AAAAAH7WvpI=")</f>
        <v>#VALUE!</v>
      </c>
      <c r="ER9" t="e">
        <f>AND(主角属性字段设计!N53,"AAAAAH7WvpM=")</f>
        <v>#VALUE!</v>
      </c>
      <c r="ES9" t="e">
        <f>AND(主角属性字段设计!O53,"AAAAAH7WvpQ=")</f>
        <v>#VALUE!</v>
      </c>
      <c r="ET9" t="e">
        <f>AND(主角属性字段设计!P53,"AAAAAH7WvpU=")</f>
        <v>#VALUE!</v>
      </c>
      <c r="EU9" t="e">
        <f>AND(主角属性字段设计!U53,"AAAAAH7WvpY=")</f>
        <v>#VALUE!</v>
      </c>
      <c r="EV9" t="e">
        <f>AND(主角属性字段设计!V53,"AAAAAH7Wvpc=")</f>
        <v>#VALUE!</v>
      </c>
      <c r="EW9">
        <f>IF(主角属性字段设计!54:54,"AAAAAH7Wvpg=",0)</f>
        <v>0</v>
      </c>
      <c r="EX9" t="e">
        <f>AND(主角属性字段设计!A54,"AAAAAH7Wvpk=")</f>
        <v>#VALUE!</v>
      </c>
      <c r="EY9" t="e">
        <f>AND(主角属性字段设计!B54,"AAAAAH7Wvpo=")</f>
        <v>#VALUE!</v>
      </c>
      <c r="EZ9" t="e">
        <f>AND(主角属性字段设计!C54,"AAAAAH7Wvps=")</f>
        <v>#VALUE!</v>
      </c>
      <c r="FA9" t="e">
        <f>AND(主角属性字段设计!D54,"AAAAAH7Wvpw=")</f>
        <v>#VALUE!</v>
      </c>
      <c r="FB9" t="e">
        <f>AND(主角属性字段设计!E54,"AAAAAH7Wvp0=")</f>
        <v>#VALUE!</v>
      </c>
      <c r="FC9" t="e">
        <f>AND(主角属性字段设计!F54,"AAAAAH7Wvp4=")</f>
        <v>#VALUE!</v>
      </c>
      <c r="FD9" t="e">
        <f>AND(主角属性字段设计!G54,"AAAAAH7Wvp8=")</f>
        <v>#VALUE!</v>
      </c>
      <c r="FE9" t="e">
        <f>AND(主角属性字段设计!H54,"AAAAAH7WvqA=")</f>
        <v>#VALUE!</v>
      </c>
      <c r="FF9" t="e">
        <f>AND(主角属性字段设计!I54,"AAAAAH7WvqE=")</f>
        <v>#VALUE!</v>
      </c>
      <c r="FG9" t="e">
        <f>AND(主角属性字段设计!J54,"AAAAAH7WvqI=")</f>
        <v>#VALUE!</v>
      </c>
      <c r="FH9" t="e">
        <f>AND(主角属性字段设计!K54,"AAAAAH7WvqM=")</f>
        <v>#VALUE!</v>
      </c>
      <c r="FI9" t="e">
        <f>AND(主角属性字段设计!L54,"AAAAAH7WvqQ=")</f>
        <v>#VALUE!</v>
      </c>
      <c r="FJ9" t="e">
        <f>AND(主角属性字段设计!M54,"AAAAAH7WvqU=")</f>
        <v>#VALUE!</v>
      </c>
      <c r="FK9" t="e">
        <f>AND(主角属性字段设计!N54,"AAAAAH7WvqY=")</f>
        <v>#VALUE!</v>
      </c>
      <c r="FL9" t="e">
        <f>AND(主角属性字段设计!O54,"AAAAAH7Wvqc=")</f>
        <v>#VALUE!</v>
      </c>
      <c r="FM9" t="e">
        <f>AND(主角属性字段设计!P54,"AAAAAH7Wvqg=")</f>
        <v>#VALUE!</v>
      </c>
      <c r="FN9" t="e">
        <f>AND(主角属性字段设计!U54,"AAAAAH7Wvqk=")</f>
        <v>#VALUE!</v>
      </c>
      <c r="FO9" t="e">
        <f>AND(主角属性字段设计!V54,"AAAAAH7Wvqo=")</f>
        <v>#VALUE!</v>
      </c>
      <c r="FP9">
        <f>IF(主角属性字段设计!55:55,"AAAAAH7Wvqs=",0)</f>
        <v>0</v>
      </c>
      <c r="FQ9" t="e">
        <f>AND(主角属性字段设计!A55,"AAAAAH7Wvqw=")</f>
        <v>#VALUE!</v>
      </c>
      <c r="FR9" t="e">
        <f>AND(主角属性字段设计!B55,"AAAAAH7Wvq0=")</f>
        <v>#VALUE!</v>
      </c>
      <c r="FS9" t="e">
        <f>AND(主角属性字段设计!C55,"AAAAAH7Wvq4=")</f>
        <v>#VALUE!</v>
      </c>
      <c r="FT9" t="e">
        <f>AND(主角属性字段设计!D55,"AAAAAH7Wvq8=")</f>
        <v>#VALUE!</v>
      </c>
      <c r="FU9" t="e">
        <f>AND(主角属性字段设计!E55,"AAAAAH7WvrA=")</f>
        <v>#VALUE!</v>
      </c>
      <c r="FV9" t="e">
        <f>AND(主角属性字段设计!F55,"AAAAAH7WvrE=")</f>
        <v>#VALUE!</v>
      </c>
      <c r="FW9" t="e">
        <f>AND(主角属性字段设计!G55,"AAAAAH7WvrI=")</f>
        <v>#VALUE!</v>
      </c>
      <c r="FX9" t="e">
        <f>AND(主角属性字段设计!H55,"AAAAAH7WvrM=")</f>
        <v>#VALUE!</v>
      </c>
      <c r="FY9" t="e">
        <f>AND(主角属性字段设计!I55,"AAAAAH7WvrQ=")</f>
        <v>#VALUE!</v>
      </c>
      <c r="FZ9" t="e">
        <f>AND(主角属性字段设计!J55,"AAAAAH7WvrU=")</f>
        <v>#VALUE!</v>
      </c>
      <c r="GA9" t="e">
        <f>AND(主角属性字段设计!K55,"AAAAAH7WvrY=")</f>
        <v>#VALUE!</v>
      </c>
      <c r="GB9" t="e">
        <f>AND(主角属性字段设计!L55,"AAAAAH7Wvrc=")</f>
        <v>#VALUE!</v>
      </c>
      <c r="GC9" t="e">
        <f>AND(主角属性字段设计!M55,"AAAAAH7Wvrg=")</f>
        <v>#VALUE!</v>
      </c>
      <c r="GD9" t="e">
        <f>AND(主角属性字段设计!N55,"AAAAAH7Wvrk=")</f>
        <v>#VALUE!</v>
      </c>
      <c r="GE9" t="e">
        <f>AND(主角属性字段设计!O55,"AAAAAH7Wvro=")</f>
        <v>#VALUE!</v>
      </c>
      <c r="GF9" t="e">
        <f>AND(主角属性字段设计!P55,"AAAAAH7Wvrs=")</f>
        <v>#VALUE!</v>
      </c>
      <c r="GG9" t="e">
        <f>AND(主角属性字段设计!U55,"AAAAAH7Wvrw=")</f>
        <v>#VALUE!</v>
      </c>
      <c r="GH9" t="e">
        <f>AND(主角属性字段设计!V55,"AAAAAH7Wvr0=")</f>
        <v>#VALUE!</v>
      </c>
    </row>
  </sheetData>
  <phoneticPr fontId="1" type="noConversion"/>
  <pageMargins left="0.7" right="0.7" top="0.75" bottom="0.75" header="0.3" footer="0.3"/>
  <pageSetup paperSize="9" orientation="portrait" verticalDpi="0" copies="0" r:id="rId1"/>
  <customProperties>
    <customPr name="DVSECTION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主角属性字段设计</vt:lpstr>
      <vt:lpstr>我方NPC属性字段设计</vt:lpstr>
      <vt:lpstr>敌方NPC属性字段设计</vt:lpstr>
      <vt:lpstr>村庄建筑物属性字段设计</vt:lpstr>
      <vt:lpstr>装备品属性字段设计</vt:lpstr>
      <vt:lpstr>道具物品属性字段设计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2011-10-12T05:27:58Z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true</vt:lpwstr>
  </property>
  <property fmtid="{D5CDD505-2E9C-101B-9397-08002B2CF9AE}" pid="3" name="Google.Documents.DocumentId">
    <vt:lpwstr>1DBA96Mb7eQdQzQ94Zv9m9f02NxFZpZSatq7biwNr4Wg</vt:lpwstr>
  </property>
  <property fmtid="{D5CDD505-2E9C-101B-9397-08002B2CF9AE}" pid="4" name="Google.Documents.RevisionId">
    <vt:lpwstr>01377498472490844239</vt:lpwstr>
  </property>
  <property fmtid="{D5CDD505-2E9C-101B-9397-08002B2CF9AE}" pid="5" name="Google.Documents.PreviousRevisionId">
    <vt:lpwstr>08831865675746966359</vt:lpwstr>
  </property>
  <property fmtid="{D5CDD505-2E9C-101B-9397-08002B2CF9AE}" pid="6" name="Google.Documents.PluginVersion">
    <vt:lpwstr>2.0.2154.5604</vt:lpwstr>
  </property>
  <property fmtid="{D5CDD505-2E9C-101B-9397-08002B2CF9AE}" pid="7" name="Google.Documents.MergeIncapabilityFlags">
    <vt:i4>0</vt:i4>
  </property>
</Properties>
</file>